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defaultThemeVersion="124226"/>
  <mc:AlternateContent xmlns:mc="http://schemas.openxmlformats.org/markup-compatibility/2006">
    <mc:Choice Requires="x15">
      <x15ac:absPath xmlns:x15ac="http://schemas.microsoft.com/office/spreadsheetml/2010/11/ac" url="https://carb.sharepoint.com/sites/ISD/CCPEB/Reg 2024 C&amp;T Amendments/15-day changes/BARCU final versions/"/>
    </mc:Choice>
  </mc:AlternateContent>
  <xr:revisionPtr revIDLastSave="1" documentId="8_{4A76DACA-C9B5-4C3E-8A11-26E2DFE2B443}" xr6:coauthVersionLast="47" xr6:coauthVersionMax="47" xr10:uidLastSave="{9049C763-4BE4-4BF5-BCF7-CFA6C8305BA7}"/>
  <bookViews>
    <workbookView xWindow="-12195" yWindow="-16320" windowWidth="29040" windowHeight="15720" tabRatio="849" xr2:uid="{00000000-000D-0000-FFFF-FFFF00000000}"/>
  </bookViews>
  <sheets>
    <sheet name="Information" sheetId="94" r:id="rId1"/>
    <sheet name="Form 1.5a (CEC 2025a)" sheetId="362" r:id="rId2"/>
    <sheet name="Form 1.1c (CEC 2025a)" sheetId="361" r:id="rId3"/>
    <sheet name="2027-2030 Allocation" sheetId="473" r:id="rId4"/>
    <sheet name="2021 PCL (CEC 2023b)" sheetId="465" r:id="rId5"/>
    <sheet name="2022 PCL (CEC 2024b)" sheetId="464" r:id="rId6"/>
    <sheet name="2023 PCL (CEC2025b)" sheetId="478" r:id="rId7"/>
    <sheet name="Alameda" sheetId="360" r:id="rId8"/>
    <sheet name="Anaheim" sheetId="365" r:id="rId9"/>
    <sheet name="Anza" sheetId="363" r:id="rId10"/>
    <sheet name="Azusa" sheetId="366" r:id="rId11"/>
    <sheet name="Banning" sheetId="367" r:id="rId12"/>
    <sheet name="Bear Valley" sheetId="391" r:id="rId13"/>
    <sheet name="Biggs" sheetId="369" r:id="rId14"/>
    <sheet name="Burbank" sheetId="370" r:id="rId15"/>
    <sheet name="CCSF" sheetId="364" r:id="rId16"/>
    <sheet name="Cerritos" sheetId="371" r:id="rId17"/>
    <sheet name="Colton" sheetId="372" r:id="rId18"/>
    <sheet name="Corona" sheetId="373" r:id="rId19"/>
    <sheet name="Eastside" sheetId="390" r:id="rId20"/>
    <sheet name="Glendale" sheetId="374" r:id="rId21"/>
    <sheet name="Gridley" sheetId="392" r:id="rId22"/>
    <sheet name="Healdsburg" sheetId="375" r:id="rId23"/>
    <sheet name="ImperialID" sheetId="474" r:id="rId24"/>
    <sheet name="Industry" sheetId="376" r:id="rId25"/>
    <sheet name="Kirkwood" sheetId="394" r:id="rId26"/>
    <sheet name="LADWP" sheetId="397" r:id="rId27"/>
    <sheet name="Lassen" sheetId="395" r:id="rId28"/>
    <sheet name="Lathrop" sheetId="483" r:id="rId29"/>
    <sheet name="Liberty" sheetId="396" r:id="rId30"/>
    <sheet name="Lodi" sheetId="377" r:id="rId31"/>
    <sheet name="Lompoc" sheetId="378" r:id="rId32"/>
    <sheet name="MercedID" sheetId="487" r:id="rId33"/>
    <sheet name="ModestoID" sheetId="488" r:id="rId34"/>
    <sheet name="MorenoValley" sheetId="379" r:id="rId35"/>
    <sheet name="Needles" sheetId="380" r:id="rId36"/>
    <sheet name="Oakland" sheetId="381" r:id="rId37"/>
    <sheet name="Pacificorp" sheetId="417" r:id="rId38"/>
    <sheet name="Palo Alto" sheetId="382" r:id="rId39"/>
    <sheet name="Pasadena" sheetId="401" r:id="rId40"/>
    <sheet name="PGE" sheetId="400" r:id="rId41"/>
    <sheet name="PGE CCA PCL" sheetId="463" r:id="rId42"/>
    <sheet name="Pittsburg" sheetId="402" r:id="rId43"/>
    <sheet name="PlumasSierra" sheetId="403" r:id="rId44"/>
    <sheet name="PWRPA" sheetId="404" r:id="rId45"/>
    <sheet name="RanchoCucamonga" sheetId="383" r:id="rId46"/>
    <sheet name="Redding" sheetId="405" r:id="rId47"/>
    <sheet name="Riverside" sheetId="384" r:id="rId48"/>
    <sheet name="Roseville" sheetId="385" r:id="rId49"/>
    <sheet name="SCE" sheetId="409" r:id="rId50"/>
    <sheet name="SCE CCAs PCL" sheetId="466" r:id="rId51"/>
    <sheet name="SDGE" sheetId="489" r:id="rId52"/>
    <sheet name="ShastaLake" sheetId="386" r:id="rId53"/>
    <sheet name="SiliconValley" sheetId="408" r:id="rId54"/>
    <sheet name="SMUD" sheetId="490" r:id="rId55"/>
    <sheet name="Stockton" sheetId="410" r:id="rId56"/>
    <sheet name="SurpriseValley" sheetId="411" r:id="rId57"/>
    <sheet name="Trinity" sheetId="484" r:id="rId58"/>
    <sheet name="TruckeeDonner" sheetId="412" r:id="rId59"/>
    <sheet name="TurlockID" sheetId="491" r:id="rId60"/>
    <sheet name="Ukiah" sheetId="387" r:id="rId61"/>
    <sheet name="Victorville" sheetId="389" r:id="rId62"/>
    <sheet name="ValleyElectric" sheetId="414" r:id="rId63"/>
    <sheet name="Vernon" sheetId="492" r:id="rId64"/>
    <sheet name="WAPA" sheetId="415" r:id="rId65"/>
  </sheets>
  <externalReferences>
    <externalReference r:id="rId66"/>
    <externalReference r:id="rId67"/>
    <externalReference r:id="rId68"/>
    <externalReference r:id="rId69"/>
    <externalReference r:id="rId70"/>
    <externalReference r:id="rId71"/>
  </externalReferences>
  <definedNames>
    <definedName name="_xlnm._FilterDatabase" localSheetId="4" hidden="1">'2021 PCL (CEC 2023b)'!$A$1:$P$155</definedName>
    <definedName name="_xlnm._FilterDatabase" localSheetId="5" hidden="1">'2022 PCL (CEC 2024b)'!$A$1:$P$159</definedName>
    <definedName name="_xlnm._FilterDatabase" localSheetId="6" hidden="1">'2023 PCL (CEC2025b)'!$A$1:$P$161</definedName>
    <definedName name="_xlnm._FilterDatabase" localSheetId="3" hidden="1">'2027-2030 Allocation'!$A$1:$F$1</definedName>
    <definedName name="_foo1" localSheetId="7"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1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4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6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7"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1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6"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4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6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7" hidden="1">{#N/A,#N/A,FALSE,"Res - Unadj";#N/A,#N/A,FALSE,"Small L&amp;P";#N/A,#N/A,FALSE,"Medium L&amp;P";#N/A,#N/A,FALSE,"E-19";#N/A,#N/A,FALSE,"E-20";#N/A,#N/A,FALSE,"A-RTP";#N/A,#N/A,FALSE,"Strtlts &amp; Standby";#N/A,#N/A,FALSE,"AG";#N/A,#N/A,FALSE,"2001mixeduse"}</definedName>
    <definedName name="_foo3" localSheetId="13" hidden="1">{#N/A,#N/A,FALSE,"Res - Unadj";#N/A,#N/A,FALSE,"Small L&amp;P";#N/A,#N/A,FALSE,"Medium L&amp;P";#N/A,#N/A,FALSE,"E-19";#N/A,#N/A,FALSE,"E-20";#N/A,#N/A,FALSE,"A-RTP";#N/A,#N/A,FALSE,"Strtlts &amp; Standby";#N/A,#N/A,FALSE,"AG";#N/A,#N/A,FALSE,"2001mixeduse"}</definedName>
    <definedName name="_foo3" localSheetId="21" hidden="1">{#N/A,#N/A,FALSE,"Res - Unadj";#N/A,#N/A,FALSE,"Small L&amp;P";#N/A,#N/A,FALSE,"Medium L&amp;P";#N/A,#N/A,FALSE,"E-19";#N/A,#N/A,FALSE,"E-20";#N/A,#N/A,FALSE,"A-RTP";#N/A,#N/A,FALSE,"Strtlts &amp; Standby";#N/A,#N/A,FALSE,"AG";#N/A,#N/A,FALSE,"2001mixeduse"}</definedName>
    <definedName name="_foo3" localSheetId="22" hidden="1">{#N/A,#N/A,FALSE,"Res - Unadj";#N/A,#N/A,FALSE,"Small L&amp;P";#N/A,#N/A,FALSE,"Medium L&amp;P";#N/A,#N/A,FALSE,"E-19";#N/A,#N/A,FALSE,"E-20";#N/A,#N/A,FALSE,"A-RTP";#N/A,#N/A,FALSE,"Strtlts &amp; Standby";#N/A,#N/A,FALSE,"AG";#N/A,#N/A,FALSE,"2001mixeduse"}</definedName>
    <definedName name="_foo3" localSheetId="0" hidden="1">{#N/A,#N/A,FALSE,"Res - Unadj";#N/A,#N/A,FALSE,"Small L&amp;P";#N/A,#N/A,FALSE,"Medium L&amp;P";#N/A,#N/A,FALSE,"E-19";#N/A,#N/A,FALSE,"E-20";#N/A,#N/A,FALSE,"A-RTP";#N/A,#N/A,FALSE,"Strtlts &amp; Standby";#N/A,#N/A,FALSE,"AG";#N/A,#N/A,FALSE,"2001mixeduse"}</definedName>
    <definedName name="_foo3" localSheetId="30" hidden="1">{#N/A,#N/A,FALSE,"Res - Unadj";#N/A,#N/A,FALSE,"Small L&amp;P";#N/A,#N/A,FALSE,"Medium L&amp;P";#N/A,#N/A,FALSE,"E-19";#N/A,#N/A,FALSE,"E-20";#N/A,#N/A,FALSE,"A-RTP";#N/A,#N/A,FALSE,"Strtlts &amp; Standby";#N/A,#N/A,FALSE,"AG";#N/A,#N/A,FALSE,"2001mixeduse"}</definedName>
    <definedName name="_foo3" localSheetId="31" hidden="1">{#N/A,#N/A,FALSE,"Res - Unadj";#N/A,#N/A,FALSE,"Small L&amp;P";#N/A,#N/A,FALSE,"Medium L&amp;P";#N/A,#N/A,FALSE,"E-19";#N/A,#N/A,FALSE,"E-20";#N/A,#N/A,FALSE,"A-RTP";#N/A,#N/A,FALSE,"Strtlts &amp; Standby";#N/A,#N/A,FALSE,"AG";#N/A,#N/A,FALSE,"2001mixeduse"}</definedName>
    <definedName name="_foo3" localSheetId="36" hidden="1">{#N/A,#N/A,FALSE,"Res - Unadj";#N/A,#N/A,FALSE,"Small L&amp;P";#N/A,#N/A,FALSE,"Medium L&amp;P";#N/A,#N/A,FALSE,"E-19";#N/A,#N/A,FALSE,"E-20";#N/A,#N/A,FALSE,"A-RTP";#N/A,#N/A,FALSE,"Strtlts &amp; Standby";#N/A,#N/A,FALSE,"AG";#N/A,#N/A,FALSE,"2001mixeduse"}</definedName>
    <definedName name="_foo3" localSheetId="38" hidden="1">{#N/A,#N/A,FALSE,"Res - Unadj";#N/A,#N/A,FALSE,"Small L&amp;P";#N/A,#N/A,FALSE,"Medium L&amp;P";#N/A,#N/A,FALSE,"E-19";#N/A,#N/A,FALSE,"E-20";#N/A,#N/A,FALSE,"A-RTP";#N/A,#N/A,FALSE,"Strtlts &amp; Standby";#N/A,#N/A,FALSE,"AG";#N/A,#N/A,FALSE,"2001mixeduse"}</definedName>
    <definedName name="_foo3" localSheetId="43" hidden="1">{#N/A,#N/A,FALSE,"Res - Unadj";#N/A,#N/A,FALSE,"Small L&amp;P";#N/A,#N/A,FALSE,"Medium L&amp;P";#N/A,#N/A,FALSE,"E-19";#N/A,#N/A,FALSE,"E-20";#N/A,#N/A,FALSE,"A-RTP";#N/A,#N/A,FALSE,"Strtlts &amp; Standby";#N/A,#N/A,FALSE,"AG";#N/A,#N/A,FALSE,"2001mixeduse"}</definedName>
    <definedName name="_foo3" localSheetId="60"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7" hidden="1">{"Summary","1",FALSE,"Summary"}</definedName>
    <definedName name="_foo4" localSheetId="13" hidden="1">{"Summary","1",FALSE,"Summary"}</definedName>
    <definedName name="_foo4" localSheetId="21" hidden="1">{"Summary","1",FALSE,"Summary"}</definedName>
    <definedName name="_foo4" localSheetId="22" hidden="1">{"Summary","1",FALSE,"Summary"}</definedName>
    <definedName name="_foo4" localSheetId="0" hidden="1">{"Summary","1",FALSE,"Summary"}</definedName>
    <definedName name="_foo4" localSheetId="30" hidden="1">{"Summary","1",FALSE,"Summary"}</definedName>
    <definedName name="_foo4" localSheetId="31" hidden="1">{"Summary","1",FALSE,"Summary"}</definedName>
    <definedName name="_foo4" localSheetId="36" hidden="1">{"Summary","1",FALSE,"Summary"}</definedName>
    <definedName name="_foo4" localSheetId="38" hidden="1">{"Summary","1",FALSE,"Summary"}</definedName>
    <definedName name="_foo4" localSheetId="43" hidden="1">{"Summary","1",FALSE,"Summary"}</definedName>
    <definedName name="_foo4" localSheetId="60" hidden="1">{"Summary","1",FALSE,"Summary"}</definedName>
    <definedName name="_foo4" hidden="1">{"Summary","1",FALSE,"Summary"}</definedName>
    <definedName name="_Order1" hidden="1">255</definedName>
    <definedName name="_Order2" hidden="1">255</definedName>
    <definedName name="anscount" hidden="1">3</definedName>
    <definedName name="cf" localSheetId="7">#REF!</definedName>
    <definedName name="cf" localSheetId="13">#REF!</definedName>
    <definedName name="cf" localSheetId="21">#REF!</definedName>
    <definedName name="cf" localSheetId="22">#REF!</definedName>
    <definedName name="cf" localSheetId="30">#REF!</definedName>
    <definedName name="cf" localSheetId="31">#REF!</definedName>
    <definedName name="cf" localSheetId="36">#REF!</definedName>
    <definedName name="cf" localSheetId="37">#REF!</definedName>
    <definedName name="cf" localSheetId="38">#REF!</definedName>
    <definedName name="cf" localSheetId="43">#REF!</definedName>
    <definedName name="cf" localSheetId="60">#REF!</definedName>
    <definedName name="cf">#REF!</definedName>
    <definedName name="ComName">'[1]FormList&amp;FilerInfo'!$B$2</definedName>
    <definedName name="CoName">'[2]FormList&amp;FilerInfo'!$C$3</definedName>
    <definedName name="EarningsModel" localSheetId="7"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1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2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2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4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6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e">[3]recode!$L$2</definedName>
    <definedName name="foo" localSheetId="7"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1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4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6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s">[3]recode!$M$2</definedName>
    <definedName name="g" localSheetId="37">#REF!</definedName>
    <definedName name="g">#REF!</definedName>
    <definedName name="HTML_CodePage" hidden="1">1252</definedName>
    <definedName name="HTML_Control" localSheetId="7" hidden="1">{"'Summary'!$A$1:$J$24"}</definedName>
    <definedName name="HTML_Control" localSheetId="13" hidden="1">{"'Summary'!$A$1:$J$24"}</definedName>
    <definedName name="HTML_Control" localSheetId="21" hidden="1">{"'Summary'!$A$1:$J$24"}</definedName>
    <definedName name="HTML_Control" localSheetId="22" hidden="1">{"'Summary'!$A$1:$J$24"}</definedName>
    <definedName name="HTML_Control" localSheetId="0" hidden="1">{"'Summary'!$A$1:$J$24"}</definedName>
    <definedName name="HTML_Control" localSheetId="30" hidden="1">{"'Summary'!$A$1:$J$24"}</definedName>
    <definedName name="HTML_Control" localSheetId="31" hidden="1">{"'Summary'!$A$1:$J$24"}</definedName>
    <definedName name="HTML_Control" localSheetId="36" hidden="1">{"'Summary'!$A$1:$J$24"}</definedName>
    <definedName name="HTML_Control" localSheetId="38" hidden="1">{"'Summary'!$A$1:$J$24"}</definedName>
    <definedName name="HTML_Control" localSheetId="43" hidden="1">{"'Summary'!$A$1:$J$24"}</definedName>
    <definedName name="HTML_Control" localSheetId="60" hidden="1">{"'Summary'!$A$1:$J$24"}</definedName>
    <definedName name="HTML_Control"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PathFileMac" hidden="1">"Web Site Backup:sitingcases:MyHTML.html"</definedName>
    <definedName name="HTML_Title" hidden="1">"Daily MTM  Report"</definedName>
    <definedName name="Jurisdictions">'[4]Other Lookups'!$B$37:$B$52</definedName>
    <definedName name="limcount" hidden="1">3</definedName>
    <definedName name="LOSSFACTOR">[3]peakmult!$H$3:$I$10</definedName>
    <definedName name="LSE">'[4]Other Lookups'!$F$20:$F$137</definedName>
    <definedName name="LSEENERGYFORTABLES" localSheetId="7">#REF!</definedName>
    <definedName name="LSEENERGYFORTABLES" localSheetId="13">#REF!</definedName>
    <definedName name="LSEENERGYFORTABLES" localSheetId="21">#REF!</definedName>
    <definedName name="LSEENERGYFORTABLES" localSheetId="22">#REF!</definedName>
    <definedName name="LSEENERGYFORTABLES" localSheetId="30">#REF!</definedName>
    <definedName name="LSEENERGYFORTABLES" localSheetId="31">#REF!</definedName>
    <definedName name="LSEENERGYFORTABLES" localSheetId="36">#REF!</definedName>
    <definedName name="LSEENERGYFORTABLES" localSheetId="37">#REF!</definedName>
    <definedName name="LSEENERGYFORTABLES" localSheetId="38">#REF!</definedName>
    <definedName name="LSEENERGYFORTABLES" localSheetId="43">#REF!</definedName>
    <definedName name="LSEENERGYFORTABLES" localSheetId="60">#REF!</definedName>
    <definedName name="LSEENERGYFORTABLES">#REF!</definedName>
    <definedName name="newname" localSheetId="7" hidden="1">{"Summary","1",FALSE,"Summary"}</definedName>
    <definedName name="newname" localSheetId="13" hidden="1">{"Summary","1",FALSE,"Summary"}</definedName>
    <definedName name="newname" localSheetId="21" hidden="1">{"Summary","1",FALSE,"Summary"}</definedName>
    <definedName name="newname" localSheetId="22" hidden="1">{"Summary","1",FALSE,"Summary"}</definedName>
    <definedName name="newname" localSheetId="0" hidden="1">{"Summary","1",FALSE,"Summary"}</definedName>
    <definedName name="newname" localSheetId="30" hidden="1">{"Summary","1",FALSE,"Summary"}</definedName>
    <definedName name="newname" localSheetId="31" hidden="1">{"Summary","1",FALSE,"Summary"}</definedName>
    <definedName name="newname" localSheetId="36" hidden="1">{"Summary","1",FALSE,"Summary"}</definedName>
    <definedName name="newname" localSheetId="38" hidden="1">{"Summary","1",FALSE,"Summary"}</definedName>
    <definedName name="newname" localSheetId="43" hidden="1">{"Summary","1",FALSE,"Summary"}</definedName>
    <definedName name="newname" localSheetId="60" hidden="1">{"Summary","1",FALSE,"Summary"}</definedName>
    <definedName name="newname" hidden="1">{"Summary","1",FALSE,"Summary"}</definedName>
    <definedName name="other">[3]Sheet1!$B$3:$F$7</definedName>
    <definedName name="Point">[5]POR.POD!$A$2:$A$900</definedName>
    <definedName name="Point2">[4]POR.POD!$C$6:$C$902</definedName>
    <definedName name="print" localSheetId="7">#REF!</definedName>
    <definedName name="print" localSheetId="13">#REF!</definedName>
    <definedName name="print" localSheetId="21">#REF!</definedName>
    <definedName name="print" localSheetId="22">#REF!</definedName>
    <definedName name="print" localSheetId="30">#REF!</definedName>
    <definedName name="print" localSheetId="31">#REF!</definedName>
    <definedName name="print" localSheetId="36">#REF!</definedName>
    <definedName name="print" localSheetId="37">#REF!</definedName>
    <definedName name="print" localSheetId="38">#REF!</definedName>
    <definedName name="print" localSheetId="43">#REF!</definedName>
    <definedName name="print" localSheetId="60">#REF!</definedName>
    <definedName name="print">#REF!</definedName>
    <definedName name="Relationship">'[4]Other Lookups'!$D$2:$D$7</definedName>
    <definedName name="RPS" localSheetId="37">#REF!</definedName>
    <definedName name="RPS">#REF!</definedName>
    <definedName name="SCALARS">[6]BApeakTable1in10!$A$93:$D$108</definedName>
    <definedName name="Scenario">[3]recode!$K$2</definedName>
    <definedName name="sencount" hidden="1">1</definedName>
    <definedName name="Wind" localSheetId="7" hidden="1">{#N/A,#N/A,FALSE,"Res - Unadj";#N/A,#N/A,FALSE,"Small L&amp;P";#N/A,#N/A,FALSE,"Medium L&amp;P";#N/A,#N/A,FALSE,"E-19";#N/A,#N/A,FALSE,"E-20";#N/A,#N/A,FALSE,"A-RTP";#N/A,#N/A,FALSE,"Strtlts &amp; Standby";#N/A,#N/A,FALSE,"AG";#N/A,#N/A,FALSE,"2001mixeduse"}</definedName>
    <definedName name="Wind" localSheetId="13" hidden="1">{#N/A,#N/A,FALSE,"Res - Unadj";#N/A,#N/A,FALSE,"Small L&amp;P";#N/A,#N/A,FALSE,"Medium L&amp;P";#N/A,#N/A,FALSE,"E-19";#N/A,#N/A,FALSE,"E-20";#N/A,#N/A,FALSE,"A-RTP";#N/A,#N/A,FALSE,"Strtlts &amp; Standby";#N/A,#N/A,FALSE,"AG";#N/A,#N/A,FALSE,"2001mixeduse"}</definedName>
    <definedName name="Wind" localSheetId="21" hidden="1">{#N/A,#N/A,FALSE,"Res - Unadj";#N/A,#N/A,FALSE,"Small L&amp;P";#N/A,#N/A,FALSE,"Medium L&amp;P";#N/A,#N/A,FALSE,"E-19";#N/A,#N/A,FALSE,"E-20";#N/A,#N/A,FALSE,"A-RTP";#N/A,#N/A,FALSE,"Strtlts &amp; Standby";#N/A,#N/A,FALSE,"AG";#N/A,#N/A,FALSE,"2001mixeduse"}</definedName>
    <definedName name="Wind" localSheetId="22" hidden="1">{#N/A,#N/A,FALSE,"Res - Unadj";#N/A,#N/A,FALSE,"Small L&amp;P";#N/A,#N/A,FALSE,"Medium L&amp;P";#N/A,#N/A,FALSE,"E-19";#N/A,#N/A,FALSE,"E-20";#N/A,#N/A,FALSE,"A-RTP";#N/A,#N/A,FALSE,"Strtlts &amp; Standby";#N/A,#N/A,FALSE,"AG";#N/A,#N/A,FALSE,"2001mixeduse"}</definedName>
    <definedName name="Wind" localSheetId="0" hidden="1">{#N/A,#N/A,FALSE,"Res - Unadj";#N/A,#N/A,FALSE,"Small L&amp;P";#N/A,#N/A,FALSE,"Medium L&amp;P";#N/A,#N/A,FALSE,"E-19";#N/A,#N/A,FALSE,"E-20";#N/A,#N/A,FALSE,"A-RTP";#N/A,#N/A,FALSE,"Strtlts &amp; Standby";#N/A,#N/A,FALSE,"AG";#N/A,#N/A,FALSE,"2001mixeduse"}</definedName>
    <definedName name="Wind" localSheetId="30" hidden="1">{#N/A,#N/A,FALSE,"Res - Unadj";#N/A,#N/A,FALSE,"Small L&amp;P";#N/A,#N/A,FALSE,"Medium L&amp;P";#N/A,#N/A,FALSE,"E-19";#N/A,#N/A,FALSE,"E-20";#N/A,#N/A,FALSE,"A-RTP";#N/A,#N/A,FALSE,"Strtlts &amp; Standby";#N/A,#N/A,FALSE,"AG";#N/A,#N/A,FALSE,"2001mixeduse"}</definedName>
    <definedName name="Wind" localSheetId="31" hidden="1">{#N/A,#N/A,FALSE,"Res - Unadj";#N/A,#N/A,FALSE,"Small L&amp;P";#N/A,#N/A,FALSE,"Medium L&amp;P";#N/A,#N/A,FALSE,"E-19";#N/A,#N/A,FALSE,"E-20";#N/A,#N/A,FALSE,"A-RTP";#N/A,#N/A,FALSE,"Strtlts &amp; Standby";#N/A,#N/A,FALSE,"AG";#N/A,#N/A,FALSE,"2001mixeduse"}</definedName>
    <definedName name="Wind" localSheetId="36" hidden="1">{#N/A,#N/A,FALSE,"Res - Unadj";#N/A,#N/A,FALSE,"Small L&amp;P";#N/A,#N/A,FALSE,"Medium L&amp;P";#N/A,#N/A,FALSE,"E-19";#N/A,#N/A,FALSE,"E-20";#N/A,#N/A,FALSE,"A-RTP";#N/A,#N/A,FALSE,"Strtlts &amp; Standby";#N/A,#N/A,FALSE,"AG";#N/A,#N/A,FALSE,"2001mixeduse"}</definedName>
    <definedName name="Wind" localSheetId="38" hidden="1">{#N/A,#N/A,FALSE,"Res - Unadj";#N/A,#N/A,FALSE,"Small L&amp;P";#N/A,#N/A,FALSE,"Medium L&amp;P";#N/A,#N/A,FALSE,"E-19";#N/A,#N/A,FALSE,"E-20";#N/A,#N/A,FALSE,"A-RTP";#N/A,#N/A,FALSE,"Strtlts &amp; Standby";#N/A,#N/A,FALSE,"AG";#N/A,#N/A,FALSE,"2001mixeduse"}</definedName>
    <definedName name="Wind" localSheetId="43" hidden="1">{#N/A,#N/A,FALSE,"Res - Unadj";#N/A,#N/A,FALSE,"Small L&amp;P";#N/A,#N/A,FALSE,"Medium L&amp;P";#N/A,#N/A,FALSE,"E-19";#N/A,#N/A,FALSE,"E-20";#N/A,#N/A,FALSE,"A-RTP";#N/A,#N/A,FALSE,"Strtlts &amp; Standby";#N/A,#N/A,FALSE,"AG";#N/A,#N/A,FALSE,"2001mixeduse"}</definedName>
    <definedName name="Wind" localSheetId="60" hidden="1">{#N/A,#N/A,FALSE,"Res - Unadj";#N/A,#N/A,FALSE,"Small L&amp;P";#N/A,#N/A,FALSE,"Medium L&amp;P";#N/A,#N/A,FALSE,"E-19";#N/A,#N/A,FALSE,"E-20";#N/A,#N/A,FALSE,"A-RTP";#N/A,#N/A,FALSE,"Strtlts &amp; Standby";#N/A,#N/A,FALSE,"AG";#N/A,#N/A,FALSE,"2001mixeduse"}</definedName>
    <definedName name="Wind" hidden="1">{#N/A,#N/A,FALSE,"Res - Unadj";#N/A,#N/A,FALSE,"Small L&amp;P";#N/A,#N/A,FALSE,"Medium L&amp;P";#N/A,#N/A,FALSE,"E-19";#N/A,#N/A,FALSE,"E-20";#N/A,#N/A,FALSE,"A-RTP";#N/A,#N/A,FALSE,"Strtlts &amp; Standby";#N/A,#N/A,FALSE,"AG";#N/A,#N/A,FALSE,"2001mixeduse"}</definedName>
    <definedName name="wrn.Print._.1_8." localSheetId="7"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1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4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6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7"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1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4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6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7"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1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6"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4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6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schedules." localSheetId="7" hidden="1">{#N/A,#N/A,FALSE,"Res - Unadj";#N/A,#N/A,FALSE,"Small L&amp;P";#N/A,#N/A,FALSE,"Medium L&amp;P";#N/A,#N/A,FALSE,"E-19";#N/A,#N/A,FALSE,"E-20";#N/A,#N/A,FALSE,"A-RTP";#N/A,#N/A,FALSE,"Strtlts &amp; Standby";#N/A,#N/A,FALSE,"AG";#N/A,#N/A,FALSE,"2001mixeduse"}</definedName>
    <definedName name="wrn.schedules." localSheetId="13" hidden="1">{#N/A,#N/A,FALSE,"Res - Unadj";#N/A,#N/A,FALSE,"Small L&amp;P";#N/A,#N/A,FALSE,"Medium L&amp;P";#N/A,#N/A,FALSE,"E-19";#N/A,#N/A,FALSE,"E-20";#N/A,#N/A,FALSE,"A-RTP";#N/A,#N/A,FALSE,"Strtlts &amp; Standby";#N/A,#N/A,FALSE,"AG";#N/A,#N/A,FALSE,"2001mixeduse"}</definedName>
    <definedName name="wrn.schedules." localSheetId="21" hidden="1">{#N/A,#N/A,FALSE,"Res - Unadj";#N/A,#N/A,FALSE,"Small L&amp;P";#N/A,#N/A,FALSE,"Medium L&amp;P";#N/A,#N/A,FALSE,"E-19";#N/A,#N/A,FALSE,"E-20";#N/A,#N/A,FALSE,"A-RTP";#N/A,#N/A,FALSE,"Strtlts &amp; Standby";#N/A,#N/A,FALSE,"AG";#N/A,#N/A,FALSE,"2001mixeduse"}</definedName>
    <definedName name="wrn.schedules." localSheetId="22" hidden="1">{#N/A,#N/A,FALSE,"Res - Unadj";#N/A,#N/A,FALSE,"Small L&amp;P";#N/A,#N/A,FALSE,"Medium L&amp;P";#N/A,#N/A,FALSE,"E-19";#N/A,#N/A,FALSE,"E-20";#N/A,#N/A,FALSE,"A-RTP";#N/A,#N/A,FALSE,"Strtlts &amp; Standby";#N/A,#N/A,FALSE,"AG";#N/A,#N/A,FALSE,"2001mixeduse"}</definedName>
    <definedName name="wrn.schedules." localSheetId="0" hidden="1">{#N/A,#N/A,FALSE,"Res - Unadj";#N/A,#N/A,FALSE,"Small L&amp;P";#N/A,#N/A,FALSE,"Medium L&amp;P";#N/A,#N/A,FALSE,"E-19";#N/A,#N/A,FALSE,"E-20";#N/A,#N/A,FALSE,"A-RTP";#N/A,#N/A,FALSE,"Strtlts &amp; Standby";#N/A,#N/A,FALSE,"AG";#N/A,#N/A,FALSE,"2001mixeduse"}</definedName>
    <definedName name="wrn.schedules." localSheetId="30" hidden="1">{#N/A,#N/A,FALSE,"Res - Unadj";#N/A,#N/A,FALSE,"Small L&amp;P";#N/A,#N/A,FALSE,"Medium L&amp;P";#N/A,#N/A,FALSE,"E-19";#N/A,#N/A,FALSE,"E-20";#N/A,#N/A,FALSE,"A-RTP";#N/A,#N/A,FALSE,"Strtlts &amp; Standby";#N/A,#N/A,FALSE,"AG";#N/A,#N/A,FALSE,"2001mixeduse"}</definedName>
    <definedName name="wrn.schedules." localSheetId="31" hidden="1">{#N/A,#N/A,FALSE,"Res - Unadj";#N/A,#N/A,FALSE,"Small L&amp;P";#N/A,#N/A,FALSE,"Medium L&amp;P";#N/A,#N/A,FALSE,"E-19";#N/A,#N/A,FALSE,"E-20";#N/A,#N/A,FALSE,"A-RTP";#N/A,#N/A,FALSE,"Strtlts &amp; Standby";#N/A,#N/A,FALSE,"AG";#N/A,#N/A,FALSE,"2001mixeduse"}</definedName>
    <definedName name="wrn.schedules." localSheetId="36" hidden="1">{#N/A,#N/A,FALSE,"Res - Unadj";#N/A,#N/A,FALSE,"Small L&amp;P";#N/A,#N/A,FALSE,"Medium L&amp;P";#N/A,#N/A,FALSE,"E-19";#N/A,#N/A,FALSE,"E-20";#N/A,#N/A,FALSE,"A-RTP";#N/A,#N/A,FALSE,"Strtlts &amp; Standby";#N/A,#N/A,FALSE,"AG";#N/A,#N/A,FALSE,"2001mixeduse"}</definedName>
    <definedName name="wrn.schedules." localSheetId="38" hidden="1">{#N/A,#N/A,FALSE,"Res - Unadj";#N/A,#N/A,FALSE,"Small L&amp;P";#N/A,#N/A,FALSE,"Medium L&amp;P";#N/A,#N/A,FALSE,"E-19";#N/A,#N/A,FALSE,"E-20";#N/A,#N/A,FALSE,"A-RTP";#N/A,#N/A,FALSE,"Strtlts &amp; Standby";#N/A,#N/A,FALSE,"AG";#N/A,#N/A,FALSE,"2001mixeduse"}</definedName>
    <definedName name="wrn.schedules." localSheetId="43" hidden="1">{#N/A,#N/A,FALSE,"Res - Unadj";#N/A,#N/A,FALSE,"Small L&amp;P";#N/A,#N/A,FALSE,"Medium L&amp;P";#N/A,#N/A,FALSE,"E-19";#N/A,#N/A,FALSE,"E-20";#N/A,#N/A,FALSE,"A-RTP";#N/A,#N/A,FALSE,"Strtlts &amp; Standby";#N/A,#N/A,FALSE,"AG";#N/A,#N/A,FALSE,"2001mixeduse"}</definedName>
    <definedName name="wrn.schedules." localSheetId="60"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7" hidden="1">{"Summary","1",FALSE,"Summary"}</definedName>
    <definedName name="wrn.sum1." localSheetId="13" hidden="1">{"Summary","1",FALSE,"Summary"}</definedName>
    <definedName name="wrn.sum1." localSheetId="21" hidden="1">{"Summary","1",FALSE,"Summary"}</definedName>
    <definedName name="wrn.sum1." localSheetId="22" hidden="1">{"Summary","1",FALSE,"Summary"}</definedName>
    <definedName name="wrn.sum1." localSheetId="0" hidden="1">{"Summary","1",FALSE,"Summary"}</definedName>
    <definedName name="wrn.sum1." localSheetId="30" hidden="1">{"Summary","1",FALSE,"Summary"}</definedName>
    <definedName name="wrn.sum1." localSheetId="31" hidden="1">{"Summary","1",FALSE,"Summary"}</definedName>
    <definedName name="wrn.sum1." localSheetId="36" hidden="1">{"Summary","1",FALSE,"Summary"}</definedName>
    <definedName name="wrn.sum1." localSheetId="38" hidden="1">{"Summary","1",FALSE,"Summary"}</definedName>
    <definedName name="wrn.sum1." localSheetId="43" hidden="1">{"Summary","1",FALSE,"Summary"}</definedName>
    <definedName name="wrn.sum1." localSheetId="60" hidden="1">{"Summary","1",FALSE,"Summary"}</definedName>
    <definedName name="wrn.sum1." hidden="1">{"Summary","1",FALSE,"Summary"}</definedName>
    <definedName name="wrn.Waterfall." localSheetId="7" hidden="1">{"Basedata_Print",#N/A,TRUE,"Basedata";#N/A,#N/A,TRUE,"Case A";#N/A,#N/A,TRUE,"Case B";#N/A,#N/A,TRUE,"Case A1";#N/A,#N/A,TRUE,"Net Margin";#N/A,#N/A,TRUE,"Description of Cases"}</definedName>
    <definedName name="wrn.Waterfall." localSheetId="13" hidden="1">{"Basedata_Print",#N/A,TRUE,"Basedata";#N/A,#N/A,TRUE,"Case A";#N/A,#N/A,TRUE,"Case B";#N/A,#N/A,TRUE,"Case A1";#N/A,#N/A,TRUE,"Net Margin";#N/A,#N/A,TRUE,"Description of Cases"}</definedName>
    <definedName name="wrn.Waterfall." localSheetId="21" hidden="1">{"Basedata_Print",#N/A,TRUE,"Basedata";#N/A,#N/A,TRUE,"Case A";#N/A,#N/A,TRUE,"Case B";#N/A,#N/A,TRUE,"Case A1";#N/A,#N/A,TRUE,"Net Margin";#N/A,#N/A,TRUE,"Description of Cases"}</definedName>
    <definedName name="wrn.Waterfall." localSheetId="22" hidden="1">{"Basedata_Print",#N/A,TRUE,"Basedata";#N/A,#N/A,TRUE,"Case A";#N/A,#N/A,TRUE,"Case B";#N/A,#N/A,TRUE,"Case A1";#N/A,#N/A,TRUE,"Net Margin";#N/A,#N/A,TRUE,"Description of Cases"}</definedName>
    <definedName name="wrn.Waterfall." localSheetId="0" hidden="1">{"Basedata_Print",#N/A,TRUE,"Basedata";#N/A,#N/A,TRUE,"Case A";#N/A,#N/A,TRUE,"Case B";#N/A,#N/A,TRUE,"Case A1";#N/A,#N/A,TRUE,"Net Margin";#N/A,#N/A,TRUE,"Description of Cases"}</definedName>
    <definedName name="wrn.Waterfall." localSheetId="30" hidden="1">{"Basedata_Print",#N/A,TRUE,"Basedata";#N/A,#N/A,TRUE,"Case A";#N/A,#N/A,TRUE,"Case B";#N/A,#N/A,TRUE,"Case A1";#N/A,#N/A,TRUE,"Net Margin";#N/A,#N/A,TRUE,"Description of Cases"}</definedName>
    <definedName name="wrn.Waterfall." localSheetId="31" hidden="1">{"Basedata_Print",#N/A,TRUE,"Basedata";#N/A,#N/A,TRUE,"Case A";#N/A,#N/A,TRUE,"Case B";#N/A,#N/A,TRUE,"Case A1";#N/A,#N/A,TRUE,"Net Margin";#N/A,#N/A,TRUE,"Description of Cases"}</definedName>
    <definedName name="wrn.Waterfall." localSheetId="36" hidden="1">{"Basedata_Print",#N/A,TRUE,"Basedata";#N/A,#N/A,TRUE,"Case A";#N/A,#N/A,TRUE,"Case B";#N/A,#N/A,TRUE,"Case A1";#N/A,#N/A,TRUE,"Net Margin";#N/A,#N/A,TRUE,"Description of Cases"}</definedName>
    <definedName name="wrn.Waterfall." localSheetId="38" hidden="1">{"Basedata_Print",#N/A,TRUE,"Basedata";#N/A,#N/A,TRUE,"Case A";#N/A,#N/A,TRUE,"Case B";#N/A,#N/A,TRUE,"Case A1";#N/A,#N/A,TRUE,"Net Margin";#N/A,#N/A,TRUE,"Description of Cases"}</definedName>
    <definedName name="wrn.Waterfall." localSheetId="43" hidden="1">{"Basedata_Print",#N/A,TRUE,"Basedata";#N/A,#N/A,TRUE,"Case A";#N/A,#N/A,TRUE,"Case B";#N/A,#N/A,TRUE,"Case A1";#N/A,#N/A,TRUE,"Net Margin";#N/A,#N/A,TRUE,"Description of Cases"}</definedName>
    <definedName name="wrn.Waterfall." localSheetId="60" hidden="1">{"Basedata_Print",#N/A,TRUE,"Basedata";#N/A,#N/A,TRUE,"Case A";#N/A,#N/A,TRUE,"Case B";#N/A,#N/A,TRUE,"Case A1";#N/A,#N/A,TRUE,"Net Margin";#N/A,#N/A,TRUE,"Description of Cases"}</definedName>
    <definedName name="wrn.Waterfall." hidden="1">{"Basedata_Print",#N/A,TRUE,"Basedata";#N/A,#N/A,TRUE,"Case A";#N/A,#N/A,TRUE,"Case B";#N/A,#N/A,TRUE,"Case A1";#N/A,#N/A,TRUE,"Net Margin";#N/A,#N/A,TRUE,"Description of Cases"}</definedName>
    <definedName name="wrn.workpapers." localSheetId="7" hidden="1">{#N/A,#N/A,FALSE,"Inputs And Assumptions";#N/A,#N/A,FALSE,"Revenue Allocation";#N/A,#N/A,FALSE,"RSP Surch Allocations";#N/A,#N/A,FALSE,"Generation Calculations";#N/A,#N/A,FALSE,"Test Year 2001 Sales and Revs."}</definedName>
    <definedName name="wrn.workpapers." localSheetId="13" hidden="1">{#N/A,#N/A,FALSE,"Inputs And Assumptions";#N/A,#N/A,FALSE,"Revenue Allocation";#N/A,#N/A,FALSE,"RSP Surch Allocations";#N/A,#N/A,FALSE,"Generation Calculations";#N/A,#N/A,FALSE,"Test Year 2001 Sales and Revs."}</definedName>
    <definedName name="wrn.workpapers." localSheetId="21" hidden="1">{#N/A,#N/A,FALSE,"Inputs And Assumptions";#N/A,#N/A,FALSE,"Revenue Allocation";#N/A,#N/A,FALSE,"RSP Surch Allocations";#N/A,#N/A,FALSE,"Generation Calculations";#N/A,#N/A,FALSE,"Test Year 2001 Sales and Revs."}</definedName>
    <definedName name="wrn.workpapers." localSheetId="22" hidden="1">{#N/A,#N/A,FALSE,"Inputs And Assumptions";#N/A,#N/A,FALSE,"Revenue Allocation";#N/A,#N/A,FALSE,"RSP Surch Allocations";#N/A,#N/A,FALSE,"Generation Calculations";#N/A,#N/A,FALSE,"Test Year 2001 Sales and Revs."}</definedName>
    <definedName name="wrn.workpapers." localSheetId="0" hidden="1">{#N/A,#N/A,FALSE,"Inputs And Assumptions";#N/A,#N/A,FALSE,"Revenue Allocation";#N/A,#N/A,FALSE,"RSP Surch Allocations";#N/A,#N/A,FALSE,"Generation Calculations";#N/A,#N/A,FALSE,"Test Year 2001 Sales and Revs."}</definedName>
    <definedName name="wrn.workpapers." localSheetId="30" hidden="1">{#N/A,#N/A,FALSE,"Inputs And Assumptions";#N/A,#N/A,FALSE,"Revenue Allocation";#N/A,#N/A,FALSE,"RSP Surch Allocations";#N/A,#N/A,FALSE,"Generation Calculations";#N/A,#N/A,FALSE,"Test Year 2001 Sales and Revs."}</definedName>
    <definedName name="wrn.workpapers." localSheetId="31" hidden="1">{#N/A,#N/A,FALSE,"Inputs And Assumptions";#N/A,#N/A,FALSE,"Revenue Allocation";#N/A,#N/A,FALSE,"RSP Surch Allocations";#N/A,#N/A,FALSE,"Generation Calculations";#N/A,#N/A,FALSE,"Test Year 2001 Sales and Revs."}</definedName>
    <definedName name="wrn.workpapers." localSheetId="36" hidden="1">{#N/A,#N/A,FALSE,"Inputs And Assumptions";#N/A,#N/A,FALSE,"Revenue Allocation";#N/A,#N/A,FALSE,"RSP Surch Allocations";#N/A,#N/A,FALSE,"Generation Calculations";#N/A,#N/A,FALSE,"Test Year 2001 Sales and Revs."}</definedName>
    <definedName name="wrn.workpapers." localSheetId="38" hidden="1">{#N/A,#N/A,FALSE,"Inputs And Assumptions";#N/A,#N/A,FALSE,"Revenue Allocation";#N/A,#N/A,FALSE,"RSP Surch Allocations";#N/A,#N/A,FALSE,"Generation Calculations";#N/A,#N/A,FALSE,"Test Year 2001 Sales and Revs."}</definedName>
    <definedName name="wrn.workpapers." localSheetId="43" hidden="1">{#N/A,#N/A,FALSE,"Inputs And Assumptions";#N/A,#N/A,FALSE,"Revenue Allocation";#N/A,#N/A,FALSE,"RSP Surch Allocations";#N/A,#N/A,FALSE,"Generation Calculations";#N/A,#N/A,FALSE,"Test Year 2001 Sales and Revs."}</definedName>
    <definedName name="wrn.workpapers." localSheetId="60" hidden="1">{#N/A,#N/A,FALSE,"Inputs And Assumptions";#N/A,#N/A,FALSE,"Revenue Allocation";#N/A,#N/A,FALSE,"RSP Surch Allocations";#N/A,#N/A,FALSE,"Generation Calculations";#N/A,#N/A,FALSE,"Test Year 2001 Sales and Revs."}</definedName>
    <definedName name="wrn.workpapers." hidden="1">{#N/A,#N/A,FALSE,"Inputs And Assumptions";#N/A,#N/A,FALSE,"Revenue Allocation";#N/A,#N/A,FALSE,"RSP Surch Allocations";#N/A,#N/A,FALSE,"Generation Calculations";#N/A,#N/A,FALSE,"Test Year 2001 Sales and Revs."}</definedName>
    <definedName name="wrn2.waterfall" localSheetId="7" hidden="1">{"Basedata_Print",#N/A,TRUE,"Basedata";#N/A,#N/A,TRUE,"Case A";#N/A,#N/A,TRUE,"Case B";#N/A,#N/A,TRUE,"Case A1";#N/A,#N/A,TRUE,"Net Margin";#N/A,#N/A,TRUE,"Description of Cases"}</definedName>
    <definedName name="wrn2.waterfall" localSheetId="13" hidden="1">{"Basedata_Print",#N/A,TRUE,"Basedata";#N/A,#N/A,TRUE,"Case A";#N/A,#N/A,TRUE,"Case B";#N/A,#N/A,TRUE,"Case A1";#N/A,#N/A,TRUE,"Net Margin";#N/A,#N/A,TRUE,"Description of Cases"}</definedName>
    <definedName name="wrn2.waterfall" localSheetId="21" hidden="1">{"Basedata_Print",#N/A,TRUE,"Basedata";#N/A,#N/A,TRUE,"Case A";#N/A,#N/A,TRUE,"Case B";#N/A,#N/A,TRUE,"Case A1";#N/A,#N/A,TRUE,"Net Margin";#N/A,#N/A,TRUE,"Description of Cases"}</definedName>
    <definedName name="wrn2.waterfall" localSheetId="22" hidden="1">{"Basedata_Print",#N/A,TRUE,"Basedata";#N/A,#N/A,TRUE,"Case A";#N/A,#N/A,TRUE,"Case B";#N/A,#N/A,TRUE,"Case A1";#N/A,#N/A,TRUE,"Net Margin";#N/A,#N/A,TRUE,"Description of Cases"}</definedName>
    <definedName name="wrn2.waterfall" localSheetId="0" hidden="1">{"Basedata_Print",#N/A,TRUE,"Basedata";#N/A,#N/A,TRUE,"Case A";#N/A,#N/A,TRUE,"Case B";#N/A,#N/A,TRUE,"Case A1";#N/A,#N/A,TRUE,"Net Margin";#N/A,#N/A,TRUE,"Description of Cases"}</definedName>
    <definedName name="wrn2.waterfall" localSheetId="30" hidden="1">{"Basedata_Print",#N/A,TRUE,"Basedata";#N/A,#N/A,TRUE,"Case A";#N/A,#N/A,TRUE,"Case B";#N/A,#N/A,TRUE,"Case A1";#N/A,#N/A,TRUE,"Net Margin";#N/A,#N/A,TRUE,"Description of Cases"}</definedName>
    <definedName name="wrn2.waterfall" localSheetId="31" hidden="1">{"Basedata_Print",#N/A,TRUE,"Basedata";#N/A,#N/A,TRUE,"Case A";#N/A,#N/A,TRUE,"Case B";#N/A,#N/A,TRUE,"Case A1";#N/A,#N/A,TRUE,"Net Margin";#N/A,#N/A,TRUE,"Description of Cases"}</definedName>
    <definedName name="wrn2.waterfall" localSheetId="36" hidden="1">{"Basedata_Print",#N/A,TRUE,"Basedata";#N/A,#N/A,TRUE,"Case A";#N/A,#N/A,TRUE,"Case B";#N/A,#N/A,TRUE,"Case A1";#N/A,#N/A,TRUE,"Net Margin";#N/A,#N/A,TRUE,"Description of Cases"}</definedName>
    <definedName name="wrn2.waterfall" localSheetId="38" hidden="1">{"Basedata_Print",#N/A,TRUE,"Basedata";#N/A,#N/A,TRUE,"Case A";#N/A,#N/A,TRUE,"Case B";#N/A,#N/A,TRUE,"Case A1";#N/A,#N/A,TRUE,"Net Margin";#N/A,#N/A,TRUE,"Description of Cases"}</definedName>
    <definedName name="wrn2.waterfall" localSheetId="43" hidden="1">{"Basedata_Print",#N/A,TRUE,"Basedata";#N/A,#N/A,TRUE,"Case A";#N/A,#N/A,TRUE,"Case B";#N/A,#N/A,TRUE,"Case A1";#N/A,#N/A,TRUE,"Net Margin";#N/A,#N/A,TRUE,"Description of Cases"}</definedName>
    <definedName name="wrn2.waterfall" localSheetId="60" hidden="1">{"Basedata_Print",#N/A,TRUE,"Basedata";#N/A,#N/A,TRUE,"Case A";#N/A,#N/A,TRUE,"Case B";#N/A,#N/A,TRUE,"Case A1";#N/A,#N/A,TRUE,"Net Margin";#N/A,#N/A,TRUE,"Description of Cases"}</definedName>
    <definedName name="wrn2.waterfall" hidden="1">{"Basedata_Print",#N/A,TRUE,"Basedata";#N/A,#N/A,TRUE,"Case A";#N/A,#N/A,TRUE,"Case B";#N/A,#N/A,TRUE,"Case A1";#N/A,#N/A,TRUE,"Net Margin";#N/A,#N/A,TRUE,"Description of Cases"}</definedName>
    <definedName name="xx" localSheetId="7">#REF!</definedName>
    <definedName name="xx" localSheetId="13">#REF!</definedName>
    <definedName name="xx" localSheetId="21">#REF!</definedName>
    <definedName name="xx" localSheetId="22">#REF!</definedName>
    <definedName name="xx" localSheetId="30">#REF!</definedName>
    <definedName name="xx" localSheetId="31">#REF!</definedName>
    <definedName name="xx" localSheetId="36">#REF!</definedName>
    <definedName name="xx" localSheetId="37">#REF!</definedName>
    <definedName name="xx" localSheetId="38">#REF!</definedName>
    <definedName name="xx" localSheetId="43">#REF!</definedName>
    <definedName name="xx" localSheetId="60">#REF!</definedName>
    <definedName name="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417" l="1"/>
  <c r="E8" i="417"/>
  <c r="D8" i="417"/>
  <c r="C8" i="417"/>
  <c r="B8" i="417"/>
  <c r="E6" i="417"/>
  <c r="D6" i="417"/>
  <c r="C6" i="417"/>
  <c r="B6" i="417"/>
  <c r="B7" i="409" l="1"/>
  <c r="C5" i="483"/>
  <c r="D5" i="483"/>
  <c r="E5" i="483"/>
  <c r="B5" i="483"/>
  <c r="B5" i="396"/>
  <c r="E7" i="400" l="1"/>
  <c r="D7" i="400"/>
  <c r="C7" i="400"/>
  <c r="B7" i="400"/>
  <c r="B11" i="378" l="1"/>
  <c r="E7" i="463" l="1"/>
  <c r="E9" i="463"/>
  <c r="D7" i="463"/>
  <c r="D9" i="463"/>
  <c r="C7" i="463"/>
  <c r="C9" i="463"/>
  <c r="J7" i="463" l="1"/>
  <c r="I7" i="463"/>
  <c r="L7" i="463"/>
  <c r="K7" i="463"/>
  <c r="E21" i="466" l="1"/>
  <c r="D21" i="466"/>
  <c r="C21" i="466"/>
  <c r="J21" i="466" s="1"/>
  <c r="E22" i="466"/>
  <c r="D22" i="466"/>
  <c r="C22" i="466"/>
  <c r="E3" i="466"/>
  <c r="E4" i="466"/>
  <c r="D3" i="466"/>
  <c r="D4" i="466"/>
  <c r="C3" i="466"/>
  <c r="K3" i="466" s="1"/>
  <c r="C4" i="466"/>
  <c r="I21" i="466" l="1"/>
  <c r="L21" i="466"/>
  <c r="K21" i="466"/>
  <c r="I4" i="466"/>
  <c r="L3" i="466"/>
  <c r="I3" i="466"/>
  <c r="J3" i="466"/>
  <c r="B5" i="395"/>
  <c r="B5" i="376" l="1"/>
  <c r="C8" i="404" l="1"/>
  <c r="D8" i="404"/>
  <c r="E8" i="404"/>
  <c r="B8" i="404"/>
  <c r="C4" i="404"/>
  <c r="D4" i="404"/>
  <c r="E4" i="404"/>
  <c r="B4" i="404"/>
  <c r="C3" i="404"/>
  <c r="D3" i="404"/>
  <c r="E3" i="404"/>
  <c r="B3" i="404"/>
  <c r="D53" i="473"/>
  <c r="E53" i="473"/>
  <c r="F53" i="473"/>
  <c r="C53" i="473"/>
  <c r="H8" i="484"/>
  <c r="H8" i="410"/>
  <c r="C4" i="484" l="1"/>
  <c r="D4" i="484"/>
  <c r="E4" i="484"/>
  <c r="B4" i="484"/>
  <c r="H5" i="484" l="1"/>
  <c r="H4" i="484"/>
  <c r="E5" i="484"/>
  <c r="D5" i="484"/>
  <c r="C5" i="484"/>
  <c r="B5" i="484"/>
  <c r="H8" i="483"/>
  <c r="C3" i="483" s="1"/>
  <c r="D3" i="483" s="1"/>
  <c r="E3" i="483" s="1"/>
  <c r="H8" i="396"/>
  <c r="B11" i="484" l="1"/>
  <c r="B12" i="484" s="1"/>
  <c r="C11" i="484"/>
  <c r="C12" i="484" s="1"/>
  <c r="B10" i="484"/>
  <c r="D10" i="484"/>
  <c r="D11" i="484" s="1"/>
  <c r="D12" i="484" s="1"/>
  <c r="C10" i="484"/>
  <c r="E10" i="484"/>
  <c r="E11" i="484" s="1"/>
  <c r="E12" i="484" s="1"/>
  <c r="E14" i="484" l="1"/>
  <c r="E15" i="484" s="1"/>
  <c r="E16" i="484" s="1"/>
  <c r="C14" i="484"/>
  <c r="C15" i="484" s="1"/>
  <c r="C16" i="484" s="1"/>
  <c r="D14" i="484"/>
  <c r="D15" i="484" s="1"/>
  <c r="D16" i="484" s="1"/>
  <c r="B14" i="484"/>
  <c r="B15" i="484" s="1"/>
  <c r="B16" i="484" s="1"/>
  <c r="H5" i="483" l="1"/>
  <c r="H4" i="483"/>
  <c r="C10" i="483"/>
  <c r="B10" i="483" l="1"/>
  <c r="B11" i="483" s="1"/>
  <c r="B12" i="483" s="1"/>
  <c r="D10" i="483"/>
  <c r="D11" i="483" s="1"/>
  <c r="D12" i="483" s="1"/>
  <c r="C11" i="483"/>
  <c r="C12" i="483" s="1"/>
  <c r="E10" i="483"/>
  <c r="E11" i="483" l="1"/>
  <c r="E12" i="483" s="1"/>
  <c r="E14" i="483" s="1"/>
  <c r="E15" i="483" s="1"/>
  <c r="E16" i="483" s="1"/>
  <c r="F35" i="473" s="1"/>
  <c r="C14" i="483"/>
  <c r="C15" i="483" s="1"/>
  <c r="C16" i="483" s="1"/>
  <c r="D35" i="473" s="1"/>
  <c r="D14" i="483"/>
  <c r="D15" i="483" s="1"/>
  <c r="D16" i="483" s="1"/>
  <c r="E35" i="473" s="1"/>
  <c r="B14" i="483"/>
  <c r="B15" i="483" s="1"/>
  <c r="B16" i="483" s="1"/>
  <c r="C35" i="473" s="1"/>
  <c r="F2" i="473" l="1"/>
  <c r="C4" i="381" l="1"/>
  <c r="C5" i="381" s="1"/>
  <c r="D4" i="381"/>
  <c r="D5" i="381" s="1"/>
  <c r="E4" i="381"/>
  <c r="E5" i="381" s="1"/>
  <c r="B4" i="381"/>
  <c r="B5" i="381" s="1"/>
  <c r="C5" i="414"/>
  <c r="D5" i="414"/>
  <c r="E5" i="414"/>
  <c r="B5" i="414"/>
  <c r="C5" i="376"/>
  <c r="D5" i="376"/>
  <c r="E5" i="376"/>
  <c r="C5" i="369"/>
  <c r="D5" i="369"/>
  <c r="E5" i="369"/>
  <c r="B5" i="369"/>
  <c r="C5" i="363"/>
  <c r="D5" i="363"/>
  <c r="E5" i="363"/>
  <c r="B5" i="363"/>
  <c r="C8" i="411" l="1"/>
  <c r="B7" i="411"/>
  <c r="C7" i="411" s="1"/>
  <c r="B8" i="411"/>
  <c r="S150" i="478" l="1"/>
  <c r="E16" i="466"/>
  <c r="E15" i="466"/>
  <c r="E14" i="466"/>
  <c r="E13" i="466"/>
  <c r="E12" i="466"/>
  <c r="E11" i="466"/>
  <c r="E10" i="466"/>
  <c r="E9" i="466"/>
  <c r="E8" i="466"/>
  <c r="E7" i="466"/>
  <c r="E6" i="466"/>
  <c r="D34" i="466"/>
  <c r="D16" i="466"/>
  <c r="C34" i="466"/>
  <c r="E34" i="466"/>
  <c r="E33" i="466"/>
  <c r="D33" i="466"/>
  <c r="E32" i="466"/>
  <c r="D32" i="466"/>
  <c r="E31" i="466"/>
  <c r="D31" i="466"/>
  <c r="E30" i="466"/>
  <c r="E29" i="466"/>
  <c r="D29" i="466"/>
  <c r="E28" i="466"/>
  <c r="D28" i="466"/>
  <c r="E27" i="466"/>
  <c r="D27" i="466"/>
  <c r="E26" i="466"/>
  <c r="D26" i="466"/>
  <c r="E25" i="466"/>
  <c r="D25" i="466"/>
  <c r="E24" i="466"/>
  <c r="D24" i="466"/>
  <c r="E19" i="463"/>
  <c r="D19" i="463"/>
  <c r="E18" i="463"/>
  <c r="D18" i="463"/>
  <c r="E17" i="463"/>
  <c r="D17" i="463"/>
  <c r="E16" i="463"/>
  <c r="D16" i="463"/>
  <c r="E15" i="463"/>
  <c r="D15" i="463"/>
  <c r="E14" i="463"/>
  <c r="D14" i="463"/>
  <c r="E13" i="463"/>
  <c r="D13" i="463"/>
  <c r="E12" i="463"/>
  <c r="D12" i="463"/>
  <c r="E11" i="463"/>
  <c r="D11" i="463"/>
  <c r="E10" i="463"/>
  <c r="D10" i="463"/>
  <c r="E8" i="463"/>
  <c r="D8" i="463"/>
  <c r="R3" i="478"/>
  <c r="S3" i="478"/>
  <c r="T3" i="478"/>
  <c r="R4" i="478"/>
  <c r="S4" i="478"/>
  <c r="T4" i="478"/>
  <c r="R5" i="478"/>
  <c r="S5" i="478"/>
  <c r="T5" i="478"/>
  <c r="R6" i="478"/>
  <c r="S6" i="478"/>
  <c r="T6" i="478"/>
  <c r="R7" i="478"/>
  <c r="S7" i="478"/>
  <c r="T7" i="478"/>
  <c r="R8" i="478"/>
  <c r="S8" i="478"/>
  <c r="T8" i="478"/>
  <c r="R9" i="478"/>
  <c r="S9" i="478"/>
  <c r="T9" i="478"/>
  <c r="R10" i="478"/>
  <c r="S10" i="478"/>
  <c r="T10" i="478"/>
  <c r="R11" i="478"/>
  <c r="S11" i="478"/>
  <c r="T11" i="478"/>
  <c r="R12" i="478"/>
  <c r="S12" i="478"/>
  <c r="T12" i="478"/>
  <c r="R13" i="478"/>
  <c r="S13" i="478"/>
  <c r="T13" i="478"/>
  <c r="R14" i="478"/>
  <c r="S14" i="478"/>
  <c r="T14" i="478"/>
  <c r="R15" i="478"/>
  <c r="S15" i="478"/>
  <c r="T15" i="478"/>
  <c r="R17" i="478"/>
  <c r="S17" i="478"/>
  <c r="T17" i="478"/>
  <c r="R18" i="478"/>
  <c r="S18" i="478"/>
  <c r="T18" i="478"/>
  <c r="R19" i="478"/>
  <c r="S19" i="478"/>
  <c r="T19" i="478"/>
  <c r="R21" i="478"/>
  <c r="S21" i="478"/>
  <c r="T21" i="478"/>
  <c r="R22" i="478"/>
  <c r="S22" i="478"/>
  <c r="T22" i="478"/>
  <c r="R23" i="478"/>
  <c r="S23" i="478"/>
  <c r="T23" i="478"/>
  <c r="R24" i="478"/>
  <c r="S24" i="478"/>
  <c r="T24" i="478"/>
  <c r="R25" i="478"/>
  <c r="S25" i="478"/>
  <c r="T25" i="478"/>
  <c r="R26" i="478"/>
  <c r="S26" i="478"/>
  <c r="T26" i="478"/>
  <c r="R27" i="478"/>
  <c r="S27" i="478"/>
  <c r="T27" i="478"/>
  <c r="R28" i="478"/>
  <c r="S28" i="478"/>
  <c r="T28" i="478"/>
  <c r="R29" i="478"/>
  <c r="S29" i="478"/>
  <c r="T29" i="478"/>
  <c r="R30" i="478"/>
  <c r="S30" i="478"/>
  <c r="T30" i="478"/>
  <c r="R31" i="478"/>
  <c r="S31" i="478"/>
  <c r="T31" i="478"/>
  <c r="R32" i="478"/>
  <c r="S32" i="478"/>
  <c r="T32" i="478"/>
  <c r="R33" i="478"/>
  <c r="S33" i="478"/>
  <c r="T33" i="478"/>
  <c r="R34" i="478"/>
  <c r="S34" i="478"/>
  <c r="T34" i="478"/>
  <c r="R35" i="478"/>
  <c r="S35" i="478"/>
  <c r="T35" i="478"/>
  <c r="R36" i="478"/>
  <c r="S36" i="478"/>
  <c r="T36" i="478"/>
  <c r="R37" i="478"/>
  <c r="S37" i="478"/>
  <c r="T37" i="478"/>
  <c r="R38" i="478"/>
  <c r="S38" i="478"/>
  <c r="T38" i="478"/>
  <c r="R39" i="478"/>
  <c r="S39" i="478"/>
  <c r="T39" i="478"/>
  <c r="R40" i="478"/>
  <c r="S40" i="478"/>
  <c r="T40" i="478"/>
  <c r="R41" i="478"/>
  <c r="S41" i="478"/>
  <c r="T41" i="478"/>
  <c r="R42" i="478"/>
  <c r="S42" i="478"/>
  <c r="T42" i="478"/>
  <c r="R43" i="478"/>
  <c r="S43" i="478"/>
  <c r="T43" i="478"/>
  <c r="R44" i="478"/>
  <c r="S44" i="478"/>
  <c r="T44" i="478"/>
  <c r="R45" i="478"/>
  <c r="S45" i="478"/>
  <c r="T45" i="478"/>
  <c r="R46" i="478"/>
  <c r="S46" i="478"/>
  <c r="T46" i="478"/>
  <c r="R47" i="478"/>
  <c r="S47" i="478"/>
  <c r="T47" i="478"/>
  <c r="R48" i="478"/>
  <c r="S48" i="478"/>
  <c r="T48" i="478"/>
  <c r="R49" i="478"/>
  <c r="S49" i="478"/>
  <c r="T49" i="478"/>
  <c r="R50" i="478"/>
  <c r="S50" i="478"/>
  <c r="T50" i="478"/>
  <c r="R51" i="478"/>
  <c r="S51" i="478"/>
  <c r="T51" i="478"/>
  <c r="R52" i="478"/>
  <c r="S52" i="478"/>
  <c r="T52" i="478"/>
  <c r="R53" i="478"/>
  <c r="S53" i="478"/>
  <c r="T53" i="478"/>
  <c r="R54" i="478"/>
  <c r="S54" i="478"/>
  <c r="T54" i="478"/>
  <c r="R55" i="478"/>
  <c r="S55" i="478"/>
  <c r="T55" i="478"/>
  <c r="R56" i="478"/>
  <c r="S56" i="478"/>
  <c r="T56" i="478"/>
  <c r="R57" i="478"/>
  <c r="S57" i="478"/>
  <c r="T57" i="478"/>
  <c r="R58" i="478"/>
  <c r="S58" i="478"/>
  <c r="T58" i="478"/>
  <c r="R59" i="478"/>
  <c r="S59" i="478"/>
  <c r="T59" i="478"/>
  <c r="R60" i="478"/>
  <c r="S60" i="478"/>
  <c r="T60" i="478"/>
  <c r="R61" i="478"/>
  <c r="S61" i="478"/>
  <c r="T61" i="478"/>
  <c r="R62" i="478"/>
  <c r="S62" i="478"/>
  <c r="T62" i="478"/>
  <c r="R65" i="478"/>
  <c r="S65" i="478"/>
  <c r="T65" i="478"/>
  <c r="R66" i="478"/>
  <c r="S66" i="478"/>
  <c r="T66" i="478"/>
  <c r="R67" i="478"/>
  <c r="S67" i="478"/>
  <c r="T67" i="478"/>
  <c r="R68" i="478"/>
  <c r="S68" i="478"/>
  <c r="T68" i="478"/>
  <c r="R69" i="478"/>
  <c r="S69" i="478"/>
  <c r="T69" i="478"/>
  <c r="R70" i="478"/>
  <c r="S70" i="478"/>
  <c r="T70" i="478"/>
  <c r="R71" i="478"/>
  <c r="S71" i="478"/>
  <c r="T71" i="478"/>
  <c r="R72" i="478"/>
  <c r="S72" i="478"/>
  <c r="T72" i="478"/>
  <c r="R73" i="478"/>
  <c r="S73" i="478"/>
  <c r="T73" i="478"/>
  <c r="R75" i="478"/>
  <c r="S75" i="478"/>
  <c r="T75" i="478"/>
  <c r="R76" i="478"/>
  <c r="S76" i="478"/>
  <c r="T76" i="478"/>
  <c r="R77" i="478"/>
  <c r="S77" i="478"/>
  <c r="T77" i="478"/>
  <c r="R78" i="478"/>
  <c r="S78" i="478"/>
  <c r="T78" i="478"/>
  <c r="R79" i="478"/>
  <c r="S79" i="478"/>
  <c r="T79" i="478"/>
  <c r="R80" i="478"/>
  <c r="S80" i="478"/>
  <c r="T80" i="478"/>
  <c r="R81" i="478"/>
  <c r="S81" i="478"/>
  <c r="T81" i="478"/>
  <c r="R82" i="478"/>
  <c r="S82" i="478"/>
  <c r="T82" i="478"/>
  <c r="R83" i="478"/>
  <c r="S83" i="478"/>
  <c r="T83" i="478"/>
  <c r="R84" i="478"/>
  <c r="S84" i="478"/>
  <c r="T84" i="478"/>
  <c r="R85" i="478"/>
  <c r="S85" i="478"/>
  <c r="T85" i="478"/>
  <c r="R86" i="478"/>
  <c r="S86" i="478"/>
  <c r="T86" i="478"/>
  <c r="R87" i="478"/>
  <c r="S87" i="478"/>
  <c r="T87" i="478"/>
  <c r="R88" i="478"/>
  <c r="S88" i="478"/>
  <c r="T88" i="478"/>
  <c r="R89" i="478"/>
  <c r="S89" i="478"/>
  <c r="T89" i="478"/>
  <c r="R90" i="478"/>
  <c r="S90" i="478"/>
  <c r="T90" i="478"/>
  <c r="R91" i="478"/>
  <c r="S91" i="478"/>
  <c r="T91" i="478"/>
  <c r="R92" i="478"/>
  <c r="S92" i="478"/>
  <c r="T92" i="478"/>
  <c r="R93" i="478"/>
  <c r="S93" i="478"/>
  <c r="T93" i="478"/>
  <c r="R94" i="478"/>
  <c r="S94" i="478"/>
  <c r="T94" i="478"/>
  <c r="R95" i="478"/>
  <c r="S95" i="478"/>
  <c r="T95" i="478"/>
  <c r="R96" i="478"/>
  <c r="S96" i="478"/>
  <c r="T96" i="478"/>
  <c r="R97" i="478"/>
  <c r="S97" i="478"/>
  <c r="T97" i="478"/>
  <c r="R98" i="478"/>
  <c r="S98" i="478"/>
  <c r="T98" i="478"/>
  <c r="R99" i="478"/>
  <c r="S99" i="478"/>
  <c r="T99" i="478"/>
  <c r="R100" i="478"/>
  <c r="S100" i="478"/>
  <c r="T100" i="478"/>
  <c r="R101" i="478"/>
  <c r="S101" i="478"/>
  <c r="T101" i="478"/>
  <c r="R102" i="478"/>
  <c r="S102" i="478"/>
  <c r="T102" i="478"/>
  <c r="R103" i="478"/>
  <c r="S103" i="478"/>
  <c r="T103" i="478"/>
  <c r="R105" i="478"/>
  <c r="S105" i="478"/>
  <c r="T105" i="478"/>
  <c r="R106" i="478"/>
  <c r="S106" i="478"/>
  <c r="T106" i="478"/>
  <c r="R107" i="478"/>
  <c r="S107" i="478"/>
  <c r="T107" i="478"/>
  <c r="R108" i="478"/>
  <c r="S108" i="478"/>
  <c r="T108" i="478"/>
  <c r="R109" i="478"/>
  <c r="S109" i="478"/>
  <c r="T109" i="478"/>
  <c r="R110" i="478"/>
  <c r="S110" i="478"/>
  <c r="T110" i="478"/>
  <c r="R111" i="478"/>
  <c r="S111" i="478"/>
  <c r="T111" i="478"/>
  <c r="R112" i="478"/>
  <c r="S112" i="478"/>
  <c r="T112" i="478"/>
  <c r="R113" i="478"/>
  <c r="S113" i="478"/>
  <c r="T113" i="478"/>
  <c r="R114" i="478"/>
  <c r="S114" i="478"/>
  <c r="T114" i="478"/>
  <c r="R115" i="478"/>
  <c r="S115" i="478"/>
  <c r="T115" i="478"/>
  <c r="R116" i="478"/>
  <c r="S116" i="478"/>
  <c r="T116" i="478"/>
  <c r="R117" i="478"/>
  <c r="S117" i="478"/>
  <c r="T117" i="478"/>
  <c r="R118" i="478"/>
  <c r="S118" i="478"/>
  <c r="T118" i="478"/>
  <c r="R119" i="478"/>
  <c r="S119" i="478"/>
  <c r="T119" i="478"/>
  <c r="R120" i="478"/>
  <c r="S120" i="478"/>
  <c r="T120" i="478"/>
  <c r="R121" i="478"/>
  <c r="S121" i="478"/>
  <c r="T121" i="478"/>
  <c r="R122" i="478"/>
  <c r="S122" i="478"/>
  <c r="T122" i="478"/>
  <c r="R123" i="478"/>
  <c r="S123" i="478"/>
  <c r="T123" i="478"/>
  <c r="R124" i="478"/>
  <c r="S124" i="478"/>
  <c r="T124" i="478"/>
  <c r="R125" i="478"/>
  <c r="S125" i="478"/>
  <c r="T125" i="478"/>
  <c r="R126" i="478"/>
  <c r="S126" i="478"/>
  <c r="T126" i="478"/>
  <c r="R127" i="478"/>
  <c r="S127" i="478"/>
  <c r="T127" i="478"/>
  <c r="R128" i="478"/>
  <c r="S128" i="478"/>
  <c r="T128" i="478"/>
  <c r="R129" i="478"/>
  <c r="S129" i="478"/>
  <c r="T129" i="478"/>
  <c r="R130" i="478"/>
  <c r="S130" i="478"/>
  <c r="T130" i="478"/>
  <c r="R131" i="478"/>
  <c r="S131" i="478"/>
  <c r="T131" i="478"/>
  <c r="R132" i="478"/>
  <c r="S132" i="478"/>
  <c r="T132" i="478"/>
  <c r="R133" i="478"/>
  <c r="S133" i="478"/>
  <c r="T133" i="478"/>
  <c r="R134" i="478"/>
  <c r="S134" i="478"/>
  <c r="T134" i="478"/>
  <c r="R135" i="478"/>
  <c r="S135" i="478"/>
  <c r="T135" i="478"/>
  <c r="R136" i="478"/>
  <c r="S136" i="478"/>
  <c r="T136" i="478"/>
  <c r="R137" i="478"/>
  <c r="S137" i="478"/>
  <c r="T137" i="478"/>
  <c r="R138" i="478"/>
  <c r="S138" i="478"/>
  <c r="T138" i="478"/>
  <c r="R139" i="478"/>
  <c r="S139" i="478"/>
  <c r="T139" i="478"/>
  <c r="R140" i="478"/>
  <c r="S140" i="478"/>
  <c r="T140" i="478"/>
  <c r="R141" i="478"/>
  <c r="S141" i="478"/>
  <c r="T141" i="478"/>
  <c r="R142" i="478"/>
  <c r="S142" i="478"/>
  <c r="T142" i="478"/>
  <c r="R143" i="478"/>
  <c r="S143" i="478"/>
  <c r="T143" i="478"/>
  <c r="R144" i="478"/>
  <c r="S144" i="478"/>
  <c r="T144" i="478"/>
  <c r="R145" i="478"/>
  <c r="S145" i="478"/>
  <c r="T145" i="478"/>
  <c r="R146" i="478"/>
  <c r="S146" i="478"/>
  <c r="T146" i="478"/>
  <c r="R147" i="478"/>
  <c r="S147" i="478"/>
  <c r="T147" i="478"/>
  <c r="R148" i="478"/>
  <c r="S148" i="478"/>
  <c r="T148" i="478"/>
  <c r="R149" i="478"/>
  <c r="S149" i="478"/>
  <c r="T149" i="478"/>
  <c r="R150" i="478"/>
  <c r="T150" i="478"/>
  <c r="R151" i="478"/>
  <c r="S151" i="478"/>
  <c r="T151" i="478"/>
  <c r="R152" i="478"/>
  <c r="S152" i="478"/>
  <c r="T152" i="478"/>
  <c r="R153" i="478"/>
  <c r="S153" i="478"/>
  <c r="T153" i="478"/>
  <c r="R154" i="478"/>
  <c r="S154" i="478"/>
  <c r="T154" i="478"/>
  <c r="R155" i="478"/>
  <c r="S155" i="478"/>
  <c r="T155" i="478"/>
  <c r="R156" i="478"/>
  <c r="S156" i="478"/>
  <c r="T156" i="478"/>
  <c r="R157" i="478"/>
  <c r="S157" i="478"/>
  <c r="T157" i="478"/>
  <c r="R158" i="478"/>
  <c r="S158" i="478"/>
  <c r="T158" i="478"/>
  <c r="R159" i="478"/>
  <c r="S159" i="478"/>
  <c r="T159" i="478"/>
  <c r="R160" i="478"/>
  <c r="S160" i="478"/>
  <c r="T160" i="478"/>
  <c r="R161" i="478"/>
  <c r="S161" i="478"/>
  <c r="T161" i="478"/>
  <c r="T2" i="478"/>
  <c r="S2" i="478"/>
  <c r="R2" i="478"/>
  <c r="E36" i="466" l="1"/>
  <c r="I33" i="466"/>
  <c r="E18" i="466"/>
  <c r="I29" i="466"/>
  <c r="L34" i="466"/>
  <c r="K34" i="466"/>
  <c r="K29" i="466"/>
  <c r="J34" i="466"/>
  <c r="L33" i="466"/>
  <c r="L29" i="466"/>
  <c r="I34" i="466"/>
  <c r="J29" i="466"/>
  <c r="L27" i="466"/>
  <c r="K27" i="466"/>
  <c r="J27" i="466"/>
  <c r="K33" i="466"/>
  <c r="I27" i="466"/>
  <c r="J33" i="466"/>
  <c r="W6" i="362" l="1"/>
  <c r="H8" i="414" l="1"/>
  <c r="W7" i="362"/>
  <c r="W8" i="362"/>
  <c r="W9" i="362"/>
  <c r="W10" i="362"/>
  <c r="W11" i="362"/>
  <c r="W12" i="362"/>
  <c r="W13" i="362"/>
  <c r="W14" i="362"/>
  <c r="W15" i="362"/>
  <c r="W16" i="362"/>
  <c r="W17" i="362"/>
  <c r="W18" i="362"/>
  <c r="W19" i="362"/>
  <c r="W20" i="362"/>
  <c r="W21" i="362"/>
  <c r="W22" i="362"/>
  <c r="W23" i="362"/>
  <c r="W24" i="362"/>
  <c r="W25" i="362"/>
  <c r="W26" i="362"/>
  <c r="W27" i="362"/>
  <c r="W28" i="362"/>
  <c r="W29" i="362"/>
  <c r="W30" i="362"/>
  <c r="W31" i="362"/>
  <c r="W32" i="362"/>
  <c r="W33" i="362"/>
  <c r="W34" i="362"/>
  <c r="W35" i="362"/>
  <c r="W36" i="362"/>
  <c r="W37" i="362"/>
  <c r="W38" i="362"/>
  <c r="W39" i="362"/>
  <c r="W40" i="362"/>
  <c r="W41" i="362"/>
  <c r="W42" i="362"/>
  <c r="W43" i="362"/>
  <c r="W44" i="362"/>
  <c r="W45" i="362"/>
  <c r="W46" i="362"/>
  <c r="W47" i="362"/>
  <c r="W48" i="362"/>
  <c r="W49" i="362"/>
  <c r="W50" i="362"/>
  <c r="W51" i="362"/>
  <c r="W52" i="362"/>
  <c r="W53" i="362"/>
  <c r="W54" i="362"/>
  <c r="W55" i="362"/>
  <c r="W56" i="362"/>
  <c r="W57" i="362"/>
  <c r="W58" i="362"/>
  <c r="W59" i="362"/>
  <c r="W60" i="362"/>
  <c r="H8" i="390" l="1"/>
  <c r="E10" i="415"/>
  <c r="D10" i="415"/>
  <c r="C10" i="415"/>
  <c r="B10" i="415"/>
  <c r="E8" i="390" l="1"/>
  <c r="D8" i="390"/>
  <c r="C8" i="390"/>
  <c r="B8" i="390"/>
  <c r="C3" i="365" l="1"/>
  <c r="F116" i="361" l="1"/>
  <c r="F115" i="361"/>
  <c r="F114" i="361"/>
  <c r="F113" i="361"/>
  <c r="F66" i="362"/>
  <c r="B4" i="409" l="1"/>
  <c r="B10" i="409" s="1"/>
  <c r="C4" i="409"/>
  <c r="C10" i="409" s="1"/>
  <c r="D4" i="409"/>
  <c r="D10" i="409" s="1"/>
  <c r="E4" i="409"/>
  <c r="C115" i="361"/>
  <c r="E10" i="409" l="1"/>
  <c r="C8" i="463"/>
  <c r="C68" i="362"/>
  <c r="C67" i="362"/>
  <c r="C66" i="362"/>
  <c r="D116" i="361"/>
  <c r="E116" i="361"/>
  <c r="G116" i="361"/>
  <c r="H116" i="361"/>
  <c r="I116" i="361"/>
  <c r="J116" i="361"/>
  <c r="K116" i="361"/>
  <c r="L116" i="361"/>
  <c r="M116" i="361"/>
  <c r="N116" i="361"/>
  <c r="O116" i="361"/>
  <c r="P116" i="361"/>
  <c r="Q116" i="361"/>
  <c r="R116" i="361"/>
  <c r="S116" i="361"/>
  <c r="T116" i="361"/>
  <c r="C116" i="361"/>
  <c r="D114" i="361"/>
  <c r="E114" i="361"/>
  <c r="G114" i="361"/>
  <c r="H114" i="361"/>
  <c r="I114" i="361"/>
  <c r="J114" i="361"/>
  <c r="K114" i="361"/>
  <c r="L114" i="361"/>
  <c r="M114" i="361"/>
  <c r="N114" i="361"/>
  <c r="O114" i="361"/>
  <c r="P114" i="361"/>
  <c r="Q114" i="361"/>
  <c r="R114" i="361"/>
  <c r="S114" i="361"/>
  <c r="T114" i="361"/>
  <c r="C114" i="361"/>
  <c r="C113" i="361"/>
  <c r="D115" i="361"/>
  <c r="E115" i="361"/>
  <c r="G115" i="361"/>
  <c r="H115" i="361"/>
  <c r="I115" i="361"/>
  <c r="J115" i="361"/>
  <c r="K115" i="361"/>
  <c r="L115" i="361"/>
  <c r="M115" i="361"/>
  <c r="N115" i="361"/>
  <c r="O115" i="361"/>
  <c r="P115" i="361"/>
  <c r="Q115" i="361"/>
  <c r="R115" i="361"/>
  <c r="S115" i="361"/>
  <c r="T115" i="361"/>
  <c r="C24" i="466"/>
  <c r="D6" i="466"/>
  <c r="C6" i="466"/>
  <c r="I6" i="466" l="1"/>
  <c r="L6" i="466"/>
  <c r="J6" i="466"/>
  <c r="K6" i="466"/>
  <c r="I24" i="466"/>
  <c r="K24" i="466"/>
  <c r="L24" i="466"/>
  <c r="J24" i="466"/>
  <c r="I8" i="463"/>
  <c r="L8" i="463"/>
  <c r="J8" i="463"/>
  <c r="K8" i="463"/>
  <c r="D11" i="466"/>
  <c r="I11" i="466" s="1"/>
  <c r="K11" i="466" l="1"/>
  <c r="L11" i="466"/>
  <c r="J11" i="466"/>
  <c r="T113" i="361" l="1"/>
  <c r="D7" i="411" l="1"/>
  <c r="E7" i="411" s="1"/>
  <c r="B36" i="466" l="1"/>
  <c r="B18" i="466"/>
  <c r="T155" i="465"/>
  <c r="S155" i="465"/>
  <c r="R155" i="465"/>
  <c r="T154" i="465"/>
  <c r="S154" i="465"/>
  <c r="R154" i="465"/>
  <c r="T153" i="465"/>
  <c r="S153" i="465"/>
  <c r="R153" i="465"/>
  <c r="T152" i="465"/>
  <c r="S152" i="465"/>
  <c r="R152" i="465"/>
  <c r="T151" i="465"/>
  <c r="S151" i="465"/>
  <c r="R151" i="465"/>
  <c r="T150" i="465"/>
  <c r="S150" i="465"/>
  <c r="R150" i="465"/>
  <c r="T149" i="465"/>
  <c r="S149" i="465"/>
  <c r="R149" i="465"/>
  <c r="T148" i="465"/>
  <c r="S148" i="465"/>
  <c r="R148" i="465"/>
  <c r="T147" i="465"/>
  <c r="S147" i="465"/>
  <c r="R147" i="465"/>
  <c r="T146" i="465"/>
  <c r="S146" i="465"/>
  <c r="R146" i="465"/>
  <c r="T145" i="465"/>
  <c r="S145" i="465"/>
  <c r="R145" i="465"/>
  <c r="T144" i="465"/>
  <c r="S144" i="465"/>
  <c r="R144" i="465"/>
  <c r="T143" i="465"/>
  <c r="S143" i="465"/>
  <c r="R143" i="465"/>
  <c r="T142" i="465"/>
  <c r="S142" i="465"/>
  <c r="R142" i="465"/>
  <c r="T141" i="465"/>
  <c r="S141" i="465"/>
  <c r="R141" i="465"/>
  <c r="T140" i="465"/>
  <c r="S140" i="465"/>
  <c r="R140" i="465"/>
  <c r="T139" i="465"/>
  <c r="S139" i="465"/>
  <c r="R139" i="465"/>
  <c r="T138" i="465"/>
  <c r="S138" i="465"/>
  <c r="R138" i="465"/>
  <c r="T137" i="465"/>
  <c r="S137" i="465"/>
  <c r="R137" i="465"/>
  <c r="T136" i="465"/>
  <c r="S136" i="465"/>
  <c r="R136" i="465"/>
  <c r="T135" i="465"/>
  <c r="S135" i="465"/>
  <c r="R135" i="465"/>
  <c r="T134" i="465"/>
  <c r="S134" i="465"/>
  <c r="R134" i="465"/>
  <c r="T133" i="465"/>
  <c r="S133" i="465"/>
  <c r="R133" i="465"/>
  <c r="T132" i="465"/>
  <c r="S132" i="465"/>
  <c r="R132" i="465"/>
  <c r="T131" i="465"/>
  <c r="S131" i="465"/>
  <c r="R131" i="465"/>
  <c r="T130" i="465"/>
  <c r="S130" i="465"/>
  <c r="R130" i="465"/>
  <c r="T129" i="465"/>
  <c r="S129" i="465"/>
  <c r="R129" i="465"/>
  <c r="T128" i="465"/>
  <c r="S128" i="465"/>
  <c r="R128" i="465"/>
  <c r="T127" i="465"/>
  <c r="S127" i="465"/>
  <c r="R127" i="465"/>
  <c r="T126" i="465"/>
  <c r="S126" i="465"/>
  <c r="R126" i="465"/>
  <c r="T125" i="465"/>
  <c r="S125" i="465"/>
  <c r="R125" i="465"/>
  <c r="T124" i="465"/>
  <c r="S124" i="465"/>
  <c r="R124" i="465"/>
  <c r="T123" i="465"/>
  <c r="S123" i="465"/>
  <c r="C17" i="463" s="1"/>
  <c r="R123" i="465"/>
  <c r="T122" i="465"/>
  <c r="S122" i="465"/>
  <c r="R122" i="465"/>
  <c r="T121" i="465"/>
  <c r="S121" i="465"/>
  <c r="R121" i="465"/>
  <c r="T120" i="465"/>
  <c r="S120" i="465"/>
  <c r="R120" i="465"/>
  <c r="T119" i="465"/>
  <c r="S119" i="465"/>
  <c r="R119" i="465"/>
  <c r="T118" i="465"/>
  <c r="C16" i="466" s="1"/>
  <c r="S118" i="465"/>
  <c r="R118" i="465"/>
  <c r="T117" i="465"/>
  <c r="S117" i="465"/>
  <c r="R117" i="465"/>
  <c r="T116" i="465"/>
  <c r="S116" i="465"/>
  <c r="R116" i="465"/>
  <c r="T115" i="465"/>
  <c r="S115" i="465"/>
  <c r="R115" i="465"/>
  <c r="T114" i="465"/>
  <c r="S114" i="465"/>
  <c r="R114" i="465"/>
  <c r="T113" i="465"/>
  <c r="S113" i="465"/>
  <c r="R113" i="465"/>
  <c r="T112" i="465"/>
  <c r="S112" i="465"/>
  <c r="R112" i="465"/>
  <c r="T111" i="465"/>
  <c r="S111" i="465"/>
  <c r="R111" i="465"/>
  <c r="T110" i="465"/>
  <c r="S110" i="465"/>
  <c r="R110" i="465"/>
  <c r="T109" i="465"/>
  <c r="S109" i="465"/>
  <c r="R109" i="465"/>
  <c r="T108" i="465"/>
  <c r="S108" i="465"/>
  <c r="R108" i="465"/>
  <c r="T107" i="465"/>
  <c r="S107" i="465"/>
  <c r="R107" i="465"/>
  <c r="T106" i="465"/>
  <c r="S106" i="465"/>
  <c r="R106" i="465"/>
  <c r="T105" i="465"/>
  <c r="S105" i="465"/>
  <c r="R105" i="465"/>
  <c r="T104" i="465"/>
  <c r="S104" i="465"/>
  <c r="R104" i="465"/>
  <c r="T103" i="465"/>
  <c r="S103" i="465"/>
  <c r="R103" i="465"/>
  <c r="T102" i="465"/>
  <c r="S102" i="465"/>
  <c r="C15" i="463" s="1"/>
  <c r="R102" i="465"/>
  <c r="T101" i="465"/>
  <c r="S101" i="465"/>
  <c r="R101" i="465"/>
  <c r="T100" i="465"/>
  <c r="S100" i="465"/>
  <c r="R100" i="465"/>
  <c r="T99" i="465"/>
  <c r="C14" i="466" s="1"/>
  <c r="S99" i="465"/>
  <c r="R99" i="465"/>
  <c r="T98" i="465"/>
  <c r="S98" i="465"/>
  <c r="R98" i="465"/>
  <c r="T97" i="465"/>
  <c r="S97" i="465"/>
  <c r="R97" i="465"/>
  <c r="T96" i="465"/>
  <c r="S96" i="465"/>
  <c r="R96" i="465"/>
  <c r="T95" i="465"/>
  <c r="S95" i="465"/>
  <c r="R95" i="465"/>
  <c r="T94" i="465"/>
  <c r="S94" i="465"/>
  <c r="R94" i="465"/>
  <c r="T93" i="465"/>
  <c r="S93" i="465"/>
  <c r="R93" i="465"/>
  <c r="T92" i="465"/>
  <c r="S92" i="465"/>
  <c r="R92" i="465"/>
  <c r="T91" i="465"/>
  <c r="S91" i="465"/>
  <c r="R91" i="465"/>
  <c r="T90" i="465"/>
  <c r="S90" i="465"/>
  <c r="R90" i="465"/>
  <c r="T89" i="465"/>
  <c r="S89" i="465"/>
  <c r="C14" i="463" s="1"/>
  <c r="R89" i="465"/>
  <c r="T88" i="465"/>
  <c r="S88" i="465"/>
  <c r="R88" i="465"/>
  <c r="T87" i="465"/>
  <c r="S87" i="465"/>
  <c r="R87" i="465"/>
  <c r="T86" i="465"/>
  <c r="C12" i="466" s="1"/>
  <c r="S86" i="465"/>
  <c r="C30" i="466" s="1"/>
  <c r="R86" i="465"/>
  <c r="T85" i="465"/>
  <c r="S85" i="465"/>
  <c r="C13" i="463" s="1"/>
  <c r="R85" i="465"/>
  <c r="T84" i="465"/>
  <c r="S84" i="465"/>
  <c r="R84" i="465"/>
  <c r="T83" i="465"/>
  <c r="S83" i="465"/>
  <c r="R83" i="465"/>
  <c r="T82" i="465"/>
  <c r="S82" i="465"/>
  <c r="R82" i="465"/>
  <c r="T81" i="465"/>
  <c r="S81" i="465"/>
  <c r="R81" i="465"/>
  <c r="T80" i="465"/>
  <c r="S80" i="465"/>
  <c r="R80" i="465"/>
  <c r="T79" i="465"/>
  <c r="S79" i="465"/>
  <c r="R79" i="465"/>
  <c r="T78" i="465"/>
  <c r="S78" i="465"/>
  <c r="R78" i="465"/>
  <c r="T77" i="465"/>
  <c r="S77" i="465"/>
  <c r="R77" i="465"/>
  <c r="T76" i="465"/>
  <c r="S76" i="465"/>
  <c r="R76" i="465"/>
  <c r="T75" i="465"/>
  <c r="S75" i="465"/>
  <c r="R75" i="465"/>
  <c r="T74" i="465"/>
  <c r="S74" i="465"/>
  <c r="R74" i="465"/>
  <c r="T73" i="465"/>
  <c r="S73" i="465"/>
  <c r="R73" i="465"/>
  <c r="T72" i="465"/>
  <c r="S72" i="465"/>
  <c r="R72" i="465"/>
  <c r="T71" i="465"/>
  <c r="S71" i="465"/>
  <c r="R71" i="465"/>
  <c r="T70" i="465"/>
  <c r="S70" i="465"/>
  <c r="R70" i="465"/>
  <c r="T69" i="465"/>
  <c r="S69" i="465"/>
  <c r="R69" i="465"/>
  <c r="T68" i="465"/>
  <c r="S68" i="465"/>
  <c r="R68" i="465"/>
  <c r="T67" i="465"/>
  <c r="S67" i="465"/>
  <c r="R67" i="465"/>
  <c r="T66" i="465"/>
  <c r="S66" i="465"/>
  <c r="R66" i="465"/>
  <c r="T65" i="465"/>
  <c r="S65" i="465"/>
  <c r="R65" i="465"/>
  <c r="T64" i="465"/>
  <c r="S64" i="465"/>
  <c r="R64" i="465"/>
  <c r="T63" i="465"/>
  <c r="S63" i="465"/>
  <c r="R63" i="465"/>
  <c r="T62" i="465"/>
  <c r="S62" i="465"/>
  <c r="R62" i="465"/>
  <c r="T61" i="465"/>
  <c r="S61" i="465"/>
  <c r="R61" i="465"/>
  <c r="T60" i="465"/>
  <c r="S60" i="465"/>
  <c r="R60" i="465"/>
  <c r="T59" i="465"/>
  <c r="C10" i="466" s="1"/>
  <c r="I10" i="466" s="1"/>
  <c r="S59" i="465"/>
  <c r="C28" i="466" s="1"/>
  <c r="R59" i="465"/>
  <c r="T58" i="465"/>
  <c r="S58" i="465"/>
  <c r="R58" i="465"/>
  <c r="T57" i="465"/>
  <c r="S57" i="465"/>
  <c r="R57" i="465"/>
  <c r="T56" i="465"/>
  <c r="S56" i="465"/>
  <c r="R56" i="465"/>
  <c r="T55" i="465"/>
  <c r="S55" i="465"/>
  <c r="C11" i="463" s="1"/>
  <c r="R55" i="465"/>
  <c r="T54" i="465"/>
  <c r="S54" i="465"/>
  <c r="R54" i="465"/>
  <c r="T53" i="465"/>
  <c r="S53" i="465"/>
  <c r="R53" i="465"/>
  <c r="T52" i="465"/>
  <c r="S52" i="465"/>
  <c r="R52" i="465"/>
  <c r="T51" i="465"/>
  <c r="S51" i="465"/>
  <c r="R51" i="465"/>
  <c r="T50" i="465"/>
  <c r="S50" i="465"/>
  <c r="R50" i="465"/>
  <c r="T49" i="465"/>
  <c r="S49" i="465"/>
  <c r="R49" i="465"/>
  <c r="T48" i="465"/>
  <c r="S48" i="465"/>
  <c r="R48" i="465"/>
  <c r="T47" i="465"/>
  <c r="S47" i="465"/>
  <c r="R47" i="465"/>
  <c r="T46" i="465"/>
  <c r="S46" i="465"/>
  <c r="R46" i="465"/>
  <c r="T45" i="465"/>
  <c r="S45" i="465"/>
  <c r="R45" i="465"/>
  <c r="T44" i="465"/>
  <c r="S44" i="465"/>
  <c r="R44" i="465"/>
  <c r="T43" i="465"/>
  <c r="S43" i="465"/>
  <c r="R43" i="465"/>
  <c r="T42" i="465"/>
  <c r="S42" i="465"/>
  <c r="R42" i="465"/>
  <c r="T41" i="465"/>
  <c r="S41" i="465"/>
  <c r="R41" i="465"/>
  <c r="T40" i="465"/>
  <c r="S40" i="465"/>
  <c r="R40" i="465"/>
  <c r="T39" i="465"/>
  <c r="S39" i="465"/>
  <c r="R39" i="465"/>
  <c r="T38" i="465"/>
  <c r="S38" i="465"/>
  <c r="R38" i="465"/>
  <c r="T37" i="465"/>
  <c r="S37" i="465"/>
  <c r="R37" i="465"/>
  <c r="T36" i="465"/>
  <c r="S36" i="465"/>
  <c r="R36" i="465"/>
  <c r="T35" i="465"/>
  <c r="S35" i="465"/>
  <c r="R35" i="465"/>
  <c r="T34" i="465"/>
  <c r="S34" i="465"/>
  <c r="R34" i="465"/>
  <c r="T33" i="465"/>
  <c r="S33" i="465"/>
  <c r="R33" i="465"/>
  <c r="T32" i="465"/>
  <c r="S32" i="465"/>
  <c r="R32" i="465"/>
  <c r="T31" i="465"/>
  <c r="S31" i="465"/>
  <c r="R31" i="465"/>
  <c r="T30" i="465"/>
  <c r="S30" i="465"/>
  <c r="R30" i="465"/>
  <c r="T29" i="465"/>
  <c r="S29" i="465"/>
  <c r="R29" i="465"/>
  <c r="T28" i="465"/>
  <c r="S28" i="465"/>
  <c r="R28" i="465"/>
  <c r="T27" i="465"/>
  <c r="S27" i="465"/>
  <c r="R27" i="465"/>
  <c r="T26" i="465"/>
  <c r="S26" i="465"/>
  <c r="R26" i="465"/>
  <c r="T25" i="465"/>
  <c r="S25" i="465"/>
  <c r="R25" i="465"/>
  <c r="T24" i="465"/>
  <c r="S24" i="465"/>
  <c r="R24" i="465"/>
  <c r="T23" i="465"/>
  <c r="S23" i="465"/>
  <c r="R23" i="465"/>
  <c r="T22" i="465"/>
  <c r="S22" i="465"/>
  <c r="R22" i="465"/>
  <c r="T21" i="465"/>
  <c r="S21" i="465"/>
  <c r="R21" i="465"/>
  <c r="T20" i="465"/>
  <c r="S20" i="465"/>
  <c r="R20" i="465"/>
  <c r="T19" i="465"/>
  <c r="S19" i="465"/>
  <c r="R19" i="465"/>
  <c r="T18" i="465"/>
  <c r="S18" i="465"/>
  <c r="R18" i="465"/>
  <c r="T17" i="465"/>
  <c r="S17" i="465"/>
  <c r="R17" i="465"/>
  <c r="T16" i="465"/>
  <c r="S16" i="465"/>
  <c r="R16" i="465"/>
  <c r="T15" i="465"/>
  <c r="S15" i="465"/>
  <c r="R15" i="465"/>
  <c r="T14" i="465"/>
  <c r="S14" i="465"/>
  <c r="R14" i="465"/>
  <c r="T13" i="465"/>
  <c r="S13" i="465"/>
  <c r="R13" i="465"/>
  <c r="T12" i="465"/>
  <c r="S12" i="465"/>
  <c r="R12" i="465"/>
  <c r="T11" i="465"/>
  <c r="S11" i="465"/>
  <c r="R11" i="465"/>
  <c r="T10" i="465"/>
  <c r="S10" i="465"/>
  <c r="R10" i="465"/>
  <c r="T9" i="465"/>
  <c r="S9" i="465"/>
  <c r="R9" i="465"/>
  <c r="T8" i="465"/>
  <c r="S8" i="465"/>
  <c r="R8" i="465"/>
  <c r="T7" i="465"/>
  <c r="S7" i="465"/>
  <c r="R7" i="465"/>
  <c r="T6" i="465"/>
  <c r="S6" i="465"/>
  <c r="R6" i="465"/>
  <c r="T5" i="465"/>
  <c r="S5" i="465"/>
  <c r="R5" i="465"/>
  <c r="T4" i="465"/>
  <c r="S4" i="465"/>
  <c r="R4" i="465"/>
  <c r="T3" i="465"/>
  <c r="S3" i="465"/>
  <c r="R3" i="465"/>
  <c r="T2" i="465"/>
  <c r="S2" i="465"/>
  <c r="R2" i="465"/>
  <c r="T159" i="464"/>
  <c r="S159" i="464"/>
  <c r="R159" i="464"/>
  <c r="T158" i="464"/>
  <c r="S158" i="464"/>
  <c r="R158" i="464"/>
  <c r="T157" i="464"/>
  <c r="S157" i="464"/>
  <c r="R157" i="464"/>
  <c r="T156" i="464"/>
  <c r="S156" i="464"/>
  <c r="R156" i="464"/>
  <c r="T155" i="464"/>
  <c r="S155" i="464"/>
  <c r="R155" i="464"/>
  <c r="T154" i="464"/>
  <c r="S154" i="464"/>
  <c r="R154" i="464"/>
  <c r="T153" i="464"/>
  <c r="S153" i="464"/>
  <c r="R153" i="464"/>
  <c r="T152" i="464"/>
  <c r="S152" i="464"/>
  <c r="R152" i="464"/>
  <c r="T151" i="464"/>
  <c r="S151" i="464"/>
  <c r="R151" i="464"/>
  <c r="T150" i="464"/>
  <c r="S150" i="464"/>
  <c r="R150" i="464"/>
  <c r="T149" i="464"/>
  <c r="S149" i="464"/>
  <c r="R149" i="464"/>
  <c r="T148" i="464"/>
  <c r="S148" i="464"/>
  <c r="R148" i="464"/>
  <c r="T147" i="464"/>
  <c r="S147" i="464"/>
  <c r="R147" i="464"/>
  <c r="T146" i="464"/>
  <c r="S146" i="464"/>
  <c r="R146" i="464"/>
  <c r="T145" i="464"/>
  <c r="S145" i="464"/>
  <c r="R145" i="464"/>
  <c r="T144" i="464"/>
  <c r="S144" i="464"/>
  <c r="R144" i="464"/>
  <c r="T143" i="464"/>
  <c r="S143" i="464"/>
  <c r="R143" i="464"/>
  <c r="T142" i="464"/>
  <c r="S142" i="464"/>
  <c r="R142" i="464"/>
  <c r="T141" i="464"/>
  <c r="S141" i="464"/>
  <c r="R141" i="464"/>
  <c r="T140" i="464"/>
  <c r="S140" i="464"/>
  <c r="R140" i="464"/>
  <c r="T139" i="464"/>
  <c r="S139" i="464"/>
  <c r="R139" i="464"/>
  <c r="T138" i="464"/>
  <c r="S138" i="464"/>
  <c r="R138" i="464"/>
  <c r="T137" i="464"/>
  <c r="S137" i="464"/>
  <c r="R137" i="464"/>
  <c r="T136" i="464"/>
  <c r="S136" i="464"/>
  <c r="R136" i="464"/>
  <c r="T135" i="464"/>
  <c r="S135" i="464"/>
  <c r="R135" i="464"/>
  <c r="T134" i="464"/>
  <c r="S134" i="464"/>
  <c r="R134" i="464"/>
  <c r="T133" i="464"/>
  <c r="S133" i="464"/>
  <c r="R133" i="464"/>
  <c r="T132" i="464"/>
  <c r="S132" i="464"/>
  <c r="R132" i="464"/>
  <c r="T131" i="464"/>
  <c r="S131" i="464"/>
  <c r="R131" i="464"/>
  <c r="T130" i="464"/>
  <c r="S130" i="464"/>
  <c r="R130" i="464"/>
  <c r="T129" i="464"/>
  <c r="S129" i="464"/>
  <c r="R129" i="464"/>
  <c r="T128" i="464"/>
  <c r="S128" i="464"/>
  <c r="R128" i="464"/>
  <c r="T127" i="464"/>
  <c r="S127" i="464"/>
  <c r="R127" i="464"/>
  <c r="T126" i="464"/>
  <c r="S126" i="464"/>
  <c r="R126" i="464"/>
  <c r="T125" i="464"/>
  <c r="S125" i="464"/>
  <c r="R125" i="464"/>
  <c r="T124" i="464"/>
  <c r="S124" i="464"/>
  <c r="R124" i="464"/>
  <c r="T123" i="464"/>
  <c r="S123" i="464"/>
  <c r="R123" i="464"/>
  <c r="T122" i="464"/>
  <c r="S122" i="464"/>
  <c r="R122" i="464"/>
  <c r="T121" i="464"/>
  <c r="S121" i="464"/>
  <c r="R121" i="464"/>
  <c r="T120" i="464"/>
  <c r="S120" i="464"/>
  <c r="R120" i="464"/>
  <c r="T119" i="464"/>
  <c r="S119" i="464"/>
  <c r="R119" i="464"/>
  <c r="T118" i="464"/>
  <c r="S118" i="464"/>
  <c r="R118" i="464"/>
  <c r="T117" i="464"/>
  <c r="S117" i="464"/>
  <c r="R117" i="464"/>
  <c r="T116" i="464"/>
  <c r="S116" i="464"/>
  <c r="R116" i="464"/>
  <c r="T115" i="464"/>
  <c r="S115" i="464"/>
  <c r="R115" i="464"/>
  <c r="T114" i="464"/>
  <c r="S114" i="464"/>
  <c r="R114" i="464"/>
  <c r="T113" i="464"/>
  <c r="S113" i="464"/>
  <c r="R113" i="464"/>
  <c r="T112" i="464"/>
  <c r="S112" i="464"/>
  <c r="R112" i="464"/>
  <c r="T111" i="464"/>
  <c r="S111" i="464"/>
  <c r="R111" i="464"/>
  <c r="T110" i="464"/>
  <c r="S110" i="464"/>
  <c r="R110" i="464"/>
  <c r="T109" i="464"/>
  <c r="S109" i="464"/>
  <c r="R109" i="464"/>
  <c r="T108" i="464"/>
  <c r="S108" i="464"/>
  <c r="R108" i="464"/>
  <c r="T107" i="464"/>
  <c r="S107" i="464"/>
  <c r="R107" i="464"/>
  <c r="T106" i="464"/>
  <c r="S106" i="464"/>
  <c r="R106" i="464"/>
  <c r="T105" i="464"/>
  <c r="S105" i="464"/>
  <c r="R105" i="464"/>
  <c r="T104" i="464"/>
  <c r="S104" i="464"/>
  <c r="R104" i="464"/>
  <c r="T103" i="464"/>
  <c r="S103" i="464"/>
  <c r="R103" i="464"/>
  <c r="T102" i="464"/>
  <c r="S102" i="464"/>
  <c r="R102" i="464"/>
  <c r="T101" i="464"/>
  <c r="S101" i="464"/>
  <c r="R101" i="464"/>
  <c r="T100" i="464"/>
  <c r="D12" i="466" s="1"/>
  <c r="S100" i="464"/>
  <c r="R100" i="464"/>
  <c r="T99" i="464"/>
  <c r="S99" i="464"/>
  <c r="R99" i="464"/>
  <c r="T98" i="464"/>
  <c r="S98" i="464"/>
  <c r="R98" i="464"/>
  <c r="T97" i="464"/>
  <c r="S97" i="464"/>
  <c r="R97" i="464"/>
  <c r="T96" i="464"/>
  <c r="S96" i="464"/>
  <c r="R96" i="464"/>
  <c r="T95" i="464"/>
  <c r="S95" i="464"/>
  <c r="R95" i="464"/>
  <c r="T94" i="464"/>
  <c r="S94" i="464"/>
  <c r="R94" i="464"/>
  <c r="T93" i="464"/>
  <c r="S93" i="464"/>
  <c r="R93" i="464"/>
  <c r="T92" i="464"/>
  <c r="S92" i="464"/>
  <c r="R92" i="464"/>
  <c r="T91" i="464"/>
  <c r="S91" i="464"/>
  <c r="R91" i="464"/>
  <c r="T90" i="464"/>
  <c r="S90" i="464"/>
  <c r="R90" i="464"/>
  <c r="T89" i="464"/>
  <c r="S89" i="464"/>
  <c r="R89" i="464"/>
  <c r="T88" i="464"/>
  <c r="S88" i="464"/>
  <c r="R88" i="464"/>
  <c r="T87" i="464"/>
  <c r="S87" i="464"/>
  <c r="R87" i="464"/>
  <c r="T86" i="464"/>
  <c r="S86" i="464"/>
  <c r="R86" i="464"/>
  <c r="T85" i="464"/>
  <c r="S85" i="464"/>
  <c r="R85" i="464"/>
  <c r="T84" i="464"/>
  <c r="S84" i="464"/>
  <c r="R84" i="464"/>
  <c r="T83" i="464"/>
  <c r="S83" i="464"/>
  <c r="R83" i="464"/>
  <c r="T82" i="464"/>
  <c r="S82" i="464"/>
  <c r="R82" i="464"/>
  <c r="T81" i="464"/>
  <c r="S81" i="464"/>
  <c r="R81" i="464"/>
  <c r="T80" i="464"/>
  <c r="S80" i="464"/>
  <c r="R80" i="464"/>
  <c r="T79" i="464"/>
  <c r="S79" i="464"/>
  <c r="R79" i="464"/>
  <c r="T78" i="464"/>
  <c r="S78" i="464"/>
  <c r="R78" i="464"/>
  <c r="T77" i="464"/>
  <c r="S77" i="464"/>
  <c r="R77" i="464"/>
  <c r="T76" i="464"/>
  <c r="D10" i="466" s="1"/>
  <c r="S76" i="464"/>
  <c r="R76" i="464"/>
  <c r="T75" i="464"/>
  <c r="S75" i="464"/>
  <c r="R75" i="464"/>
  <c r="T74" i="464"/>
  <c r="S74" i="464"/>
  <c r="R74" i="464"/>
  <c r="T73" i="464"/>
  <c r="S73" i="464"/>
  <c r="R73" i="464"/>
  <c r="T72" i="464"/>
  <c r="S72" i="464"/>
  <c r="R72" i="464"/>
  <c r="T71" i="464"/>
  <c r="S71" i="464"/>
  <c r="R71" i="464"/>
  <c r="T70" i="464"/>
  <c r="S70" i="464"/>
  <c r="R70" i="464"/>
  <c r="T69" i="464"/>
  <c r="S69" i="464"/>
  <c r="R69" i="464"/>
  <c r="T68" i="464"/>
  <c r="D9" i="466" s="1"/>
  <c r="I9" i="466" s="1"/>
  <c r="S68" i="464"/>
  <c r="R68" i="464"/>
  <c r="T67" i="464"/>
  <c r="S67" i="464"/>
  <c r="R67" i="464"/>
  <c r="T66" i="464"/>
  <c r="S66" i="464"/>
  <c r="R66" i="464"/>
  <c r="T65" i="464"/>
  <c r="S65" i="464"/>
  <c r="R65" i="464"/>
  <c r="T64" i="464"/>
  <c r="S64" i="464"/>
  <c r="R64" i="464"/>
  <c r="T63" i="464"/>
  <c r="S63" i="464"/>
  <c r="R63" i="464"/>
  <c r="T62" i="464"/>
  <c r="S62" i="464"/>
  <c r="R62" i="464"/>
  <c r="T61" i="464"/>
  <c r="S61" i="464"/>
  <c r="R61" i="464"/>
  <c r="T60" i="464"/>
  <c r="S60" i="464"/>
  <c r="R60" i="464"/>
  <c r="T59" i="464"/>
  <c r="S59" i="464"/>
  <c r="R59" i="464"/>
  <c r="T58" i="464"/>
  <c r="S58" i="464"/>
  <c r="R58" i="464"/>
  <c r="T57" i="464"/>
  <c r="S57" i="464"/>
  <c r="R57" i="464"/>
  <c r="T56" i="464"/>
  <c r="S56" i="464"/>
  <c r="R56" i="464"/>
  <c r="T55" i="464"/>
  <c r="S55" i="464"/>
  <c r="R55" i="464"/>
  <c r="T54" i="464"/>
  <c r="S54" i="464"/>
  <c r="R54" i="464"/>
  <c r="T53" i="464"/>
  <c r="S53" i="464"/>
  <c r="R53" i="464"/>
  <c r="T52" i="464"/>
  <c r="S52" i="464"/>
  <c r="R52" i="464"/>
  <c r="T51" i="464"/>
  <c r="S51" i="464"/>
  <c r="R51" i="464"/>
  <c r="T50" i="464"/>
  <c r="S50" i="464"/>
  <c r="R50" i="464"/>
  <c r="T49" i="464"/>
  <c r="S49" i="464"/>
  <c r="R49" i="464"/>
  <c r="T48" i="464"/>
  <c r="S48" i="464"/>
  <c r="R48" i="464"/>
  <c r="T47" i="464"/>
  <c r="S47" i="464"/>
  <c r="R47" i="464"/>
  <c r="T46" i="464"/>
  <c r="S46" i="464"/>
  <c r="R46" i="464"/>
  <c r="T45" i="464"/>
  <c r="S45" i="464"/>
  <c r="R45" i="464"/>
  <c r="T44" i="464"/>
  <c r="S44" i="464"/>
  <c r="R44" i="464"/>
  <c r="T43" i="464"/>
  <c r="S43" i="464"/>
  <c r="R43" i="464"/>
  <c r="T42" i="464"/>
  <c r="S42" i="464"/>
  <c r="R42" i="464"/>
  <c r="T41" i="464"/>
  <c r="S41" i="464"/>
  <c r="R41" i="464"/>
  <c r="T40" i="464"/>
  <c r="S40" i="464"/>
  <c r="R40" i="464"/>
  <c r="T39" i="464"/>
  <c r="S39" i="464"/>
  <c r="R39" i="464"/>
  <c r="T38" i="464"/>
  <c r="S38" i="464"/>
  <c r="R38" i="464"/>
  <c r="T37" i="464"/>
  <c r="S37" i="464"/>
  <c r="R37" i="464"/>
  <c r="T36" i="464"/>
  <c r="S36" i="464"/>
  <c r="R36" i="464"/>
  <c r="T35" i="464"/>
  <c r="S35" i="464"/>
  <c r="R35" i="464"/>
  <c r="T34" i="464"/>
  <c r="S34" i="464"/>
  <c r="R34" i="464"/>
  <c r="T33" i="464"/>
  <c r="S33" i="464"/>
  <c r="R33" i="464"/>
  <c r="T32" i="464"/>
  <c r="S32" i="464"/>
  <c r="R32" i="464"/>
  <c r="T31" i="464"/>
  <c r="S31" i="464"/>
  <c r="R31" i="464"/>
  <c r="T30" i="464"/>
  <c r="S30" i="464"/>
  <c r="R30" i="464"/>
  <c r="T29" i="464"/>
  <c r="S29" i="464"/>
  <c r="R29" i="464"/>
  <c r="T28" i="464"/>
  <c r="S28" i="464"/>
  <c r="R28" i="464"/>
  <c r="T27" i="464"/>
  <c r="S27" i="464"/>
  <c r="R27" i="464"/>
  <c r="T26" i="464"/>
  <c r="S26" i="464"/>
  <c r="R26" i="464"/>
  <c r="T25" i="464"/>
  <c r="S25" i="464"/>
  <c r="R25" i="464"/>
  <c r="T24" i="464"/>
  <c r="S24" i="464"/>
  <c r="R24" i="464"/>
  <c r="T23" i="464"/>
  <c r="S23" i="464"/>
  <c r="R23" i="464"/>
  <c r="T22" i="464"/>
  <c r="S22" i="464"/>
  <c r="R22" i="464"/>
  <c r="T21" i="464"/>
  <c r="S21" i="464"/>
  <c r="R21" i="464"/>
  <c r="T20" i="464"/>
  <c r="S20" i="464"/>
  <c r="R20" i="464"/>
  <c r="T19" i="464"/>
  <c r="S19" i="464"/>
  <c r="R19" i="464"/>
  <c r="T18" i="464"/>
  <c r="S18" i="464"/>
  <c r="R18" i="464"/>
  <c r="T17" i="464"/>
  <c r="S17" i="464"/>
  <c r="R17" i="464"/>
  <c r="T16" i="464"/>
  <c r="S16" i="464"/>
  <c r="R16" i="464"/>
  <c r="T15" i="464"/>
  <c r="S15" i="464"/>
  <c r="R15" i="464"/>
  <c r="T14" i="464"/>
  <c r="S14" i="464"/>
  <c r="R14" i="464"/>
  <c r="T13" i="464"/>
  <c r="S13" i="464"/>
  <c r="R13" i="464"/>
  <c r="T12" i="464"/>
  <c r="S12" i="464"/>
  <c r="R12" i="464"/>
  <c r="T11" i="464"/>
  <c r="S11" i="464"/>
  <c r="R11" i="464"/>
  <c r="T10" i="464"/>
  <c r="S10" i="464"/>
  <c r="R10" i="464"/>
  <c r="T9" i="464"/>
  <c r="S9" i="464"/>
  <c r="R9" i="464"/>
  <c r="T8" i="464"/>
  <c r="S8" i="464"/>
  <c r="R8" i="464"/>
  <c r="T7" i="464"/>
  <c r="S7" i="464"/>
  <c r="R7" i="464"/>
  <c r="T6" i="464"/>
  <c r="S6" i="464"/>
  <c r="R6" i="464"/>
  <c r="T5" i="464"/>
  <c r="S5" i="464"/>
  <c r="R5" i="464"/>
  <c r="T4" i="464"/>
  <c r="S4" i="464"/>
  <c r="R4" i="464"/>
  <c r="T3" i="464"/>
  <c r="S3" i="464"/>
  <c r="R3" i="464"/>
  <c r="T2" i="464"/>
  <c r="S2" i="464"/>
  <c r="R2" i="464"/>
  <c r="L9" i="466" l="1"/>
  <c r="J9" i="466"/>
  <c r="K9" i="466"/>
  <c r="L28" i="466"/>
  <c r="J28" i="466"/>
  <c r="I28" i="466"/>
  <c r="K28" i="466"/>
  <c r="J16" i="466"/>
  <c r="L16" i="466"/>
  <c r="I16" i="466"/>
  <c r="K16" i="466"/>
  <c r="K10" i="466"/>
  <c r="J10" i="466"/>
  <c r="L10" i="466"/>
  <c r="J12" i="466"/>
  <c r="I12" i="466"/>
  <c r="L12" i="466"/>
  <c r="K12" i="466"/>
  <c r="I13" i="463"/>
  <c r="K13" i="463"/>
  <c r="L13" i="463"/>
  <c r="J13" i="463"/>
  <c r="K11" i="463"/>
  <c r="I11" i="463"/>
  <c r="L11" i="463"/>
  <c r="J11" i="463"/>
  <c r="K17" i="463"/>
  <c r="L17" i="463"/>
  <c r="J17" i="463"/>
  <c r="I17" i="463"/>
  <c r="I15" i="463"/>
  <c r="J15" i="463"/>
  <c r="L15" i="463"/>
  <c r="K15" i="463"/>
  <c r="I9" i="463"/>
  <c r="J9" i="463"/>
  <c r="L9" i="463"/>
  <c r="K9" i="463"/>
  <c r="K14" i="463"/>
  <c r="J14" i="463"/>
  <c r="L14" i="463"/>
  <c r="I14" i="463"/>
  <c r="C16" i="463"/>
  <c r="C13" i="466"/>
  <c r="C15" i="466"/>
  <c r="C7" i="466"/>
  <c r="C26" i="466"/>
  <c r="C19" i="463"/>
  <c r="C8" i="466"/>
  <c r="C18" i="463"/>
  <c r="D8" i="466"/>
  <c r="D14" i="466"/>
  <c r="L14" i="466" s="1"/>
  <c r="D7" i="466"/>
  <c r="D13" i="466"/>
  <c r="D30" i="466"/>
  <c r="D15" i="466"/>
  <c r="C10" i="463"/>
  <c r="C12" i="463"/>
  <c r="C23" i="466"/>
  <c r="C25" i="466"/>
  <c r="C31" i="466"/>
  <c r="C5" i="466"/>
  <c r="C32" i="466"/>
  <c r="F36" i="466"/>
  <c r="F18" i="466"/>
  <c r="I7" i="466" l="1"/>
  <c r="C36" i="466"/>
  <c r="J30" i="466"/>
  <c r="D36" i="466"/>
  <c r="C18" i="466"/>
  <c r="D18" i="466"/>
  <c r="K30" i="466"/>
  <c r="J31" i="466"/>
  <c r="K31" i="466"/>
  <c r="L31" i="466"/>
  <c r="I31" i="466"/>
  <c r="L26" i="466"/>
  <c r="K26" i="466"/>
  <c r="I26" i="466"/>
  <c r="J26" i="466"/>
  <c r="I30" i="466"/>
  <c r="I14" i="466"/>
  <c r="K7" i="466"/>
  <c r="L7" i="466"/>
  <c r="J7" i="466"/>
  <c r="J14" i="466"/>
  <c r="L30" i="466"/>
  <c r="K13" i="466"/>
  <c r="L13" i="466"/>
  <c r="J13" i="466"/>
  <c r="I13" i="466"/>
  <c r="I25" i="466"/>
  <c r="K25" i="466"/>
  <c r="L25" i="466"/>
  <c r="J25" i="466"/>
  <c r="I15" i="466"/>
  <c r="K15" i="466"/>
  <c r="L15" i="466"/>
  <c r="J15" i="466"/>
  <c r="K14" i="466"/>
  <c r="I23" i="466"/>
  <c r="J23" i="466"/>
  <c r="K23" i="466"/>
  <c r="L23" i="466"/>
  <c r="J8" i="466"/>
  <c r="I8" i="466"/>
  <c r="K8" i="466"/>
  <c r="L8" i="466"/>
  <c r="L22" i="466"/>
  <c r="K22" i="466"/>
  <c r="J22" i="466"/>
  <c r="I22" i="466"/>
  <c r="I5" i="466"/>
  <c r="J5" i="466"/>
  <c r="K5" i="466"/>
  <c r="L5" i="466"/>
  <c r="L18" i="466" s="1"/>
  <c r="J32" i="466"/>
  <c r="L32" i="466"/>
  <c r="I32" i="466"/>
  <c r="K32" i="466"/>
  <c r="K4" i="466"/>
  <c r="J4" i="466"/>
  <c r="L4" i="466"/>
  <c r="J10" i="463"/>
  <c r="L10" i="463"/>
  <c r="K10" i="463"/>
  <c r="I10" i="463"/>
  <c r="L12" i="463"/>
  <c r="I12" i="463"/>
  <c r="J12" i="463"/>
  <c r="K12" i="463"/>
  <c r="K18" i="463"/>
  <c r="I18" i="463"/>
  <c r="L18" i="463"/>
  <c r="J18" i="463"/>
  <c r="K16" i="463"/>
  <c r="J16" i="463"/>
  <c r="I16" i="463"/>
  <c r="L16" i="463"/>
  <c r="I19" i="463"/>
  <c r="J19" i="463"/>
  <c r="L19" i="463"/>
  <c r="K19" i="463"/>
  <c r="I20" i="463" l="1"/>
  <c r="J20" i="463"/>
  <c r="L36" i="466"/>
  <c r="J18" i="466"/>
  <c r="K18" i="466"/>
  <c r="E7" i="409"/>
  <c r="C7" i="409"/>
  <c r="D7" i="409"/>
  <c r="I18" i="466"/>
  <c r="E8" i="409"/>
  <c r="I36" i="466"/>
  <c r="J36" i="466"/>
  <c r="K36" i="466"/>
  <c r="K20" i="463"/>
  <c r="L20" i="463"/>
  <c r="B8" i="400"/>
  <c r="D8" i="400"/>
  <c r="C8" i="400"/>
  <c r="E8" i="400"/>
  <c r="H18" i="466"/>
  <c r="G18" i="466"/>
  <c r="H36" i="466"/>
  <c r="G36" i="466"/>
  <c r="D8" i="409" l="1"/>
  <c r="C8" i="409"/>
  <c r="B8" i="409"/>
  <c r="C20" i="463"/>
  <c r="B20" i="463"/>
  <c r="E20" i="463"/>
  <c r="D20" i="463"/>
  <c r="H8" i="389" l="1"/>
  <c r="H8" i="387"/>
  <c r="H8" i="412"/>
  <c r="H8" i="411"/>
  <c r="H8" i="408"/>
  <c r="H8" i="386"/>
  <c r="H8" i="385"/>
  <c r="H8" i="384"/>
  <c r="H8" i="405"/>
  <c r="H8" i="383"/>
  <c r="B3" i="383" s="1"/>
  <c r="H8" i="404"/>
  <c r="H8" i="403"/>
  <c r="H8" i="402"/>
  <c r="H8" i="401"/>
  <c r="H8" i="382"/>
  <c r="H8" i="381"/>
  <c r="H8" i="380"/>
  <c r="H8" i="379"/>
  <c r="B3" i="379" s="1"/>
  <c r="H8" i="378"/>
  <c r="H8" i="377"/>
  <c r="H8" i="395"/>
  <c r="H8" i="397"/>
  <c r="H8" i="394"/>
  <c r="H8" i="376"/>
  <c r="H8" i="375"/>
  <c r="H8" i="392"/>
  <c r="H8" i="374"/>
  <c r="H8" i="373"/>
  <c r="H8" i="372"/>
  <c r="H8" i="371"/>
  <c r="H8" i="364"/>
  <c r="H8" i="370"/>
  <c r="H8" i="369"/>
  <c r="H8" i="391"/>
  <c r="H8" i="367"/>
  <c r="B3" i="367" s="1"/>
  <c r="H8" i="366"/>
  <c r="B3" i="366" s="1"/>
  <c r="H8" i="363"/>
  <c r="B3" i="363" s="1"/>
  <c r="H8" i="365"/>
  <c r="H8" i="360"/>
  <c r="B4" i="380" l="1"/>
  <c r="P66" i="362"/>
  <c r="Q66" i="362"/>
  <c r="R66" i="362"/>
  <c r="S66" i="362"/>
  <c r="T66" i="362"/>
  <c r="P67" i="362"/>
  <c r="Q67" i="362"/>
  <c r="R67" i="362"/>
  <c r="S67" i="362"/>
  <c r="T67" i="362"/>
  <c r="P68" i="362"/>
  <c r="Q68" i="362"/>
  <c r="R68" i="362"/>
  <c r="S68" i="362"/>
  <c r="T68" i="362"/>
  <c r="P113" i="361"/>
  <c r="Q113" i="361"/>
  <c r="R113" i="361"/>
  <c r="S113" i="361"/>
  <c r="C3" i="379" l="1"/>
  <c r="D3" i="379" s="1"/>
  <c r="C4" i="380"/>
  <c r="B10" i="380"/>
  <c r="D4" i="380" l="1"/>
  <c r="C10" i="380"/>
  <c r="E3" i="379"/>
  <c r="C3" i="383"/>
  <c r="K67" i="362"/>
  <c r="E4" i="380" l="1"/>
  <c r="D10" i="380"/>
  <c r="D3" i="383"/>
  <c r="B4" i="414"/>
  <c r="C4" i="414"/>
  <c r="D4" i="414"/>
  <c r="E4" i="414"/>
  <c r="E10" i="414" l="1"/>
  <c r="D10" i="414"/>
  <c r="C10" i="414"/>
  <c r="E10" i="380"/>
  <c r="B10" i="414"/>
  <c r="E3" i="383"/>
  <c r="C11" i="414" l="1"/>
  <c r="E11" i="414"/>
  <c r="B11" i="414"/>
  <c r="D11" i="414"/>
  <c r="E113" i="361"/>
  <c r="B3" i="409" l="1"/>
  <c r="B5" i="409" s="1"/>
  <c r="C3" i="409"/>
  <c r="C5" i="409" s="1"/>
  <c r="D3" i="409"/>
  <c r="D5" i="409" s="1"/>
  <c r="E3" i="409"/>
  <c r="E5" i="409" s="1"/>
  <c r="D113" i="361"/>
  <c r="G113" i="361"/>
  <c r="H113" i="361"/>
  <c r="I113" i="361"/>
  <c r="J113" i="361"/>
  <c r="K113" i="361"/>
  <c r="L113" i="361"/>
  <c r="M113" i="361"/>
  <c r="N113" i="361"/>
  <c r="O113" i="361"/>
  <c r="E11" i="409" l="1"/>
  <c r="D11" i="409"/>
  <c r="C11" i="409"/>
  <c r="B11" i="409"/>
  <c r="B4" i="400"/>
  <c r="B10" i="400" s="1"/>
  <c r="C4" i="400"/>
  <c r="C10" i="400" s="1"/>
  <c r="D4" i="400"/>
  <c r="D10" i="400" s="1"/>
  <c r="E4" i="400"/>
  <c r="E10" i="400" s="1"/>
  <c r="O68" i="362" l="1"/>
  <c r="O67" i="362"/>
  <c r="D66" i="362" l="1"/>
  <c r="E66" i="362"/>
  <c r="G66" i="362"/>
  <c r="H66" i="362"/>
  <c r="I66" i="362"/>
  <c r="J66" i="362"/>
  <c r="K66" i="362"/>
  <c r="L66" i="362"/>
  <c r="M66" i="362"/>
  <c r="N66" i="362"/>
  <c r="O66" i="362"/>
  <c r="D67" i="362"/>
  <c r="E67" i="362"/>
  <c r="F67" i="362"/>
  <c r="G67" i="362"/>
  <c r="H67" i="362"/>
  <c r="I67" i="362"/>
  <c r="J67" i="362"/>
  <c r="L67" i="362"/>
  <c r="M67" i="362"/>
  <c r="N67" i="362"/>
  <c r="D68" i="362"/>
  <c r="E68" i="362"/>
  <c r="F68" i="362"/>
  <c r="G68" i="362"/>
  <c r="H68" i="362"/>
  <c r="I68" i="362"/>
  <c r="J68" i="362"/>
  <c r="K68" i="362"/>
  <c r="L68" i="362"/>
  <c r="M68" i="362"/>
  <c r="N68" i="362"/>
  <c r="B4" i="403"/>
  <c r="C4" i="403"/>
  <c r="D4" i="403"/>
  <c r="E4" i="403"/>
  <c r="B4" i="382"/>
  <c r="C4" i="382"/>
  <c r="D4" i="382"/>
  <c r="E4" i="382"/>
  <c r="B4" i="378"/>
  <c r="C4" i="378"/>
  <c r="D4" i="378"/>
  <c r="E4" i="378"/>
  <c r="B4" i="377"/>
  <c r="C4" i="377"/>
  <c r="D4" i="377"/>
  <c r="E4" i="377"/>
  <c r="B4" i="375"/>
  <c r="C4" i="375"/>
  <c r="D4" i="375"/>
  <c r="E4" i="375"/>
  <c r="B4" i="392"/>
  <c r="C4" i="392"/>
  <c r="D4" i="392"/>
  <c r="E4" i="392"/>
  <c r="B4" i="369"/>
  <c r="C4" i="369"/>
  <c r="D4" i="369"/>
  <c r="E4" i="369"/>
  <c r="E10" i="377" l="1"/>
  <c r="B10" i="392"/>
  <c r="B5" i="392"/>
  <c r="D10" i="377"/>
  <c r="C10" i="403"/>
  <c r="C10" i="377"/>
  <c r="E10" i="382"/>
  <c r="B10" i="403"/>
  <c r="D10" i="403"/>
  <c r="E10" i="375"/>
  <c r="B5" i="377"/>
  <c r="B10" i="377"/>
  <c r="D10" i="382"/>
  <c r="D5" i="382"/>
  <c r="E10" i="369"/>
  <c r="B10" i="369"/>
  <c r="D10" i="375"/>
  <c r="C5" i="382"/>
  <c r="C10" i="382"/>
  <c r="B10" i="378"/>
  <c r="C10" i="375"/>
  <c r="C5" i="375"/>
  <c r="E10" i="378"/>
  <c r="B10" i="382"/>
  <c r="B5" i="382"/>
  <c r="C10" i="369"/>
  <c r="E10" i="392"/>
  <c r="B10" i="375"/>
  <c r="B5" i="375"/>
  <c r="D10" i="378"/>
  <c r="C5" i="392"/>
  <c r="C10" i="392"/>
  <c r="D10" i="369"/>
  <c r="D10" i="392"/>
  <c r="C10" i="378"/>
  <c r="E10" i="403"/>
  <c r="U67" i="362"/>
  <c r="V67" i="362" s="1"/>
  <c r="U66" i="362"/>
  <c r="V66" i="362" s="1"/>
  <c r="U68" i="362"/>
  <c r="V68" i="362" s="1"/>
  <c r="B3" i="400"/>
  <c r="B5" i="400" s="1"/>
  <c r="C3" i="400"/>
  <c r="C5" i="400" s="1"/>
  <c r="D3" i="400"/>
  <c r="D5" i="400" s="1"/>
  <c r="E3" i="400"/>
  <c r="E5" i="400" s="1"/>
  <c r="B11" i="382" l="1"/>
  <c r="D11" i="382"/>
  <c r="B11" i="392"/>
  <c r="C11" i="375"/>
  <c r="B11" i="377"/>
  <c r="B11" i="369"/>
  <c r="D11" i="369"/>
  <c r="B11" i="375"/>
  <c r="C11" i="392"/>
  <c r="C11" i="369"/>
  <c r="C11" i="382"/>
  <c r="E11" i="369"/>
  <c r="E11" i="400"/>
  <c r="D11" i="400"/>
  <c r="C11" i="400"/>
  <c r="B11" i="400"/>
  <c r="B4" i="389"/>
  <c r="C4" i="389"/>
  <c r="D4" i="389"/>
  <c r="E4" i="389"/>
  <c r="B4" i="387"/>
  <c r="C4" i="387"/>
  <c r="D4" i="387"/>
  <c r="E4" i="387"/>
  <c r="E5" i="389" l="1"/>
  <c r="E10" i="389"/>
  <c r="E10" i="387"/>
  <c r="D10" i="389"/>
  <c r="D5" i="389"/>
  <c r="D10" i="387"/>
  <c r="C5" i="389"/>
  <c r="C10" i="389"/>
  <c r="C10" i="387"/>
  <c r="B10" i="389"/>
  <c r="B5" i="389"/>
  <c r="B10" i="387"/>
  <c r="B4" i="412"/>
  <c r="C4" i="412"/>
  <c r="D4" i="412"/>
  <c r="E4" i="412"/>
  <c r="B4" i="411"/>
  <c r="C4" i="411"/>
  <c r="D4" i="411"/>
  <c r="E4" i="411"/>
  <c r="B4" i="410"/>
  <c r="C4" i="410"/>
  <c r="D4" i="410"/>
  <c r="E4" i="410"/>
  <c r="B4" i="408"/>
  <c r="B10" i="408" s="1"/>
  <c r="B11" i="408" s="1"/>
  <c r="C4" i="408"/>
  <c r="C10" i="408" s="1"/>
  <c r="C11" i="408" s="1"/>
  <c r="D4" i="408"/>
  <c r="D10" i="408" s="1"/>
  <c r="D11" i="408" s="1"/>
  <c r="E4" i="408"/>
  <c r="B3" i="408"/>
  <c r="C3" i="408"/>
  <c r="D3" i="408"/>
  <c r="E3" i="408"/>
  <c r="B4" i="386"/>
  <c r="B10" i="386" s="1"/>
  <c r="C4" i="386"/>
  <c r="C10" i="386" s="1"/>
  <c r="D4" i="386"/>
  <c r="D10" i="386" s="1"/>
  <c r="E4" i="386"/>
  <c r="B3" i="386"/>
  <c r="C3" i="386"/>
  <c r="D3" i="386"/>
  <c r="D5" i="386" s="1"/>
  <c r="E3" i="386"/>
  <c r="B4" i="385"/>
  <c r="B10" i="385" s="1"/>
  <c r="C4" i="385"/>
  <c r="C10" i="385" s="1"/>
  <c r="D4" i="385"/>
  <c r="D10" i="385" s="1"/>
  <c r="E4" i="385"/>
  <c r="B3" i="385"/>
  <c r="B5" i="385" s="1"/>
  <c r="C3" i="385"/>
  <c r="D3" i="385"/>
  <c r="D5" i="385" s="1"/>
  <c r="E3" i="385"/>
  <c r="E4" i="384"/>
  <c r="D4" i="384"/>
  <c r="D10" i="384" s="1"/>
  <c r="C4" i="384"/>
  <c r="C10" i="384" s="1"/>
  <c r="B4" i="384"/>
  <c r="B10" i="384" s="1"/>
  <c r="E3" i="384"/>
  <c r="D3" i="384"/>
  <c r="C3" i="384"/>
  <c r="B3" i="384"/>
  <c r="B4" i="405"/>
  <c r="B10" i="405" s="1"/>
  <c r="C4" i="405"/>
  <c r="C10" i="405" s="1"/>
  <c r="D4" i="405"/>
  <c r="D10" i="405" s="1"/>
  <c r="E4" i="405"/>
  <c r="B3" i="405"/>
  <c r="C3" i="405"/>
  <c r="D3" i="405"/>
  <c r="E3" i="405"/>
  <c r="B4" i="383"/>
  <c r="C4" i="383"/>
  <c r="D4" i="383"/>
  <c r="E4" i="383"/>
  <c r="D5" i="408" l="1"/>
  <c r="E11" i="389"/>
  <c r="E5" i="386"/>
  <c r="B5" i="384"/>
  <c r="D5" i="384"/>
  <c r="E5" i="384"/>
  <c r="C5" i="385"/>
  <c r="B11" i="389"/>
  <c r="E5" i="408"/>
  <c r="C5" i="405"/>
  <c r="C5" i="408"/>
  <c r="D10" i="411"/>
  <c r="B5" i="405"/>
  <c r="B11" i="405" s="1"/>
  <c r="E10" i="384"/>
  <c r="E10" i="386"/>
  <c r="E11" i="386" s="1"/>
  <c r="B5" i="408"/>
  <c r="C10" i="411"/>
  <c r="B10" i="404"/>
  <c r="D5" i="405"/>
  <c r="E10" i="383"/>
  <c r="E5" i="383"/>
  <c r="D10" i="383"/>
  <c r="D5" i="383"/>
  <c r="C5" i="384"/>
  <c r="E5" i="385"/>
  <c r="E10" i="410"/>
  <c r="B10" i="411"/>
  <c r="C10" i="383"/>
  <c r="C5" i="383"/>
  <c r="E10" i="405"/>
  <c r="E10" i="408"/>
  <c r="E11" i="408" s="1"/>
  <c r="D10" i="410"/>
  <c r="B10" i="383"/>
  <c r="B5" i="383"/>
  <c r="C10" i="410"/>
  <c r="E10" i="412"/>
  <c r="E10" i="404"/>
  <c r="E5" i="404"/>
  <c r="B10" i="410"/>
  <c r="D10" i="412"/>
  <c r="C5" i="404"/>
  <c r="C10" i="404"/>
  <c r="E5" i="405"/>
  <c r="C5" i="386"/>
  <c r="C10" i="412"/>
  <c r="D11" i="389"/>
  <c r="D5" i="404"/>
  <c r="D10" i="404"/>
  <c r="E10" i="385"/>
  <c r="B5" i="386"/>
  <c r="E10" i="411"/>
  <c r="B10" i="412"/>
  <c r="C11" i="389"/>
  <c r="B11" i="384"/>
  <c r="D11" i="384"/>
  <c r="D11" i="385"/>
  <c r="B11" i="386"/>
  <c r="C11" i="384"/>
  <c r="B11" i="385"/>
  <c r="D11" i="386"/>
  <c r="B4" i="402"/>
  <c r="C4" i="402"/>
  <c r="D4" i="402"/>
  <c r="E4" i="402"/>
  <c r="B4" i="401"/>
  <c r="B10" i="401" s="1"/>
  <c r="C4" i="401"/>
  <c r="C10" i="401" s="1"/>
  <c r="D4" i="401"/>
  <c r="D10" i="401" s="1"/>
  <c r="E4" i="401"/>
  <c r="B3" i="401"/>
  <c r="C3" i="401"/>
  <c r="D3" i="401"/>
  <c r="E3" i="401"/>
  <c r="E11" i="405" l="1"/>
  <c r="D11" i="405"/>
  <c r="E11" i="385"/>
  <c r="C11" i="404"/>
  <c r="C11" i="386"/>
  <c r="C11" i="405"/>
  <c r="E11" i="384"/>
  <c r="C11" i="385"/>
  <c r="B5" i="401"/>
  <c r="C10" i="417"/>
  <c r="E11" i="404"/>
  <c r="E11" i="383"/>
  <c r="B10" i="402"/>
  <c r="B5" i="402"/>
  <c r="D11" i="404"/>
  <c r="E5" i="401"/>
  <c r="D5" i="401"/>
  <c r="D11" i="401" s="1"/>
  <c r="C5" i="402"/>
  <c r="C10" i="402"/>
  <c r="E10" i="401"/>
  <c r="C5" i="401"/>
  <c r="E10" i="402"/>
  <c r="E5" i="402"/>
  <c r="E10" i="417"/>
  <c r="D5" i="402"/>
  <c r="D10" i="402"/>
  <c r="C11" i="383"/>
  <c r="D11" i="383"/>
  <c r="D10" i="417"/>
  <c r="B11" i="383"/>
  <c r="C11" i="401"/>
  <c r="B11" i="401"/>
  <c r="B4" i="379"/>
  <c r="C4" i="379"/>
  <c r="D4" i="379"/>
  <c r="E4" i="379"/>
  <c r="E11" i="401" l="1"/>
  <c r="C11" i="402"/>
  <c r="D11" i="402"/>
  <c r="B11" i="402"/>
  <c r="E10" i="379"/>
  <c r="E5" i="379"/>
  <c r="D10" i="379"/>
  <c r="D5" i="379"/>
  <c r="E11" i="402"/>
  <c r="C10" i="379"/>
  <c r="C5" i="379"/>
  <c r="B10" i="379"/>
  <c r="B5" i="379"/>
  <c r="B4" i="396"/>
  <c r="C4" i="396"/>
  <c r="D4" i="396"/>
  <c r="E4" i="396"/>
  <c r="B4" i="397"/>
  <c r="B10" i="397" s="1"/>
  <c r="C4" i="397"/>
  <c r="C10" i="397" s="1"/>
  <c r="D4" i="397"/>
  <c r="D10" i="397" s="1"/>
  <c r="E4" i="397"/>
  <c r="B3" i="397"/>
  <c r="C3" i="397"/>
  <c r="D3" i="397"/>
  <c r="E3" i="397"/>
  <c r="B4" i="395"/>
  <c r="C4" i="395"/>
  <c r="D4" i="395"/>
  <c r="E4" i="395"/>
  <c r="B4" i="394"/>
  <c r="C4" i="394"/>
  <c r="D4" i="394"/>
  <c r="E4" i="394"/>
  <c r="B4" i="376"/>
  <c r="C4" i="376"/>
  <c r="D4" i="376"/>
  <c r="E4" i="376"/>
  <c r="B4" i="374"/>
  <c r="B10" i="374" s="1"/>
  <c r="C4" i="374"/>
  <c r="C10" i="374" s="1"/>
  <c r="D4" i="374"/>
  <c r="D10" i="374" s="1"/>
  <c r="E4" i="374"/>
  <c r="B3" i="374"/>
  <c r="C3" i="374"/>
  <c r="D3" i="374"/>
  <c r="D5" i="374" s="1"/>
  <c r="E3" i="374"/>
  <c r="E5" i="374" l="1"/>
  <c r="E10" i="376"/>
  <c r="B10" i="394"/>
  <c r="B5" i="394"/>
  <c r="D5" i="397"/>
  <c r="E11" i="379"/>
  <c r="E10" i="394"/>
  <c r="E5" i="394"/>
  <c r="B5" i="374"/>
  <c r="B11" i="374" s="1"/>
  <c r="E10" i="374"/>
  <c r="D10" i="376"/>
  <c r="C5" i="397"/>
  <c r="C11" i="397" s="1"/>
  <c r="E10" i="396"/>
  <c r="D11" i="379"/>
  <c r="C10" i="376"/>
  <c r="E10" i="395"/>
  <c r="B5" i="397"/>
  <c r="B11" i="397" s="1"/>
  <c r="D10" i="396"/>
  <c r="B10" i="376"/>
  <c r="D10" i="395"/>
  <c r="C10" i="396"/>
  <c r="B11" i="379"/>
  <c r="C10" i="395"/>
  <c r="E10" i="397"/>
  <c r="B10" i="396"/>
  <c r="C11" i="379"/>
  <c r="B10" i="395"/>
  <c r="D5" i="394"/>
  <c r="D10" i="394"/>
  <c r="C5" i="374"/>
  <c r="C11" i="374" s="1"/>
  <c r="C10" i="394"/>
  <c r="C5" i="394"/>
  <c r="E5" i="397"/>
  <c r="E11" i="374"/>
  <c r="D11" i="374"/>
  <c r="B4" i="390"/>
  <c r="C4" i="390"/>
  <c r="D4" i="390"/>
  <c r="E4" i="390"/>
  <c r="B4" i="373"/>
  <c r="C4" i="373"/>
  <c r="D4" i="373"/>
  <c r="E4" i="373"/>
  <c r="B4" i="372"/>
  <c r="C4" i="372"/>
  <c r="D4" i="372"/>
  <c r="E4" i="372"/>
  <c r="B4" i="371"/>
  <c r="C4" i="371"/>
  <c r="D4" i="371"/>
  <c r="E4" i="371"/>
  <c r="E11" i="397" l="1"/>
  <c r="D11" i="397"/>
  <c r="C11" i="394"/>
  <c r="B11" i="394"/>
  <c r="B10" i="371"/>
  <c r="B5" i="371"/>
  <c r="C10" i="371"/>
  <c r="C5" i="371"/>
  <c r="D10" i="373"/>
  <c r="C10" i="373"/>
  <c r="C5" i="373"/>
  <c r="E11" i="394"/>
  <c r="B10" i="373"/>
  <c r="B5" i="373"/>
  <c r="B10" i="390"/>
  <c r="B5" i="390"/>
  <c r="E10" i="372"/>
  <c r="D10" i="372"/>
  <c r="D11" i="394"/>
  <c r="B11" i="376"/>
  <c r="E10" i="390"/>
  <c r="E5" i="390"/>
  <c r="C10" i="372"/>
  <c r="B10" i="372"/>
  <c r="D10" i="390"/>
  <c r="D5" i="390"/>
  <c r="C11" i="376"/>
  <c r="D11" i="376"/>
  <c r="E10" i="373"/>
  <c r="E10" i="371"/>
  <c r="E5" i="371"/>
  <c r="D10" i="371"/>
  <c r="D5" i="371"/>
  <c r="C10" i="390"/>
  <c r="C5" i="390"/>
  <c r="E11" i="376"/>
  <c r="B4" i="364"/>
  <c r="B10" i="364" s="1"/>
  <c r="C4" i="364"/>
  <c r="C10" i="364" s="1"/>
  <c r="D4" i="364"/>
  <c r="D10" i="364" s="1"/>
  <c r="E4" i="364"/>
  <c r="B3" i="364"/>
  <c r="C3" i="364"/>
  <c r="D3" i="364"/>
  <c r="E3" i="364"/>
  <c r="B4" i="370"/>
  <c r="B10" i="370" s="1"/>
  <c r="B11" i="370" s="1"/>
  <c r="C4" i="370"/>
  <c r="C10" i="370" s="1"/>
  <c r="D4" i="370"/>
  <c r="D10" i="370" s="1"/>
  <c r="E4" i="370"/>
  <c r="B3" i="370"/>
  <c r="C3" i="370"/>
  <c r="D3" i="370"/>
  <c r="E3" i="370"/>
  <c r="B4" i="391"/>
  <c r="C4" i="391"/>
  <c r="D4" i="391"/>
  <c r="E4" i="391"/>
  <c r="B4" i="367"/>
  <c r="C4" i="367"/>
  <c r="C10" i="367" s="1"/>
  <c r="D4" i="367"/>
  <c r="D10" i="367" s="1"/>
  <c r="E4" i="367"/>
  <c r="B4" i="366"/>
  <c r="C4" i="366"/>
  <c r="C10" i="366" s="1"/>
  <c r="D4" i="366"/>
  <c r="D10" i="366" s="1"/>
  <c r="E4" i="366"/>
  <c r="B4" i="363"/>
  <c r="B10" i="363" s="1"/>
  <c r="C4" i="363"/>
  <c r="C10" i="363" s="1"/>
  <c r="D4" i="363"/>
  <c r="D10" i="363" s="1"/>
  <c r="E4" i="363"/>
  <c r="E5" i="370" l="1"/>
  <c r="E11" i="390"/>
  <c r="B11" i="390"/>
  <c r="E5" i="364"/>
  <c r="C5" i="364"/>
  <c r="E10" i="363"/>
  <c r="E11" i="371"/>
  <c r="C11" i="373"/>
  <c r="C10" i="391"/>
  <c r="E10" i="370"/>
  <c r="B5" i="364"/>
  <c r="B11" i="364" s="1"/>
  <c r="D11" i="390"/>
  <c r="E10" i="367"/>
  <c r="B10" i="391"/>
  <c r="B10" i="366"/>
  <c r="E10" i="364"/>
  <c r="C11" i="390"/>
  <c r="D10" i="391"/>
  <c r="E10" i="366"/>
  <c r="B10" i="367"/>
  <c r="B5" i="367"/>
  <c r="D5" i="370"/>
  <c r="B11" i="373"/>
  <c r="C5" i="370"/>
  <c r="B11" i="371"/>
  <c r="E10" i="391"/>
  <c r="B5" i="370"/>
  <c r="D5" i="364"/>
  <c r="D11" i="364" s="1"/>
  <c r="D11" i="371"/>
  <c r="C11" i="371"/>
  <c r="D11" i="370"/>
  <c r="B4" i="365"/>
  <c r="B10" i="365" s="1"/>
  <c r="C4" i="365"/>
  <c r="D4" i="365"/>
  <c r="D10" i="365" s="1"/>
  <c r="E4" i="365"/>
  <c r="B3" i="365"/>
  <c r="D3" i="365"/>
  <c r="E3" i="365"/>
  <c r="B4" i="360"/>
  <c r="C4" i="360"/>
  <c r="D4" i="360"/>
  <c r="E4" i="360"/>
  <c r="C11" i="370" l="1"/>
  <c r="C11" i="364"/>
  <c r="E11" i="370"/>
  <c r="E11" i="364"/>
  <c r="E5" i="365"/>
  <c r="D5" i="365"/>
  <c r="D11" i="365" s="1"/>
  <c r="B5" i="365"/>
  <c r="E10" i="360"/>
  <c r="B11" i="367"/>
  <c r="D10" i="360"/>
  <c r="E10" i="365"/>
  <c r="C10" i="360"/>
  <c r="B10" i="360"/>
  <c r="C10" i="365"/>
  <c r="C5" i="365"/>
  <c r="B11" i="365"/>
  <c r="B11" i="363"/>
  <c r="C3" i="363"/>
  <c r="C3" i="367"/>
  <c r="C5" i="367" s="1"/>
  <c r="E11" i="365" l="1"/>
  <c r="C11" i="365"/>
  <c r="C11" i="367"/>
  <c r="C11" i="363"/>
  <c r="D3" i="367"/>
  <c r="D5" i="367" s="1"/>
  <c r="D3" i="363"/>
  <c r="D11" i="363" l="1"/>
  <c r="D11" i="367"/>
  <c r="E3" i="363"/>
  <c r="E3" i="367"/>
  <c r="E5" i="367" s="1"/>
  <c r="E11" i="363" l="1"/>
  <c r="E11" i="367"/>
  <c r="H5" i="417" l="1"/>
  <c r="H4" i="417"/>
  <c r="H5" i="415"/>
  <c r="H4" i="415"/>
  <c r="H4" i="414"/>
  <c r="D5" i="417" l="1"/>
  <c r="E5" i="417"/>
  <c r="C5" i="417"/>
  <c r="B3" i="415"/>
  <c r="B5" i="415" s="1"/>
  <c r="C3" i="415"/>
  <c r="C5" i="415" s="1"/>
  <c r="D3" i="415"/>
  <c r="D5" i="415" s="1"/>
  <c r="E3" i="415"/>
  <c r="E5" i="415" s="1"/>
  <c r="E11" i="417" l="1"/>
  <c r="C11" i="417"/>
  <c r="C12" i="417" s="1"/>
  <c r="D11" i="417"/>
  <c r="D12" i="417" s="1"/>
  <c r="D14" i="417" s="1"/>
  <c r="E11" i="415"/>
  <c r="D11" i="415"/>
  <c r="C11" i="415"/>
  <c r="B11" i="415"/>
  <c r="B12" i="414"/>
  <c r="B14" i="414" s="1"/>
  <c r="C14" i="417" l="1"/>
  <c r="C15" i="417" s="1"/>
  <c r="C16" i="417" s="1"/>
  <c r="D41" i="473" s="1"/>
  <c r="B15" i="414"/>
  <c r="B16" i="414" s="1"/>
  <c r="C12" i="414"/>
  <c r="C14" i="414" s="1"/>
  <c r="E12" i="417"/>
  <c r="D15" i="417"/>
  <c r="D16" i="417" s="1"/>
  <c r="E14" i="417" l="1"/>
  <c r="E15" i="417" s="1"/>
  <c r="E16" i="417" s="1"/>
  <c r="F41" i="473" s="1"/>
  <c r="C56" i="473"/>
  <c r="C15" i="414"/>
  <c r="C16" i="414" s="1"/>
  <c r="E41" i="473"/>
  <c r="D12" i="414"/>
  <c r="D14" i="414" s="1"/>
  <c r="D56" i="473" l="1"/>
  <c r="D15" i="414"/>
  <c r="D16" i="414" s="1"/>
  <c r="B12" i="415"/>
  <c r="B14" i="415" s="1"/>
  <c r="E56" i="473" l="1"/>
  <c r="E12" i="414"/>
  <c r="E14" i="414" s="1"/>
  <c r="C12" i="415"/>
  <c r="C14" i="415" s="1"/>
  <c r="H5" i="412"/>
  <c r="H4" i="412"/>
  <c r="H5" i="411"/>
  <c r="H4" i="411"/>
  <c r="H5" i="410"/>
  <c r="C3" i="410" s="1"/>
  <c r="C5" i="410" s="1"/>
  <c r="H4" i="410"/>
  <c r="C5" i="412" l="1"/>
  <c r="B5" i="412"/>
  <c r="E5" i="412"/>
  <c r="D5" i="412"/>
  <c r="C11" i="410"/>
  <c r="E15" i="414"/>
  <c r="E16" i="414" s="1"/>
  <c r="B3" i="410"/>
  <c r="B5" i="410" s="1"/>
  <c r="D3" i="410"/>
  <c r="D5" i="410" s="1"/>
  <c r="E3" i="410"/>
  <c r="E5" i="410" s="1"/>
  <c r="B15" i="415"/>
  <c r="B16" i="415" s="1"/>
  <c r="D12" i="415"/>
  <c r="D14" i="415" s="1"/>
  <c r="B3" i="411"/>
  <c r="B5" i="411" s="1"/>
  <c r="E11" i="412" l="1"/>
  <c r="B11" i="412"/>
  <c r="D11" i="412"/>
  <c r="C11" i="412"/>
  <c r="B11" i="410"/>
  <c r="D11" i="410"/>
  <c r="E11" i="410"/>
  <c r="C57" i="473"/>
  <c r="F56" i="473"/>
  <c r="E12" i="415"/>
  <c r="E14" i="415" s="1"/>
  <c r="D8" i="411"/>
  <c r="E8" i="411" s="1"/>
  <c r="C15" i="415"/>
  <c r="C16" i="415" s="1"/>
  <c r="C3" i="411"/>
  <c r="C5" i="411" s="1"/>
  <c r="H5" i="409"/>
  <c r="H4" i="409"/>
  <c r="B11" i="411" l="1"/>
  <c r="C11" i="411"/>
  <c r="D57" i="473"/>
  <c r="D15" i="415"/>
  <c r="D16" i="415" s="1"/>
  <c r="E15" i="415"/>
  <c r="E16" i="415" s="1"/>
  <c r="E3" i="411"/>
  <c r="E5" i="411" s="1"/>
  <c r="D3" i="411"/>
  <c r="D5" i="411" s="1"/>
  <c r="E11" i="411" l="1"/>
  <c r="D11" i="411"/>
  <c r="F57" i="473"/>
  <c r="E57" i="473"/>
  <c r="B12" i="412" l="1"/>
  <c r="B14" i="412" s="1"/>
  <c r="B12" i="409"/>
  <c r="B14" i="409" s="1"/>
  <c r="B12" i="411"/>
  <c r="B14" i="411" s="1"/>
  <c r="C12" i="409" l="1"/>
  <c r="C14" i="409" s="1"/>
  <c r="C12" i="411"/>
  <c r="C14" i="411" s="1"/>
  <c r="C12" i="412"/>
  <c r="C14" i="412" s="1"/>
  <c r="B15" i="412"/>
  <c r="B16" i="412" s="1"/>
  <c r="B15" i="411"/>
  <c r="B16" i="411" s="1"/>
  <c r="B15" i="409"/>
  <c r="C54" i="473" l="1"/>
  <c r="C52" i="473"/>
  <c r="D12" i="411"/>
  <c r="D14" i="411" s="1"/>
  <c r="D12" i="412"/>
  <c r="D14" i="412" s="1"/>
  <c r="B16" i="409"/>
  <c r="C15" i="412"/>
  <c r="C16" i="412" s="1"/>
  <c r="C15" i="411"/>
  <c r="C16" i="411" s="1"/>
  <c r="C15" i="409"/>
  <c r="D12" i="409" l="1"/>
  <c r="D54" i="473"/>
  <c r="D52" i="473"/>
  <c r="C50" i="473"/>
  <c r="C16" i="409"/>
  <c r="D15" i="412"/>
  <c r="D16" i="412" s="1"/>
  <c r="D15" i="411"/>
  <c r="D16" i="411" s="1"/>
  <c r="D14" i="409" l="1"/>
  <c r="D15" i="409" s="1"/>
  <c r="D16" i="409" s="1"/>
  <c r="E12" i="409"/>
  <c r="E54" i="473"/>
  <c r="E52" i="473"/>
  <c r="D50" i="473"/>
  <c r="E12" i="411"/>
  <c r="E12" i="412"/>
  <c r="E14" i="411" l="1"/>
  <c r="E15" i="411" s="1"/>
  <c r="E16" i="411" s="1"/>
  <c r="F52" i="473" s="1"/>
  <c r="E14" i="412"/>
  <c r="E15" i="412" s="1"/>
  <c r="E16" i="412" s="1"/>
  <c r="F54" i="473" s="1"/>
  <c r="E14" i="409"/>
  <c r="E15" i="409" s="1"/>
  <c r="E16" i="409" s="1"/>
  <c r="E50" i="473"/>
  <c r="H5" i="408"/>
  <c r="H4" i="408"/>
  <c r="F50" i="473" l="1"/>
  <c r="B12" i="408" l="1"/>
  <c r="B14" i="408" s="1"/>
  <c r="C12" i="408" l="1"/>
  <c r="C14" i="408" s="1"/>
  <c r="B15" i="408"/>
  <c r="D12" i="408" l="1"/>
  <c r="D14" i="408" s="1"/>
  <c r="B16" i="408"/>
  <c r="C15" i="408"/>
  <c r="C49" i="473" l="1"/>
  <c r="C16" i="408"/>
  <c r="D15" i="408"/>
  <c r="D49" i="473" l="1"/>
  <c r="D16" i="408"/>
  <c r="E12" i="408"/>
  <c r="E14" i="408" l="1"/>
  <c r="E15" i="408" s="1"/>
  <c r="E16" i="408" s="1"/>
  <c r="E49" i="473"/>
  <c r="F49" i="473" l="1"/>
  <c r="H5" i="405" l="1"/>
  <c r="H4" i="405"/>
  <c r="B12" i="405" l="1"/>
  <c r="C12" i="405"/>
  <c r="C14" i="405" s="1"/>
  <c r="B14" i="405" l="1"/>
  <c r="B15" i="405" s="1"/>
  <c r="B16" i="405" s="1"/>
  <c r="C46" i="473" s="1"/>
  <c r="D12" i="405"/>
  <c r="D14" i="405" s="1"/>
  <c r="C15" i="405"/>
  <c r="C16" i="405" s="1"/>
  <c r="D46" i="473" l="1"/>
  <c r="D15" i="405"/>
  <c r="D16" i="405" s="1"/>
  <c r="E46" i="473" l="1"/>
  <c r="E12" i="405"/>
  <c r="H5" i="404"/>
  <c r="B5" i="404" s="1"/>
  <c r="H4" i="404"/>
  <c r="B11" i="404" l="1"/>
  <c r="E14" i="405"/>
  <c r="E15" i="405" s="1"/>
  <c r="E16" i="405" s="1"/>
  <c r="F46" i="473" s="1"/>
  <c r="H5" i="403"/>
  <c r="H4" i="403"/>
  <c r="H5" i="402"/>
  <c r="H4" i="402"/>
  <c r="C5" i="403" l="1"/>
  <c r="E5" i="403"/>
  <c r="B5" i="403"/>
  <c r="D5" i="403"/>
  <c r="D11" i="403" l="1"/>
  <c r="B11" i="403"/>
  <c r="B12" i="403" s="1"/>
  <c r="E11" i="403"/>
  <c r="C11" i="403"/>
  <c r="C12" i="403" s="1"/>
  <c r="C14" i="403" s="1"/>
  <c r="B14" i="403" l="1"/>
  <c r="B15" i="403" s="1"/>
  <c r="B16" i="403" s="1"/>
  <c r="C44" i="473" s="1"/>
  <c r="D12" i="403"/>
  <c r="D14" i="403" s="1"/>
  <c r="C15" i="403"/>
  <c r="C16" i="403" s="1"/>
  <c r="D44" i="473" l="1"/>
  <c r="B12" i="402"/>
  <c r="B14" i="402" s="1"/>
  <c r="D15" i="403"/>
  <c r="D16" i="403" s="1"/>
  <c r="E44" i="473" l="1"/>
  <c r="E12" i="403"/>
  <c r="E14" i="403" s="1"/>
  <c r="B12" i="404"/>
  <c r="B14" i="404" s="1"/>
  <c r="C12" i="402"/>
  <c r="C14" i="402" s="1"/>
  <c r="B15" i="402"/>
  <c r="B16" i="402" s="1"/>
  <c r="E15" i="403" l="1"/>
  <c r="E16" i="403" s="1"/>
  <c r="C43" i="473"/>
  <c r="C12" i="404"/>
  <c r="C14" i="404" s="1"/>
  <c r="D12" i="402"/>
  <c r="D14" i="402" s="1"/>
  <c r="B15" i="404"/>
  <c r="B16" i="404" s="1"/>
  <c r="C15" i="402"/>
  <c r="C16" i="402" s="1"/>
  <c r="C45" i="473" l="1"/>
  <c r="F44" i="473"/>
  <c r="D43" i="473"/>
  <c r="D12" i="404"/>
  <c r="D14" i="404" s="1"/>
  <c r="C15" i="404"/>
  <c r="C16" i="404" s="1"/>
  <c r="D15" i="402"/>
  <c r="D16" i="402" s="1"/>
  <c r="D45" i="473" l="1"/>
  <c r="E43" i="473"/>
  <c r="E12" i="402"/>
  <c r="D15" i="404"/>
  <c r="D16" i="404" s="1"/>
  <c r="H5" i="401"/>
  <c r="H4" i="401"/>
  <c r="E14" i="402" l="1"/>
  <c r="E15" i="402" s="1"/>
  <c r="E16" i="402" s="1"/>
  <c r="F43" i="473" s="1"/>
  <c r="E45" i="473"/>
  <c r="E12" i="404"/>
  <c r="E14" i="404" l="1"/>
  <c r="E15" i="404" s="1"/>
  <c r="E16" i="404" s="1"/>
  <c r="F45" i="473" s="1"/>
  <c r="H5" i="400"/>
  <c r="H4" i="400"/>
  <c r="B12" i="401" l="1"/>
  <c r="B14" i="401" s="1"/>
  <c r="C12" i="401" l="1"/>
  <c r="B15" i="401"/>
  <c r="B16" i="401" s="1"/>
  <c r="C14" i="401" l="1"/>
  <c r="C15" i="401" s="1"/>
  <c r="C16" i="401" s="1"/>
  <c r="D42" i="473" s="1"/>
  <c r="C42" i="473"/>
  <c r="D12" i="401"/>
  <c r="D14" i="401" l="1"/>
  <c r="D15" i="401" s="1"/>
  <c r="D16" i="401" s="1"/>
  <c r="E42" i="473" s="1"/>
  <c r="E12" i="401"/>
  <c r="E12" i="400"/>
  <c r="E14" i="400" s="1"/>
  <c r="E14" i="401" l="1"/>
  <c r="E15" i="401" s="1"/>
  <c r="E16" i="401" s="1"/>
  <c r="F42" i="473" s="1"/>
  <c r="E15" i="400"/>
  <c r="D12" i="400" l="1"/>
  <c r="E16" i="400"/>
  <c r="D14" i="400" l="1"/>
  <c r="D15" i="400" s="1"/>
  <c r="D16" i="400" s="1"/>
  <c r="F40" i="473"/>
  <c r="E40" i="473" l="1"/>
  <c r="C12" i="400"/>
  <c r="C14" i="400" l="1"/>
  <c r="C15" i="400" s="1"/>
  <c r="C16" i="400" s="1"/>
  <c r="D40" i="473" l="1"/>
  <c r="B12" i="400"/>
  <c r="B14" i="400" l="1"/>
  <c r="B15" i="400" s="1"/>
  <c r="B16" i="400" s="1"/>
  <c r="C40" i="473" l="1"/>
  <c r="H5" i="397" l="1"/>
  <c r="H4" i="397"/>
  <c r="H5" i="396"/>
  <c r="H4" i="396"/>
  <c r="D3" i="396" l="1"/>
  <c r="D5" i="396" s="1"/>
  <c r="C3" i="396"/>
  <c r="C5" i="396" s="1"/>
  <c r="B3" i="396"/>
  <c r="E3" i="396"/>
  <c r="E5" i="396" s="1"/>
  <c r="C11" i="396" l="1"/>
  <c r="E11" i="396"/>
  <c r="D11" i="396"/>
  <c r="B11" i="396"/>
  <c r="B12" i="396" l="1"/>
  <c r="B14" i="396" s="1"/>
  <c r="C12" i="396" l="1"/>
  <c r="C14" i="396" s="1"/>
  <c r="B15" i="396"/>
  <c r="B16" i="396" s="1"/>
  <c r="C36" i="473" l="1"/>
  <c r="D12" i="396"/>
  <c r="D14" i="396" s="1"/>
  <c r="C15" i="396"/>
  <c r="C16" i="396" s="1"/>
  <c r="D36" i="473" l="1"/>
  <c r="E12" i="396"/>
  <c r="D15" i="396"/>
  <c r="D16" i="396" s="1"/>
  <c r="E14" i="396" l="1"/>
  <c r="E15" i="396" s="1"/>
  <c r="E16" i="396" s="1"/>
  <c r="F36" i="473" s="1"/>
  <c r="E36" i="473"/>
  <c r="H5" i="395"/>
  <c r="H4" i="395"/>
  <c r="D5" i="395" l="1"/>
  <c r="E5" i="395"/>
  <c r="C5" i="395"/>
  <c r="C11" i="395" l="1"/>
  <c r="E11" i="395"/>
  <c r="D11" i="395"/>
  <c r="B11" i="395"/>
  <c r="B12" i="395" s="1"/>
  <c r="B14" i="395" s="1"/>
  <c r="C12" i="395" l="1"/>
  <c r="C14" i="395" s="1"/>
  <c r="B15" i="395"/>
  <c r="B16" i="395" s="1"/>
  <c r="C34" i="473" s="1"/>
  <c r="D12" i="395" l="1"/>
  <c r="D14" i="395" s="1"/>
  <c r="C15" i="395"/>
  <c r="C16" i="395" s="1"/>
  <c r="D34" i="473" l="1"/>
  <c r="D15" i="395"/>
  <c r="D16" i="395" s="1"/>
  <c r="E34" i="473" l="1"/>
  <c r="E12" i="395"/>
  <c r="H4" i="394"/>
  <c r="E14" i="395" l="1"/>
  <c r="E15" i="395" s="1"/>
  <c r="E16" i="395" s="1"/>
  <c r="F34" i="473" s="1"/>
  <c r="H5" i="392"/>
  <c r="H4" i="392"/>
  <c r="H4" i="391"/>
  <c r="D5" i="392" l="1"/>
  <c r="E5" i="392"/>
  <c r="H4" i="390"/>
  <c r="E11" i="392" l="1"/>
  <c r="D11" i="392"/>
  <c r="B12" i="392"/>
  <c r="B14" i="392" s="1"/>
  <c r="C12" i="392"/>
  <c r="C14" i="392" s="1"/>
  <c r="H5" i="389"/>
  <c r="H4" i="389"/>
  <c r="B15" i="392" l="1"/>
  <c r="B16" i="392" s="1"/>
  <c r="D12" i="392"/>
  <c r="D14" i="392" s="1"/>
  <c r="C31" i="473" l="1"/>
  <c r="B12" i="394"/>
  <c r="B14" i="394" s="1"/>
  <c r="C15" i="392"/>
  <c r="C16" i="392" s="1"/>
  <c r="D31" i="473" l="1"/>
  <c r="C12" i="394"/>
  <c r="C14" i="394" s="1"/>
  <c r="E12" i="392"/>
  <c r="E14" i="392" s="1"/>
  <c r="B15" i="394"/>
  <c r="B16" i="394" s="1"/>
  <c r="D15" i="392"/>
  <c r="D16" i="392" s="1"/>
  <c r="C33" i="473" l="1"/>
  <c r="E31" i="473"/>
  <c r="D12" i="394"/>
  <c r="D14" i="394" s="1"/>
  <c r="C15" i="394"/>
  <c r="C16" i="394" s="1"/>
  <c r="E15" i="392"/>
  <c r="E16" i="392" s="1"/>
  <c r="D33" i="473" l="1"/>
  <c r="F31" i="473"/>
  <c r="B12" i="390"/>
  <c r="B14" i="390" s="1"/>
  <c r="D15" i="394"/>
  <c r="D16" i="394" s="1"/>
  <c r="E33" i="473" l="1"/>
  <c r="B12" i="389"/>
  <c r="B14" i="389" s="1"/>
  <c r="E12" i="394"/>
  <c r="C12" i="390"/>
  <c r="C14" i="390" s="1"/>
  <c r="B15" i="390"/>
  <c r="B16" i="390" s="1"/>
  <c r="E14" i="394" l="1"/>
  <c r="E15" i="394" s="1"/>
  <c r="E16" i="394" s="1"/>
  <c r="F33" i="473" s="1"/>
  <c r="C30" i="473"/>
  <c r="D12" i="390"/>
  <c r="D14" i="390" s="1"/>
  <c r="C12" i="389"/>
  <c r="C14" i="389" s="1"/>
  <c r="C15" i="390"/>
  <c r="C16" i="390" s="1"/>
  <c r="B15" i="389"/>
  <c r="B16" i="389" s="1"/>
  <c r="C29" i="473" l="1"/>
  <c r="D30" i="473"/>
  <c r="D12" i="389"/>
  <c r="D14" i="389" s="1"/>
  <c r="D15" i="390"/>
  <c r="D16" i="390" s="1"/>
  <c r="C15" i="389"/>
  <c r="C16" i="389" s="1"/>
  <c r="D29" i="473" l="1"/>
  <c r="E30" i="473"/>
  <c r="E12" i="390"/>
  <c r="D15" i="389"/>
  <c r="D16" i="389" s="1"/>
  <c r="E14" i="390" l="1"/>
  <c r="E15" i="390" s="1"/>
  <c r="E16" i="390" s="1"/>
  <c r="F30" i="473" s="1"/>
  <c r="E29" i="473"/>
  <c r="E12" i="389"/>
  <c r="E14" i="389" l="1"/>
  <c r="E15" i="389" s="1"/>
  <c r="E16" i="389" s="1"/>
  <c r="F29" i="473" s="1"/>
  <c r="H5" i="387"/>
  <c r="H4" i="387"/>
  <c r="H5" i="386"/>
  <c r="H4" i="386"/>
  <c r="H5" i="385"/>
  <c r="H4" i="385"/>
  <c r="B5" i="387" l="1"/>
  <c r="D5" i="387"/>
  <c r="E5" i="387"/>
  <c r="C5" i="387"/>
  <c r="H5" i="384"/>
  <c r="H4" i="384"/>
  <c r="H5" i="383"/>
  <c r="H4" i="383"/>
  <c r="H5" i="382"/>
  <c r="E5" i="382" s="1"/>
  <c r="H4" i="382"/>
  <c r="H5" i="381"/>
  <c r="H4" i="381"/>
  <c r="H5" i="380"/>
  <c r="H4" i="380"/>
  <c r="H5" i="379"/>
  <c r="H4" i="379"/>
  <c r="H5" i="378"/>
  <c r="H4" i="378"/>
  <c r="H5" i="377"/>
  <c r="H4" i="377"/>
  <c r="C11" i="387" l="1"/>
  <c r="E11" i="387"/>
  <c r="D11" i="387"/>
  <c r="B11" i="387"/>
  <c r="E11" i="382"/>
  <c r="B5" i="378"/>
  <c r="E5" i="378"/>
  <c r="C5" i="378"/>
  <c r="D5" i="378"/>
  <c r="C5" i="377"/>
  <c r="D5" i="377"/>
  <c r="E5" i="377"/>
  <c r="D3" i="380"/>
  <c r="D5" i="380" s="1"/>
  <c r="E3" i="380"/>
  <c r="E5" i="380" s="1"/>
  <c r="C3" i="380"/>
  <c r="C5" i="380" s="1"/>
  <c r="B3" i="380"/>
  <c r="B5" i="380" s="1"/>
  <c r="H5" i="376"/>
  <c r="H4" i="376"/>
  <c r="H5" i="375"/>
  <c r="H4" i="375"/>
  <c r="C10" i="381" l="1"/>
  <c r="B10" i="381"/>
  <c r="E10" i="381"/>
  <c r="D10" i="381"/>
  <c r="D11" i="378"/>
  <c r="C11" i="378"/>
  <c r="B12" i="378"/>
  <c r="B14" i="378" s="1"/>
  <c r="E11" i="378"/>
  <c r="E11" i="377"/>
  <c r="D11" i="377"/>
  <c r="C11" i="377"/>
  <c r="E5" i="375"/>
  <c r="D5" i="375"/>
  <c r="B11" i="380"/>
  <c r="E11" i="380"/>
  <c r="D11" i="380"/>
  <c r="C11" i="380"/>
  <c r="C12" i="378"/>
  <c r="C14" i="378" s="1"/>
  <c r="B12" i="385"/>
  <c r="B14" i="385" s="1"/>
  <c r="C12" i="387"/>
  <c r="C14" i="387" s="1"/>
  <c r="B12" i="386"/>
  <c r="B14" i="386" s="1"/>
  <c r="B12" i="382"/>
  <c r="B14" i="382" s="1"/>
  <c r="B12" i="387"/>
  <c r="B14" i="387" s="1"/>
  <c r="D12" i="387"/>
  <c r="C12" i="382"/>
  <c r="C14" i="382" s="1"/>
  <c r="D12" i="378"/>
  <c r="D14" i="378" s="1"/>
  <c r="H5" i="374"/>
  <c r="H4" i="374"/>
  <c r="D11" i="381" l="1"/>
  <c r="D12" i="381" s="1"/>
  <c r="D14" i="381" s="1"/>
  <c r="B11" i="381"/>
  <c r="B12" i="381" s="1"/>
  <c r="B14" i="381" s="1"/>
  <c r="E11" i="381"/>
  <c r="C11" i="381"/>
  <c r="C12" i="381" s="1"/>
  <c r="C14" i="381" s="1"/>
  <c r="D11" i="375"/>
  <c r="E11" i="375"/>
  <c r="D14" i="387"/>
  <c r="D15" i="387" s="1"/>
  <c r="D16" i="387" s="1"/>
  <c r="E27" i="473" s="1"/>
  <c r="B15" i="378"/>
  <c r="B16" i="378" s="1"/>
  <c r="C18" i="473" s="1"/>
  <c r="C15" i="378"/>
  <c r="C16" i="378" s="1"/>
  <c r="B12" i="384"/>
  <c r="B14" i="384" s="1"/>
  <c r="C12" i="386"/>
  <c r="C14" i="386" s="1"/>
  <c r="C12" i="377"/>
  <c r="C14" i="377" s="1"/>
  <c r="B12" i="377"/>
  <c r="B14" i="377" s="1"/>
  <c r="C12" i="385"/>
  <c r="C14" i="385" s="1"/>
  <c r="B15" i="387"/>
  <c r="B16" i="387" s="1"/>
  <c r="C15" i="387"/>
  <c r="C16" i="387" s="1"/>
  <c r="B15" i="386"/>
  <c r="B16" i="386" s="1"/>
  <c r="B15" i="385"/>
  <c r="B16" i="385" s="1"/>
  <c r="B15" i="382"/>
  <c r="B16" i="382" s="1"/>
  <c r="D12" i="382"/>
  <c r="D14" i="382" s="1"/>
  <c r="C27" i="473" l="1"/>
  <c r="D27" i="473"/>
  <c r="C26" i="473"/>
  <c r="C25" i="473"/>
  <c r="C22" i="473"/>
  <c r="D18" i="473"/>
  <c r="D15" i="378"/>
  <c r="D16" i="378" s="1"/>
  <c r="C12" i="384"/>
  <c r="C14" i="384" s="1"/>
  <c r="D12" i="377"/>
  <c r="D14" i="377" s="1"/>
  <c r="B12" i="375"/>
  <c r="B14" i="375" s="1"/>
  <c r="C12" i="375"/>
  <c r="C14" i="375" s="1"/>
  <c r="D12" i="385"/>
  <c r="D14" i="385" s="1"/>
  <c r="E12" i="378"/>
  <c r="E14" i="378" s="1"/>
  <c r="E12" i="387"/>
  <c r="D12" i="375"/>
  <c r="D14" i="375" s="1"/>
  <c r="D12" i="386"/>
  <c r="D14" i="386" s="1"/>
  <c r="C15" i="381"/>
  <c r="C16" i="381" s="1"/>
  <c r="D15" i="381"/>
  <c r="D16" i="381" s="1"/>
  <c r="B15" i="381"/>
  <c r="B16" i="381" s="1"/>
  <c r="C15" i="386"/>
  <c r="C16" i="386" s="1"/>
  <c r="C15" i="385"/>
  <c r="C16" i="385" s="1"/>
  <c r="B15" i="384"/>
  <c r="B16" i="384" s="1"/>
  <c r="C15" i="382"/>
  <c r="C16" i="382" s="1"/>
  <c r="D15" i="382"/>
  <c r="D16" i="382" s="1"/>
  <c r="C15" i="377"/>
  <c r="C16" i="377" s="1"/>
  <c r="B15" i="377"/>
  <c r="B16" i="377" s="1"/>
  <c r="E14" i="387" l="1"/>
  <c r="E15" i="387" s="1"/>
  <c r="E16" i="387" s="1"/>
  <c r="F27" i="473" s="1"/>
  <c r="D26" i="473"/>
  <c r="D25" i="473"/>
  <c r="C24" i="473"/>
  <c r="E22" i="473"/>
  <c r="D22" i="473"/>
  <c r="D21" i="473"/>
  <c r="E21" i="473"/>
  <c r="C21" i="473"/>
  <c r="E18" i="473"/>
  <c r="E15" i="378"/>
  <c r="E16" i="378" s="1"/>
  <c r="C17" i="473"/>
  <c r="D17" i="473"/>
  <c r="B12" i="374"/>
  <c r="B14" i="374" s="1"/>
  <c r="D12" i="384"/>
  <c r="D14" i="384" s="1"/>
  <c r="B12" i="379"/>
  <c r="B14" i="379" s="1"/>
  <c r="E12" i="382"/>
  <c r="E14" i="382" s="1"/>
  <c r="E12" i="381"/>
  <c r="D15" i="375"/>
  <c r="D16" i="375" s="1"/>
  <c r="B15" i="375"/>
  <c r="B16" i="375" s="1"/>
  <c r="C15" i="375"/>
  <c r="C16" i="375" s="1"/>
  <c r="D15" i="386"/>
  <c r="D16" i="386" s="1"/>
  <c r="D15" i="385"/>
  <c r="D16" i="385" s="1"/>
  <c r="C15" i="384"/>
  <c r="C16" i="384" s="1"/>
  <c r="B12" i="383"/>
  <c r="B14" i="383" s="1"/>
  <c r="D15" i="377"/>
  <c r="D16" i="377" s="1"/>
  <c r="E14" i="381" l="1"/>
  <c r="E15" i="381" s="1"/>
  <c r="E16" i="381" s="1"/>
  <c r="F21" i="473" s="1"/>
  <c r="E26" i="473"/>
  <c r="E25" i="473"/>
  <c r="D24" i="473"/>
  <c r="B12" i="380"/>
  <c r="B14" i="380" s="1"/>
  <c r="F18" i="473"/>
  <c r="E17" i="473"/>
  <c r="C15" i="473"/>
  <c r="D15" i="473"/>
  <c r="E15" i="473"/>
  <c r="C12" i="374"/>
  <c r="C14" i="374" s="1"/>
  <c r="E12" i="377"/>
  <c r="E12" i="375"/>
  <c r="E12" i="386"/>
  <c r="B12" i="376"/>
  <c r="B14" i="376" s="1"/>
  <c r="C12" i="379"/>
  <c r="C14" i="379" s="1"/>
  <c r="E12" i="385"/>
  <c r="D15" i="384"/>
  <c r="D16" i="384" s="1"/>
  <c r="C12" i="383"/>
  <c r="C14" i="383" s="1"/>
  <c r="E15" i="382"/>
  <c r="E16" i="382" s="1"/>
  <c r="B15" i="379"/>
  <c r="B16" i="379" s="1"/>
  <c r="B15" i="374"/>
  <c r="B16" i="374" s="1"/>
  <c r="E14" i="375" l="1"/>
  <c r="E15" i="375" s="1"/>
  <c r="E16" i="375" s="1"/>
  <c r="F15" i="473" s="1"/>
  <c r="E14" i="377"/>
  <c r="E15" i="377" s="1"/>
  <c r="E16" i="377" s="1"/>
  <c r="F17" i="473" s="1"/>
  <c r="E14" i="385"/>
  <c r="E15" i="385" s="1"/>
  <c r="E16" i="385" s="1"/>
  <c r="F25" i="473" s="1"/>
  <c r="E14" i="386"/>
  <c r="E15" i="386" s="1"/>
  <c r="E16" i="386" s="1"/>
  <c r="F26" i="473" s="1"/>
  <c r="E24" i="473"/>
  <c r="F22" i="473"/>
  <c r="C12" i="380"/>
  <c r="C14" i="380" s="1"/>
  <c r="C19" i="473"/>
  <c r="C14" i="473"/>
  <c r="D12" i="379"/>
  <c r="D14" i="379" s="1"/>
  <c r="E12" i="384"/>
  <c r="D12" i="374"/>
  <c r="D14" i="374" s="1"/>
  <c r="C12" i="376"/>
  <c r="C14" i="376" s="1"/>
  <c r="B15" i="383"/>
  <c r="B16" i="383" s="1"/>
  <c r="D12" i="383"/>
  <c r="D14" i="383" s="1"/>
  <c r="B15" i="380"/>
  <c r="B16" i="380" s="1"/>
  <c r="C15" i="379"/>
  <c r="C16" i="379" s="1"/>
  <c r="C15" i="374"/>
  <c r="C16" i="374" s="1"/>
  <c r="B15" i="376"/>
  <c r="B16" i="376" s="1"/>
  <c r="E14" i="384" l="1"/>
  <c r="E15" i="384" s="1"/>
  <c r="E16" i="384" s="1"/>
  <c r="F24" i="473" s="1"/>
  <c r="C23" i="473"/>
  <c r="D12" i="380"/>
  <c r="D14" i="380" s="1"/>
  <c r="C20" i="473"/>
  <c r="D19" i="473"/>
  <c r="C16" i="473"/>
  <c r="D14" i="473"/>
  <c r="D12" i="376"/>
  <c r="D14" i="376" s="1"/>
  <c r="E12" i="374"/>
  <c r="C15" i="383"/>
  <c r="C16" i="383" s="1"/>
  <c r="C15" i="380"/>
  <c r="C16" i="380" s="1"/>
  <c r="D15" i="379"/>
  <c r="D16" i="379" s="1"/>
  <c r="D15" i="374"/>
  <c r="D16" i="374" s="1"/>
  <c r="C15" i="376"/>
  <c r="C16" i="376" s="1"/>
  <c r="H5" i="373"/>
  <c r="H4" i="373"/>
  <c r="D5" i="373" l="1"/>
  <c r="E5" i="373"/>
  <c r="E14" i="374"/>
  <c r="E15" i="374" s="1"/>
  <c r="E16" i="374" s="1"/>
  <c r="F14" i="473" s="1"/>
  <c r="D23" i="473"/>
  <c r="D20" i="473"/>
  <c r="E19" i="473"/>
  <c r="D16" i="473"/>
  <c r="E14" i="473"/>
  <c r="E12" i="379"/>
  <c r="E12" i="383"/>
  <c r="E14" i="383" s="1"/>
  <c r="D15" i="383"/>
  <c r="D16" i="383" s="1"/>
  <c r="D15" i="380"/>
  <c r="D16" i="380" s="1"/>
  <c r="D15" i="376"/>
  <c r="D16" i="376" s="1"/>
  <c r="H5" i="372"/>
  <c r="H4" i="372"/>
  <c r="D11" i="373" l="1"/>
  <c r="E11" i="373"/>
  <c r="D5" i="372"/>
  <c r="E5" i="372"/>
  <c r="C5" i="372"/>
  <c r="B5" i="372"/>
  <c r="E14" i="379"/>
  <c r="E15" i="379" s="1"/>
  <c r="E16" i="379" s="1"/>
  <c r="F19" i="473" s="1"/>
  <c r="E23" i="473"/>
  <c r="E12" i="380"/>
  <c r="E20" i="473"/>
  <c r="E16" i="473"/>
  <c r="E12" i="376"/>
  <c r="E15" i="383"/>
  <c r="E16" i="383" s="1"/>
  <c r="C11" i="372" l="1"/>
  <c r="E11" i="372"/>
  <c r="B11" i="372"/>
  <c r="D11" i="372"/>
  <c r="E14" i="376"/>
  <c r="E15" i="376" s="1"/>
  <c r="E16" i="376" s="1"/>
  <c r="F16" i="473" s="1"/>
  <c r="E14" i="380"/>
  <c r="E15" i="380" s="1"/>
  <c r="E16" i="380" s="1"/>
  <c r="F20" i="473" s="1"/>
  <c r="F23" i="473"/>
  <c r="B12" i="373" l="1"/>
  <c r="B14" i="373" l="1"/>
  <c r="B15" i="373" s="1"/>
  <c r="B16" i="373" s="1"/>
  <c r="C12" i="373"/>
  <c r="C14" i="373" l="1"/>
  <c r="C15" i="373" s="1"/>
  <c r="C16" i="373" s="1"/>
  <c r="C13" i="473"/>
  <c r="B12" i="372"/>
  <c r="B14" i="372" s="1"/>
  <c r="D12" i="373"/>
  <c r="D14" i="373" l="1"/>
  <c r="D15" i="373" s="1"/>
  <c r="D16" i="373" s="1"/>
  <c r="D13" i="473"/>
  <c r="C12" i="372"/>
  <c r="C14" i="372" s="1"/>
  <c r="B15" i="372"/>
  <c r="B16" i="372" s="1"/>
  <c r="E13" i="473" l="1"/>
  <c r="C12" i="473"/>
  <c r="D12" i="372"/>
  <c r="D14" i="372" s="1"/>
  <c r="E12" i="373"/>
  <c r="C15" i="372"/>
  <c r="C16" i="372" s="1"/>
  <c r="E14" i="373" l="1"/>
  <c r="E15" i="373" s="1"/>
  <c r="E16" i="373" s="1"/>
  <c r="D12" i="473"/>
  <c r="D15" i="372"/>
  <c r="D16" i="372" s="1"/>
  <c r="F13" i="473" l="1"/>
  <c r="E12" i="473"/>
  <c r="E12" i="372"/>
  <c r="H5" i="371"/>
  <c r="H4" i="371"/>
  <c r="H5" i="370"/>
  <c r="H4" i="370"/>
  <c r="H5" i="369"/>
  <c r="H4" i="369"/>
  <c r="E14" i="372" l="1"/>
  <c r="E15" i="372" s="1"/>
  <c r="E16" i="372" s="1"/>
  <c r="F12" i="473" s="1"/>
  <c r="B12" i="369"/>
  <c r="B14" i="369" s="1"/>
  <c r="C12" i="369" l="1"/>
  <c r="C14" i="369" s="1"/>
  <c r="H5" i="367"/>
  <c r="H4" i="367"/>
  <c r="H5" i="366"/>
  <c r="H4" i="366"/>
  <c r="C12" i="370" l="1"/>
  <c r="C14" i="370" s="1"/>
  <c r="B15" i="369"/>
  <c r="B16" i="369" s="1"/>
  <c r="B12" i="370"/>
  <c r="B14" i="370" s="1"/>
  <c r="D12" i="369"/>
  <c r="D14" i="369" s="1"/>
  <c r="H5" i="365"/>
  <c r="H4" i="365"/>
  <c r="C9" i="473" l="1"/>
  <c r="D12" i="370"/>
  <c r="D14" i="370" s="1"/>
  <c r="C15" i="370"/>
  <c r="C16" i="370" s="1"/>
  <c r="C15" i="369"/>
  <c r="C16" i="369" s="1"/>
  <c r="D10" i="473" l="1"/>
  <c r="D9" i="473"/>
  <c r="E12" i="369"/>
  <c r="E14" i="369" s="1"/>
  <c r="B12" i="365"/>
  <c r="B14" i="365" s="1"/>
  <c r="B12" i="371"/>
  <c r="B14" i="371" s="1"/>
  <c r="D15" i="369"/>
  <c r="D16" i="369" s="1"/>
  <c r="B15" i="370"/>
  <c r="B16" i="370" s="1"/>
  <c r="D15" i="370"/>
  <c r="D16" i="370" s="1"/>
  <c r="C10" i="473" l="1"/>
  <c r="E10" i="473"/>
  <c r="E9" i="473"/>
  <c r="E12" i="370"/>
  <c r="C12" i="371"/>
  <c r="C14" i="371" s="1"/>
  <c r="B15" i="365"/>
  <c r="B16" i="365" s="1"/>
  <c r="E15" i="369"/>
  <c r="E16" i="369" s="1"/>
  <c r="B15" i="371"/>
  <c r="B16" i="371" s="1"/>
  <c r="E14" i="370" l="1"/>
  <c r="E15" i="370" s="1"/>
  <c r="E16" i="370" s="1"/>
  <c r="F10" i="473" s="1"/>
  <c r="C12" i="365"/>
  <c r="C11" i="473"/>
  <c r="F9" i="473"/>
  <c r="C6" i="473"/>
  <c r="D12" i="371"/>
  <c r="D14" i="371" s="1"/>
  <c r="C15" i="371"/>
  <c r="C16" i="371" s="1"/>
  <c r="B12" i="367"/>
  <c r="B14" i="367" s="1"/>
  <c r="C14" i="365" l="1"/>
  <c r="C15" i="365" s="1"/>
  <c r="C16" i="365" s="1"/>
  <c r="D6" i="473" s="1"/>
  <c r="D12" i="365"/>
  <c r="D11" i="473"/>
  <c r="B15" i="367"/>
  <c r="B16" i="367" s="1"/>
  <c r="D15" i="371"/>
  <c r="D16" i="371" s="1"/>
  <c r="C12" i="367"/>
  <c r="C14" i="367" s="1"/>
  <c r="D14" i="365" l="1"/>
  <c r="D15" i="365" s="1"/>
  <c r="D16" i="365" s="1"/>
  <c r="E6" i="473" s="1"/>
  <c r="E11" i="473"/>
  <c r="C8" i="473"/>
  <c r="E12" i="365"/>
  <c r="E12" i="371"/>
  <c r="C15" i="367"/>
  <c r="C16" i="367" s="1"/>
  <c r="D12" i="367"/>
  <c r="D14" i="367" s="1"/>
  <c r="H5" i="364"/>
  <c r="H4" i="364"/>
  <c r="E14" i="371" l="1"/>
  <c r="E15" i="371" s="1"/>
  <c r="E16" i="371" s="1"/>
  <c r="F11" i="473" s="1"/>
  <c r="E14" i="365"/>
  <c r="E15" i="365" s="1"/>
  <c r="E16" i="365" s="1"/>
  <c r="F6" i="473" s="1"/>
  <c r="D8" i="473"/>
  <c r="D15" i="367"/>
  <c r="D16" i="367" s="1"/>
  <c r="E8" i="473" l="1"/>
  <c r="E12" i="367"/>
  <c r="E14" i="367" l="1"/>
  <c r="E15" i="367" s="1"/>
  <c r="E16" i="367" s="1"/>
  <c r="F8" i="473" s="1"/>
  <c r="H5" i="363" l="1"/>
  <c r="H4" i="363"/>
  <c r="E12" i="364" l="1"/>
  <c r="E14" i="364" s="1"/>
  <c r="H5" i="360"/>
  <c r="H4" i="360"/>
  <c r="D5" i="360" l="1"/>
  <c r="B5" i="360"/>
  <c r="E5" i="360"/>
  <c r="C5" i="360"/>
  <c r="E11" i="360" l="1"/>
  <c r="B11" i="360"/>
  <c r="B12" i="360" s="1"/>
  <c r="C11" i="360"/>
  <c r="C12" i="360" s="1"/>
  <c r="C14" i="360" s="1"/>
  <c r="C15" i="360" s="1"/>
  <c r="C16" i="360" s="1"/>
  <c r="D11" i="360"/>
  <c r="D12" i="360" s="1"/>
  <c r="D14" i="360" s="1"/>
  <c r="B14" i="360" l="1"/>
  <c r="B15" i="360" s="1"/>
  <c r="B16" i="360" s="1"/>
  <c r="C2" i="473" s="1"/>
  <c r="D2" i="473"/>
  <c r="D15" i="360"/>
  <c r="D16" i="360" s="1"/>
  <c r="E2" i="473" l="1"/>
  <c r="E12" i="360"/>
  <c r="B12" i="363"/>
  <c r="E14" i="360" l="1"/>
  <c r="E15" i="360" s="1"/>
  <c r="E16" i="360" s="1"/>
  <c r="B14" i="363"/>
  <c r="B15" i="363" s="1"/>
  <c r="B16" i="363" s="1"/>
  <c r="C3" i="473" s="1"/>
  <c r="C12" i="363"/>
  <c r="C14" i="363" l="1"/>
  <c r="C15" i="363" s="1"/>
  <c r="C16" i="363" s="1"/>
  <c r="D3" i="473" s="1"/>
  <c r="D12" i="363"/>
  <c r="D14" i="363" l="1"/>
  <c r="D15" i="363" s="1"/>
  <c r="D16" i="363" s="1"/>
  <c r="E3" i="473" s="1"/>
  <c r="E12" i="363" l="1"/>
  <c r="E14" i="363" l="1"/>
  <c r="E15" i="363" s="1"/>
  <c r="E16" i="363" s="1"/>
  <c r="F3" i="473" s="1"/>
  <c r="D12" i="364" l="1"/>
  <c r="D14" i="364" s="1"/>
  <c r="C12" i="364"/>
  <c r="C14" i="364" s="1"/>
  <c r="B12" i="364"/>
  <c r="B14" i="364" s="1"/>
  <c r="B3" i="391" l="1"/>
  <c r="B5" i="391" s="1"/>
  <c r="B11" i="391" l="1"/>
  <c r="B12" i="391" s="1"/>
  <c r="B14" i="391" s="1"/>
  <c r="D15" i="364"/>
  <c r="D16" i="364" s="1"/>
  <c r="B15" i="364"/>
  <c r="B16" i="364" s="1"/>
  <c r="E15" i="364"/>
  <c r="E16" i="364" s="1"/>
  <c r="C15" i="364"/>
  <c r="C16" i="364" s="1"/>
  <c r="D5" i="473" l="1"/>
  <c r="F5" i="473"/>
  <c r="C5" i="473"/>
  <c r="E5" i="473"/>
  <c r="C3" i="391"/>
  <c r="C5" i="391" s="1"/>
  <c r="C11" i="391" l="1"/>
  <c r="C12" i="391" s="1"/>
  <c r="C14" i="391" s="1"/>
  <c r="B15" i="391"/>
  <c r="B16" i="391" s="1"/>
  <c r="D3" i="391"/>
  <c r="D5" i="391" s="1"/>
  <c r="E3" i="391"/>
  <c r="E5" i="391" s="1"/>
  <c r="D11" i="391" l="1"/>
  <c r="E11" i="391"/>
  <c r="C4" i="473"/>
  <c r="C15" i="391"/>
  <c r="C16" i="391" s="1"/>
  <c r="D12" i="391"/>
  <c r="D14" i="391" s="1"/>
  <c r="D4" i="473" l="1"/>
  <c r="E12" i="391" l="1"/>
  <c r="D15" i="391"/>
  <c r="D16" i="391" s="1"/>
  <c r="E12" i="397"/>
  <c r="E14" i="397" s="1"/>
  <c r="D12" i="397"/>
  <c r="D14" i="397" s="1"/>
  <c r="C12" i="397"/>
  <c r="C14" i="397" s="1"/>
  <c r="B12" i="397"/>
  <c r="B14" i="397" s="1"/>
  <c r="E14" i="391" l="1"/>
  <c r="E15" i="391" s="1"/>
  <c r="E16" i="391" s="1"/>
  <c r="F4" i="473" s="1"/>
  <c r="E4" i="473"/>
  <c r="B15" i="397"/>
  <c r="C15" i="397"/>
  <c r="D15" i="397"/>
  <c r="E15" i="397"/>
  <c r="E16" i="397" l="1"/>
  <c r="C16" i="397"/>
  <c r="B16" i="397"/>
  <c r="D16" i="397"/>
  <c r="E37" i="473" l="1"/>
  <c r="C37" i="473"/>
  <c r="D37" i="473"/>
  <c r="F37" i="473"/>
  <c r="B12" i="410" l="1"/>
  <c r="B14" i="410" l="1"/>
  <c r="B15" i="410" s="1"/>
  <c r="B16" i="410" s="1"/>
  <c r="C51" i="473" s="1"/>
  <c r="C12" i="410"/>
  <c r="C14" i="410" l="1"/>
  <c r="C15" i="410" s="1"/>
  <c r="C16" i="410" s="1"/>
  <c r="D51" i="473" s="1"/>
  <c r="D12" i="410"/>
  <c r="D14" i="410" l="1"/>
  <c r="D15" i="410" s="1"/>
  <c r="D16" i="410" s="1"/>
  <c r="E51" i="473" s="1"/>
  <c r="E12" i="410" l="1"/>
  <c r="E14" i="410" l="1"/>
  <c r="E15" i="410" s="1"/>
  <c r="E16" i="410" s="1"/>
  <c r="F51" i="473" s="1"/>
  <c r="C3" i="366" l="1"/>
  <c r="C5" i="366" l="1"/>
  <c r="D3" i="366"/>
  <c r="B5" i="366"/>
  <c r="B11" i="366" l="1"/>
  <c r="B12" i="366" s="1"/>
  <c r="C11" i="366"/>
  <c r="C12" i="366" s="1"/>
  <c r="E3" i="366"/>
  <c r="E5" i="366" s="1"/>
  <c r="D5" i="366"/>
  <c r="D11" i="366" l="1"/>
  <c r="D12" i="366" s="1"/>
  <c r="C14" i="366"/>
  <c r="C15" i="366" s="1"/>
  <c r="C16" i="366" s="1"/>
  <c r="D7" i="473" s="1"/>
  <c r="E11" i="366"/>
  <c r="E12" i="366" s="1"/>
  <c r="B14" i="366"/>
  <c r="B15" i="366" s="1"/>
  <c r="B16" i="366" s="1"/>
  <c r="C7" i="473" s="1"/>
  <c r="D58" i="473" l="1"/>
  <c r="E14" i="366"/>
  <c r="E15" i="366" s="1"/>
  <c r="E16" i="366" s="1"/>
  <c r="F7" i="473" s="1"/>
  <c r="D14" i="366"/>
  <c r="D15" i="366" s="1"/>
  <c r="D16" i="366" s="1"/>
  <c r="E7" i="473" s="1"/>
  <c r="E58" i="473" l="1"/>
  <c r="F58" i="473"/>
  <c r="B10" i="417" l="1"/>
  <c r="B11" i="417" s="1"/>
  <c r="B12" i="417" s="1"/>
  <c r="B14" i="417" l="1"/>
  <c r="B15" i="417" s="1"/>
  <c r="B16" i="417" s="1"/>
  <c r="C41" i="473" s="1"/>
  <c r="C58" i="473" l="1"/>
</calcChain>
</file>

<file path=xl/sharedStrings.xml><?xml version="1.0" encoding="utf-8"?>
<sst xmlns="http://schemas.openxmlformats.org/spreadsheetml/2006/main" count="2861" uniqueCount="707">
  <si>
    <t>Merced Irrigation District</t>
  </si>
  <si>
    <t>This EDU provides electricity to fewer than five industrial covered entities. Electricity data for these entities is used as part of calculating the EDU's allowance allocation. One or more of these entities identified their electricity usage data as confidential business information. Therefore, this EDU's calculation is redacted. The calculation spreadsheet has been provided directly to the EDU.</t>
  </si>
  <si>
    <t>Utility Name</t>
  </si>
  <si>
    <t>Utility type</t>
  </si>
  <si>
    <t>Constants Used in Calculations</t>
  </si>
  <si>
    <t>Alameda Municipal Power</t>
  </si>
  <si>
    <t>Small POU</t>
  </si>
  <si>
    <r>
      <t>Natural Gas Emission Factor (MTCO</t>
    </r>
    <r>
      <rPr>
        <vertAlign val="subscript"/>
        <sz val="11"/>
        <color theme="1"/>
        <rFont val="Calibri"/>
        <family val="2"/>
        <scheme val="minor"/>
      </rPr>
      <t>2</t>
    </r>
    <r>
      <rPr>
        <sz val="11"/>
        <color theme="1"/>
        <rFont val="Calibri"/>
        <family val="2"/>
        <scheme val="minor"/>
      </rPr>
      <t>e/MWh)</t>
    </r>
  </si>
  <si>
    <t>Anza Electric Cooperative, Inc.</t>
  </si>
  <si>
    <t>Bear Valley Electric Service, Inc.</t>
  </si>
  <si>
    <t>Small IOU</t>
  </si>
  <si>
    <t>Minimum Natural Gas Percentage</t>
  </si>
  <si>
    <t>City and County of San Francisco, SF Public Utilities Commission</t>
  </si>
  <si>
    <t>Med POU</t>
  </si>
  <si>
    <t>City of Anaheim, Public Utilities Department</t>
  </si>
  <si>
    <t>City of Azusa</t>
  </si>
  <si>
    <t>City of Banning</t>
  </si>
  <si>
    <t>City of Biggs</t>
  </si>
  <si>
    <t>City of Burbank</t>
  </si>
  <si>
    <t>City of Cerritos</t>
  </si>
  <si>
    <t>City of Colton</t>
  </si>
  <si>
    <t>City of Corona Dept. of Water &amp; Power</t>
  </si>
  <si>
    <t>City of Glendale</t>
  </si>
  <si>
    <t>City of Healdsburg</t>
  </si>
  <si>
    <t>City of Industry</t>
  </si>
  <si>
    <t>City of Lodi</t>
  </si>
  <si>
    <t>City of Lompoc a Municipal Corporation</t>
  </si>
  <si>
    <t>City of Moreno Valley</t>
  </si>
  <si>
    <t>City of Needles</t>
  </si>
  <si>
    <t>City of Oakland Acting By and Through Its Board of Port Commissioners</t>
  </si>
  <si>
    <t>City of Palo Alto</t>
  </si>
  <si>
    <t>City of Rancho Cucamonga</t>
  </si>
  <si>
    <t>City of Riverside Public Utilities</t>
  </si>
  <si>
    <t>City of Roseville</t>
  </si>
  <si>
    <t>City of Shasta Lake</t>
  </si>
  <si>
    <t>City of Ukiah</t>
  </si>
  <si>
    <t>City of Vernon, Vernon Gas &amp; Electric</t>
  </si>
  <si>
    <t>City of Victorville</t>
  </si>
  <si>
    <t>Eastside Power Authority</t>
  </si>
  <si>
    <t>Gridley Electric Utility</t>
  </si>
  <si>
    <t>Imperial Irrigation District</t>
  </si>
  <si>
    <t>Kirkwood Meadows PUD</t>
  </si>
  <si>
    <t>Lassen Municipal Utility District</t>
  </si>
  <si>
    <t>Liberty Utilities (CalPeco Electric) LLC</t>
  </si>
  <si>
    <t>Los Angeles Department of Water &amp; Power</t>
  </si>
  <si>
    <t>Large POU</t>
  </si>
  <si>
    <t>Modesto Irrigation District</t>
  </si>
  <si>
    <t>Pacific Gas and Electric Company</t>
  </si>
  <si>
    <t>Large IOU</t>
  </si>
  <si>
    <t xml:space="preserve">PacifiCorp  </t>
  </si>
  <si>
    <t>Med IOU</t>
  </si>
  <si>
    <t>Pasadena Water and Power</t>
  </si>
  <si>
    <t>Pittsburg Power Company</t>
  </si>
  <si>
    <t>Plumas-Sierra Rural Electric Cooperative</t>
  </si>
  <si>
    <t>Power and Water Resources Pooling Authority</t>
  </si>
  <si>
    <t>Redding Electric Utility</t>
  </si>
  <si>
    <t>Sacramento Municipal Utility District (SMUD)</t>
  </si>
  <si>
    <t>San Diego Gas &amp; Electric Company</t>
  </si>
  <si>
    <t>Silicon Valley Power (SVP), City of Santa Clara</t>
  </si>
  <si>
    <t>Southern California Edison Company</t>
  </si>
  <si>
    <t>Stockton Port District</t>
  </si>
  <si>
    <t>Surprise Valley Electrification Corp.</t>
  </si>
  <si>
    <t>Truckee Donner Public Utilities District</t>
  </si>
  <si>
    <t>Turlock Irrigation District</t>
  </si>
  <si>
    <t>Valley Electric Association, Inc.</t>
  </si>
  <si>
    <t>WAPA - Sierra Nevada Region</t>
  </si>
  <si>
    <t>N/A</t>
  </si>
  <si>
    <t>Total</t>
  </si>
  <si>
    <t>Form 1.5a - STATEWIDE</t>
  </si>
  <si>
    <t>Total Energy to Serve Load by Agency and Balancing Authority (GWh)</t>
  </si>
  <si>
    <t>Balancing Authority</t>
  </si>
  <si>
    <t>Agency</t>
  </si>
  <si>
    <t>PG&amp;E Service Area - Greater Bay Area</t>
  </si>
  <si>
    <t>NCPA - Greater Bay Area</t>
  </si>
  <si>
    <t>Power Enterprise of the San Francisco PUC</t>
  </si>
  <si>
    <t>Silicon Valley Power</t>
  </si>
  <si>
    <t>Other NP15 LSEs - Bay Area</t>
  </si>
  <si>
    <t>CDWR - Greater Bay Area</t>
  </si>
  <si>
    <t>WAPA - Greater Bay Area</t>
  </si>
  <si>
    <t>Greater Bay Area Subtotal</t>
  </si>
  <si>
    <t>PG&amp;E Service Area - Non Bay Area</t>
  </si>
  <si>
    <t>NCPA - Non Bay Area</t>
  </si>
  <si>
    <t>Other NP15 LSEs - Non Bay Area</t>
  </si>
  <si>
    <t>CDWR - Non Bay Area</t>
  </si>
  <si>
    <t>WAPA - Non Bay Area</t>
  </si>
  <si>
    <t>Total North of Path 15</t>
  </si>
  <si>
    <t>PG&amp;E Service Area - ZP26</t>
  </si>
  <si>
    <t>CDWR - ZP26</t>
  </si>
  <si>
    <t>WAPA - ZP26</t>
  </si>
  <si>
    <t>Total Zone Path 26</t>
  </si>
  <si>
    <t>Total Valley</t>
  </si>
  <si>
    <t>Total North of Path 26 (Total PG&amp;E TAC Area)</t>
  </si>
  <si>
    <t>Total Turlock Irrigation District Control Area</t>
  </si>
  <si>
    <t>Sacramento Municipal Utility District</t>
  </si>
  <si>
    <t>Roseville, City of</t>
  </si>
  <si>
    <t>Redding, City of</t>
  </si>
  <si>
    <t xml:space="preserve">Shasta Lake, City of </t>
  </si>
  <si>
    <t>WAPA (BANC)</t>
  </si>
  <si>
    <t>Total Balancing Authority of Northern California Control Area</t>
  </si>
  <si>
    <t>SCE Service Area - LA Basin</t>
  </si>
  <si>
    <t>Anaheim, City of</t>
  </si>
  <si>
    <t>Riverside, City of</t>
  </si>
  <si>
    <t>Vernon, City of</t>
  </si>
  <si>
    <t>Other SP15 LSEs - LA Basin</t>
  </si>
  <si>
    <t>LA Basin Subtotal</t>
  </si>
  <si>
    <t>SCE Service Area - Big Creek/Ventura</t>
  </si>
  <si>
    <t>CDWR - Big Creek/Ventura</t>
  </si>
  <si>
    <t>Big Creek/Ventura Subtotal</t>
  </si>
  <si>
    <t>SCE Service Area - Other</t>
  </si>
  <si>
    <t>Other SP15 LSEs - Other</t>
  </si>
  <si>
    <t>CDWR - Other</t>
  </si>
  <si>
    <t>Total SCE TAC Area</t>
  </si>
  <si>
    <t>MWD TAC Area</t>
  </si>
  <si>
    <t>SDG&amp;E TAC Area</t>
  </si>
  <si>
    <t>Valley Electric Association</t>
  </si>
  <si>
    <t>Total South of Path 26</t>
  </si>
  <si>
    <t>LADWP</t>
  </si>
  <si>
    <t>Burbank</t>
  </si>
  <si>
    <t>Glendale</t>
  </si>
  <si>
    <t>Total LADWP Control Area</t>
  </si>
  <si>
    <t>Imperial Irrigation District Control Area</t>
  </si>
  <si>
    <t>Total California ISO</t>
  </si>
  <si>
    <t>Total STATEWIDE</t>
  </si>
  <si>
    <t>The SCE forecast published in the planning area and hourly forecast forms includes the MWD TAC load, which is reported separately here.</t>
  </si>
  <si>
    <t>PG&amp;E</t>
  </si>
  <si>
    <t>WAPA</t>
  </si>
  <si>
    <t>SCE</t>
  </si>
  <si>
    <t>Form 1.1c - STATEWIDE</t>
  </si>
  <si>
    <t>Electricity Deliveries to End Users by Agency (GWh)</t>
  </si>
  <si>
    <t>Planning Area</t>
  </si>
  <si>
    <t>Pacific Gas &amp; Electric Company (Bundled)</t>
  </si>
  <si>
    <t>Pacific Gas &amp; Electric Company (Direct Access)</t>
  </si>
  <si>
    <t>BART</t>
  </si>
  <si>
    <t>CCA - Central Coast Community Energy</t>
  </si>
  <si>
    <t>CCA - CleanPowerSF</t>
  </si>
  <si>
    <t>CCA - East Bay Community Energy</t>
  </si>
  <si>
    <t>CCA - King City Community Power</t>
  </si>
  <si>
    <t>CCA - Marin Clean Energy</t>
  </si>
  <si>
    <t>CCA - Peninsula Clean Energy Authority</t>
  </si>
  <si>
    <t>CCA - Pioneer Community Energy</t>
  </si>
  <si>
    <t>CCA - Redwood Coast Energy Authority</t>
  </si>
  <si>
    <t>CCA - San José Clean Energy</t>
  </si>
  <si>
    <t>CCA - Silicon Valley Clean Energy</t>
  </si>
  <si>
    <t>CCA - Sonoma Clean Power</t>
  </si>
  <si>
    <t>CCA - Valley Clean Energy Alliance</t>
  </si>
  <si>
    <t>Biggs Municipal Utilities</t>
  </si>
  <si>
    <t>Calaveras Public Power Agency</t>
  </si>
  <si>
    <t>Healdsburg, City of</t>
  </si>
  <si>
    <t>Kirkwood Meadows Public Utility District</t>
  </si>
  <si>
    <t>Lathrop Irrigation District</t>
  </si>
  <si>
    <t>Lodi Electric Utility</t>
  </si>
  <si>
    <t>Lompoc, City of</t>
  </si>
  <si>
    <t>Palo Alto, City of</t>
  </si>
  <si>
    <t>Pittsburg, City of (dba Island Energy on Mare Island)</t>
  </si>
  <si>
    <t>Power and Water Resource Pooling Authority</t>
  </si>
  <si>
    <t>Port of Oakland</t>
  </si>
  <si>
    <t>Port of Stockton</t>
  </si>
  <si>
    <t>Tuolumne County Public Power Agency</t>
  </si>
  <si>
    <t>Ukiah, City of</t>
  </si>
  <si>
    <t>California Department of Water Resources</t>
  </si>
  <si>
    <t>USBR WAPA Central Valley Project</t>
  </si>
  <si>
    <t>PG&amp;E Total</t>
  </si>
  <si>
    <t>Southern California Edison Company (Bundled)</t>
  </si>
  <si>
    <t>Southern California Edison Company (Direct Access)</t>
  </si>
  <si>
    <t>CCA - Apple Valley Choice Energy</t>
  </si>
  <si>
    <t>CCA - Baldwin Park, City of</t>
  </si>
  <si>
    <t>CCA - Clean Power Alliance</t>
  </si>
  <si>
    <t>CCA - Desert Community Energy</t>
  </si>
  <si>
    <t>CCA - Energy for Palmdale’s Independent Choice</t>
  </si>
  <si>
    <t>CCA - Lancaster Choice Energy</t>
  </si>
  <si>
    <t>CCA - Orange County Power Authority</t>
  </si>
  <si>
    <t>CCA - Pico Rivera Innovative Municipal Energy</t>
  </si>
  <si>
    <t>CCA - Pomona Choice Energy</t>
  </si>
  <si>
    <t>CCA - Rancho Mirage Energy Authority</t>
  </si>
  <si>
    <t>CCA - San Jacinto Power</t>
  </si>
  <si>
    <t>CCA - Santa Barbara Clean Energy</t>
  </si>
  <si>
    <t>CCA - Western Community Energy</t>
  </si>
  <si>
    <t>Azusa Light and Water</t>
  </si>
  <si>
    <t>Banning, City of</t>
  </si>
  <si>
    <t>Bear Valley Electric Service</t>
  </si>
  <si>
    <t>Cerritos, City of</t>
  </si>
  <si>
    <t>Colton Public Utilities</t>
  </si>
  <si>
    <t>Corona, City of</t>
  </si>
  <si>
    <t>Industry, City of</t>
  </si>
  <si>
    <t>Moreno Valley Electric Utility</t>
  </si>
  <si>
    <t>Rancho Cucamonga Municipal Utility</t>
  </si>
  <si>
    <t>Victorville Municipal Utility Services</t>
  </si>
  <si>
    <t>Metropolitan Water District of Southern California</t>
  </si>
  <si>
    <t>SCE Total</t>
  </si>
  <si>
    <t>SDG&amp;E</t>
  </si>
  <si>
    <t>San Diego Gas &amp; Electric Company (Bundled)</t>
  </si>
  <si>
    <t>San Diego Gas &amp; Electric Company (Direct Access)</t>
  </si>
  <si>
    <t>CCA - Clean Energy Alliance</t>
  </si>
  <si>
    <t>CCA - San Diego Community Power</t>
  </si>
  <si>
    <t>SDG&amp;E Total</t>
  </si>
  <si>
    <t>Northern California 
Non-California ISO
(NCNC)</t>
  </si>
  <si>
    <t>Roseville Electric</t>
  </si>
  <si>
    <t>Shasta Lake, City of</t>
  </si>
  <si>
    <t>NCNC Total</t>
  </si>
  <si>
    <t>Los Angeles Department of Water and Power</t>
  </si>
  <si>
    <t>Burbank/Glendale
(BUGL)</t>
  </si>
  <si>
    <t>Burbank Water and Power</t>
  </si>
  <si>
    <t>Glendale Water and Power</t>
  </si>
  <si>
    <t>BUGL Total</t>
  </si>
  <si>
    <t>IID</t>
  </si>
  <si>
    <t>VEA (CA Territory)</t>
  </si>
  <si>
    <t>OTHER Total</t>
  </si>
  <si>
    <t>Liberty Utilities</t>
  </si>
  <si>
    <t>Needles, City of</t>
  </si>
  <si>
    <t>PacifiCorp</t>
  </si>
  <si>
    <t>Surprise Valley Electric Cooperative</t>
  </si>
  <si>
    <t>Truckee Donner Public Utility District</t>
  </si>
  <si>
    <t>STATEWIDE Total</t>
  </si>
  <si>
    <t>Total Pumping Load</t>
  </si>
  <si>
    <t>STATEWIDE Total Excluding Pumping</t>
  </si>
  <si>
    <t>Table includes sales from entities outside of California-based Balancing Authority Areas. Thus, STATEWIDE Total in row 106 is higher than total given in STATEWIDE Form 1.1b.</t>
  </si>
  <si>
    <t>Retail Suppliers</t>
  </si>
  <si>
    <t>Retail Sales (MWh)</t>
  </si>
  <si>
    <r>
      <t>Greenhouse Gas Emissions Intensity (lbs CO</t>
    </r>
    <r>
      <rPr>
        <b/>
        <vertAlign val="subscript"/>
        <sz val="10"/>
        <color theme="0"/>
        <rFont val="Arial"/>
        <family val="2"/>
      </rPr>
      <t>2</t>
    </r>
    <r>
      <rPr>
        <b/>
        <sz val="10"/>
        <color theme="0"/>
        <rFont val="Arial"/>
        <family val="2"/>
      </rPr>
      <t>e/MWh)</t>
    </r>
  </si>
  <si>
    <t>Eligible Renewables (TOTAL)</t>
  </si>
  <si>
    <t>Biomass &amp; Biowaste</t>
  </si>
  <si>
    <t>Geothermal</t>
  </si>
  <si>
    <t>Eligible Hydroelectric</t>
  </si>
  <si>
    <t>Solar</t>
  </si>
  <si>
    <t>Wind</t>
  </si>
  <si>
    <t>Coal</t>
  </si>
  <si>
    <t>Large Hydroelectric</t>
  </si>
  <si>
    <t>Natural Gas</t>
  </si>
  <si>
    <t>Nuclear</t>
  </si>
  <si>
    <t>Other</t>
  </si>
  <si>
    <t>Unspecified Power</t>
  </si>
  <si>
    <t>TOTAL</t>
  </si>
  <si>
    <t>Coal (mwh)</t>
  </si>
  <si>
    <t>Large Hydro (mwh)</t>
  </si>
  <si>
    <t>Nuclear (mwh)</t>
  </si>
  <si>
    <t>2022 CA Utility Average and Total Retail Sales*</t>
  </si>
  <si>
    <t>3 Phases Renewables - 3PR 100% Renewable Product (61% of Load)</t>
  </si>
  <si>
    <t>3 Phases Renewables - 3PR 50% Renewable Product (38% of Load)</t>
  </si>
  <si>
    <t>3 Phases Renewables - 3PR Minimum Product (1% of Load)</t>
  </si>
  <si>
    <t>Alameda Municipal Power - Alameda Green</t>
  </si>
  <si>
    <t>Alameda Municipal Power - Standard</t>
  </si>
  <si>
    <t>Anaheim Public Utilities - Anaheim</t>
  </si>
  <si>
    <t>Anaheim Public Utilities - Green Power Program</t>
  </si>
  <si>
    <t>Anza Electric Cooperative, Inc. - Anza Electric Cooperative, Inc.</t>
  </si>
  <si>
    <t>Apple Valley Choice Energy - 2022 AVCE CORE CHOICE Power Mix</t>
  </si>
  <si>
    <t>Apple Valley Choice Energy - 2022 AVCE MORE CHOICE Power Mix</t>
  </si>
  <si>
    <t>Azusa Light &amp; Water - Azusa Light &amp; Water</t>
  </si>
  <si>
    <t>Bear Valley Electric Service, Inc. - BVES, Inc.</t>
  </si>
  <si>
    <t>BP Energy Retail Company California LLC - Standard</t>
  </si>
  <si>
    <t>Burbank Water and Power - Burbank Water and Power</t>
  </si>
  <si>
    <t>Burbank Water and Power - Green Choice Program</t>
  </si>
  <si>
    <t>Calpine Energy Solutions, LLC - Solutions' Power Mix</t>
  </si>
  <si>
    <t>Calpine PowerAmerica-CA, LLC - 2022 Power Mix</t>
  </si>
  <si>
    <t>Central Coast Community Energy - 3Cchoice</t>
  </si>
  <si>
    <t>Central Coast Community Energy- 3Cprime</t>
  </si>
  <si>
    <t>Cerritos Electric Utility - Retail Sales</t>
  </si>
  <si>
    <t>City of Banning Electric Utility - City of Banning Electric Utility</t>
  </si>
  <si>
    <t>City of Biggs - Standard Rate</t>
  </si>
  <si>
    <t>City of Colton Electric - Colton Electric Utility</t>
  </si>
  <si>
    <t>City of Corona Utilities Department - Retail Sales</t>
  </si>
  <si>
    <t>City of Glendale - Glendal Water and Power</t>
  </si>
  <si>
    <t>City of Gridley Electric Utility - City of Gridley Electric Utility</t>
  </si>
  <si>
    <t>City of Healdsburg - Green Rate</t>
  </si>
  <si>
    <t>City of Healdsburg - Standard Rate</t>
  </si>
  <si>
    <t>City of Lompoc - City of Lompoc</t>
  </si>
  <si>
    <t>City of Moreno Valley - City of Moreno Valley</t>
  </si>
  <si>
    <t>City of Needles - City of Needles</t>
  </si>
  <si>
    <t>City of Palo Alto Utilities - CPAU Standard Rate</t>
  </si>
  <si>
    <t>City of Palo Alto Utilities - Palo Alto Green</t>
  </si>
  <si>
    <t>City of Pasadena - Green Program Mix</t>
  </si>
  <si>
    <t>City of Pasadena - PWP Power Mix</t>
  </si>
  <si>
    <t>City of Rancho Cucamonga - 2022 Rancho Cucamonga Power Mix</t>
  </si>
  <si>
    <t>City of Riverside, Riverside Public Utilities - RPU 100% Renewable Energy Mix</t>
  </si>
  <si>
    <t>City of Riverside, Riverside Public Utilities - RPU General Power Mix</t>
  </si>
  <si>
    <t>City of Roseville - Roseville</t>
  </si>
  <si>
    <t>City of Roseville - Roseville Community Solar</t>
  </si>
  <si>
    <t>City of Santa Clara dba Silicon Valley Power - Green Power Standard</t>
  </si>
  <si>
    <t>City of Santa Clara dba Silicon Valley Power - SVP Non- Residential</t>
  </si>
  <si>
    <t>City of Santa Clara dba Silicon Valley Power - SVP Residential</t>
  </si>
  <si>
    <t>City of Shasta Lake - City of Shasta Lake</t>
  </si>
  <si>
    <t>City of Ukiah Electric Utility - Ukiah Standard Rate</t>
  </si>
  <si>
    <t>Clean Energy Alliance - 2022 CEA Clean Impact Plus Power Mix</t>
  </si>
  <si>
    <t>Clean Energy Alliance - 2022 CEA Clean Impact Power Mix</t>
  </si>
  <si>
    <t>Clean Energy Alliance - 2022 CEA Green Impact Power Mix</t>
  </si>
  <si>
    <t>Clean Power Alliance of Southern California - 100% Green Power</t>
  </si>
  <si>
    <t>Clean Power Alliance of Southern California - Clean Power</t>
  </si>
  <si>
    <t>Clean Power Alliance of Southern California - Lean Power</t>
  </si>
  <si>
    <t>Clean Power Alliance of Southern California - Power Share</t>
  </si>
  <si>
    <t>CleanPowerSF - Green</t>
  </si>
  <si>
    <t>CleanPowerSF - SuperGreen</t>
  </si>
  <si>
    <t>CleanPowerSF - SuperGreen Saver</t>
  </si>
  <si>
    <t>Commercial Energy of California - Commercial Energy of California Renewable</t>
  </si>
  <si>
    <t>Commercial Energy of California - Commercial Energy of California Standard</t>
  </si>
  <si>
    <t>Constellation NewEnergy, Inc. - Constellation NewEnergy, Inc.</t>
  </si>
  <si>
    <t>Desert Community Energy - DCE Carbon Free</t>
  </si>
  <si>
    <t>Desert Community Energy - DCE Desert Saver</t>
  </si>
  <si>
    <t>Direct Energy Business, LLC - Direct Energy Standard Product Offer</t>
  </si>
  <si>
    <t>East Bay Community Energy - Bright Choice</t>
  </si>
  <si>
    <t>East Bay Community Energy - Brilliant 100</t>
  </si>
  <si>
    <t>East Bay Community Energy - Renewable 100</t>
  </si>
  <si>
    <t>Eastside Power Authority - Eastside Power Authority</t>
  </si>
  <si>
    <t>Energy for Palmdale’s Independent Choice (EPIC, City of Palmdale) - 2022 EPIC Power Power Mix</t>
  </si>
  <si>
    <t>Energy for Palmdale’s Independent Choice (EPIC, City of Palmdale) -2022 EPIC Power100 Power Mix</t>
  </si>
  <si>
    <t>Imperial Irrigation District - Imperial Irrigation District</t>
  </si>
  <si>
    <t>Industry Public Utilities - Retail Sales</t>
  </si>
  <si>
    <t>King City Community Power - King City Community Power</t>
  </si>
  <si>
    <t>Kirkwood Meadows Public Utility District - KMPUD</t>
  </si>
  <si>
    <t>LADWP - Green Power for Green LA</t>
  </si>
  <si>
    <t>LADWP - LADWP Power Mix</t>
  </si>
  <si>
    <t>Lancaster Choice Energy - 2022 CLEAR CHOICE Power Mix</t>
  </si>
  <si>
    <t>Lancaster Choice Energy - 2022 SMART CHOICE Power Mix</t>
  </si>
  <si>
    <t>Lassen Municipal Utility District - General</t>
  </si>
  <si>
    <t>Lathrop Irrigation District - LID 2022 Power Mix</t>
  </si>
  <si>
    <t>Liberty Utilities (CalPeco Electric) LLC - 2022 Liberty Power Mix</t>
  </si>
  <si>
    <t>MCE - 2022 MCE Deep Green Power Mix</t>
  </si>
  <si>
    <t>MCE - 2022 MCE Green Access Power Mix</t>
  </si>
  <si>
    <t>MCE - 2022 MCE Light Green Power Mix</t>
  </si>
  <si>
    <t>MCE - 2022 MCE Local Sol Power Mix</t>
  </si>
  <si>
    <t>Merced Irrigation District - Retail Sales</t>
  </si>
  <si>
    <t>Modesto Irrigation District - MID Retail Energy</t>
  </si>
  <si>
    <t>Orange County Power Authority - 2022 OCPA 100% Renewable Choice Power Mix</t>
  </si>
  <si>
    <t>Orange County Power Authority - 2022 OCPA Basic Choice Power Mix</t>
  </si>
  <si>
    <t>Orange County Power Authority - 2022 OCPA Smart Choice Power Mix</t>
  </si>
  <si>
    <t>Pacific Gas and Electric Company - 100% Solar Choice</t>
  </si>
  <si>
    <t>Pacific Gas and Electric Company - 50% Solar Choice</t>
  </si>
  <si>
    <t>Pacific Gas and Electric Company - Base Plan</t>
  </si>
  <si>
    <t>Pacific Gas and Electric Company - Green Saver</t>
  </si>
  <si>
    <t>PacifiCorp - BlueSky</t>
  </si>
  <si>
    <t>PacifiCorp - Standard (Default) Electricity</t>
  </si>
  <si>
    <t>Peninsula Clean Energy Authority - ECO100</t>
  </si>
  <si>
    <t>Peninsula Clean Energy Authority - ECOplus</t>
  </si>
  <si>
    <t>Peninsula Clean Energy Authority - Green Access</t>
  </si>
  <si>
    <t>Pico Rivera Innovative Municipal Energy - 2022 PRIME FUTURE Power Mix</t>
  </si>
  <si>
    <t>Pico Rivera Innovative Municipal Energy - 2022 PRIME POWER Power Mix</t>
  </si>
  <si>
    <t>PILOT POWER GROUP, LLC - Pilot Power Group, LLC</t>
  </si>
  <si>
    <t>Pioneer Community Energy - 2022 Pioneer Community Energy Base Service</t>
  </si>
  <si>
    <t>Pioneer Community Energy - 2022 Pioneer Community Energy Green100</t>
  </si>
  <si>
    <t>Pittsburg Power Company - Retail Electricity Service</t>
  </si>
  <si>
    <t>Plumas-Sierra Rural Electric Cooperative - PSREC</t>
  </si>
  <si>
    <t>Pomona Choice Energy - 2022 POMONA CHOICE 100 Power Mix</t>
  </si>
  <si>
    <t>Pomona Choice Energy - 2022 POMONA CHOICE Power Mix</t>
  </si>
  <si>
    <t>Port of Oakland - Port of Oakland</t>
  </si>
  <si>
    <t>Power &amp; Water Resources Pooling Authority - Standard Water Portfolio</t>
  </si>
  <si>
    <t>Power &amp; Water Resources Pooling Authority - Zero Carbon Water Portfolio</t>
  </si>
  <si>
    <t>Rancho Mirage Energy Authority - 2022 BASE CHOICE Power Mix</t>
  </si>
  <si>
    <t>Rancho Mirage Energy Authority- 2022 PREMIUM RENEWABLE CHOICE Power Mix</t>
  </si>
  <si>
    <t>Redding Electric Utility - REU Power Mix</t>
  </si>
  <si>
    <t>Redwood Coast Energy Authority - REpower</t>
  </si>
  <si>
    <t>Redwood Coast Energy Authority - REpower+</t>
  </si>
  <si>
    <t>Sacramento Municipal Utility District - Greenergy CA Renewable</t>
  </si>
  <si>
    <t>Sacramento Municipal Utility District - Greenergy Local Renewable</t>
  </si>
  <si>
    <t>Sacramento Municipal Utility District - Greenergy PartnerPlus</t>
  </si>
  <si>
    <t>Sacramento Municipal Utility District - Private Contracts (multiple portfolios aggregated)</t>
  </si>
  <si>
    <t>Sacramento Municipal Utility District - SMUD General Mix</t>
  </si>
  <si>
    <t>Sacramento Municipal Utility District - SolarShares Commercial</t>
  </si>
  <si>
    <t>Sacramento Municipal Utility District - SolarShares Neighborhood</t>
  </si>
  <si>
    <t>San Diego Community Power - 2022 SDCP Power100 Power Mix</t>
  </si>
  <si>
    <t>San Diego Community Power - 2022 SDCP PowerOn Power Mix</t>
  </si>
  <si>
    <t>San Diego Gas &amp; Electric - 2022 SDG&amp;E EcoChoice</t>
  </si>
  <si>
    <t>San Diego Gas &amp; Electric - 2022 SDG&amp;E Power Mix</t>
  </si>
  <si>
    <t>San Francisco Bay Area Rapid Transit District (BART) - BART</t>
  </si>
  <si>
    <t>San Jacinto Power - 2022 SJP PrimePower Power Mix</t>
  </si>
  <si>
    <t>San Jacinto Power - 2022 SJP PureGreen Power Mix</t>
  </si>
  <si>
    <t>San José Clean Energy - GreenSource</t>
  </si>
  <si>
    <t>San José Clean Energy - GreenValue</t>
  </si>
  <si>
    <t>San José Clean Energy - SolarAccess</t>
  </si>
  <si>
    <t>San José Clean Energy - Total Green</t>
  </si>
  <si>
    <t>Santa Barbara Clean Energy - 2022 SBCE 100% Green Power Mix</t>
  </si>
  <si>
    <t>Santa Barbara Clean Energy - 2022 SBCE Green Start Power Mix</t>
  </si>
  <si>
    <t>SFPUC - Hetch Hetchy Power - General Service</t>
  </si>
  <si>
    <t>SFPUC - Hetch Hetchy Power - Premium Service</t>
  </si>
  <si>
    <t>Shell Energy North America (US), L.P. D/B/A Shell Energy Solutions - Shell Energy Solutions</t>
  </si>
  <si>
    <t>Shelter Cove Resort Improvement District **PENDING SUBMISSION*</t>
  </si>
  <si>
    <t>SILICON VALLEY CLEAN ENERGY - Green Prime</t>
  </si>
  <si>
    <t>SILICON VALLEY CLEAN ENERGY - Green Start</t>
  </si>
  <si>
    <t>Sonoma Clean Power Authority - CleanStart</t>
  </si>
  <si>
    <t>Sonoma Clean Power Authority - EverGreen</t>
  </si>
  <si>
    <t>Southern California Edison - SCE Green Rate 100% Option</t>
  </si>
  <si>
    <t>Southern California Edison - SCE Green Rate 50% Option</t>
  </si>
  <si>
    <t>Southern California Edison - SCE Power Mix</t>
  </si>
  <si>
    <t>Stockton Port District - Stockton Port District</t>
  </si>
  <si>
    <t>SURPRISE VALLEY ELECTRIFICATION CORP. - SVEC Electric Service</t>
  </si>
  <si>
    <t>The Regents of the University of California - UC Clean Power Program</t>
  </si>
  <si>
    <t>Trinity Public Utilities **PENDING SUBMISSION*</t>
  </si>
  <si>
    <t>Truckee Donner PUD - TDPUD Power Mix</t>
  </si>
  <si>
    <t>Turlock Irrigation District - Bgreen</t>
  </si>
  <si>
    <t>Turlock Irrigation District - Retail Power Supply</t>
  </si>
  <si>
    <t>Valley Clean Energy Alliance - Standard Green</t>
  </si>
  <si>
    <t>Valley Clean Energy Alliance - UltraGreen</t>
  </si>
  <si>
    <t>Valley Electric Association, Inc - Valley Electric Association</t>
  </si>
  <si>
    <t>Vernon Public Utilities - VPU General Power Mix</t>
  </si>
  <si>
    <t>Victorville Municipal Utility Services - Retail Sales</t>
  </si>
  <si>
    <t>*Current as of 2/7/2024</t>
  </si>
  <si>
    <t>Retail Sales¹ (MWh)</t>
  </si>
  <si>
    <t>Greenhouse Gas Emissions Intensity (lbs CO2e/MWh)</t>
  </si>
  <si>
    <t>Eligible Renewables² (TOTAL)</t>
  </si>
  <si>
    <t xml:space="preserve">Other </t>
  </si>
  <si>
    <t>Unspecified Power³</t>
  </si>
  <si>
    <t>2021 CA Utility Average and Total Retail Sales⁴</t>
  </si>
  <si>
    <t>3 Phases Renewables 100% Renewable Product</t>
  </si>
  <si>
    <t>3 Phases Renewables 50% Renewable Product</t>
  </si>
  <si>
    <t>3 Phases Renewables Minimum Product</t>
  </si>
  <si>
    <t>Apple Valley Choice Energy - Core Choice</t>
  </si>
  <si>
    <t>Apple Valley Choice Energy - More Choice</t>
  </si>
  <si>
    <t>Azusa Light &amp; Water</t>
  </si>
  <si>
    <t>Baldwin Park (BPROUD) - Green Choice</t>
  </si>
  <si>
    <t>Baldwin Park (BPROUD) - Smart Choice</t>
  </si>
  <si>
    <t>Banning Electric Utility, City of</t>
  </si>
  <si>
    <t>Bay Area Rapid Transit (BART)</t>
  </si>
  <si>
    <t>Biggs Electric Utility, City of</t>
  </si>
  <si>
    <t>Calpine Energy Solutions, LLC</t>
  </si>
  <si>
    <t>Calpine Poweramerica-CA, LLC</t>
  </si>
  <si>
    <t>Central Coast Community Energy - 3CE Choice</t>
  </si>
  <si>
    <t>Central Coast Community Energy - 3CE Prime</t>
  </si>
  <si>
    <t>Cerritos Electric Utility</t>
  </si>
  <si>
    <t>Clean Energy Alliance - Clean Impact</t>
  </si>
  <si>
    <t>Clean Energy Alliance - Clean Impact Plus</t>
  </si>
  <si>
    <t>Clean Energy Alliance - Green Impact</t>
  </si>
  <si>
    <t xml:space="preserve">Colton, City of </t>
  </si>
  <si>
    <t>Commercial Energy of California</t>
  </si>
  <si>
    <t>Constellation NewEnergy, Inc.</t>
  </si>
  <si>
    <t>Corona Department of Water and Power, City of</t>
  </si>
  <si>
    <t>Desert Community Energy - Carbon Free</t>
  </si>
  <si>
    <t>Desert Community Energy - Desert Saver</t>
  </si>
  <si>
    <t>Direct Energy Business, LLC</t>
  </si>
  <si>
    <t>EDF Industrial Power Services (CA), LLC</t>
  </si>
  <si>
    <t>Glendale, City of</t>
  </si>
  <si>
    <t>Healdsburg, City of - Green Rate</t>
  </si>
  <si>
    <t>Healdsburg, City of - Standard Rate</t>
  </si>
  <si>
    <t>Hetch Hetchy Power - General Service</t>
  </si>
  <si>
    <t>Hetch Hetchy Power - Premium Service</t>
  </si>
  <si>
    <t>Industry Public Utilities</t>
  </si>
  <si>
    <t>King City Community Power</t>
  </si>
  <si>
    <t>LADWP Power Mix</t>
  </si>
  <si>
    <t>Lancaster Choice Energy - Clear Choice</t>
  </si>
  <si>
    <t>Lancaster Choice Energy - Smart Choice</t>
  </si>
  <si>
    <t>Lassen Municipal Utility</t>
  </si>
  <si>
    <t xml:space="preserve">Marin Clean Energy  - Light Green </t>
  </si>
  <si>
    <t xml:space="preserve">Marin Clean Energy - Deep Green </t>
  </si>
  <si>
    <t xml:space="preserve">Marin Clean Energy - Green Access </t>
  </si>
  <si>
    <t xml:space="preserve">Marin Clean Energy - Local Sol </t>
  </si>
  <si>
    <t>Moreno Valley, City of</t>
  </si>
  <si>
    <t>PacifiCorp - BlueSky Block</t>
  </si>
  <si>
    <t>Palo Alto Utilities, City of - Palo Alto Green</t>
  </si>
  <si>
    <t>Palo Alto Utilities, City of - Standard Rate</t>
  </si>
  <si>
    <t>Pasadena, City of - Green Program Mix</t>
  </si>
  <si>
    <t>Pasadena, City of - PWP Power Mix</t>
  </si>
  <si>
    <t>Pico Rivera (PRIME) - PRIME Future</t>
  </si>
  <si>
    <t>Pico Rivera (PRIME) - PRIME Power</t>
  </si>
  <si>
    <t>Pilot Power Group, LLC</t>
  </si>
  <si>
    <t>Pioneer Community Energy - Base Service</t>
  </si>
  <si>
    <t>Pioneer Community Energy - Green100</t>
  </si>
  <si>
    <t>Pomona Choice Energy - Pomona Choice</t>
  </si>
  <si>
    <t>Pomona Choice Energy - Pomona Choice 100</t>
  </si>
  <si>
    <t xml:space="preserve">Port of Oakland </t>
  </si>
  <si>
    <t xml:space="preserve">Power &amp; Water Resources Pooling Authority - Standard </t>
  </si>
  <si>
    <t xml:space="preserve">Power &amp; Water Resources Pooling Authority - Zero Carbon </t>
  </si>
  <si>
    <t>Rancho Cucamonga, City of</t>
  </si>
  <si>
    <t>Rancho Mirage Energy Authority - Base Choice</t>
  </si>
  <si>
    <t>Rancho Mirage Energy Authority - Premium Renewable Choice</t>
  </si>
  <si>
    <t>Riverside Public Utilities - 100% Renewable</t>
  </si>
  <si>
    <t>Riverside Public Utilities - General Power Mix</t>
  </si>
  <si>
    <t>Roseville, City of - Roseville Community Solar</t>
  </si>
  <si>
    <t>San Diego Community Power - Power100</t>
  </si>
  <si>
    <t>San Diego Community Power - PowerOn</t>
  </si>
  <si>
    <t xml:space="preserve">San Diego Gas &amp; Electric Company - EcoChoice </t>
  </si>
  <si>
    <t>San Jacinto Power - PrimePower</t>
  </si>
  <si>
    <t>San Jacinto Power - PureGreen</t>
  </si>
  <si>
    <t>San José Clean Energy - Solar Access</t>
  </si>
  <si>
    <t>Santa Barbara Clean Energy - 100% Green Power Mix</t>
  </si>
  <si>
    <t>Santa Barbara Clean Energy - Green Start Power Mix</t>
  </si>
  <si>
    <t>Shell Energy North America (US), L.P.</t>
  </si>
  <si>
    <t>Shelter Cove Irrigation District **PENDING SUBMISSION**</t>
  </si>
  <si>
    <t>Silicon Valley Clean Energy - Green Prime</t>
  </si>
  <si>
    <t>Silicon Valley Clean Energy - Green Start</t>
  </si>
  <si>
    <t>Silicon Valley Power - Green Power National</t>
  </si>
  <si>
    <t>Silicon Valley Power - Green Power Standard</t>
  </si>
  <si>
    <t>Silicon Valley Power - Non-Residential</t>
  </si>
  <si>
    <t>Silicon Valley Power - Residential</t>
  </si>
  <si>
    <t>SMUD - General Mix</t>
  </si>
  <si>
    <t>SMUD - Greenergy Partner</t>
  </si>
  <si>
    <t>SMUD - Greenergy PartnerPlus</t>
  </si>
  <si>
    <t>SMUD - Private Contracts (multiple portfolios aggregated)</t>
  </si>
  <si>
    <t>SMUD - SolarShares Commercial</t>
  </si>
  <si>
    <t>SMUD - SolarShares Neighborhood</t>
  </si>
  <si>
    <t>SMUD - SolarShares Neighborhood 19J</t>
  </si>
  <si>
    <t>Solana Energy Alliance - Choice</t>
  </si>
  <si>
    <t>Solana Energy Alliance - Green</t>
  </si>
  <si>
    <t xml:space="preserve">Southern California Edison </t>
  </si>
  <si>
    <t xml:space="preserve">Southern California Edison - Green Rate 100% </t>
  </si>
  <si>
    <t xml:space="preserve">Southern California Edison - Green Rate 50% </t>
  </si>
  <si>
    <t>Trinity Public Utilites **PENDING SUBMISSION**</t>
  </si>
  <si>
    <t>Turlock Irrigation District - BGREEN</t>
  </si>
  <si>
    <t>UC Regents - UC Clean Power Program</t>
  </si>
  <si>
    <t>Ukiah Electric Utility, City of</t>
  </si>
  <si>
    <t>Vernon Public Utilities</t>
  </si>
  <si>
    <t>YEAR</t>
  </si>
  <si>
    <t>Source or Calculation Method</t>
  </si>
  <si>
    <t>Maximum Transmission Loss Factor</t>
  </si>
  <si>
    <t>Assumed Transmission Loss Factor When Sales Exceed Load</t>
  </si>
  <si>
    <t>Coal (MWh)</t>
  </si>
  <si>
    <t>Nuclear (MWh)</t>
  </si>
  <si>
    <t>Large Hydro (MWh)</t>
  </si>
  <si>
    <t>RPS Factor Applied to Sales</t>
  </si>
  <si>
    <t>RPS Power (MWh)</t>
  </si>
  <si>
    <t>Natural Gas (MWh)</t>
  </si>
  <si>
    <t>Energy not provided by other sources, except not less than 5% of Energy to Serve Load</t>
  </si>
  <si>
    <r>
      <t>EDU-Specific Emissions (MTCO</t>
    </r>
    <r>
      <rPr>
        <vertAlign val="subscript"/>
        <sz val="11"/>
        <rFont val="Calibri"/>
        <family val="2"/>
      </rPr>
      <t>2</t>
    </r>
    <r>
      <rPr>
        <sz val="11"/>
        <rFont val="Calibri"/>
        <family val="2"/>
      </rPr>
      <t>e)</t>
    </r>
  </si>
  <si>
    <t>Calculated emissions from coal and natural gas: Coal (MWh) times IPP Coal Emission Factor plus Natural Gas (MWh) times Natural Gas Emission Factor</t>
  </si>
  <si>
    <r>
      <t>EDU-Specific Emission Factor (MTCO</t>
    </r>
    <r>
      <rPr>
        <vertAlign val="subscript"/>
        <sz val="11"/>
        <rFont val="Calibri"/>
        <family val="2"/>
      </rPr>
      <t>2</t>
    </r>
    <r>
      <rPr>
        <sz val="11"/>
        <rFont val="Calibri"/>
        <family val="2"/>
      </rPr>
      <t>e/MWh)</t>
    </r>
  </si>
  <si>
    <t>EDU-Specific Emissions divided by Energy to Serve Load</t>
  </si>
  <si>
    <r>
      <t xml:space="preserve"> Industrial Covered Entity Emissions (MTCO</t>
    </r>
    <r>
      <rPr>
        <vertAlign val="subscript"/>
        <sz val="11"/>
        <rFont val="Calibri"/>
        <family val="2"/>
      </rPr>
      <t>2</t>
    </r>
    <r>
      <rPr>
        <sz val="11"/>
        <rFont val="Calibri"/>
        <family val="2"/>
      </rPr>
      <t>e)</t>
    </r>
  </si>
  <si>
    <t>Electricity to Industrial Covered Entities times EDU-Specific Emissions Factor</t>
  </si>
  <si>
    <t>Annual Allocation (allowances)</t>
  </si>
  <si>
    <t>EDU-Specific Emissions less Industrial Covered Entity Emissions</t>
  </si>
  <si>
    <t>No coal reported in S-2</t>
  </si>
  <si>
    <r>
      <t>Minimum</t>
    </r>
    <r>
      <rPr>
        <sz val="11"/>
        <color rgb="FF000000"/>
        <rFont val="Calibri"/>
        <family val="2"/>
      </rPr>
      <t xml:space="preserve"> Natural Gas Percentage</t>
    </r>
  </si>
  <si>
    <t>No nuclear reported in S-2</t>
  </si>
  <si>
    <t>Baseline Industrial Covered Entity Purchased Electricity times EDU-Specific Emissions Factor</t>
  </si>
  <si>
    <t>Average of 2020-22 from September 2022 S-2</t>
  </si>
  <si>
    <t>References:</t>
  </si>
  <si>
    <r>
      <rPr>
        <vertAlign val="superscript"/>
        <sz val="11"/>
        <color theme="1"/>
        <rFont val="Calibri"/>
        <family val="2"/>
        <scheme val="minor"/>
      </rPr>
      <t>1</t>
    </r>
    <r>
      <rPr>
        <sz val="11"/>
        <color theme="1"/>
        <rFont val="Calibri"/>
        <family val="2"/>
        <scheme val="minor"/>
      </rPr>
      <t xml:space="preserve"> Table 9: Energy Balance Results - 25 MMT Conforming Portfolio and Table 10: Energy Balance Results - 30 MMT Conforming Portfolio</t>
    </r>
  </si>
  <si>
    <t xml:space="preserve">https://www.bvesinc.com/assets/documents/efficiency-and-environment/bves_public_v1.pdf </t>
  </si>
  <si>
    <t>Natural gas emission factor, MTCO2e/MWh</t>
  </si>
  <si>
    <t>October 2022 S-1</t>
  </si>
  <si>
    <t>No coal reported in NCPA S-2</t>
  </si>
  <si>
    <t>No nuclear reported in NCPA S-2</t>
  </si>
  <si>
    <t>No large hydro reported in S-2</t>
  </si>
  <si>
    <t>No S-2. All non-RPS power assumed to be natural gas, consistent with Power Content Label Data.</t>
  </si>
  <si>
    <t>Retail Sales grossed up by TLF</t>
  </si>
  <si>
    <t>No coal, provided by City of Needles.</t>
  </si>
  <si>
    <t>No nuclear, provided by City of Needles.</t>
  </si>
  <si>
    <t>Pacificorp</t>
  </si>
  <si>
    <t>2020            (Actual Supply)</t>
  </si>
  <si>
    <t>2021            (Actual Supply)</t>
  </si>
  <si>
    <t>2022</t>
  </si>
  <si>
    <t>2023</t>
  </si>
  <si>
    <t>2024</t>
  </si>
  <si>
    <t>2025</t>
  </si>
  <si>
    <t>2026</t>
  </si>
  <si>
    <t>2027</t>
  </si>
  <si>
    <t>2028</t>
  </si>
  <si>
    <t>2029</t>
  </si>
  <si>
    <t>2030</t>
  </si>
  <si>
    <t xml:space="preserve"> </t>
  </si>
  <si>
    <r>
      <t>Natural gas emission factor, MTCO</t>
    </r>
    <r>
      <rPr>
        <vertAlign val="subscript"/>
        <sz val="11"/>
        <color rgb="FF000000"/>
        <rFont val="Calibri"/>
        <family val="2"/>
      </rPr>
      <t>2</t>
    </r>
    <r>
      <rPr>
        <sz val="11"/>
        <color rgb="FF000000"/>
        <rFont val="Calibri"/>
        <family val="2"/>
      </rPr>
      <t>e/MWh</t>
    </r>
  </si>
  <si>
    <t>SCE Territory (Nuclear)</t>
  </si>
  <si>
    <t>SCE Territory (Large Hydro)</t>
  </si>
  <si>
    <t>No S-2. No coal, provided by Stockton.</t>
  </si>
  <si>
    <t>No S-2. No nuclear, provided by Stockton.</t>
  </si>
  <si>
    <t>No S-2. No large hydro, provided by Stockton.</t>
  </si>
  <si>
    <t>No coal reported in the  S-2</t>
  </si>
  <si>
    <t>No nuclear reported in the S-2</t>
  </si>
  <si>
    <t>retail sales grossed up by TLF</t>
  </si>
  <si>
    <t>No coal for 2021 or later per data provided by WAPA</t>
  </si>
  <si>
    <t>No nuclear for 2021 or later per data provided by WAPA</t>
  </si>
  <si>
    <t>10 year average of large hydroelectric supply provided by WAPA</t>
  </si>
  <si>
    <t>Baseline Industrial Covered Entity Purchased Electricity (MWh):</t>
  </si>
  <si>
    <t>December 2024 NCPA S-2</t>
  </si>
  <si>
    <t>No coal reported in NCPA S-2 December 2024</t>
  </si>
  <si>
    <t>No nuclear reported in NCPA S-2 December 2024</t>
  </si>
  <si>
    <t>December 2024 NCPA S-1</t>
  </si>
  <si>
    <t>No coal reported in NCPA December 2024 S-2</t>
  </si>
  <si>
    <t>No nuclear reported in NCPA December 2024 S-2</t>
  </si>
  <si>
    <t>November 2024 S-2</t>
  </si>
  <si>
    <t>Average of 2023-2025 from November 2024 S-2</t>
  </si>
  <si>
    <t>November 2024 S-1</t>
  </si>
  <si>
    <t>October 2024 S-2</t>
  </si>
  <si>
    <t>October 2024 S-1</t>
  </si>
  <si>
    <t>Average of 2022-2024 from December 2024 S-2</t>
  </si>
  <si>
    <t>No large hydro reported in the S-2</t>
  </si>
  <si>
    <t>Average Annual  Growth 
(2024-2040)</t>
  </si>
  <si>
    <t>This table includes retail sales and other deliveries at the customer level including losses= total energy to serve load. Table developed based on actual 2023 data.</t>
  </si>
  <si>
    <t>San Jose, City of</t>
  </si>
  <si>
    <t>This table includes retail sales and other deliveries only measured at the customer level. Losses and consumption served by self-generation are excluded. Table developed based on actual 2023 data.</t>
  </si>
  <si>
    <t xml:space="preserve">2024 CEC Form 1.1c </t>
  </si>
  <si>
    <t>2024 CEC Form 1.1c grossed up by TLF</t>
  </si>
  <si>
    <t>2024 CEC Form 1.5a</t>
  </si>
  <si>
    <t>2024 CEC Form 1.1c</t>
  </si>
  <si>
    <t xml:space="preserve">Average Annual Growth from 2024 CEC Form 1.5a </t>
  </si>
  <si>
    <t>Average Annual Growth from 2024 CEC Form 1.1c</t>
  </si>
  <si>
    <t xml:space="preserve">Average Annual Growth from 2024 CEC Form 1.1c </t>
  </si>
  <si>
    <t>Average Annual Growth from 2024 CEC Form 1.5a (weighted average across service areas)</t>
  </si>
  <si>
    <t>November 2024 S-2, per Eastside, 97% of WAPA hydro is large hydro</t>
  </si>
  <si>
    <t>Energy to Serve Load (raw) (MWh)</t>
  </si>
  <si>
    <t>Energy to Serve Load (final) (MWh)</t>
  </si>
  <si>
    <t>Energy to Serve Load (raw), except if lesser than Retail Sales in any year, then is Retail Sales plus 7%</t>
  </si>
  <si>
    <t>Retail Sales times RPS Factor Applied to Sales</t>
  </si>
  <si>
    <t>EDU-Specific Emissions divided by Energy to Serve Load (final)</t>
  </si>
  <si>
    <t>Energy not provided by other sources, except not less than 5% of Energy to Serve Load (final)</t>
  </si>
  <si>
    <t>Sum
(2024-2040)</t>
  </si>
  <si>
    <r>
      <t>No S-2. All non-RPS power assumed to be natural gas.</t>
    </r>
    <r>
      <rPr>
        <vertAlign val="superscript"/>
        <sz val="11"/>
        <color rgb="FF000000"/>
        <rFont val="Calibri"/>
        <family val="2"/>
      </rPr>
      <t>1</t>
    </r>
  </si>
  <si>
    <r>
      <t>No S-2. All non-RPS power assumed to be natural gas.</t>
    </r>
    <r>
      <rPr>
        <vertAlign val="superscript"/>
        <sz val="11"/>
        <color rgb="FF000000"/>
        <rFont val="Calibri"/>
        <family val="2"/>
      </rPr>
      <t xml:space="preserve">1 </t>
    </r>
  </si>
  <si>
    <t>California Energy Demand 2024-2040 Forecast - Planning Forecast</t>
  </si>
  <si>
    <t>Retail Sales (raw) divided by 1 minus Assumed Transmission Loss Factor</t>
  </si>
  <si>
    <r>
      <t>Retail Suppliers - Retail Sales Portfolios</t>
    </r>
    <r>
      <rPr>
        <b/>
        <vertAlign val="superscript"/>
        <sz val="12"/>
        <color rgb="FFFFFFFF"/>
        <rFont val="Arial"/>
        <family val="2"/>
      </rPr>
      <t xml:space="preserve">1
</t>
    </r>
  </si>
  <si>
    <t>Megawatt hours (MWh)</t>
  </si>
  <si>
    <r>
      <t>Greenhouse Gas Emissions Intensity (lbs CO</t>
    </r>
    <r>
      <rPr>
        <b/>
        <vertAlign val="subscript"/>
        <sz val="12"/>
        <color rgb="FFFFFFFF"/>
        <rFont val="Arial"/>
        <family val="2"/>
      </rPr>
      <t>2</t>
    </r>
    <r>
      <rPr>
        <b/>
        <sz val="12"/>
        <color rgb="FFFFFFFF"/>
        <rFont val="Arial"/>
        <family val="2"/>
      </rPr>
      <t>e/MWh)</t>
    </r>
  </si>
  <si>
    <r>
      <t>Eligible Renewables 
(TOTAL)</t>
    </r>
    <r>
      <rPr>
        <b/>
        <vertAlign val="superscript"/>
        <sz val="12"/>
        <color rgb="FFFFFFFF"/>
        <rFont val="Arial"/>
        <family val="2"/>
      </rPr>
      <t>2</t>
    </r>
  </si>
  <si>
    <r>
      <t>Unspecified Power</t>
    </r>
    <r>
      <rPr>
        <b/>
        <vertAlign val="superscript"/>
        <sz val="12"/>
        <color theme="0"/>
        <rFont val="Arial"/>
        <family val="2"/>
      </rPr>
      <t>3</t>
    </r>
  </si>
  <si>
    <r>
      <t>2023 CA Statewide Fuel Mix (retail sales, other end uses, losses)</t>
    </r>
    <r>
      <rPr>
        <b/>
        <vertAlign val="superscript"/>
        <sz val="12"/>
        <color rgb="FF000000"/>
        <rFont val="Arial"/>
        <family val="2"/>
      </rPr>
      <t>4</t>
    </r>
  </si>
  <si>
    <r>
      <t>2023 CA Utility Average (retail sales only)</t>
    </r>
    <r>
      <rPr>
        <b/>
        <vertAlign val="superscript"/>
        <sz val="12"/>
        <color rgb="FF000000"/>
        <rFont val="Arial"/>
        <family val="2"/>
      </rPr>
      <t>5</t>
    </r>
  </si>
  <si>
    <t>3 Phases Renewables - 3PR 100% Renewable Product (60% of Load)</t>
  </si>
  <si>
    <t>3 Phases Renewables - 3PR 50% Renewable Product (39% of Load)</t>
  </si>
  <si>
    <t>Alameda Municipal Power - AMP</t>
  </si>
  <si>
    <t>Apple Valley Choice Energy - 2023 AVCE CORE CHOICE Power Mix</t>
  </si>
  <si>
    <t>Apple Valley Choice Energy - 2023 AVCE MORE CHOICE Power Mix</t>
  </si>
  <si>
    <t>Ava Community Energy - Bright Choice</t>
  </si>
  <si>
    <t>Ava Community Energy - Renewable 100</t>
  </si>
  <si>
    <t>Confidential until 6/6/25</t>
  </si>
  <si>
    <t>BP Energy Retail Company California LLC - Standard Product</t>
  </si>
  <si>
    <t>Confidential until 12/31/25</t>
  </si>
  <si>
    <t>Calpine PowerAmerica-CA, LLC - 2023 Power Mix</t>
  </si>
  <si>
    <t>City of Glendale - Glendale Water and Power</t>
  </si>
  <si>
    <t>City of Rancho Cucamonga - City of Rancho Cucamonga</t>
  </si>
  <si>
    <t>City of Redding Electric Utility - REU Power Mix</t>
  </si>
  <si>
    <t>City of Santa Clara dba Silicon Valley Power - Silicon Valley Power - Residential</t>
  </si>
  <si>
    <t>City of Santa Clara dba Silicon Valley Power - Silicon Valley Power- Non- Residential</t>
  </si>
  <si>
    <t>City of Santa Clara dba Silicon Valley Power - Silicon Valley Power - Palo Alto Networks</t>
  </si>
  <si>
    <t>City of Santa Clara dba Silicon Valley Power - Silicon Valley Power - Roche Molecular Systems Inc.</t>
  </si>
  <si>
    <t>City of Santa Clara dba Silicon Valley Power - Silicon Valley Power - ServiceNow Inc</t>
  </si>
  <si>
    <t>City of Ukiah Electric Utility - Standard Rate</t>
  </si>
  <si>
    <t>Clean Energy Alliance - 2023 CEA Clean Impact Plus Power Mix</t>
  </si>
  <si>
    <t>Clean Energy Alliance - 2023 CEA Clean Impact Power Mix</t>
  </si>
  <si>
    <t>Clean Energy Alliance - 2023 CEA Green Impact Power Mix</t>
  </si>
  <si>
    <t>Confidential until TBD</t>
  </si>
  <si>
    <t>Energy for Palmdale’s Independent Choice (EPIC, City of Palmdale) - 2023 EPIC Power Power Mix</t>
  </si>
  <si>
    <t>Energy for Palmdale’s Independent Choice (EPIC, City of Palmdale) -2023 EPIC Power100 Power Mix</t>
  </si>
  <si>
    <t>Confidential until 7/29/25</t>
  </si>
  <si>
    <t>Lancaster Choice Energy - 2023 CLEAR CHOICE Power Mix</t>
  </si>
  <si>
    <t>Lancaster Choice Energy - 2023 SMART CHOICE Power Mix</t>
  </si>
  <si>
    <t>Lathrop Irrigation District - 2023 Retail Sales</t>
  </si>
  <si>
    <t>Liberty Utilities (CalPeco Electric) LLC - 2023 Liberty CalPeco</t>
  </si>
  <si>
    <t>Lodi Electric Utility - Lodi Standard Energy</t>
  </si>
  <si>
    <t>MCE - 2023 MCE Deep Green Power Mix</t>
  </si>
  <si>
    <t>MCE - 2023 MCE Green Access Power Mix</t>
  </si>
  <si>
    <t>MCE - 2023 MCE Light Green Power Mix</t>
  </si>
  <si>
    <t>MCE - 2023 MCE Local Sol Power Mix</t>
  </si>
  <si>
    <t>Orange County Power Authority - 2023 OCPA 100% Renewable Choice Power Mix</t>
  </si>
  <si>
    <t>Orange County Power Authority - 2023 OCPA Basic Choice Power Mix</t>
  </si>
  <si>
    <t>Orange County Power Authority - 2023 OCPA Smart Choice Power Mix</t>
  </si>
  <si>
    <t>Pico Rivera Innovative Municipal Energy - 2023 PRIME FUTURE Power Mix</t>
  </si>
  <si>
    <t>Pico Rivera Innovative Municipal Energy - 2023 PRIME POWER Power Mix</t>
  </si>
  <si>
    <t>Pioneer Community Energy - 2023 Pioneer Community Energy Base Service Power Mix</t>
  </si>
  <si>
    <t>Pioneer Community Energy - 2023 Pioneer Community Energy Green100 Power Mix</t>
  </si>
  <si>
    <t>Pomona Choice Energy - 2023 POMONA CHOICE 100 Power Mix</t>
  </si>
  <si>
    <t>Pomona Choice Energy - 2023 POMONA CHOICE Power Mix</t>
  </si>
  <si>
    <t>Rancho Mirage Energy Authority - 2023 BASE CHOICE Power Mix</t>
  </si>
  <si>
    <t>Rancho Mirage Energy Authority- 2023 PREMIUM RENEWABLE CHOICE Power Mix</t>
  </si>
  <si>
    <t>Sacramento Municipal Utility District - Greenergy Partner Plus</t>
  </si>
  <si>
    <t>San Diego Community Power - 2023 SDCP Power100 Power Mix</t>
  </si>
  <si>
    <t>San Diego Community Power - 2023 SDCP PowerOn Power Mix</t>
  </si>
  <si>
    <t>San Diego Gas &amp; Electric - 2023 SDG&amp;E Power Mix</t>
  </si>
  <si>
    <t>San Francisco Bay Area Rapid Transit District (BART) - Standard</t>
  </si>
  <si>
    <t>San Jacinto Power - 2023 SJP PrimePower Power Mix</t>
  </si>
  <si>
    <t>San Jacinto Power - 2023 SJP PureGreen Power Mix</t>
  </si>
  <si>
    <t>San José Clean Energy - TotalGreen</t>
  </si>
  <si>
    <t>Santa Barbara Clean Energy - 2023 SBCE 100% Green Power Mix</t>
  </si>
  <si>
    <t>Santa Barbara Clean Energy - 2023 SBCE Green Start Power Mix</t>
  </si>
  <si>
    <t>Shelter Cove Resort Improvement District **PENDING SUBMISSION**</t>
  </si>
  <si>
    <t>Silicon Valley Clean Energy - GreenPrime Direct</t>
  </si>
  <si>
    <t>Silicon Valley Clean Energy - GreenPrime</t>
  </si>
  <si>
    <t>Silicon Valley Clean Energy - GreenStart</t>
  </si>
  <si>
    <t>Southern California Edison - SCE Community Renewable</t>
  </si>
  <si>
    <t>Surprise Valley Electrification Corp. - SVEC Electric Service</t>
  </si>
  <si>
    <t>Valley Clean Energy Alliance - Base Green</t>
  </si>
  <si>
    <t>* Current as of 3/27/25</t>
  </si>
  <si>
    <t>Average of 2021, 2022, 2023 Power Content Label Data</t>
  </si>
  <si>
    <t>CEC 2023 Power Content Label data multiplied by average annual growth</t>
  </si>
  <si>
    <t>2027: average of 2023-2025, most recent data from November 2024 S-1 multiplied by Average Annual Growth; 2028-2030: prior year's Energy to Serve Load multiplied by Average Annual Growth</t>
  </si>
  <si>
    <t>2027: average of 2020-2022 from September 2022 S-1 multiplied by Average Annual Growth; 2028-2030: prior year's Energy to Serve Load multiplied by Average Annual Growth</t>
  </si>
  <si>
    <t>Allowance Allocation Calculation for 2027-2030</t>
  </si>
  <si>
    <t>2027: average of 2022-2024, most recent data from January 2025 S-1 multiplied by Average Annual Growth; 2028-2030: prior year's Energy to Serve Load multiplied by Average Annual Growth</t>
  </si>
  <si>
    <t>2027: average of 2022-2024 from December 2024 S-1 times average growth rate; 2028-2030: previous year energy to serve load times average growth rate</t>
  </si>
  <si>
    <t>Provided by City of Needles.</t>
  </si>
  <si>
    <t>PGE (S-2)</t>
  </si>
  <si>
    <t>IPP Coal Emission Factor, average of 2022-2024 (MTCO2e/MWh)</t>
  </si>
  <si>
    <t>2027: average 2022-2024 retail sales to end users; 2028-2030: 2027 times average annual growth rate</t>
  </si>
  <si>
    <t>Energy to Serve Load (raw), except if lesser than Retail Sales in any year, then is Retail Sales plus 7%. Not to exceed maximum Transmission Loss Factor.</t>
  </si>
  <si>
    <t>Lathrop Irrigaton District</t>
  </si>
  <si>
    <t>Energy to Serve Load (raw), except if lesser than Retail Sales in any year, then is Retail Sales plus 7%. Not to exceed maximum transmission loss factor.</t>
  </si>
  <si>
    <t>Energy to Serve Load minus 7%, because no Form 1.1c data available</t>
  </si>
  <si>
    <t>Average of 2022-2024, provided by PWRPA</t>
  </si>
  <si>
    <r>
      <t>PacifiCorp 2025 IRP Update, Table A.8 - Forecasted Retail Sales Growth in California, post-DSM</t>
    </r>
    <r>
      <rPr>
        <vertAlign val="superscript"/>
        <sz val="11"/>
        <color rgb="FF000000"/>
        <rFont val="Calibri"/>
        <family val="2"/>
      </rPr>
      <t>2</t>
    </r>
  </si>
  <si>
    <t xml:space="preserve">SCE </t>
  </si>
  <si>
    <t xml:space="preserve">PG&amp;E </t>
  </si>
  <si>
    <t>For each year 2022 through 2024, summed the actual electricity purchased by industrial covered entities served by the EDU, as reported in MRR. Took the average of those three values. Represents electricity for which industrial covered entities would receive allocations</t>
  </si>
  <si>
    <t>SCE and CCAs (using Power Content Labels)</t>
  </si>
  <si>
    <t>Average of 2021, 2022, 2023 Power Content Label Data. Plus, SCE's share of Diablo Canyon from PG&amp;E's November 2024 S-2, multiplied by SCE's share of retail sales between the three large IOUs from the CEC Form 1.1c.</t>
  </si>
  <si>
    <t>PG&amp;E's share of Diablo Canyon from PG&amp;E's November 2024 S-2, multiplied by PGE's share of retail sales between the three large IOUs from the CEC Form 1.1c.</t>
  </si>
  <si>
    <t>California Energy Commission Interim Renewable Portfolio Standard Targets per California Code of Regulations Section 3204(a)(5)-(6), minus 25% to represent allowable non-PCC1 electricity. Annually rounded to nearest whole percent.</t>
  </si>
  <si>
    <t>2027: from November 2025 S-1; 2028-2030: prior year's Energy to Serve Load multiplied by Average Annual Growth</t>
  </si>
  <si>
    <t>Average of CEC 2021, 2022, and 2023 Power Content Label data multiplied by average annual growth</t>
  </si>
  <si>
    <t>Trinity Public Utility District</t>
  </si>
  <si>
    <t>2 Table A.8 - Forecasted Retail Sales Growth in California, post-DSM, 2025 IRP Update</t>
  </si>
  <si>
    <t>PG&amp;Eand CCAs</t>
  </si>
  <si>
    <t>Large Hydro (using Power Content Labels)</t>
  </si>
  <si>
    <t>from Table A.1 – Forecasted Annual Load Growth, 2026 through 2044 (Megawatt-hours), at Generation, pre-DSM from PacifiCorp 2025 IRP Update</t>
  </si>
  <si>
    <r>
      <t>PacifiCorp 2025 IRP Update, Table A.1 – Forecasted Annual Load Growth, 2026 through 2044 (Megawatt-hours), at Generation, pre-DSM</t>
    </r>
    <r>
      <rPr>
        <vertAlign val="superscript"/>
        <sz val="11"/>
        <color theme="1"/>
        <rFont val="Calibri"/>
        <family val="2"/>
      </rPr>
      <t>1</t>
    </r>
  </si>
  <si>
    <r>
      <t>Percentage of coal from 2025 IRP Update, multiplied by ESL, Figure 7.20 - Projected Energy Mix with 2025 IRP Update Preferred Portfolio Resources</t>
    </r>
    <r>
      <rPr>
        <vertAlign val="superscript"/>
        <sz val="11"/>
        <color theme="1"/>
        <rFont val="Calibri"/>
        <family val="2"/>
        <scheme val="minor"/>
      </rPr>
      <t>3</t>
    </r>
  </si>
  <si>
    <r>
      <t>No nuclear in the 2025 IRP Figure 7.20 - Projected Energy Mix with 2025 IRP Update Preferred Portfolio Resources</t>
    </r>
    <r>
      <rPr>
        <vertAlign val="superscript"/>
        <sz val="11"/>
        <color theme="1"/>
        <rFont val="Calibri"/>
        <family val="2"/>
        <scheme val="minor"/>
      </rPr>
      <t>3</t>
    </r>
  </si>
  <si>
    <t>1 Table A.1 – Forecasted Annual Load Growth, 2026 through 2044 (Megawatt-hours), at Generation, pre-DSM, 2025 IRP Update</t>
  </si>
  <si>
    <t>https://www.pacificorp.com/content/dam/pcorp/documents/en/pacificorp/energy/integrated-resource-plan/2025-irp/2025_IRP_Update.pdf</t>
  </si>
  <si>
    <t>3 Figure 7.20 - Projected Energy Mix with 2025 IRP Update Preferred Portfolio Resources, 2025 IRP Update</t>
  </si>
  <si>
    <r>
      <t>Percentage of hydroelectric from 2025 IRP Update, multiplied by ESL, Figure 7.20 - Projected Energy Mix with 2025 IRP Update Preferred Portfolio Resources</t>
    </r>
    <r>
      <rPr>
        <vertAlign val="superscript"/>
        <sz val="11"/>
        <color theme="1"/>
        <rFont val="Calibri"/>
        <family val="2"/>
        <scheme val="minor"/>
      </rPr>
      <t>3</t>
    </r>
  </si>
  <si>
    <t>This workbook is a companion to the Second Notice of Public Availability of Modified Text and Availability of Additional Documents and/or Information to the California Cap on Greenhouse Gas Emissions and Market-Based Compliance Mechanisms Regulation.</t>
  </si>
  <si>
    <t>Attachment B. 2027 - 2030 EDU Allocation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</si>
</sst>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6">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0.0%"/>
    <numFmt numFmtId="167" formatCode="_(* #,##0.000_);_(* \(#,##0.000\);_(* &quot;-&quot;??_);_(@_)"/>
    <numFmt numFmtId="168" formatCode="&quot;$&quot;#,##0\ ;\(&quot;$&quot;#,##0\)"/>
    <numFmt numFmtId="169" formatCode="m/d"/>
    <numFmt numFmtId="170" formatCode="0.0000"/>
    <numFmt numFmtId="171" formatCode="0.000%"/>
    <numFmt numFmtId="172" formatCode="_(* #,##0.0000_);_(* \(#,##0.0000\);_(* &quot;-&quot;??_);_(@_)"/>
    <numFmt numFmtId="173" formatCode="[$-409]mmm\-yy;@"/>
    <numFmt numFmtId="174" formatCode="0.0"/>
    <numFmt numFmtId="175" formatCode="#,##0.0"/>
    <numFmt numFmtId="176" formatCode="_-* #,##0_-;\-* #,##0_-;_-* &quot;-&quot;_-;_-@_-"/>
    <numFmt numFmtId="177" formatCode="_-* #,##0.00_-;\-* #,##0.00_-;_-* &quot;-&quot;??_-;_-@_-"/>
    <numFmt numFmtId="178" formatCode="0.0000000000"/>
    <numFmt numFmtId="179" formatCode="m\-d\-yy"/>
    <numFmt numFmtId="180" formatCode="#,##0;\-#,##0;&quot;-&quot;"/>
    <numFmt numFmtId="181" formatCode="&quot;$&quot;#,\);\(&quot;$&quot;#,##0\)"/>
    <numFmt numFmtId="182" formatCode="hh:mm"/>
    <numFmt numFmtId="183" formatCode="00000"/>
    <numFmt numFmtId="184" formatCode="#,##0.00;[Red]#,##0.00"/>
    <numFmt numFmtId="185" formatCode="yyyy"/>
    <numFmt numFmtId="186" formatCode="#,##0.00&quot; $&quot;;\-#,##0.00&quot; $&quot;"/>
    <numFmt numFmtId="187" formatCode="&quot;$&quot;#,##0"/>
    <numFmt numFmtId="188" formatCode="0.00_)"/>
    <numFmt numFmtId="189" formatCode="General_)"/>
    <numFmt numFmtId="190" formatCode="0.000000"/>
    <numFmt numFmtId="191" formatCode="#,##0.0_);\-#,##0.0_);\-_)"/>
    <numFmt numFmtId="192" formatCode="#,##0;\(#,##0\)"/>
    <numFmt numFmtId="193" formatCode="&quot;$&quot;#,##0.0;[Red]\-&quot;$&quot;#,##0.0"/>
    <numFmt numFmtId="194" formatCode="_(* #,##0_);_(* \(#,##0\);_(* &quot;0.0&quot;_);_(@_)"/>
    <numFmt numFmtId="195" formatCode="#,##0.000\¢;\(#,##0.000\¢\)"/>
    <numFmt numFmtId="196" formatCode="0.000_)"/>
    <numFmt numFmtId="197" formatCode="#,##0.00;[Red]\(#,##0.00\)"/>
    <numFmt numFmtId="198" formatCode="#,##0_);[Red]\(#,##0\);&quot;-&quot;_);@_)"/>
    <numFmt numFmtId="199" formatCode="_(* #,##0.00_);_(* \(#,##0.00\);_(* \-??_);_(@_)"/>
    <numFmt numFmtId="200" formatCode="&quot;$&quot;#,##0_);[Red]\(&quot;$&quot;#,##0\);&quot;-&quot;_);@_)"/>
    <numFmt numFmtId="201" formatCode="_([$€-2]* #,##0.00_);_([$€-2]* \(#,##0.00\);_([$€-2]* &quot;-&quot;??_)"/>
    <numFmt numFmtId="202" formatCode="_-* #,##0.0_-;\-* #,##0.0_-;_-* &quot;-&quot;??_-;_-@_-"/>
    <numFmt numFmtId="203" formatCode="[Red][&gt;8760]General;[Black][&lt;=8760]General"/>
    <numFmt numFmtId="204" formatCode="[Red][=1]General;[Black][&lt;&gt;1]General"/>
    <numFmt numFmtId="205" formatCode="_(&quot;N$&quot;* #,##0_);_(&quot;N$&quot;* \(#,##0\);_(&quot;N$&quot;* &quot;-&quot;_);_(@_)"/>
    <numFmt numFmtId="206" formatCode="_(&quot;N$&quot;* #,##0.00_);_(&quot;N$&quot;* \(#,##0.00\);_(&quot;N$&quot;* &quot;-&quot;??_);_(@_)"/>
    <numFmt numFmtId="207" formatCode="#,##0.0000\ ;[Red]\(#,##0.0000\)"/>
    <numFmt numFmtId="208" formatCode="[$-409]mmmm\-yy;@"/>
    <numFmt numFmtId="209" formatCode="[&lt;0]&quot;&quot;;[Black][&gt;0]\(00.0%\);General"/>
    <numFmt numFmtId="210" formatCode="0000"/>
    <numFmt numFmtId="211" formatCode="_-&quot;£&quot;* #,##0_-;\-&quot;£&quot;* #,##0_-;_-&quot;£&quot;* &quot;-&quot;_-;_-@_-"/>
    <numFmt numFmtId="212" formatCode="_-&quot;£&quot;* #,##0.00_-;\-&quot;£&quot;* #,##0.00_-;_-&quot;£&quot;* &quot;-&quot;??_-;_-@_-"/>
  </numFmts>
  <fonts count="215">
    <font>
      <sz val="11"/>
      <color theme="1"/>
      <name val="Calibri"/>
      <family val="2"/>
      <scheme val="minor"/>
    </font>
    <font>
      <sz val="11"/>
      <color theme="1"/>
      <name val="Calibri"/>
      <family val="2"/>
      <scheme val="minor"/>
    </font>
    <font>
      <sz val="12"/>
      <name val="Times New Roman"/>
      <family val="1"/>
    </font>
    <font>
      <sz val="10"/>
      <name val="Arial"/>
      <family val="2"/>
    </font>
    <font>
      <b/>
      <sz val="11"/>
      <color theme="1"/>
      <name val="Calibri"/>
      <family val="2"/>
      <scheme val="minor"/>
    </font>
    <font>
      <sz val="12"/>
      <name val="Arial"/>
      <family val="2"/>
    </font>
    <font>
      <b/>
      <sz val="12"/>
      <name val="Arial"/>
      <family val="2"/>
    </font>
    <font>
      <b/>
      <sz val="10"/>
      <name val="Arial"/>
      <family val="2"/>
    </font>
    <font>
      <b/>
      <sz val="10"/>
      <color theme="1"/>
      <name val="Arial"/>
      <family val="2"/>
    </font>
    <font>
      <sz val="11"/>
      <color rgb="FF000000"/>
      <name val="Calibri"/>
      <family val="2"/>
    </font>
    <font>
      <b/>
      <sz val="11"/>
      <color rgb="FF000000"/>
      <name val="Calibri"/>
      <family val="2"/>
    </font>
    <font>
      <i/>
      <sz val="11"/>
      <color rgb="FF000000"/>
      <name val="Calibri"/>
      <family val="2"/>
    </font>
    <font>
      <vertAlign val="subscript"/>
      <sz val="11"/>
      <color theme="1"/>
      <name val="Calibri"/>
      <family val="2"/>
      <scheme val="minor"/>
    </font>
    <font>
      <i/>
      <sz val="11"/>
      <name val="Calibri"/>
      <family val="2"/>
      <scheme val="minor"/>
    </font>
    <font>
      <sz val="11"/>
      <color theme="1"/>
      <name val="Arial"/>
      <family val="2"/>
    </font>
    <font>
      <sz val="12"/>
      <color theme="1"/>
      <name val="Arial"/>
      <family val="2"/>
    </font>
    <font>
      <sz val="10"/>
      <color theme="1"/>
      <name val="Arial"/>
      <family val="2"/>
    </font>
    <font>
      <b/>
      <sz val="11"/>
      <name val="Calibri"/>
      <family val="2"/>
    </font>
    <font>
      <i/>
      <sz val="11"/>
      <name val="Calibri"/>
      <family val="2"/>
    </font>
    <font>
      <sz val="11"/>
      <name val="Calibri"/>
      <family val="2"/>
    </font>
    <font>
      <vertAlign val="subscript"/>
      <sz val="11"/>
      <name val="Calibri"/>
      <family val="2"/>
    </font>
    <font>
      <b/>
      <sz val="11"/>
      <name val="Calibri"/>
      <family val="2"/>
      <scheme val="minor"/>
    </font>
    <font>
      <u/>
      <sz val="11"/>
      <color theme="10"/>
      <name val="Calibri"/>
      <family val="2"/>
      <scheme val="minor"/>
    </font>
    <font>
      <vertAlign val="superscript"/>
      <sz val="11"/>
      <color theme="1"/>
      <name val="Calibri"/>
      <family val="2"/>
      <scheme val="minor"/>
    </font>
    <font>
      <sz val="10"/>
      <color indexed="8"/>
      <name val="Arial"/>
      <family val="2"/>
    </font>
    <font>
      <sz val="10"/>
      <color indexed="8"/>
      <name val="Arial"/>
      <family val="2"/>
    </font>
    <font>
      <vertAlign val="subscript"/>
      <sz val="11"/>
      <color rgb="FF000000"/>
      <name val="Calibri"/>
      <family val="2"/>
    </font>
    <font>
      <b/>
      <sz val="11"/>
      <color theme="1"/>
      <name val="Arial"/>
      <family val="2"/>
    </font>
    <font>
      <b/>
      <sz val="12"/>
      <color theme="1"/>
      <name val="Arial"/>
      <family val="2"/>
    </font>
    <font>
      <sz val="10"/>
      <name val="Arial"/>
      <family val="2"/>
    </font>
    <font>
      <sz val="12"/>
      <name val="Times New Roman"/>
      <family val="1"/>
    </font>
    <font>
      <u/>
      <sz val="10"/>
      <color indexed="12"/>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8"/>
      <name val="Times New Roman"/>
      <family val="1"/>
    </font>
    <font>
      <i/>
      <sz val="12"/>
      <name val="Times New Roman"/>
      <family val="1"/>
    </font>
    <font>
      <sz val="10"/>
      <name val="Times New Roman"/>
      <family val="1"/>
    </font>
    <font>
      <b/>
      <sz val="18"/>
      <color theme="3"/>
      <name val="Cambria"/>
      <family val="2"/>
      <scheme val="major"/>
    </font>
    <font>
      <sz val="10"/>
      <color indexed="11"/>
      <name val="Arial"/>
      <family val="2"/>
    </font>
    <font>
      <i/>
      <sz val="10"/>
      <color indexed="12"/>
      <name val="Arial"/>
      <family val="2"/>
    </font>
    <font>
      <i/>
      <sz val="10"/>
      <color indexed="10"/>
      <name val="Arial"/>
      <family val="2"/>
    </font>
    <font>
      <u/>
      <sz val="8.4"/>
      <color indexed="12"/>
      <name val="Arial"/>
      <family val="2"/>
    </font>
    <font>
      <sz val="11"/>
      <color indexed="8"/>
      <name val="Calibri"/>
      <family val="2"/>
    </font>
    <font>
      <sz val="11"/>
      <color indexed="9"/>
      <name val="Calibri"/>
      <family val="2"/>
    </font>
    <font>
      <sz val="10"/>
      <name val="Geneva"/>
      <family val="2"/>
    </font>
    <font>
      <sz val="11"/>
      <color indexed="20"/>
      <name val="Calibri"/>
      <family val="2"/>
    </font>
    <font>
      <sz val="9"/>
      <name val="Helv"/>
    </font>
    <font>
      <b/>
      <sz val="11"/>
      <color indexed="52"/>
      <name val="Calibri"/>
      <family val="2"/>
    </font>
    <font>
      <b/>
      <sz val="11"/>
      <color indexed="9"/>
      <name val="Calibri"/>
      <family val="2"/>
    </font>
    <font>
      <sz val="10"/>
      <name val="MS Serif"/>
      <family val="1"/>
    </font>
    <font>
      <sz val="11"/>
      <name val="Book Antiqua"/>
      <family val="1"/>
    </font>
    <font>
      <sz val="10"/>
      <name val="Helv"/>
    </font>
    <font>
      <sz val="10"/>
      <color indexed="16"/>
      <name val="MS Serif"/>
      <family val="1"/>
    </font>
    <font>
      <i/>
      <sz val="11"/>
      <color indexed="23"/>
      <name val="Calibri"/>
      <family val="2"/>
    </font>
    <font>
      <sz val="11"/>
      <color indexed="17"/>
      <name val="Calibri"/>
      <family val="2"/>
    </font>
    <font>
      <sz val="8"/>
      <name val="Arial"/>
      <family val="2"/>
    </font>
    <font>
      <b/>
      <u/>
      <sz val="11"/>
      <color indexed="37"/>
      <name val="Arial"/>
      <family val="2"/>
    </font>
    <font>
      <b/>
      <sz val="15"/>
      <color indexed="56"/>
      <name val="Calibri"/>
      <family val="2"/>
    </font>
    <font>
      <b/>
      <sz val="15"/>
      <color indexed="62"/>
      <name val="Calibri"/>
      <family val="2"/>
    </font>
    <font>
      <b/>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10"/>
      <color indexed="12"/>
      <name val="Arial"/>
      <family val="2"/>
    </font>
    <font>
      <sz val="11"/>
      <color indexed="62"/>
      <name val="Calibri"/>
      <family val="2"/>
    </font>
    <font>
      <sz val="11"/>
      <color indexed="52"/>
      <name val="Calibri"/>
      <family val="2"/>
    </font>
    <font>
      <sz val="11"/>
      <color indexed="60"/>
      <name val="Calibri"/>
      <family val="2"/>
    </font>
    <font>
      <sz val="7"/>
      <name val="Small Fonts"/>
      <family val="2"/>
    </font>
    <font>
      <b/>
      <i/>
      <sz val="16"/>
      <name val="Helv"/>
    </font>
    <font>
      <sz val="11"/>
      <name val="Tms Rmn"/>
    </font>
    <font>
      <sz val="10"/>
      <name val="MS Sans Serif"/>
      <family val="2"/>
    </font>
    <font>
      <sz val="10"/>
      <name val="Calibri"/>
      <family val="2"/>
    </font>
    <font>
      <b/>
      <sz val="11"/>
      <color indexed="63"/>
      <name val="Calibri"/>
      <family val="2"/>
    </font>
    <font>
      <sz val="22"/>
      <name val="UBSHeadline"/>
      <family val="1"/>
    </font>
    <font>
      <sz val="10"/>
      <color indexed="14"/>
      <name val="Arial"/>
      <family val="2"/>
    </font>
    <font>
      <sz val="8"/>
      <name val="Helv"/>
    </font>
    <font>
      <b/>
      <sz val="11"/>
      <color indexed="43"/>
      <name val="Arial"/>
      <family val="2"/>
    </font>
    <font>
      <b/>
      <sz val="8"/>
      <color indexed="8"/>
      <name val="Helv"/>
    </font>
    <font>
      <sz val="9"/>
      <color indexed="29"/>
      <name val="Arial"/>
      <family val="2"/>
    </font>
    <font>
      <b/>
      <sz val="9"/>
      <color indexed="29"/>
      <name val="Arial"/>
      <family val="2"/>
    </font>
    <font>
      <sz val="10"/>
      <name val="Frutiger 45 Light"/>
      <family val="2"/>
    </font>
    <font>
      <b/>
      <sz val="18"/>
      <color indexed="56"/>
      <name val="Cambria"/>
      <family val="2"/>
    </font>
    <font>
      <b/>
      <sz val="18"/>
      <color indexed="62"/>
      <name val="Cambria"/>
      <family val="2"/>
    </font>
    <font>
      <b/>
      <sz val="11"/>
      <color indexed="8"/>
      <name val="Calibri"/>
      <family val="2"/>
    </font>
    <font>
      <sz val="8"/>
      <color indexed="12"/>
      <name val="Arial"/>
      <family val="2"/>
    </font>
    <font>
      <sz val="10"/>
      <color indexed="39"/>
      <name val="Arial"/>
      <family val="2"/>
    </font>
    <font>
      <sz val="11"/>
      <color indexed="10"/>
      <name val="Calibri"/>
      <family val="2"/>
    </font>
    <font>
      <b/>
      <sz val="14"/>
      <name val="Arial"/>
      <family val="2"/>
    </font>
    <font>
      <b/>
      <sz val="10"/>
      <color theme="0"/>
      <name val="Arial"/>
      <family val="2"/>
    </font>
    <font>
      <sz val="10"/>
      <name val="楲污麬ឬ⠭"/>
    </font>
    <font>
      <b/>
      <sz val="10"/>
      <name val="Arial Narrow"/>
      <family val="2"/>
    </font>
    <font>
      <sz val="11"/>
      <color theme="1"/>
      <name val="Calibri"/>
      <family val="2"/>
    </font>
    <font>
      <sz val="10"/>
      <color theme="1"/>
      <name val="Calibri"/>
      <family val="2"/>
    </font>
    <font>
      <sz val="11"/>
      <color theme="0"/>
      <name val="Calibri"/>
      <family val="2"/>
    </font>
    <font>
      <sz val="12"/>
      <color theme="0"/>
      <name val="Arial"/>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0"/>
      <color theme="0"/>
      <name val="Calibri"/>
      <family val="2"/>
    </font>
    <font>
      <sz val="11"/>
      <name val="Tms Rmn"/>
      <family val="1"/>
    </font>
    <font>
      <sz val="11"/>
      <name val="Arial"/>
      <family val="2"/>
    </font>
    <font>
      <sz val="10"/>
      <name val="Mangal"/>
      <family val="2"/>
    </font>
    <font>
      <sz val="12"/>
      <name val="Helv"/>
    </font>
    <font>
      <sz val="12"/>
      <color indexed="8"/>
      <name val="Courier"/>
      <family val="3"/>
    </font>
    <font>
      <sz val="11"/>
      <name val="??"/>
      <family val="3"/>
      <charset val="129"/>
    </font>
    <font>
      <sz val="11"/>
      <name val="??"/>
      <family val="3"/>
    </font>
    <font>
      <i/>
      <sz val="11"/>
      <color rgb="FF7F7F7F"/>
      <name val="Calibri"/>
      <family val="2"/>
    </font>
    <font>
      <i/>
      <sz val="12"/>
      <color rgb="FF7F7F7F"/>
      <name val="Arial"/>
      <family val="2"/>
    </font>
    <font>
      <sz val="18"/>
      <name val="Arial"/>
      <family val="2"/>
    </font>
    <font>
      <i/>
      <sz val="12"/>
      <name val="Arial"/>
      <family val="2"/>
    </font>
    <font>
      <sz val="18"/>
      <name val="Times New Roman"/>
      <family val="1"/>
    </font>
    <font>
      <sz val="11"/>
      <color rgb="FF006100"/>
      <name val="Calibri"/>
      <family val="2"/>
    </font>
    <font>
      <sz val="12"/>
      <color rgb="FF006100"/>
      <name val="Arial"/>
      <family val="2"/>
    </font>
    <font>
      <b/>
      <i/>
      <sz val="14"/>
      <color indexed="9"/>
      <name val="Arial"/>
      <family val="2"/>
    </font>
    <font>
      <b/>
      <sz val="15"/>
      <color theme="3"/>
      <name val="Calibri"/>
      <family val="2"/>
    </font>
    <font>
      <b/>
      <sz val="15"/>
      <color theme="3"/>
      <name val="Arial"/>
      <family val="2"/>
    </font>
    <font>
      <b/>
      <sz val="13"/>
      <color theme="3"/>
      <name val="Calibri"/>
      <family val="2"/>
    </font>
    <font>
      <b/>
      <sz val="13"/>
      <color theme="3"/>
      <name val="Arial"/>
      <family val="2"/>
    </font>
    <font>
      <b/>
      <sz val="11"/>
      <color theme="3"/>
      <name val="Calibri"/>
      <family val="2"/>
    </font>
    <font>
      <b/>
      <sz val="11"/>
      <color theme="3"/>
      <name val="Arial"/>
      <family val="2"/>
    </font>
    <font>
      <sz val="7"/>
      <color indexed="12"/>
      <name val="Arial"/>
      <family val="2"/>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rgb="FF3F3F76"/>
      <name val="Calibri"/>
      <family val="2"/>
    </font>
    <font>
      <sz val="11"/>
      <color rgb="FFFA7D00"/>
      <name val="Calibri"/>
      <family val="2"/>
    </font>
    <font>
      <sz val="12"/>
      <color rgb="FFFA7D00"/>
      <name val="Arial"/>
      <family val="2"/>
    </font>
    <font>
      <sz val="11"/>
      <color rgb="FF9C6500"/>
      <name val="Calibri"/>
      <family val="2"/>
    </font>
    <font>
      <sz val="12"/>
      <color rgb="FF9C6500"/>
      <name val="Arial"/>
      <family val="2"/>
    </font>
    <font>
      <sz val="11"/>
      <name val="Times"/>
      <family val="1"/>
    </font>
    <font>
      <sz val="11"/>
      <color indexed="8"/>
      <name val="Arial"/>
      <family val="2"/>
      <charset val="1"/>
    </font>
    <font>
      <sz val="11"/>
      <color indexed="8"/>
      <name val="Calibri"/>
      <family val="2"/>
      <charset val="1"/>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11"/>
      <name val="Times New Roman"/>
      <family val="1"/>
    </font>
    <font>
      <b/>
      <sz val="11"/>
      <color theme="1"/>
      <name val="Calibri"/>
      <family val="2"/>
    </font>
    <font>
      <sz val="10"/>
      <name val="Courier"/>
      <family val="3"/>
    </font>
    <font>
      <sz val="11"/>
      <color rgb="FFFF0000"/>
      <name val="Calibri"/>
      <family val="2"/>
    </font>
    <font>
      <sz val="12"/>
      <color rgb="FFFF0000"/>
      <name val="Arial"/>
      <family val="2"/>
    </font>
    <font>
      <sz val="12"/>
      <name val="Times New Roman"/>
      <family val="1"/>
    </font>
    <font>
      <b/>
      <sz val="14"/>
      <name val="Calibri"/>
      <family val="2"/>
    </font>
    <font>
      <i/>
      <sz val="12"/>
      <name val="Calibri"/>
      <family val="2"/>
    </font>
    <font>
      <b/>
      <sz val="12"/>
      <name val="Calibri"/>
      <family val="2"/>
    </font>
    <font>
      <sz val="10"/>
      <color theme="1"/>
      <name val="Calibri"/>
      <family val="2"/>
      <scheme val="minor"/>
    </font>
    <font>
      <sz val="12"/>
      <name val="Times New Roman"/>
      <family val="1"/>
    </font>
    <font>
      <sz val="12"/>
      <name val="Times New Roman"/>
      <family val="1"/>
    </font>
    <font>
      <sz val="12"/>
      <name val="Times New Roman"/>
      <family val="1"/>
    </font>
    <font>
      <sz val="12"/>
      <name val="Times New Roman"/>
      <family val="1"/>
    </font>
    <font>
      <vertAlign val="superscript"/>
      <sz val="11"/>
      <color theme="1"/>
      <name val="Calibri"/>
      <family val="2"/>
    </font>
    <font>
      <sz val="11"/>
      <name val="Calibri"/>
      <family val="2"/>
      <scheme val="minor"/>
    </font>
    <font>
      <b/>
      <sz val="14"/>
      <color theme="0"/>
      <name val="Arial"/>
      <family val="2"/>
    </font>
    <font>
      <b/>
      <vertAlign val="subscript"/>
      <sz val="10"/>
      <color theme="0"/>
      <name val="Arial"/>
      <family val="2"/>
    </font>
    <font>
      <b/>
      <sz val="10"/>
      <color rgb="FFFFFFFF"/>
      <name val="Arial"/>
      <family val="2"/>
    </font>
    <font>
      <sz val="10"/>
      <color rgb="FF000000"/>
      <name val="Arial"/>
      <family val="2"/>
    </font>
    <font>
      <b/>
      <sz val="11"/>
      <name val="Arial"/>
      <family val="2"/>
    </font>
    <font>
      <sz val="12"/>
      <color rgb="FF000000"/>
      <name val="Arial"/>
      <family val="2"/>
    </font>
    <font>
      <b/>
      <sz val="10"/>
      <name val="Calibri"/>
      <family val="2"/>
    </font>
    <font>
      <vertAlign val="superscript"/>
      <sz val="11"/>
      <color rgb="FF000000"/>
      <name val="Calibri"/>
      <family val="2"/>
    </font>
    <font>
      <b/>
      <sz val="12"/>
      <color rgb="FFFFFFFF"/>
      <name val="Arial"/>
      <family val="2"/>
    </font>
    <font>
      <b/>
      <vertAlign val="superscript"/>
      <sz val="12"/>
      <color rgb="FFFFFFFF"/>
      <name val="Arial"/>
      <family val="2"/>
    </font>
    <font>
      <b/>
      <vertAlign val="subscript"/>
      <sz val="12"/>
      <color rgb="FFFFFFFF"/>
      <name val="Arial"/>
      <family val="2"/>
    </font>
    <font>
      <b/>
      <vertAlign val="superscript"/>
      <sz val="12"/>
      <color theme="0"/>
      <name val="Arial"/>
      <family val="2"/>
    </font>
    <font>
      <b/>
      <sz val="12"/>
      <color rgb="FF000000"/>
      <name val="Arial"/>
      <family val="2"/>
    </font>
    <font>
      <b/>
      <vertAlign val="superscript"/>
      <sz val="12"/>
      <color rgb="FF000000"/>
      <name val="Arial"/>
      <family val="2"/>
    </font>
  </fonts>
  <fills count="11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43"/>
        <bgColor indexed="64"/>
      </patternFill>
    </fill>
    <fill>
      <patternFill patternType="solid">
        <fgColor indexed="9"/>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mediumGray">
        <fgColor indexed="55"/>
        <bgColor indexed="54"/>
      </patternFill>
    </fill>
    <fill>
      <patternFill patternType="solid">
        <fgColor indexed="25"/>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21"/>
        <bgColor indexed="57"/>
      </patternFill>
    </fill>
    <fill>
      <patternFill patternType="solid">
        <fgColor indexed="51"/>
        <bgColor indexed="34"/>
      </patternFill>
    </fill>
    <fill>
      <patternFill patternType="solid">
        <fgColor indexed="30"/>
        <bgColor indexed="38"/>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bgColor indexed="38"/>
      </patternFill>
    </fill>
    <fill>
      <patternFill patternType="solid">
        <fgColor indexed="27"/>
        <bgColor indexed="27"/>
      </patternFill>
    </fill>
    <fill>
      <patternFill patternType="solid">
        <fgColor indexed="47"/>
        <bgColor indexed="47"/>
      </patternFill>
    </fill>
    <fill>
      <patternFill patternType="solid">
        <fgColor indexed="53"/>
        <bgColor indexed="52"/>
      </patternFill>
    </fill>
    <fill>
      <patternFill patternType="solid">
        <fgColor indexed="41"/>
        <bgColor indexed="64"/>
      </patternFill>
    </fill>
    <fill>
      <patternFill patternType="solid">
        <fgColor indexed="24"/>
        <bgColor indexed="25"/>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bgColor indexed="23"/>
      </patternFill>
    </fill>
    <fill>
      <patternFill patternType="solid">
        <fgColor indexed="32"/>
        <bgColor indexed="32"/>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lightTrellis">
        <fgColor rgb="FFFFFFFF"/>
        <bgColor rgb="FFC0C0C0"/>
      </patternFill>
    </fill>
    <fill>
      <patternFill patternType="solid">
        <fgColor theme="1" tint="0.14999847407452621"/>
        <bgColor indexed="64"/>
      </patternFill>
    </fill>
    <fill>
      <patternFill patternType="solid">
        <fgColor theme="9" tint="-0.249977111117893"/>
        <bgColor indexed="64"/>
      </patternFill>
    </fill>
    <fill>
      <patternFill patternType="solid">
        <fgColor rgb="FF000000"/>
        <bgColor indexed="64"/>
      </patternFill>
    </fill>
    <fill>
      <patternFill patternType="solid">
        <fgColor rgb="FFE7E6E6"/>
        <bgColor indexed="64"/>
      </patternFill>
    </fill>
    <fill>
      <patternFill patternType="solid">
        <fgColor rgb="FF262626"/>
        <bgColor indexed="64"/>
      </patternFill>
    </fill>
    <fill>
      <patternFill patternType="solid">
        <fgColor rgb="FF0E1867"/>
        <bgColor indexed="64"/>
      </patternFill>
    </fill>
    <fill>
      <patternFill patternType="solid">
        <fgColor rgb="FFAF5308"/>
        <bgColor indexed="64"/>
      </patternFill>
    </fill>
  </fills>
  <borders count="9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8"/>
      </left>
      <right/>
      <top/>
      <bottom style="thin">
        <color indexed="28"/>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0"/>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medium">
        <color indexed="8"/>
      </right>
      <top/>
      <bottom style="medium">
        <color indexed="8"/>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4"/>
      </left>
      <right style="thin">
        <color indexed="64"/>
      </right>
      <top/>
      <bottom/>
      <diagonal/>
    </border>
    <border>
      <left/>
      <right/>
      <top style="thin">
        <color indexed="64"/>
      </top>
      <bottom style="double">
        <color indexed="64"/>
      </bottom>
      <diagonal/>
    </border>
    <border>
      <left style="thin">
        <color rgb="FF000000"/>
      </left>
      <right style="thin">
        <color rgb="FF000000"/>
      </right>
      <top style="thin">
        <color rgb="FF000000"/>
      </top>
      <bottom style="thick">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rgb="FF000000"/>
      </left>
      <right style="thin">
        <color rgb="FF000000"/>
      </right>
      <top style="medium">
        <color indexed="64"/>
      </top>
      <bottom style="medium">
        <color indexed="64"/>
      </bottom>
      <diagonal/>
    </border>
    <border>
      <left/>
      <right/>
      <top style="medium">
        <color indexed="64"/>
      </top>
      <bottom/>
      <diagonal/>
    </border>
    <border>
      <left style="thin">
        <color rgb="FF000000"/>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style="thin">
        <color auto="1"/>
      </right>
      <top style="thick">
        <color rgb="FF000000"/>
      </top>
      <bottom/>
      <diagonal/>
    </border>
  </borders>
  <cellStyleXfs count="44422">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0" fontId="1" fillId="0" borderId="0"/>
    <xf numFmtId="43" fontId="3" fillId="0" borderId="0" applyFont="0" applyFill="0" applyBorder="0" applyAlignment="0" applyProtection="0"/>
    <xf numFmtId="0" fontId="2" fillId="0" borderId="0"/>
    <xf numFmtId="0" fontId="3" fillId="0" borderId="0"/>
    <xf numFmtId="0" fontId="3" fillId="0" borderId="0"/>
    <xf numFmtId="0" fontId="2" fillId="0" borderId="0"/>
    <xf numFmtId="0" fontId="3" fillId="0" borderId="0"/>
    <xf numFmtId="16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0" fontId="2" fillId="0" borderId="0"/>
    <xf numFmtId="0" fontId="1" fillId="0" borderId="0"/>
    <xf numFmtId="0" fontId="3" fillId="0" borderId="0"/>
    <xf numFmtId="43" fontId="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3"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0" fontId="3" fillId="0" borderId="0"/>
    <xf numFmtId="0" fontId="1" fillId="0" borderId="0"/>
    <xf numFmtId="0" fontId="1" fillId="0" borderId="0"/>
    <xf numFmtId="0" fontId="2" fillId="0" borderId="0"/>
    <xf numFmtId="43" fontId="2" fillId="0" borderId="0" applyFont="0" applyFill="0" applyBorder="0" applyAlignment="0" applyProtection="0"/>
    <xf numFmtId="0" fontId="1" fillId="0" borderId="0"/>
    <xf numFmtId="0" fontId="1" fillId="0" borderId="0"/>
    <xf numFmtId="9" fontId="2" fillId="0" borderId="0" applyFont="0" applyFill="0" applyBorder="0" applyAlignment="0" applyProtection="0"/>
    <xf numFmtId="0" fontId="22" fillId="0" borderId="0" applyNumberFormat="0" applyFill="0" applyBorder="0" applyAlignment="0" applyProtection="0"/>
    <xf numFmtId="0" fontId="24" fillId="0" borderId="0">
      <alignment vertical="top"/>
    </xf>
    <xf numFmtId="9" fontId="25" fillId="0" borderId="0" applyFont="0" applyFill="0" applyBorder="0" applyAlignment="0" applyProtection="0"/>
    <xf numFmtId="43" fontId="25" fillId="0" borderId="0" applyFont="0" applyFill="0" applyBorder="0" applyAlignment="0" applyProtection="0"/>
    <xf numFmtId="0" fontId="29" fillId="0" borderId="0"/>
    <xf numFmtId="0" fontId="30" fillId="0" borderId="0"/>
    <xf numFmtId="0" fontId="31" fillId="0" borderId="0" applyNumberFormat="0" applyFill="0" applyBorder="0" applyAlignment="0" applyProtection="0">
      <alignment vertical="top"/>
      <protection locked="0"/>
    </xf>
    <xf numFmtId="0" fontId="1" fillId="0" borderId="0"/>
    <xf numFmtId="173"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applyNumberFormat="0" applyFill="0" applyBorder="0" applyAlignment="0" applyProtection="0">
      <alignment vertical="top"/>
    </xf>
    <xf numFmtId="0" fontId="52" fillId="0" borderId="0" applyNumberFormat="0" applyFill="0" applyBorder="0" applyAlignment="0" applyProtection="0">
      <alignment vertical="top"/>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3" fillId="0" borderId="0" applyNumberFormat="0" applyFill="0" applyBorder="0" applyAlignment="0" applyProtection="0">
      <alignment vertical="top"/>
    </xf>
    <xf numFmtId="176" fontId="3" fillId="0" borderId="0" applyFont="0" applyFill="0" applyBorder="0" applyAlignment="0" applyProtection="0"/>
    <xf numFmtId="0" fontId="54" fillId="0" borderId="0" applyNumberFormat="0" applyFill="0" applyBorder="0" applyAlignment="0" applyProtection="0">
      <alignment vertical="top"/>
      <protection locked="0"/>
    </xf>
    <xf numFmtId="17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1" fillId="12"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1" fillId="12"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7"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1" fillId="20"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1" fillId="20"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4"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4"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7"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9"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1"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1"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1"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7"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45"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2"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2"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46" fillId="14"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46" fillId="18"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9"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9"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46" fillId="22"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47"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47"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26"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46" fillId="30"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45"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45"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46" fillId="3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2"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2"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46" fillId="1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46" fillId="15"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46" fillId="19"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8"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8"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2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46" fillId="27"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46" fillId="31"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178" fontId="57" fillId="60" borderId="23">
      <alignment horizontal="center" vertical="center"/>
    </xf>
    <xf numFmtId="178" fontId="57" fillId="60" borderId="23">
      <alignment horizontal="center" vertical="center"/>
    </xf>
    <xf numFmtId="179" fontId="7" fillId="60" borderId="23">
      <alignment horizontal="center" vertical="center"/>
    </xf>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37" fillId="5"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0" fontId="58" fillId="40" borderId="0" applyNumberFormat="0" applyBorder="0" applyAlignment="0" applyProtection="0"/>
    <xf numFmtId="3" fontId="59" fillId="0" borderId="0" applyFill="0" applyBorder="0" applyProtection="0">
      <alignment horizontal="right"/>
    </xf>
    <xf numFmtId="180" fontId="24" fillId="0" borderId="0" applyFill="0" applyBorder="0" applyAlignment="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3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3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41" fillId="8" borderId="17"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0" fillId="47" borderId="24"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43" fillId="9" borderId="20"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0" fontId="61" fillId="61" borderId="25" applyNumberFormat="0" applyAlignment="0" applyProtection="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62" fillId="0" borderId="0" applyNumberFormat="0" applyAlignment="0">
      <alignment horizontal="left"/>
    </xf>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6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84" fontId="64" fillId="0" borderId="0">
      <alignment horizontal="right"/>
      <protection locked="0"/>
    </xf>
    <xf numFmtId="0" fontId="65" fillId="0" borderId="0" applyNumberFormat="0" applyAlignment="0">
      <alignment horizontal="left"/>
    </xf>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164" fontId="63" fillId="0" borderId="0" applyFont="0" applyFill="0" applyBorder="0" applyAlignment="0" applyProtection="0"/>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36" fillId="4"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38" fontId="68" fillId="62" borderId="0" applyNumberFormat="0" applyBorder="0" applyAlignment="0" applyProtection="0"/>
    <xf numFmtId="38" fontId="68" fillId="62" borderId="0" applyNumberFormat="0" applyBorder="0" applyAlignment="0" applyProtection="0"/>
    <xf numFmtId="0" fontId="69" fillId="0" borderId="0" applyNumberFormat="0" applyFill="0" applyBorder="0" applyAlignment="0" applyProtection="0"/>
    <xf numFmtId="0" fontId="6" fillId="0" borderId="13" applyNumberFormat="0" applyAlignment="0" applyProtection="0">
      <alignment horizontal="left" vertical="center"/>
    </xf>
    <xf numFmtId="0" fontId="6" fillId="0" borderId="4">
      <alignment horizontal="left" vertical="center"/>
    </xf>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1" fillId="0" borderId="27"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1" fillId="0" borderId="27"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2" fillId="0" borderId="0" applyNumberFormat="0" applyFont="0" applyFill="0" applyAlignment="0" applyProtection="0"/>
    <xf numFmtId="0" fontId="70" fillId="0" borderId="26" applyNumberFormat="0" applyFill="0" applyAlignment="0" applyProtection="0"/>
    <xf numFmtId="0" fontId="70" fillId="0" borderId="26" applyNumberFormat="0" applyFill="0" applyAlignment="0" applyProtection="0"/>
    <xf numFmtId="0" fontId="72" fillId="0" borderId="0" applyNumberFormat="0" applyFont="0" applyFill="0" applyAlignment="0" applyProtection="0"/>
    <xf numFmtId="0" fontId="70" fillId="0" borderId="26" applyNumberFormat="0" applyFill="0" applyAlignment="0" applyProtection="0"/>
    <xf numFmtId="0" fontId="70" fillId="0" borderId="26" applyNumberFormat="0" applyFill="0" applyAlignment="0" applyProtection="0"/>
    <xf numFmtId="0" fontId="33" fillId="0" borderId="14"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0" fillId="0" borderId="26"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4" fillId="0" borderId="28" applyNumberFormat="0" applyFill="0" applyAlignment="0" applyProtection="0"/>
    <xf numFmtId="0" fontId="73" fillId="0" borderId="28" applyNumberFormat="0" applyFill="0" applyAlignment="0" applyProtection="0"/>
    <xf numFmtId="0" fontId="74"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6" fillId="0" borderId="0" applyNumberFormat="0" applyFont="0" applyFill="0" applyAlignment="0" applyProtection="0"/>
    <xf numFmtId="0" fontId="73" fillId="0" borderId="28" applyNumberFormat="0" applyFill="0" applyAlignment="0" applyProtection="0"/>
    <xf numFmtId="0" fontId="73" fillId="0" borderId="28" applyNumberFormat="0" applyFill="0" applyAlignment="0" applyProtection="0"/>
    <xf numFmtId="0" fontId="6" fillId="0" borderId="0" applyNumberFormat="0" applyFont="0" applyFill="0" applyAlignment="0" applyProtection="0"/>
    <xf numFmtId="0" fontId="73" fillId="0" borderId="28" applyNumberFormat="0" applyFill="0" applyAlignment="0" applyProtection="0"/>
    <xf numFmtId="0" fontId="73" fillId="0" borderId="28" applyNumberFormat="0" applyFill="0" applyAlignment="0" applyProtection="0"/>
    <xf numFmtId="0" fontId="6" fillId="0" borderId="0" applyNumberFormat="0" applyFont="0" applyFill="0" applyAlignment="0" applyProtection="0"/>
    <xf numFmtId="0" fontId="73" fillId="0" borderId="28" applyNumberFormat="0" applyFill="0" applyAlignment="0" applyProtection="0"/>
    <xf numFmtId="0" fontId="73" fillId="0" borderId="28" applyNumberFormat="0" applyFill="0" applyAlignment="0" applyProtection="0"/>
    <xf numFmtId="0" fontId="34" fillId="0" borderId="15"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3" fillId="0" borderId="28"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6" fillId="0" borderId="30"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6" fillId="0" borderId="30"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35" fillId="0" borderId="16"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0" fontId="77" fillId="0" borderId="31" applyNumberFormat="0" applyFill="0" applyAlignment="0" applyProtection="0"/>
    <xf numFmtId="10" fontId="68" fillId="63" borderId="2" applyNumberFormat="0" applyBorder="0" applyAlignment="0" applyProtection="0"/>
    <xf numFmtId="10" fontId="68" fillId="63" borderId="2" applyNumberFormat="0" applyBorder="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39" fillId="7" borderId="17"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39" fillId="7" borderId="17"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39" fillId="7" borderId="17" applyNumberFormat="0" applyAlignment="0" applyProtection="0"/>
    <xf numFmtId="0" fontId="39" fillId="7" borderId="17" applyNumberFormat="0" applyAlignment="0" applyProtection="0"/>
    <xf numFmtId="0" fontId="39" fillId="7" borderId="17" applyNumberFormat="0" applyAlignment="0" applyProtection="0"/>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42" fillId="0" borderId="19"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79" fillId="0" borderId="32" applyNumberFormat="0" applyFill="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38" fillId="6"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37" fontId="81" fillId="0" borderId="0"/>
    <xf numFmtId="188" fontId="82" fillId="0" borderId="0"/>
    <xf numFmtId="189" fontId="83" fillId="0" borderId="0"/>
    <xf numFmtId="189" fontId="83" fillId="0" borderId="0"/>
    <xf numFmtId="189" fontId="83" fillId="0" borderId="0"/>
    <xf numFmtId="189" fontId="83" fillId="0" borderId="0"/>
    <xf numFmtId="189" fontId="83" fillId="0" borderId="0"/>
    <xf numFmtId="189" fontId="83" fillId="0" borderId="0"/>
    <xf numFmtId="189" fontId="8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3" fillId="0" borderId="0"/>
    <xf numFmtId="0" fontId="3" fillId="0" borderId="0"/>
    <xf numFmtId="0" fontId="84"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68"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5" fillId="0" borderId="0"/>
    <xf numFmtId="0" fontId="85" fillId="0" borderId="0"/>
    <xf numFmtId="0" fontId="85"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1" fillId="10" borderId="21"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1" fillId="10" borderId="21" applyNumberFormat="0" applyFont="0" applyAlignment="0" applyProtection="0"/>
    <xf numFmtId="0" fontId="1" fillId="10" borderId="21" applyNumberFormat="0" applyFont="0" applyAlignment="0" applyProtection="0"/>
    <xf numFmtId="0" fontId="1" fillId="10" borderId="21" applyNumberFormat="0" applyFont="0" applyAlignment="0" applyProtection="0"/>
    <xf numFmtId="0" fontId="1" fillId="10" borderId="21" applyNumberFormat="0" applyFont="0" applyAlignment="0" applyProtection="0"/>
    <xf numFmtId="0" fontId="1" fillId="10" borderId="21" applyNumberFormat="0" applyFont="0" applyAlignment="0" applyProtection="0"/>
    <xf numFmtId="0" fontId="1" fillId="10" borderId="21" applyNumberFormat="0" applyFont="0" applyAlignment="0" applyProtection="0"/>
    <xf numFmtId="0" fontId="1" fillId="10" borderId="21"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1" fillId="10" borderId="21"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1" fillId="10" borderId="21"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3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3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40" fillId="8" borderId="18"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9" fontId="87" fillId="0" borderId="1">
      <alignment vertical="center"/>
    </xf>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8" fillId="0" borderId="0" applyNumberFormat="0" applyFill="0" applyBorder="0" applyAlignment="0"/>
    <xf numFmtId="187" fontId="59" fillId="0" borderId="0" applyFill="0" applyBorder="0" applyProtection="0">
      <alignment horizontal="right"/>
    </xf>
    <xf numFmtId="14" fontId="89" fillId="0" borderId="0" applyNumberFormat="0" applyFill="0" applyBorder="0" applyAlignment="0" applyProtection="0">
      <alignment horizontal="left"/>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0" fontId="90" fillId="64" borderId="0" applyNumberFormat="0">
      <alignment vertical="center"/>
    </xf>
    <xf numFmtId="40" fontId="91" fillId="0" borderId="0" applyBorder="0">
      <alignment horizontal="right"/>
    </xf>
    <xf numFmtId="191" fontId="92" fillId="65" borderId="0" applyFont="0" applyBorder="0" applyAlignment="0">
      <alignment vertical="top" wrapText="1"/>
    </xf>
    <xf numFmtId="191" fontId="93" fillId="65" borderId="35" applyBorder="0">
      <alignment horizontal="right" vertical="top" wrapText="1"/>
    </xf>
    <xf numFmtId="49" fontId="94" fillId="0" borderId="1">
      <alignment vertical="center"/>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50"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7"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7"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3" fillId="0" borderId="38" applyNumberFormat="0" applyFont="0" applyBorder="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3" fillId="0" borderId="38" applyNumberFormat="0" applyFont="0" applyBorder="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4" fillId="0" borderId="22"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37" fontId="68" fillId="36" borderId="0" applyNumberFormat="0" applyBorder="0" applyAlignment="0" applyProtection="0"/>
    <xf numFmtId="37" fontId="68" fillId="36" borderId="0" applyNumberFormat="0" applyBorder="0" applyAlignment="0" applyProtection="0"/>
    <xf numFmtId="37" fontId="68" fillId="0" borderId="0"/>
    <xf numFmtId="3" fontId="98" fillId="0" borderId="31" applyProtection="0"/>
    <xf numFmtId="0" fontId="99" fillId="0" borderId="0" applyFill="0" applyBorder="0" applyAlignment="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4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6" fillId="52" borderId="0" applyNumberFormat="0" applyBorder="0" applyAlignment="0" applyProtection="0"/>
    <xf numFmtId="0" fontId="56" fillId="49" borderId="0" applyNumberFormat="0" applyBorder="0" applyAlignment="0" applyProtection="0"/>
    <xf numFmtId="0" fontId="56" fillId="47" borderId="0" applyNumberFormat="0" applyBorder="0" applyAlignment="0" applyProtection="0"/>
    <xf numFmtId="0" fontId="56" fillId="45" borderId="0" applyNumberFormat="0" applyBorder="0" applyAlignment="0" applyProtection="0"/>
    <xf numFmtId="0" fontId="56" fillId="52" borderId="0" applyNumberFormat="0" applyBorder="0" applyAlignment="0" applyProtection="0"/>
    <xf numFmtId="0" fontId="56" fillId="58" borderId="0" applyNumberFormat="0" applyBorder="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37" borderId="41" applyNumberFormat="0" applyAlignment="0" applyProtection="0"/>
    <xf numFmtId="0" fontId="60" fillId="37" borderId="41" applyNumberFormat="0" applyAlignment="0" applyProtection="0"/>
    <xf numFmtId="0" fontId="60" fillId="3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37" borderId="41" applyNumberFormat="0" applyAlignment="0" applyProtection="0"/>
    <xf numFmtId="0" fontId="60" fillId="37" borderId="41" applyNumberFormat="0" applyAlignment="0" applyProtection="0"/>
    <xf numFmtId="0" fontId="60" fillId="37" borderId="41" applyNumberFormat="0" applyAlignment="0" applyProtection="0"/>
    <xf numFmtId="0" fontId="60" fillId="3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0" fontId="60" fillId="47" borderId="41" applyNumberFormat="0" applyAlignment="0" applyProtection="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0" fontId="6" fillId="0" borderId="40">
      <alignment horizontal="left" vertical="center"/>
    </xf>
    <xf numFmtId="0" fontId="6" fillId="0" borderId="40">
      <alignment horizontal="left" vertical="center"/>
    </xf>
    <xf numFmtId="0" fontId="6" fillId="0" borderId="40">
      <alignment horizontal="left" vertical="center"/>
    </xf>
    <xf numFmtId="0" fontId="71" fillId="0" borderId="27" applyNumberFormat="0" applyFill="0" applyAlignment="0" applyProtection="0"/>
    <xf numFmtId="0" fontId="74" fillId="0" borderId="28" applyNumberFormat="0" applyFill="0" applyAlignment="0" applyProtection="0"/>
    <xf numFmtId="0" fontId="76" fillId="0" borderId="30" applyNumberFormat="0" applyFill="0" applyAlignment="0" applyProtection="0"/>
    <xf numFmtId="0" fontId="76" fillId="0" borderId="0" applyNumberFormat="0" applyFill="0" applyBorder="0" applyAlignment="0" applyProtection="0"/>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0" fontId="68" fillId="63" borderId="39" applyNumberFormat="0" applyBorder="0" applyAlignment="0" applyProtection="0"/>
    <xf numFmtId="10" fontId="68" fillId="63" borderId="39" applyNumberFormat="0" applyBorder="0" applyAlignment="0" applyProtection="0"/>
    <xf numFmtId="10" fontId="68" fillId="63" borderId="39" applyNumberFormat="0" applyBorder="0" applyAlignment="0" applyProtection="0"/>
    <xf numFmtId="10" fontId="68" fillId="63" borderId="39" applyNumberFormat="0" applyBorder="0" applyAlignment="0" applyProtection="0"/>
    <xf numFmtId="10" fontId="68" fillId="63" borderId="39" applyNumberFormat="0" applyBorder="0" applyAlignment="0" applyProtection="0"/>
    <xf numFmtId="10" fontId="68" fillId="63" borderId="39" applyNumberFormat="0" applyBorder="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0" fontId="78" fillId="45" borderId="24"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5" fillId="0" borderId="0"/>
    <xf numFmtId="0" fontId="85" fillId="0" borderId="0"/>
    <xf numFmtId="0" fontId="8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55"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1" fillId="10" borderId="21"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3" fillId="41" borderId="33" applyNumberFormat="0" applyFon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37" borderId="34" applyNumberFormat="0" applyAlignment="0" applyProtection="0"/>
    <xf numFmtId="0" fontId="86" fillId="37" borderId="34" applyNumberFormat="0" applyAlignment="0" applyProtection="0"/>
    <xf numFmtId="0" fontId="86" fillId="3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37" borderId="34" applyNumberFormat="0" applyAlignment="0" applyProtection="0"/>
    <xf numFmtId="0" fontId="86" fillId="37" borderId="34" applyNumberFormat="0" applyAlignment="0" applyProtection="0"/>
    <xf numFmtId="0" fontId="86" fillId="37" borderId="34" applyNumberFormat="0" applyAlignment="0" applyProtection="0"/>
    <xf numFmtId="0" fontId="86" fillId="3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86" fillId="47" borderId="34" applyNumberFormat="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0" fontId="96" fillId="0" borderId="0" applyNumberFormat="0" applyFill="0" applyBorder="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3" fillId="0" borderId="38" applyNumberFormat="0" applyFont="0" applyBorder="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3" fillId="0" borderId="38" applyNumberFormat="0" applyFont="0" applyBorder="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97" fillId="0" borderId="36" applyNumberFormat="0" applyFill="0" applyAlignment="0" applyProtection="0"/>
    <xf numFmtId="0" fontId="2" fillId="0" borderId="0"/>
    <xf numFmtId="0" fontId="97" fillId="0" borderId="51" applyNumberFormat="0" applyFill="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97" fillId="0" borderId="52" applyNumberFormat="0" applyFill="0" applyAlignment="0" applyProtection="0"/>
    <xf numFmtId="0" fontId="86" fillId="37" borderId="50" applyNumberFormat="0" applyAlignment="0" applyProtection="0"/>
    <xf numFmtId="0" fontId="60" fillId="37" borderId="48" applyNumberFormat="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86" fillId="47" borderId="50"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55"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3" fillId="41" borderId="49" applyNumberFormat="0" applyFont="0" applyAlignment="0" applyProtection="0"/>
    <xf numFmtId="0" fontId="3" fillId="41" borderId="49" applyNumberFormat="0" applyFont="0" applyAlignment="0" applyProtection="0"/>
    <xf numFmtId="0" fontId="86" fillId="47" borderId="50" applyNumberFormat="0" applyAlignment="0" applyProtection="0"/>
    <xf numFmtId="0" fontId="86" fillId="37" borderId="43" applyNumberFormat="0" applyAlignment="0" applyProtection="0"/>
    <xf numFmtId="0" fontId="3" fillId="41" borderId="49" applyNumberFormat="0" applyFont="0" applyAlignment="0" applyProtection="0"/>
    <xf numFmtId="0" fontId="97" fillId="0" borderId="45" applyNumberFormat="0" applyFill="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86" fillId="47" borderId="50"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55" fillId="41" borderId="49" applyNumberFormat="0" applyFont="0" applyAlignment="0" applyProtection="0"/>
    <xf numFmtId="0" fontId="78" fillId="45" borderId="48" applyNumberFormat="0" applyAlignment="0" applyProtection="0"/>
    <xf numFmtId="0" fontId="55" fillId="41" borderId="49" applyNumberFormat="0" applyFont="0" applyAlignment="0" applyProtection="0"/>
    <xf numFmtId="0" fontId="78" fillId="45" borderId="48"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86" fillId="47" borderId="50"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86" fillId="47" borderId="50"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86" fillId="47" borderId="50" applyNumberFormat="0" applyAlignment="0" applyProtection="0"/>
    <xf numFmtId="0" fontId="78" fillId="45" borderId="48" applyNumberFormat="0" applyAlignment="0" applyProtection="0"/>
    <xf numFmtId="0" fontId="86" fillId="47" borderId="50"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86" fillId="47" borderId="50" applyNumberFormat="0" applyAlignment="0" applyProtection="0"/>
    <xf numFmtId="0" fontId="86" fillId="47" borderId="50" applyNumberFormat="0" applyAlignment="0" applyProtection="0"/>
    <xf numFmtId="0" fontId="97" fillId="0" borderId="51" applyNumberFormat="0" applyFill="0" applyAlignment="0" applyProtection="0"/>
    <xf numFmtId="0" fontId="86" fillId="47" borderId="50" applyNumberFormat="0" applyAlignment="0" applyProtection="0"/>
    <xf numFmtId="0" fontId="3" fillId="41" borderId="49" applyNumberFormat="0" applyFont="0" applyAlignment="0" applyProtection="0"/>
    <xf numFmtId="43" fontId="1" fillId="0" borderId="0" applyFont="0" applyFill="0" applyBorder="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78" fillId="45" borderId="41" applyNumberFormat="0" applyAlignment="0" applyProtection="0"/>
    <xf numFmtId="0" fontId="1" fillId="0" borderId="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3" fillId="41" borderId="42" applyNumberFormat="0" applyFon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0" fontId="86" fillId="47" borderId="43" applyNumberFormat="0" applyAlignment="0" applyProtection="0"/>
    <xf numFmtId="9" fontId="1" fillId="0" borderId="0" applyFont="0" applyFill="0" applyBorder="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44" applyNumberFormat="0" applyFill="0" applyAlignment="0" applyProtection="0"/>
    <xf numFmtId="0" fontId="97" fillId="0" borderId="51" applyNumberFormat="0" applyFill="0" applyAlignment="0" applyProtection="0"/>
    <xf numFmtId="0" fontId="3" fillId="41" borderId="49" applyNumberFormat="0" applyFont="0" applyAlignment="0" applyProtection="0"/>
    <xf numFmtId="0" fontId="1" fillId="0" borderId="0"/>
    <xf numFmtId="43" fontId="1" fillId="0" borderId="0" applyFont="0" applyFill="0" applyBorder="0" applyAlignment="0" applyProtection="0"/>
    <xf numFmtId="0" fontId="86" fillId="47" borderId="50" applyNumberFormat="0" applyAlignment="0" applyProtection="0"/>
    <xf numFmtId="9" fontId="1" fillId="0" borderId="0" applyFont="0" applyFill="0" applyBorder="0" applyAlignment="0" applyProtection="0"/>
    <xf numFmtId="0" fontId="97" fillId="0" borderId="51" applyNumberFormat="0" applyFill="0" applyAlignment="0" applyProtection="0"/>
    <xf numFmtId="0" fontId="3" fillId="41" borderId="42" applyNumberFormat="0" applyFon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3" fillId="41" borderId="49" applyNumberFormat="0" applyFont="0" applyAlignment="0" applyProtection="0"/>
    <xf numFmtId="0" fontId="55" fillId="41" borderId="49" applyNumberFormat="0" applyFont="0" applyAlignment="0" applyProtection="0"/>
    <xf numFmtId="0" fontId="55" fillId="41" borderId="49" applyNumberFormat="0" applyFont="0" applyAlignment="0" applyProtection="0"/>
    <xf numFmtId="0" fontId="78" fillId="45" borderId="48" applyNumberFormat="0" applyAlignment="0" applyProtection="0"/>
    <xf numFmtId="0" fontId="78" fillId="45" borderId="48" applyNumberForma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60" fillId="47" borderId="48" applyNumberFormat="0" applyAlignment="0" applyProtection="0"/>
    <xf numFmtId="0" fontId="1" fillId="0" borderId="0"/>
    <xf numFmtId="0" fontId="1" fillId="0" borderId="0"/>
    <xf numFmtId="0" fontId="86" fillId="47" borderId="5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86" fillId="47" borderId="50" applyNumberFormat="0" applyAlignment="0" applyProtection="0"/>
    <xf numFmtId="0" fontId="86" fillId="47" borderId="50"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 fillId="41" borderId="42" applyNumberFormat="0" applyFont="0" applyAlignment="0" applyProtection="0"/>
    <xf numFmtId="0" fontId="97" fillId="0" borderId="51" applyNumberFormat="0" applyFill="0" applyAlignment="0" applyProtection="0"/>
    <xf numFmtId="0" fontId="97" fillId="0" borderId="5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 fillId="41" borderId="4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97" fillId="0" borderId="51" applyNumberFormat="0" applyFill="0" applyAlignment="0" applyProtection="0"/>
    <xf numFmtId="0" fontId="55" fillId="41" borderId="49" applyNumberFormat="0" applyFont="0" applyAlignment="0" applyProtection="0"/>
    <xf numFmtId="0" fontId="86" fillId="37" borderId="43" applyNumberFormat="0" applyAlignment="0" applyProtection="0"/>
    <xf numFmtId="0" fontId="97" fillId="0" borderId="45" applyNumberFormat="0" applyFill="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86" fillId="47" borderId="50" applyNumberFormat="0" applyAlignment="0" applyProtection="0"/>
    <xf numFmtId="0" fontId="86" fillId="47" borderId="50" applyNumberFormat="0" applyAlignment="0" applyProtection="0"/>
    <xf numFmtId="0" fontId="97" fillId="0" borderId="51" applyNumberFormat="0" applyFill="0" applyAlignment="0" applyProtection="0"/>
    <xf numFmtId="0" fontId="86" fillId="47" borderId="50" applyNumberFormat="0" applyAlignment="0" applyProtection="0"/>
    <xf numFmtId="0" fontId="86" fillId="47" borderId="50" applyNumberFormat="0" applyAlignment="0" applyProtection="0"/>
    <xf numFmtId="0" fontId="86" fillId="47" borderId="50" applyNumberFormat="0" applyAlignment="0" applyProtection="0"/>
    <xf numFmtId="0" fontId="55" fillId="41" borderId="49" applyNumberFormat="0" applyFont="0" applyAlignment="0" applyProtection="0"/>
    <xf numFmtId="0" fontId="55" fillId="41" borderId="49" applyNumberFormat="0" applyFont="0" applyAlignment="0" applyProtection="0"/>
    <xf numFmtId="0" fontId="3" fillId="41" borderId="49" applyNumberFormat="0" applyFont="0" applyAlignment="0" applyProtection="0"/>
    <xf numFmtId="0" fontId="78" fillId="45" borderId="48" applyNumberFormat="0" applyAlignment="0" applyProtection="0"/>
    <xf numFmtId="0" fontId="60" fillId="47" borderId="48" applyNumberFormat="0" applyAlignment="0" applyProtection="0"/>
    <xf numFmtId="0" fontId="60" fillId="47" borderId="48" applyNumberFormat="0" applyAlignment="0" applyProtection="0"/>
    <xf numFmtId="0" fontId="55" fillId="41" borderId="49" applyNumberFormat="0" applyFont="0" applyAlignment="0" applyProtection="0"/>
    <xf numFmtId="0" fontId="3" fillId="41" borderId="42" applyNumberFormat="0" applyFont="0" applyAlignment="0" applyProtection="0"/>
    <xf numFmtId="0" fontId="86" fillId="47" borderId="43" applyNumberFormat="0" applyAlignment="0" applyProtection="0"/>
    <xf numFmtId="0" fontId="97" fillId="0" borderId="44" applyNumberFormat="0" applyFill="0" applyAlignment="0" applyProtection="0"/>
    <xf numFmtId="0" fontId="86" fillId="47" borderId="50"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86" fillId="47" borderId="50" applyNumberFormat="0" applyAlignment="0" applyProtection="0"/>
    <xf numFmtId="0" fontId="86" fillId="47" borderId="50" applyNumberForma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47" borderId="50" applyNumberFormat="0" applyAlignment="0" applyProtection="0"/>
    <xf numFmtId="0" fontId="1" fillId="0" borderId="0"/>
    <xf numFmtId="44" fontId="1" fillId="0" borderId="0" applyFont="0" applyFill="0" applyBorder="0" applyAlignment="0" applyProtection="0"/>
    <xf numFmtId="0" fontId="97" fillId="0" borderId="51" applyNumberFormat="0" applyFill="0" applyAlignment="0" applyProtection="0"/>
    <xf numFmtId="0" fontId="3" fillId="41" borderId="49" applyNumberFormat="0" applyFont="0" applyAlignment="0" applyProtection="0"/>
    <xf numFmtId="0" fontId="3" fillId="41" borderId="42"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55" fillId="41" borderId="42" applyNumberFormat="0" applyFont="0" applyAlignment="0" applyProtection="0"/>
    <xf numFmtId="0" fontId="55" fillId="41" borderId="42" applyNumberFormat="0" applyFont="0" applyAlignment="0" applyProtection="0"/>
    <xf numFmtId="0" fontId="3" fillId="41" borderId="42" applyNumberFormat="0" applyFont="0" applyAlignment="0" applyProtection="0"/>
    <xf numFmtId="0" fontId="86" fillId="47" borderId="43" applyNumberFormat="0" applyAlignment="0" applyProtection="0"/>
    <xf numFmtId="0" fontId="97" fillId="0" borderId="44" applyNumberFormat="0" applyFill="0" applyAlignment="0" applyProtection="0"/>
    <xf numFmtId="191" fontId="93" fillId="65" borderId="35" applyBorder="0">
      <alignment horizontal="righ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97" fillId="0" borderId="51" applyNumberFormat="0" applyFill="0" applyAlignment="0" applyProtection="0"/>
    <xf numFmtId="0" fontId="3" fillId="41" borderId="49"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97" fillId="0" borderId="51" applyNumberFormat="0" applyFill="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86" fillId="47" borderId="50"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97" fillId="0" borderId="51" applyNumberFormat="0" applyFill="0" applyAlignment="0" applyProtection="0"/>
    <xf numFmtId="0" fontId="3" fillId="41" borderId="49" applyNumberFormat="0" applyFont="0" applyAlignment="0" applyProtection="0"/>
    <xf numFmtId="0" fontId="3" fillId="41" borderId="42"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0" borderId="21"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97" fillId="0" borderId="5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97" fillId="0" borderId="51" applyNumberFormat="0" applyFill="0" applyAlignment="0" applyProtection="0"/>
    <xf numFmtId="0" fontId="3" fillId="41" borderId="49" applyNumberFormat="0" applyFont="0" applyAlignment="0" applyProtection="0"/>
    <xf numFmtId="0" fontId="3" fillId="41" borderId="49" applyNumberFormat="0" applyFont="0" applyAlignment="0" applyProtection="0"/>
    <xf numFmtId="0" fontId="60" fillId="37" borderId="48" applyNumberFormat="0" applyAlignment="0" applyProtection="0"/>
    <xf numFmtId="0" fontId="86" fillId="37" borderId="50" applyNumberFormat="0" applyAlignment="0" applyProtection="0"/>
    <xf numFmtId="0" fontId="97" fillId="0" borderId="52" applyNumberFormat="0" applyFill="0" applyAlignment="0" applyProtection="0"/>
    <xf numFmtId="0" fontId="6" fillId="0" borderId="47">
      <alignment horizontal="left" vertical="center"/>
    </xf>
    <xf numFmtId="10" fontId="68" fillId="63" borderId="46" applyNumberFormat="0" applyBorder="0" applyAlignment="0" applyProtection="0"/>
    <xf numFmtId="10" fontId="68" fillId="63" borderId="46" applyNumberFormat="0" applyBorder="0" applyAlignment="0" applyProtection="0"/>
    <xf numFmtId="49" fontId="94" fillId="0" borderId="1">
      <alignment vertical="center"/>
    </xf>
    <xf numFmtId="0" fontId="60" fillId="47" borderId="48" applyNumberFormat="0" applyAlignment="0" applyProtection="0"/>
    <xf numFmtId="0" fontId="3" fillId="41" borderId="49" applyNumberFormat="0" applyFont="0" applyAlignment="0" applyProtection="0"/>
    <xf numFmtId="0" fontId="86" fillId="47" borderId="50" applyNumberFormat="0" applyAlignment="0" applyProtection="0"/>
    <xf numFmtId="0" fontId="97" fillId="0" borderId="51" applyNumberFormat="0" applyFill="0" applyAlignment="0" applyProtection="0"/>
    <xf numFmtId="0" fontId="3" fillId="41" borderId="49" applyNumberFormat="0" applyFont="0" applyAlignment="0" applyProtection="0"/>
    <xf numFmtId="0" fontId="55" fillId="41" borderId="49" applyNumberFormat="0" applyFont="0" applyAlignment="0" applyProtection="0"/>
    <xf numFmtId="0" fontId="60" fillId="47" borderId="48" applyNumberFormat="0" applyAlignment="0" applyProtection="0"/>
    <xf numFmtId="0" fontId="55" fillId="41" borderId="49" applyNumberFormat="0" applyFont="0" applyAlignment="0" applyProtection="0"/>
    <xf numFmtId="0" fontId="3" fillId="41" borderId="49" applyNumberFormat="0" applyFont="0" applyAlignment="0" applyProtection="0"/>
    <xf numFmtId="0" fontId="86" fillId="47" borderId="50" applyNumberFormat="0" applyAlignment="0" applyProtection="0"/>
    <xf numFmtId="0" fontId="97" fillId="0" borderId="51" applyNumberFormat="0" applyFill="0" applyAlignment="0" applyProtection="0"/>
    <xf numFmtId="0" fontId="3" fillId="41" borderId="49" applyNumberFormat="0" applyFont="0" applyAlignment="0" applyProtection="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43" fontId="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7" fontId="3" fillId="0" borderId="0"/>
    <xf numFmtId="7" fontId="3" fillId="0" borderId="0"/>
    <xf numFmtId="173" fontId="5" fillId="0" borderId="0" applyFont="0" applyFill="0" applyBorder="0" applyAlignment="0" applyProtection="0"/>
    <xf numFmtId="173" fontId="5" fillId="0" borderId="0" applyFont="0" applyFill="0" applyBorder="0" applyAlignment="0" applyProtection="0"/>
    <xf numFmtId="0" fontId="3" fillId="0" borderId="0"/>
    <xf numFmtId="0" fontId="3" fillId="0" borderId="0"/>
    <xf numFmtId="0" fontId="3" fillId="0" borderId="0"/>
    <xf numFmtId="0" fontId="3" fillId="0" borderId="0"/>
    <xf numFmtId="190" fontId="3" fillId="0" borderId="0">
      <alignment horizontal="left" wrapText="1"/>
    </xf>
    <xf numFmtId="190" fontId="3"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3" fillId="0" borderId="0">
      <alignment horizontal="left" wrapText="1"/>
    </xf>
    <xf numFmtId="19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190" fontId="3" fillId="0" borderId="0">
      <alignment horizontal="left" wrapText="1"/>
    </xf>
    <xf numFmtId="19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pplyNumberFormat="0" applyFill="0" applyBorder="0" applyAlignment="0" applyProtection="0"/>
    <xf numFmtId="0" fontId="3" fillId="0" borderId="0" applyNumberFormat="0" applyFill="0" applyBorder="0" applyAlignment="0" applyProtection="0"/>
    <xf numFmtId="0" fontId="10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73" fontId="3" fillId="0" borderId="0" applyNumberFormat="0" applyFill="0" applyBorder="0" applyAlignment="0" applyProtection="0"/>
    <xf numFmtId="0" fontId="2"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173" fontId="3"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0" fontId="1" fillId="0" borderId="0"/>
    <xf numFmtId="192" fontId="3" fillId="0" borderId="0" applyBorder="0"/>
    <xf numFmtId="192" fontId="3" fillId="0" borderId="0" applyBorder="0"/>
    <xf numFmtId="4" fontId="3" fillId="0" borderId="0"/>
    <xf numFmtId="4" fontId="3" fillId="0" borderId="0"/>
    <xf numFmtId="0" fontId="104" fillId="0" borderId="46" applyNumberFormat="0" applyFont="0" applyFill="0" applyAlignment="0" applyProtection="0"/>
    <xf numFmtId="0" fontId="16"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05"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6"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173" fontId="55" fillId="38" borderId="0" applyNumberFormat="0" applyBorder="0" applyAlignment="0" applyProtection="0"/>
    <xf numFmtId="173" fontId="55" fillId="38" borderId="0" applyNumberFormat="0" applyBorder="0" applyAlignment="0" applyProtection="0"/>
    <xf numFmtId="0" fontId="15" fillId="12" borderId="0" applyNumberFormat="0" applyBorder="0" applyAlignment="0" applyProtection="0"/>
    <xf numFmtId="0" fontId="16" fillId="12" borderId="0" applyNumberFormat="0" applyBorder="0" applyAlignment="0" applyProtection="0"/>
    <xf numFmtId="0" fontId="1" fillId="37"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06" fillId="12"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15" fillId="12" borderId="0" applyNumberFormat="0" applyBorder="0" applyAlignment="0" applyProtection="0"/>
    <xf numFmtId="0" fontId="55" fillId="37" borderId="0" applyNumberFormat="0" applyBorder="0" applyAlignment="0" applyProtection="0"/>
    <xf numFmtId="0" fontId="15" fillId="12" borderId="0" applyNumberFormat="0" applyBorder="0" applyAlignment="0" applyProtection="0"/>
    <xf numFmtId="0" fontId="55" fillId="3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55" fillId="6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173" fontId="55" fillId="38" borderId="0" applyNumberFormat="0" applyBorder="0" applyAlignment="0" applyProtection="0"/>
    <xf numFmtId="173" fontId="55" fillId="38" borderId="0" applyNumberFormat="0" applyBorder="0" applyAlignment="0" applyProtection="0"/>
    <xf numFmtId="173" fontId="55" fillId="38" borderId="0" applyNumberFormat="0" applyBorder="0" applyAlignment="0" applyProtection="0"/>
    <xf numFmtId="173" fontId="55" fillId="38"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5"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15" fillId="12"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66"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173" fontId="55" fillId="38" borderId="0" applyNumberFormat="0" applyBorder="0" applyAlignment="0" applyProtection="0"/>
    <xf numFmtId="173" fontId="55" fillId="38" borderId="0" applyNumberFormat="0" applyBorder="0" applyAlignment="0" applyProtection="0"/>
    <xf numFmtId="173" fontId="55" fillId="38" borderId="0" applyNumberFormat="0" applyBorder="0" applyAlignment="0" applyProtection="0"/>
    <xf numFmtId="173" fontId="55" fillId="38"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5" fillId="38" borderId="0" applyNumberFormat="0" applyBorder="0" applyAlignment="0" applyProtection="0"/>
    <xf numFmtId="0" fontId="1" fillId="12"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55" fillId="38"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55" fillId="37"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55" fillId="37" borderId="0" applyNumberFormat="0" applyBorder="0" applyAlignment="0" applyProtection="0"/>
    <xf numFmtId="0" fontId="1" fillId="12" borderId="0" applyNumberFormat="0" applyBorder="0" applyAlignment="0" applyProtection="0"/>
    <xf numFmtId="0" fontId="55" fillId="37"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6" fillId="12" borderId="0" applyNumberFormat="0" applyBorder="0" applyAlignment="0" applyProtection="0"/>
    <xf numFmtId="0" fontId="106"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6" fillId="12" borderId="0" applyNumberFormat="0" applyBorder="0" applyAlignment="0" applyProtection="0"/>
    <xf numFmtId="0" fontId="1" fillId="12" borderId="0" applyNumberFormat="0" applyBorder="0" applyAlignment="0" applyProtection="0"/>
    <xf numFmtId="0" fontId="15" fillId="12" borderId="0" applyNumberFormat="0" applyBorder="0" applyAlignment="0" applyProtection="0"/>
    <xf numFmtId="0" fontId="16"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05"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6"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6" borderId="0" applyNumberFormat="0" applyBorder="0" applyAlignment="0" applyProtection="0"/>
    <xf numFmtId="0" fontId="16" fillId="16" borderId="0" applyNumberFormat="0" applyBorder="0" applyAlignment="0" applyProtection="0"/>
    <xf numFmtId="0" fontId="1" fillId="45"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06" fillId="1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15" fillId="16" borderId="0" applyNumberFormat="0" applyBorder="0" applyAlignment="0" applyProtection="0"/>
    <xf numFmtId="0" fontId="55" fillId="40"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55" fillId="6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5"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67"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5" fillId="40" borderId="0" applyNumberFormat="0" applyBorder="0" applyAlignment="0" applyProtection="0"/>
    <xf numFmtId="0" fontId="1" fillId="1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55" fillId="39" borderId="0" applyNumberFormat="0" applyBorder="0" applyAlignment="0" applyProtection="0"/>
    <xf numFmtId="0" fontId="1" fillId="16" borderId="0" applyNumberFormat="0" applyBorder="0" applyAlignment="0" applyProtection="0"/>
    <xf numFmtId="0" fontId="55" fillId="39"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6" fillId="16" borderId="0" applyNumberFormat="0" applyBorder="0" applyAlignment="0" applyProtection="0"/>
    <xf numFmtId="0" fontId="106"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6" fillId="16" borderId="0" applyNumberFormat="0" applyBorder="0" applyAlignment="0" applyProtection="0"/>
    <xf numFmtId="0" fontId="1" fillId="16" borderId="0" applyNumberFormat="0" applyBorder="0" applyAlignment="0" applyProtection="0"/>
    <xf numFmtId="0" fontId="15" fillId="16" borderId="0" applyNumberFormat="0" applyBorder="0" applyAlignment="0" applyProtection="0"/>
    <xf numFmtId="0" fontId="16"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05"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6"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173" fontId="55" fillId="42" borderId="0" applyNumberFormat="0" applyBorder="0" applyAlignment="0" applyProtection="0"/>
    <xf numFmtId="173" fontId="55" fillId="42" borderId="0" applyNumberFormat="0" applyBorder="0" applyAlignment="0" applyProtection="0"/>
    <xf numFmtId="0" fontId="15" fillId="20" borderId="0" applyNumberFormat="0" applyBorder="0" applyAlignment="0" applyProtection="0"/>
    <xf numFmtId="0" fontId="16" fillId="20" borderId="0" applyNumberFormat="0" applyBorder="0" applyAlignment="0" applyProtection="0"/>
    <xf numFmtId="0" fontId="1" fillId="41"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06" fillId="20"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15" fillId="20" borderId="0" applyNumberFormat="0" applyBorder="0" applyAlignment="0" applyProtection="0"/>
    <xf numFmtId="0" fontId="55" fillId="41" borderId="0" applyNumberFormat="0" applyBorder="0" applyAlignment="0" applyProtection="0"/>
    <xf numFmtId="0" fontId="15" fillId="20" borderId="0" applyNumberFormat="0" applyBorder="0" applyAlignment="0" applyProtection="0"/>
    <xf numFmtId="0" fontId="55" fillId="4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55" fillId="6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173" fontId="55" fillId="42" borderId="0" applyNumberFormat="0" applyBorder="0" applyAlignment="0" applyProtection="0"/>
    <xf numFmtId="173" fontId="55" fillId="42" borderId="0" applyNumberFormat="0" applyBorder="0" applyAlignment="0" applyProtection="0"/>
    <xf numFmtId="173" fontId="55" fillId="42" borderId="0" applyNumberFormat="0" applyBorder="0" applyAlignment="0" applyProtection="0"/>
    <xf numFmtId="173" fontId="55" fillId="42"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5" fillId="42"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15" fillId="20"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68"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173" fontId="55" fillId="42" borderId="0" applyNumberFormat="0" applyBorder="0" applyAlignment="0" applyProtection="0"/>
    <xf numFmtId="173" fontId="55" fillId="42" borderId="0" applyNumberFormat="0" applyBorder="0" applyAlignment="0" applyProtection="0"/>
    <xf numFmtId="173" fontId="55" fillId="42" borderId="0" applyNumberFormat="0" applyBorder="0" applyAlignment="0" applyProtection="0"/>
    <xf numFmtId="173" fontId="55" fillId="42"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5" fillId="42" borderId="0" applyNumberFormat="0" applyBorder="0" applyAlignment="0" applyProtection="0"/>
    <xf numFmtId="0" fontId="1" fillId="20"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55" fillId="41"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55" fillId="41" borderId="0" applyNumberFormat="0" applyBorder="0" applyAlignment="0" applyProtection="0"/>
    <xf numFmtId="0" fontId="1" fillId="20" borderId="0" applyNumberFormat="0" applyBorder="0" applyAlignment="0" applyProtection="0"/>
    <xf numFmtId="0" fontId="55" fillId="41"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6" fillId="20" borderId="0" applyNumberFormat="0" applyBorder="0" applyAlignment="0" applyProtection="0"/>
    <xf numFmtId="0" fontId="106"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6" fillId="20" borderId="0" applyNumberFormat="0" applyBorder="0" applyAlignment="0" applyProtection="0"/>
    <xf numFmtId="0" fontId="1" fillId="20" borderId="0" applyNumberFormat="0" applyBorder="0" applyAlignment="0" applyProtection="0"/>
    <xf numFmtId="0" fontId="15" fillId="20" borderId="0" applyNumberFormat="0" applyBorder="0" applyAlignment="0" applyProtection="0"/>
    <xf numFmtId="0" fontId="16"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05"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6"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4" borderId="0" applyNumberFormat="0" applyBorder="0" applyAlignment="0" applyProtection="0"/>
    <xf numFmtId="0" fontId="16" fillId="24" borderId="0" applyNumberFormat="0" applyBorder="0" applyAlignment="0" applyProtection="0"/>
    <xf numFmtId="0" fontId="1" fillId="37"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06" fillId="24"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4" borderId="0" applyNumberFormat="0" applyBorder="0" applyAlignment="0" applyProtection="0"/>
    <xf numFmtId="0" fontId="55" fillId="37" borderId="0" applyNumberFormat="0" applyBorder="0" applyAlignment="0" applyProtection="0"/>
    <xf numFmtId="0" fontId="15" fillId="24" borderId="0" applyNumberFormat="0" applyBorder="0" applyAlignment="0" applyProtection="0"/>
    <xf numFmtId="0" fontId="55" fillId="43"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55" fillId="6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5"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4"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69"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5" fillId="43" borderId="0" applyNumberFormat="0" applyBorder="0" applyAlignment="0" applyProtection="0"/>
    <xf numFmtId="0" fontId="1" fillId="24"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55" fillId="37"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55" fillId="37" borderId="0" applyNumberFormat="0" applyBorder="0" applyAlignment="0" applyProtection="0"/>
    <xf numFmtId="0" fontId="1" fillId="24" borderId="0" applyNumberFormat="0" applyBorder="0" applyAlignment="0" applyProtection="0"/>
    <xf numFmtId="0" fontId="55" fillId="37"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6" fillId="24" borderId="0" applyNumberFormat="0" applyBorder="0" applyAlignment="0" applyProtection="0"/>
    <xf numFmtId="0" fontId="106"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6" fillId="24" borderId="0" applyNumberFormat="0" applyBorder="0" applyAlignment="0" applyProtection="0"/>
    <xf numFmtId="0" fontId="1" fillId="24" borderId="0" applyNumberFormat="0" applyBorder="0" applyAlignment="0" applyProtection="0"/>
    <xf numFmtId="0" fontId="15" fillId="24" borderId="0" applyNumberFormat="0" applyBorder="0" applyAlignment="0" applyProtection="0"/>
    <xf numFmtId="0" fontId="16"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05"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6"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8" borderId="0" applyNumberFormat="0" applyBorder="0" applyAlignment="0" applyProtection="0"/>
    <xf numFmtId="0" fontId="16"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06"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55" fillId="7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70"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5" fillId="44"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6" fillId="28" borderId="0" applyNumberFormat="0" applyBorder="0" applyAlignment="0" applyProtection="0"/>
    <xf numFmtId="0" fontId="106"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6" fillId="28" borderId="0" applyNumberFormat="0" applyBorder="0" applyAlignment="0" applyProtection="0"/>
    <xf numFmtId="0" fontId="1" fillId="28" borderId="0" applyNumberFormat="0" applyBorder="0" applyAlignment="0" applyProtection="0"/>
    <xf numFmtId="0" fontId="15" fillId="28" borderId="0" applyNumberFormat="0" applyBorder="0" applyAlignment="0" applyProtection="0"/>
    <xf numFmtId="0" fontId="16"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05"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6"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32" borderId="0" applyNumberFormat="0" applyBorder="0" applyAlignment="0" applyProtection="0"/>
    <xf numFmtId="0" fontId="16"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06"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55" fillId="7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71"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5" fillId="45"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6" fillId="32" borderId="0" applyNumberFormat="0" applyBorder="0" applyAlignment="0" applyProtection="0"/>
    <xf numFmtId="0" fontId="106"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6" fillId="32" borderId="0" applyNumberFormat="0" applyBorder="0" applyAlignment="0" applyProtection="0"/>
    <xf numFmtId="0" fontId="1" fillId="32" borderId="0" applyNumberFormat="0" applyBorder="0" applyAlignment="0" applyProtection="0"/>
    <xf numFmtId="0" fontId="15" fillId="32" borderId="0" applyNumberFormat="0" applyBorder="0" applyAlignment="0" applyProtection="0"/>
    <xf numFmtId="0" fontId="1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0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6"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 fillId="47"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06"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13" borderId="0" applyNumberFormat="0" applyBorder="0" applyAlignment="0" applyProtection="0"/>
    <xf numFmtId="0" fontId="55" fillId="47" borderId="0" applyNumberFormat="0" applyBorder="0" applyAlignment="0" applyProtection="0"/>
    <xf numFmtId="0" fontId="15" fillId="13" borderId="0" applyNumberFormat="0" applyBorder="0" applyAlignment="0" applyProtection="0"/>
    <xf numFmtId="0" fontId="55" fillId="4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55" fillId="7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72"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46" borderId="0" applyNumberFormat="0" applyBorder="0" applyAlignment="0" applyProtection="0"/>
    <xf numFmtId="0" fontId="1" fillId="1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13" borderId="0" applyNumberFormat="0" applyBorder="0" applyAlignment="0" applyProtection="0"/>
    <xf numFmtId="0" fontId="55" fillId="4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55" fillId="47"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55" fillId="47" borderId="0" applyNumberFormat="0" applyBorder="0" applyAlignment="0" applyProtection="0"/>
    <xf numFmtId="0" fontId="1" fillId="13" borderId="0" applyNumberFormat="0" applyBorder="0" applyAlignment="0" applyProtection="0"/>
    <xf numFmtId="0" fontId="55" fillId="47"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0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0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6"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06"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55" fillId="7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73"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39"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0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0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6"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8" borderId="0" applyNumberFormat="0" applyBorder="0" applyAlignment="0" applyProtection="0"/>
    <xf numFmtId="173" fontId="55" fillId="48"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 fillId="49"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06"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15" fillId="21" borderId="0" applyNumberFormat="0" applyBorder="0" applyAlignment="0" applyProtection="0"/>
    <xf numFmtId="0" fontId="55" fillId="49" borderId="0" applyNumberFormat="0" applyBorder="0" applyAlignment="0" applyProtection="0"/>
    <xf numFmtId="0" fontId="15" fillId="21" borderId="0" applyNumberFormat="0" applyBorder="0" applyAlignment="0" applyProtection="0"/>
    <xf numFmtId="0" fontId="55" fillId="4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55" fillId="7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8" borderId="0" applyNumberFormat="0" applyBorder="0" applyAlignment="0" applyProtection="0"/>
    <xf numFmtId="173" fontId="55" fillId="48" borderId="0" applyNumberFormat="0" applyBorder="0" applyAlignment="0" applyProtection="0"/>
    <xf numFmtId="173" fontId="55" fillId="48" borderId="0" applyNumberFormat="0" applyBorder="0" applyAlignment="0" applyProtection="0"/>
    <xf numFmtId="173" fontId="55" fillId="48"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15"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74"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8" borderId="0" applyNumberFormat="0" applyBorder="0" applyAlignment="0" applyProtection="0"/>
    <xf numFmtId="173" fontId="55" fillId="48" borderId="0" applyNumberFormat="0" applyBorder="0" applyAlignment="0" applyProtection="0"/>
    <xf numFmtId="173" fontId="55" fillId="48" borderId="0" applyNumberFormat="0" applyBorder="0" applyAlignment="0" applyProtection="0"/>
    <xf numFmtId="173" fontId="55" fillId="48"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8" borderId="0" applyNumberFormat="0" applyBorder="0" applyAlignment="0" applyProtection="0"/>
    <xf numFmtId="0" fontId="1" fillId="21"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15" fillId="21" borderId="0" applyNumberFormat="0" applyBorder="0" applyAlignment="0" applyProtection="0"/>
    <xf numFmtId="0" fontId="55" fillId="4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55" fillId="49"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55" fillId="49" borderId="0" applyNumberFormat="0" applyBorder="0" applyAlignment="0" applyProtection="0"/>
    <xf numFmtId="0" fontId="1" fillId="21" borderId="0" applyNumberFormat="0" applyBorder="0" applyAlignment="0" applyProtection="0"/>
    <xf numFmtId="0" fontId="55" fillId="49"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0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0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 fillId="47"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06"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5" borderId="0" applyNumberFormat="0" applyBorder="0" applyAlignment="0" applyProtection="0"/>
    <xf numFmtId="0" fontId="55" fillId="47" borderId="0" applyNumberFormat="0" applyBorder="0" applyAlignment="0" applyProtection="0"/>
    <xf numFmtId="0" fontId="15" fillId="25" borderId="0" applyNumberFormat="0" applyBorder="0" applyAlignment="0" applyProtection="0"/>
    <xf numFmtId="0" fontId="55" fillId="43"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55" fillId="6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69"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3" borderId="0" applyNumberFormat="0" applyBorder="0" applyAlignment="0" applyProtection="0"/>
    <xf numFmtId="0" fontId="1" fillId="25"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5" borderId="0" applyNumberFormat="0" applyBorder="0" applyAlignment="0" applyProtection="0"/>
    <xf numFmtId="0" fontId="55" fillId="47"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55" fillId="47"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55" fillId="47" borderId="0" applyNumberFormat="0" applyBorder="0" applyAlignment="0" applyProtection="0"/>
    <xf numFmtId="0" fontId="1" fillId="25" borderId="0" applyNumberFormat="0" applyBorder="0" applyAlignment="0" applyProtection="0"/>
    <xf numFmtId="0" fontId="55" fillId="47"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0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0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6"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06"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5" fillId="7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72"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6"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0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0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6"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50" borderId="0" applyNumberFormat="0" applyBorder="0" applyAlignment="0" applyProtection="0"/>
    <xf numFmtId="173" fontId="55" fillId="50"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 fillId="45"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06"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5" fillId="33" borderId="0" applyNumberFormat="0" applyBorder="0" applyAlignment="0" applyProtection="0"/>
    <xf numFmtId="0" fontId="55" fillId="45" borderId="0" applyNumberFormat="0" applyBorder="0" applyAlignment="0" applyProtection="0"/>
    <xf numFmtId="0" fontId="15" fillId="33" borderId="0" applyNumberFormat="0" applyBorder="0" applyAlignment="0" applyProtection="0"/>
    <xf numFmtId="0" fontId="55" fillId="50"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55" fillId="7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50" borderId="0" applyNumberFormat="0" applyBorder="0" applyAlignment="0" applyProtection="0"/>
    <xf numFmtId="173" fontId="55" fillId="50" borderId="0" applyNumberFormat="0" applyBorder="0" applyAlignment="0" applyProtection="0"/>
    <xf numFmtId="173" fontId="55" fillId="50" borderId="0" applyNumberFormat="0" applyBorder="0" applyAlignment="0" applyProtection="0"/>
    <xf numFmtId="173" fontId="55" fillId="50"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5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5"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75"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50" borderId="0" applyNumberFormat="0" applyBorder="0" applyAlignment="0" applyProtection="0"/>
    <xf numFmtId="173" fontId="55" fillId="50" borderId="0" applyNumberFormat="0" applyBorder="0" applyAlignment="0" applyProtection="0"/>
    <xf numFmtId="173" fontId="55" fillId="50" borderId="0" applyNumberFormat="0" applyBorder="0" applyAlignment="0" applyProtection="0"/>
    <xf numFmtId="173" fontId="55" fillId="50"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50" borderId="0" applyNumberFormat="0" applyBorder="0" applyAlignment="0" applyProtection="0"/>
    <xf numFmtId="0" fontId="1" fillId="33"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55" fillId="50" borderId="0" applyNumberFormat="0" applyBorder="0" applyAlignment="0" applyProtection="0"/>
    <xf numFmtId="0" fontId="15" fillId="33" borderId="0" applyNumberFormat="0" applyBorder="0" applyAlignment="0" applyProtection="0"/>
    <xf numFmtId="0" fontId="55"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55" fillId="45"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55" fillId="45" borderId="0" applyNumberFormat="0" applyBorder="0" applyAlignment="0" applyProtection="0"/>
    <xf numFmtId="0" fontId="1" fillId="33" borderId="0" applyNumberFormat="0" applyBorder="0" applyAlignment="0" applyProtection="0"/>
    <xf numFmtId="0" fontId="55" fillId="45"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0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0" fontId="103" fillId="0" borderId="0" applyFont="0" applyFill="0" applyBorder="0" applyAlignment="0" applyProtection="0"/>
    <xf numFmtId="10" fontId="103" fillId="0" borderId="0" applyFont="0" applyFill="0" applyBorder="0" applyAlignment="0" applyProtection="0">
      <alignment horizontal="center" vertical="center"/>
    </xf>
    <xf numFmtId="0" fontId="107" fillId="14" borderId="0" applyNumberFormat="0" applyBorder="0" applyAlignment="0" applyProtection="0"/>
    <xf numFmtId="0" fontId="108" fillId="14" borderId="0" applyNumberFormat="0" applyBorder="0" applyAlignment="0" applyProtection="0"/>
    <xf numFmtId="0" fontId="46" fillId="14" borderId="0" applyNumberFormat="0" applyBorder="0" applyAlignment="0" applyProtection="0"/>
    <xf numFmtId="0" fontId="109" fillId="14" borderId="0" applyNumberFormat="0" applyBorder="0" applyAlignment="0" applyProtection="0"/>
    <xf numFmtId="173" fontId="56" fillId="51" borderId="0" applyNumberFormat="0" applyBorder="0" applyAlignment="0" applyProtection="0"/>
    <xf numFmtId="0" fontId="109" fillId="14" borderId="0" applyNumberFormat="0" applyBorder="0" applyAlignment="0" applyProtection="0"/>
    <xf numFmtId="0" fontId="46" fillId="52" borderId="0" applyNumberFormat="0" applyBorder="0" applyAlignment="0" applyProtection="0"/>
    <xf numFmtId="0" fontId="110" fillId="14" borderId="0" applyNumberFormat="0" applyBorder="0" applyAlignment="0" applyProtection="0"/>
    <xf numFmtId="0" fontId="56" fillId="51" borderId="0" applyNumberFormat="0" applyBorder="0" applyAlignment="0" applyProtection="0"/>
    <xf numFmtId="0" fontId="56" fillId="76" borderId="0" applyNumberFormat="0" applyBorder="0" applyAlignment="0" applyProtection="0"/>
    <xf numFmtId="0" fontId="56" fillId="52" borderId="0" applyNumberFormat="0" applyBorder="0" applyAlignment="0" applyProtection="0"/>
    <xf numFmtId="173" fontId="56" fillId="51" borderId="0" applyNumberFormat="0" applyBorder="0" applyAlignment="0" applyProtection="0"/>
    <xf numFmtId="0" fontId="46" fillId="14"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46" fillId="14" borderId="0" applyNumberFormat="0" applyBorder="0" applyAlignment="0" applyProtection="0"/>
    <xf numFmtId="173" fontId="56" fillId="51" borderId="0" applyNumberFormat="0" applyBorder="0" applyAlignment="0" applyProtection="0"/>
    <xf numFmtId="0" fontId="46" fillId="14" borderId="0" applyNumberFormat="0" applyBorder="0" applyAlignment="0" applyProtection="0"/>
    <xf numFmtId="0" fontId="56" fillId="52" borderId="0" applyNumberFormat="0" applyBorder="0" applyAlignment="0" applyProtection="0"/>
    <xf numFmtId="0" fontId="108"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110" fillId="14" borderId="0" applyNumberFormat="0" applyBorder="0" applyAlignment="0" applyProtection="0"/>
    <xf numFmtId="0" fontId="109" fillId="14" borderId="0" applyNumberFormat="0" applyBorder="0" applyAlignment="0" applyProtection="0"/>
    <xf numFmtId="0" fontId="107" fillId="18" borderId="0" applyNumberFormat="0" applyBorder="0" applyAlignment="0" applyProtection="0"/>
    <xf numFmtId="0" fontId="108" fillId="18" borderId="0" applyNumberFormat="0" applyBorder="0" applyAlignment="0" applyProtection="0"/>
    <xf numFmtId="0" fontId="46" fillId="18" borderId="0" applyNumberFormat="0" applyBorder="0" applyAlignment="0" applyProtection="0"/>
    <xf numFmtId="0" fontId="109" fillId="18" borderId="0" applyNumberFormat="0" applyBorder="0" applyAlignment="0" applyProtection="0"/>
    <xf numFmtId="173" fontId="56" fillId="39" borderId="0" applyNumberFormat="0" applyBorder="0" applyAlignment="0" applyProtection="0"/>
    <xf numFmtId="0" fontId="109" fillId="18" borderId="0" applyNumberFormat="0" applyBorder="0" applyAlignment="0" applyProtection="0"/>
    <xf numFmtId="0" fontId="110" fillId="18" borderId="0" applyNumberFormat="0" applyBorder="0" applyAlignment="0" applyProtection="0"/>
    <xf numFmtId="0" fontId="56" fillId="39" borderId="0" applyNumberFormat="0" applyBorder="0" applyAlignment="0" applyProtection="0"/>
    <xf numFmtId="0" fontId="56" fillId="73" borderId="0" applyNumberFormat="0" applyBorder="0" applyAlignment="0" applyProtection="0"/>
    <xf numFmtId="0" fontId="46" fillId="18" borderId="0" applyNumberFormat="0" applyBorder="0" applyAlignment="0" applyProtection="0"/>
    <xf numFmtId="173" fontId="56" fillId="39" borderId="0" applyNumberFormat="0" applyBorder="0" applyAlignment="0" applyProtection="0"/>
    <xf numFmtId="0" fontId="46" fillId="18" borderId="0" applyNumberFormat="0" applyBorder="0" applyAlignment="0" applyProtection="0"/>
    <xf numFmtId="173" fontId="56" fillId="39" borderId="0" applyNumberFormat="0" applyBorder="0" applyAlignment="0" applyProtection="0"/>
    <xf numFmtId="0" fontId="46" fillId="18" borderId="0" applyNumberFormat="0" applyBorder="0" applyAlignment="0" applyProtection="0"/>
    <xf numFmtId="0" fontId="108"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110" fillId="18" borderId="0" applyNumberFormat="0" applyBorder="0" applyAlignment="0" applyProtection="0"/>
    <xf numFmtId="0" fontId="109" fillId="18" borderId="0" applyNumberFormat="0" applyBorder="0" applyAlignment="0" applyProtection="0"/>
    <xf numFmtId="0" fontId="107" fillId="22" borderId="0" applyNumberFormat="0" applyBorder="0" applyAlignment="0" applyProtection="0"/>
    <xf numFmtId="0" fontId="108" fillId="22" borderId="0" applyNumberFormat="0" applyBorder="0" applyAlignment="0" applyProtection="0"/>
    <xf numFmtId="0" fontId="46" fillId="22" borderId="0" applyNumberFormat="0" applyBorder="0" applyAlignment="0" applyProtection="0"/>
    <xf numFmtId="0" fontId="109" fillId="22" borderId="0" applyNumberFormat="0" applyBorder="0" applyAlignment="0" applyProtection="0"/>
    <xf numFmtId="173" fontId="56" fillId="48" borderId="0" applyNumberFormat="0" applyBorder="0" applyAlignment="0" applyProtection="0"/>
    <xf numFmtId="0" fontId="109" fillId="22" borderId="0" applyNumberFormat="0" applyBorder="0" applyAlignment="0" applyProtection="0"/>
    <xf numFmtId="0" fontId="46" fillId="49" borderId="0" applyNumberFormat="0" applyBorder="0" applyAlignment="0" applyProtection="0"/>
    <xf numFmtId="0" fontId="110" fillId="22" borderId="0" applyNumberFormat="0" applyBorder="0" applyAlignment="0" applyProtection="0"/>
    <xf numFmtId="0" fontId="56" fillId="48" borderId="0" applyNumberFormat="0" applyBorder="0" applyAlignment="0" applyProtection="0"/>
    <xf numFmtId="0" fontId="56" fillId="74" borderId="0" applyNumberFormat="0" applyBorder="0" applyAlignment="0" applyProtection="0"/>
    <xf numFmtId="0" fontId="56" fillId="49" borderId="0" applyNumberFormat="0" applyBorder="0" applyAlignment="0" applyProtection="0"/>
    <xf numFmtId="173" fontId="56" fillId="48" borderId="0" applyNumberFormat="0" applyBorder="0" applyAlignment="0" applyProtection="0"/>
    <xf numFmtId="0" fontId="46" fillId="22"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46" fillId="22" borderId="0" applyNumberFormat="0" applyBorder="0" applyAlignment="0" applyProtection="0"/>
    <xf numFmtId="173" fontId="56" fillId="48" borderId="0" applyNumberFormat="0" applyBorder="0" applyAlignment="0" applyProtection="0"/>
    <xf numFmtId="0" fontId="46" fillId="22" borderId="0" applyNumberFormat="0" applyBorder="0" applyAlignment="0" applyProtection="0"/>
    <xf numFmtId="0" fontId="56" fillId="49" borderId="0" applyNumberFormat="0" applyBorder="0" applyAlignment="0" applyProtection="0"/>
    <xf numFmtId="0" fontId="108"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110" fillId="22" borderId="0" applyNumberFormat="0" applyBorder="0" applyAlignment="0" applyProtection="0"/>
    <xf numFmtId="0" fontId="109" fillId="22" borderId="0" applyNumberFormat="0" applyBorder="0" applyAlignment="0" applyProtection="0"/>
    <xf numFmtId="0" fontId="107" fillId="26" borderId="0" applyNumberFormat="0" applyBorder="0" applyAlignment="0" applyProtection="0"/>
    <xf numFmtId="0" fontId="108" fillId="26" borderId="0" applyNumberFormat="0" applyBorder="0" applyAlignment="0" applyProtection="0"/>
    <xf numFmtId="0" fontId="46" fillId="26" borderId="0" applyNumberFormat="0" applyBorder="0" applyAlignment="0" applyProtection="0"/>
    <xf numFmtId="0" fontId="109" fillId="26" borderId="0" applyNumberFormat="0" applyBorder="0" applyAlignment="0" applyProtection="0"/>
    <xf numFmtId="173" fontId="56" fillId="53" borderId="0" applyNumberFormat="0" applyBorder="0" applyAlignment="0" applyProtection="0"/>
    <xf numFmtId="0" fontId="109" fillId="26" borderId="0" applyNumberFormat="0" applyBorder="0" applyAlignment="0" applyProtection="0"/>
    <xf numFmtId="0" fontId="46" fillId="47" borderId="0" applyNumberFormat="0" applyBorder="0" applyAlignment="0" applyProtection="0"/>
    <xf numFmtId="0" fontId="110" fillId="26" borderId="0" applyNumberFormat="0" applyBorder="0" applyAlignment="0" applyProtection="0"/>
    <xf numFmtId="0" fontId="56" fillId="53" borderId="0" applyNumberFormat="0" applyBorder="0" applyAlignment="0" applyProtection="0"/>
    <xf numFmtId="0" fontId="56" fillId="77" borderId="0" applyNumberFormat="0" applyBorder="0" applyAlignment="0" applyProtection="0"/>
    <xf numFmtId="0" fontId="56" fillId="47" borderId="0" applyNumberFormat="0" applyBorder="0" applyAlignment="0" applyProtection="0"/>
    <xf numFmtId="173" fontId="56" fillId="53" borderId="0" applyNumberFormat="0" applyBorder="0" applyAlignment="0" applyProtection="0"/>
    <xf numFmtId="0" fontId="46" fillId="26"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46" fillId="26" borderId="0" applyNumberFormat="0" applyBorder="0" applyAlignment="0" applyProtection="0"/>
    <xf numFmtId="173" fontId="56" fillId="53" borderId="0" applyNumberFormat="0" applyBorder="0" applyAlignment="0" applyProtection="0"/>
    <xf numFmtId="0" fontId="46" fillId="26" borderId="0" applyNumberFormat="0" applyBorder="0" applyAlignment="0" applyProtection="0"/>
    <xf numFmtId="0" fontId="56" fillId="47" borderId="0" applyNumberFormat="0" applyBorder="0" applyAlignment="0" applyProtection="0"/>
    <xf numFmtId="0" fontId="108"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110" fillId="26" borderId="0" applyNumberFormat="0" applyBorder="0" applyAlignment="0" applyProtection="0"/>
    <xf numFmtId="0" fontId="109" fillId="26" borderId="0" applyNumberFormat="0" applyBorder="0" applyAlignment="0" applyProtection="0"/>
    <xf numFmtId="0" fontId="107" fillId="30" borderId="0" applyNumberFormat="0" applyBorder="0" applyAlignment="0" applyProtection="0"/>
    <xf numFmtId="0" fontId="108" fillId="30" borderId="0" applyNumberFormat="0" applyBorder="0" applyAlignment="0" applyProtection="0"/>
    <xf numFmtId="0" fontId="46" fillId="30" borderId="0" applyNumberFormat="0" applyBorder="0" applyAlignment="0" applyProtection="0"/>
    <xf numFmtId="0" fontId="109" fillId="30" borderId="0" applyNumberFormat="0" applyBorder="0" applyAlignment="0" applyProtection="0"/>
    <xf numFmtId="173" fontId="56" fillId="52" borderId="0" applyNumberFormat="0" applyBorder="0" applyAlignment="0" applyProtection="0"/>
    <xf numFmtId="0" fontId="109" fillId="30" borderId="0" applyNumberFormat="0" applyBorder="0" applyAlignment="0" applyProtection="0"/>
    <xf numFmtId="0" fontId="110" fillId="30" borderId="0" applyNumberFormat="0" applyBorder="0" applyAlignment="0" applyProtection="0"/>
    <xf numFmtId="0" fontId="56" fillId="52" borderId="0" applyNumberFormat="0" applyBorder="0" applyAlignment="0" applyProtection="0"/>
    <xf numFmtId="0" fontId="56" fillId="78" borderId="0" applyNumberFormat="0" applyBorder="0" applyAlignment="0" applyProtection="0"/>
    <xf numFmtId="0" fontId="46" fillId="30" borderId="0" applyNumberFormat="0" applyBorder="0" applyAlignment="0" applyProtection="0"/>
    <xf numFmtId="173" fontId="56" fillId="52" borderId="0" applyNumberFormat="0" applyBorder="0" applyAlignment="0" applyProtection="0"/>
    <xf numFmtId="0" fontId="46" fillId="30" borderId="0" applyNumberFormat="0" applyBorder="0" applyAlignment="0" applyProtection="0"/>
    <xf numFmtId="173" fontId="56" fillId="52" borderId="0" applyNumberFormat="0" applyBorder="0" applyAlignment="0" applyProtection="0"/>
    <xf numFmtId="0" fontId="46" fillId="30" borderId="0" applyNumberFormat="0" applyBorder="0" applyAlignment="0" applyProtection="0"/>
    <xf numFmtId="0" fontId="108"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110" fillId="30" borderId="0" applyNumberFormat="0" applyBorder="0" applyAlignment="0" applyProtection="0"/>
    <xf numFmtId="0" fontId="109" fillId="30" borderId="0" applyNumberFormat="0" applyBorder="0" applyAlignment="0" applyProtection="0"/>
    <xf numFmtId="0" fontId="107" fillId="34" borderId="0" applyNumberFormat="0" applyBorder="0" applyAlignment="0" applyProtection="0"/>
    <xf numFmtId="0" fontId="108" fillId="34" borderId="0" applyNumberFormat="0" applyBorder="0" applyAlignment="0" applyProtection="0"/>
    <xf numFmtId="0" fontId="46" fillId="34" borderId="0" applyNumberFormat="0" applyBorder="0" applyAlignment="0" applyProtection="0"/>
    <xf numFmtId="0" fontId="109" fillId="34" borderId="0" applyNumberFormat="0" applyBorder="0" applyAlignment="0" applyProtection="0"/>
    <xf numFmtId="173" fontId="56" fillId="54" borderId="0" applyNumberFormat="0" applyBorder="0" applyAlignment="0" applyProtection="0"/>
    <xf numFmtId="0" fontId="109" fillId="34" borderId="0" applyNumberFormat="0" applyBorder="0" applyAlignment="0" applyProtection="0"/>
    <xf numFmtId="0" fontId="46" fillId="45" borderId="0" applyNumberFormat="0" applyBorder="0" applyAlignment="0" applyProtection="0"/>
    <xf numFmtId="0" fontId="110" fillId="34" borderId="0" applyNumberFormat="0" applyBorder="0" applyAlignment="0" applyProtection="0"/>
    <xf numFmtId="0" fontId="56" fillId="54" borderId="0" applyNumberFormat="0" applyBorder="0" applyAlignment="0" applyProtection="0"/>
    <xf numFmtId="0" fontId="56" fillId="79" borderId="0" applyNumberFormat="0" applyBorder="0" applyAlignment="0" applyProtection="0"/>
    <xf numFmtId="0" fontId="56" fillId="45" borderId="0" applyNumberFormat="0" applyBorder="0" applyAlignment="0" applyProtection="0"/>
    <xf numFmtId="173" fontId="56" fillId="54" borderId="0" applyNumberFormat="0" applyBorder="0" applyAlignment="0" applyProtection="0"/>
    <xf numFmtId="0" fontId="46" fillId="34"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46" fillId="34" borderId="0" applyNumberFormat="0" applyBorder="0" applyAlignment="0" applyProtection="0"/>
    <xf numFmtId="173" fontId="56" fillId="54" borderId="0" applyNumberFormat="0" applyBorder="0" applyAlignment="0" applyProtection="0"/>
    <xf numFmtId="0" fontId="46" fillId="34" borderId="0" applyNumberFormat="0" applyBorder="0" applyAlignment="0" applyProtection="0"/>
    <xf numFmtId="0" fontId="56" fillId="45" borderId="0" applyNumberFormat="0" applyBorder="0" applyAlignment="0" applyProtection="0"/>
    <xf numFmtId="0" fontId="108"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110" fillId="34" borderId="0" applyNumberFormat="0" applyBorder="0" applyAlignment="0" applyProtection="0"/>
    <xf numFmtId="0" fontId="109" fillId="34" borderId="0" applyNumberFormat="0" applyBorder="0" applyAlignment="0" applyProtection="0"/>
    <xf numFmtId="0" fontId="103" fillId="0" borderId="55" applyNumberFormat="0" applyFont="0" applyFill="0" applyAlignment="0" applyProtection="0"/>
    <xf numFmtId="173" fontId="5" fillId="80" borderId="56" applyNumberFormat="0" applyFont="0" applyAlignment="0" applyProtection="0">
      <alignment vertical="top"/>
    </xf>
    <xf numFmtId="173" fontId="5" fillId="42" borderId="57" applyNumberFormat="0" applyFont="0" applyBorder="0" applyProtection="0"/>
    <xf numFmtId="0" fontId="111" fillId="81" borderId="0" applyNumberFormat="0" applyBorder="0" applyAlignment="0" applyProtection="0"/>
    <xf numFmtId="0" fontId="111" fillId="81" borderId="0" applyNumberFormat="0" applyBorder="0" applyAlignment="0" applyProtection="0"/>
    <xf numFmtId="0" fontId="56" fillId="82"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0" fontId="46" fillId="11" borderId="0" applyNumberFormat="0" applyBorder="0" applyAlignment="0" applyProtection="0"/>
    <xf numFmtId="0" fontId="109" fillId="11" borderId="0" applyNumberFormat="0" applyBorder="0" applyAlignment="0" applyProtection="0"/>
    <xf numFmtId="173" fontId="56" fillId="55" borderId="0" applyNumberFormat="0" applyBorder="0" applyAlignment="0" applyProtection="0"/>
    <xf numFmtId="0" fontId="109" fillId="11" borderId="0" applyNumberFormat="0" applyBorder="0" applyAlignment="0" applyProtection="0"/>
    <xf numFmtId="0" fontId="46" fillId="52" borderId="0" applyNumberFormat="0" applyBorder="0" applyAlignment="0" applyProtection="0"/>
    <xf numFmtId="0" fontId="110" fillId="11" borderId="0" applyNumberFormat="0" applyBorder="0" applyAlignment="0" applyProtection="0"/>
    <xf numFmtId="0" fontId="56" fillId="55" borderId="0" applyNumberFormat="0" applyBorder="0" applyAlignment="0" applyProtection="0"/>
    <xf numFmtId="0" fontId="56" fillId="83" borderId="0" applyNumberFormat="0" applyBorder="0" applyAlignment="0" applyProtection="0"/>
    <xf numFmtId="0" fontId="56" fillId="52" borderId="0" applyNumberFormat="0" applyBorder="0" applyAlignment="0" applyProtection="0"/>
    <xf numFmtId="173" fontId="56" fillId="55" borderId="0" applyNumberFormat="0" applyBorder="0" applyAlignment="0" applyProtection="0"/>
    <xf numFmtId="0" fontId="46" fillId="11" borderId="0" applyNumberFormat="0" applyBorder="0" applyAlignment="0" applyProtection="0"/>
    <xf numFmtId="0" fontId="4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46" fillId="11" borderId="0" applyNumberFormat="0" applyBorder="0" applyAlignment="0" applyProtection="0"/>
    <xf numFmtId="173" fontId="56" fillId="55" borderId="0" applyNumberFormat="0" applyBorder="0" applyAlignment="0" applyProtection="0"/>
    <xf numFmtId="0" fontId="46" fillId="11" borderId="0" applyNumberFormat="0" applyBorder="0" applyAlignment="0" applyProtection="0"/>
    <xf numFmtId="0" fontId="56" fillId="52" borderId="0" applyNumberFormat="0" applyBorder="0" applyAlignment="0" applyProtection="0"/>
    <xf numFmtId="0" fontId="108"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10" fillId="11" borderId="0" applyNumberFormat="0" applyBorder="0" applyAlignment="0" applyProtection="0"/>
    <xf numFmtId="0" fontId="109" fillId="11" borderId="0" applyNumberFormat="0" applyBorder="0" applyAlignment="0" applyProtection="0"/>
    <xf numFmtId="0" fontId="111" fillId="84" borderId="0" applyNumberFormat="0" applyBorder="0" applyAlignment="0" applyProtection="0"/>
    <xf numFmtId="0" fontId="111" fillId="85" borderId="0" applyNumberFormat="0" applyBorder="0" applyAlignment="0" applyProtection="0"/>
    <xf numFmtId="0" fontId="56" fillId="86"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8" fillId="15" borderId="0" applyNumberFormat="0" applyBorder="0" applyAlignment="0" applyProtection="0"/>
    <xf numFmtId="0" fontId="108" fillId="15" borderId="0" applyNumberFormat="0" applyBorder="0" applyAlignment="0" applyProtection="0"/>
    <xf numFmtId="0" fontId="46" fillId="15" borderId="0" applyNumberFormat="0" applyBorder="0" applyAlignment="0" applyProtection="0"/>
    <xf numFmtId="0" fontId="109" fillId="15" borderId="0" applyNumberFormat="0" applyBorder="0" applyAlignment="0" applyProtection="0"/>
    <xf numFmtId="173" fontId="56" fillId="56" borderId="0" applyNumberFormat="0" applyBorder="0" applyAlignment="0" applyProtection="0"/>
    <xf numFmtId="0" fontId="109" fillId="15" borderId="0" applyNumberFormat="0" applyBorder="0" applyAlignment="0" applyProtection="0"/>
    <xf numFmtId="0" fontId="46" fillId="87" borderId="0" applyNumberFormat="0" applyBorder="0" applyAlignment="0" applyProtection="0"/>
    <xf numFmtId="0" fontId="110" fillId="15" borderId="0" applyNumberFormat="0" applyBorder="0" applyAlignment="0" applyProtection="0"/>
    <xf numFmtId="0" fontId="56" fillId="56" borderId="0" applyNumberFormat="0" applyBorder="0" applyAlignment="0" applyProtection="0"/>
    <xf numFmtId="0" fontId="56" fillId="88" borderId="0" applyNumberFormat="0" applyBorder="0" applyAlignment="0" applyProtection="0"/>
    <xf numFmtId="0" fontId="46" fillId="15" borderId="0" applyNumberFormat="0" applyBorder="0" applyAlignment="0" applyProtection="0"/>
    <xf numFmtId="173" fontId="56" fillId="56" borderId="0" applyNumberFormat="0" applyBorder="0" applyAlignment="0" applyProtection="0"/>
    <xf numFmtId="0" fontId="46" fillId="87" borderId="0" applyNumberFormat="0" applyBorder="0" applyAlignment="0" applyProtection="0"/>
    <xf numFmtId="0" fontId="46" fillId="15" borderId="0" applyNumberFormat="0" applyBorder="0" applyAlignment="0" applyProtection="0"/>
    <xf numFmtId="173" fontId="56" fillId="56" borderId="0" applyNumberFormat="0" applyBorder="0" applyAlignment="0" applyProtection="0"/>
    <xf numFmtId="0" fontId="46" fillId="15" borderId="0" applyNumberFormat="0" applyBorder="0" applyAlignment="0" applyProtection="0"/>
    <xf numFmtId="0" fontId="108"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110" fillId="15" borderId="0" applyNumberFormat="0" applyBorder="0" applyAlignment="0" applyProtection="0"/>
    <xf numFmtId="0" fontId="109" fillId="15" borderId="0" applyNumberFormat="0" applyBorder="0" applyAlignment="0" applyProtection="0"/>
    <xf numFmtId="0" fontId="111" fillId="84" borderId="0" applyNumberFormat="0" applyBorder="0" applyAlignment="0" applyProtection="0"/>
    <xf numFmtId="0" fontId="111" fillId="89" borderId="0" applyNumberFormat="0" applyBorder="0" applyAlignment="0" applyProtection="0"/>
    <xf numFmtId="0" fontId="56" fillId="85"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7"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46" fillId="19" borderId="0" applyNumberFormat="0" applyBorder="0" applyAlignment="0" applyProtection="0"/>
    <xf numFmtId="0" fontId="109" fillId="19" borderId="0" applyNumberFormat="0" applyBorder="0" applyAlignment="0" applyProtection="0"/>
    <xf numFmtId="173" fontId="56" fillId="57" borderId="0" applyNumberFormat="0" applyBorder="0" applyAlignment="0" applyProtection="0"/>
    <xf numFmtId="0" fontId="109" fillId="19" borderId="0" applyNumberFormat="0" applyBorder="0" applyAlignment="0" applyProtection="0"/>
    <xf numFmtId="0" fontId="46" fillId="87" borderId="0" applyNumberFormat="0" applyBorder="0" applyAlignment="0" applyProtection="0"/>
    <xf numFmtId="0" fontId="110" fillId="19" borderId="0" applyNumberFormat="0" applyBorder="0" applyAlignment="0" applyProtection="0"/>
    <xf numFmtId="0" fontId="56" fillId="57" borderId="0" applyNumberFormat="0" applyBorder="0" applyAlignment="0" applyProtection="0"/>
    <xf numFmtId="0" fontId="56" fillId="90" borderId="0" applyNumberFormat="0" applyBorder="0" applyAlignment="0" applyProtection="0"/>
    <xf numFmtId="0" fontId="46" fillId="19" borderId="0" applyNumberFormat="0" applyBorder="0" applyAlignment="0" applyProtection="0"/>
    <xf numFmtId="173" fontId="56" fillId="57" borderId="0" applyNumberFormat="0" applyBorder="0" applyAlignment="0" applyProtection="0"/>
    <xf numFmtId="0" fontId="46" fillId="87" borderId="0" applyNumberFormat="0" applyBorder="0" applyAlignment="0" applyProtection="0"/>
    <xf numFmtId="0" fontId="46" fillId="19" borderId="0" applyNumberFormat="0" applyBorder="0" applyAlignment="0" applyProtection="0"/>
    <xf numFmtId="173" fontId="56" fillId="57" borderId="0" applyNumberFormat="0" applyBorder="0" applyAlignment="0" applyProtection="0"/>
    <xf numFmtId="0" fontId="46" fillId="19" borderId="0" applyNumberFormat="0" applyBorder="0" applyAlignment="0" applyProtection="0"/>
    <xf numFmtId="0" fontId="108"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110" fillId="19" borderId="0" applyNumberFormat="0" applyBorder="0" applyAlignment="0" applyProtection="0"/>
    <xf numFmtId="0" fontId="109" fillId="19" borderId="0" applyNumberFormat="0" applyBorder="0" applyAlignment="0" applyProtection="0"/>
    <xf numFmtId="0" fontId="111" fillId="81" borderId="0" applyNumberFormat="0" applyBorder="0" applyAlignment="0" applyProtection="0"/>
    <xf numFmtId="0" fontId="111" fillId="85" borderId="0" applyNumberFormat="0" applyBorder="0" applyAlignment="0" applyProtection="0"/>
    <xf numFmtId="0" fontId="56" fillId="85" borderId="0" applyNumberFormat="0" applyBorder="0" applyAlignment="0" applyProtection="0"/>
    <xf numFmtId="0" fontId="107" fillId="23" borderId="0" applyNumberFormat="0" applyBorder="0" applyAlignment="0" applyProtection="0"/>
    <xf numFmtId="0" fontId="107" fillId="23" borderId="0" applyNumberFormat="0" applyBorder="0" applyAlignment="0" applyProtection="0"/>
    <xf numFmtId="0" fontId="107" fillId="23" borderId="0" applyNumberFormat="0" applyBorder="0" applyAlignment="0" applyProtection="0"/>
    <xf numFmtId="0" fontId="107"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46" fillId="23" borderId="0" applyNumberFormat="0" applyBorder="0" applyAlignment="0" applyProtection="0"/>
    <xf numFmtId="0" fontId="109" fillId="23" borderId="0" applyNumberFormat="0" applyBorder="0" applyAlignment="0" applyProtection="0"/>
    <xf numFmtId="173" fontId="56" fillId="53" borderId="0" applyNumberFormat="0" applyBorder="0" applyAlignment="0" applyProtection="0"/>
    <xf numFmtId="0" fontId="109" fillId="23" borderId="0" applyNumberFormat="0" applyBorder="0" applyAlignment="0" applyProtection="0"/>
    <xf numFmtId="0" fontId="46" fillId="58" borderId="0" applyNumberFormat="0" applyBorder="0" applyAlignment="0" applyProtection="0"/>
    <xf numFmtId="0" fontId="110" fillId="23" borderId="0" applyNumberFormat="0" applyBorder="0" applyAlignment="0" applyProtection="0"/>
    <xf numFmtId="0" fontId="56" fillId="53" borderId="0" applyNumberFormat="0" applyBorder="0" applyAlignment="0" applyProtection="0"/>
    <xf numFmtId="0" fontId="56" fillId="77" borderId="0" applyNumberFormat="0" applyBorder="0" applyAlignment="0" applyProtection="0"/>
    <xf numFmtId="0" fontId="56" fillId="58" borderId="0" applyNumberFormat="0" applyBorder="0" applyAlignment="0" applyProtection="0"/>
    <xf numFmtId="173" fontId="56" fillId="53" borderId="0" applyNumberFormat="0" applyBorder="0" applyAlignment="0" applyProtection="0"/>
    <xf numFmtId="0" fontId="46" fillId="23" borderId="0" applyNumberFormat="0" applyBorder="0" applyAlignment="0" applyProtection="0"/>
    <xf numFmtId="0" fontId="4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46" fillId="23" borderId="0" applyNumberFormat="0" applyBorder="0" applyAlignment="0" applyProtection="0"/>
    <xf numFmtId="173" fontId="56" fillId="53" borderId="0" applyNumberFormat="0" applyBorder="0" applyAlignment="0" applyProtection="0"/>
    <xf numFmtId="0" fontId="46" fillId="23" borderId="0" applyNumberFormat="0" applyBorder="0" applyAlignment="0" applyProtection="0"/>
    <xf numFmtId="0" fontId="56" fillId="58" borderId="0" applyNumberFormat="0" applyBorder="0" applyAlignment="0" applyProtection="0"/>
    <xf numFmtId="0" fontId="108"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10" fillId="23" borderId="0" applyNumberFormat="0" applyBorder="0" applyAlignment="0" applyProtection="0"/>
    <xf numFmtId="0" fontId="109" fillId="23" borderId="0" applyNumberFormat="0" applyBorder="0" applyAlignment="0" applyProtection="0"/>
    <xf numFmtId="0" fontId="111" fillId="91" borderId="0" applyNumberFormat="0" applyBorder="0" applyAlignment="0" applyProtection="0"/>
    <xf numFmtId="0" fontId="111" fillId="81" borderId="0" applyNumberFormat="0" applyBorder="0" applyAlignment="0" applyProtection="0"/>
    <xf numFmtId="0" fontId="56" fillId="82" borderId="0" applyNumberFormat="0" applyBorder="0" applyAlignment="0" applyProtection="0"/>
    <xf numFmtId="0" fontId="107" fillId="27" borderId="0" applyNumberFormat="0" applyBorder="0" applyAlignment="0" applyProtection="0"/>
    <xf numFmtId="0" fontId="107" fillId="27" borderId="0" applyNumberFormat="0" applyBorder="0" applyAlignment="0" applyProtection="0"/>
    <xf numFmtId="0" fontId="107" fillId="27" borderId="0" applyNumberFormat="0" applyBorder="0" applyAlignment="0" applyProtection="0"/>
    <xf numFmtId="0" fontId="107" fillId="27" borderId="0" applyNumberFormat="0" applyBorder="0" applyAlignment="0" applyProtection="0"/>
    <xf numFmtId="0" fontId="108" fillId="27" borderId="0" applyNumberFormat="0" applyBorder="0" applyAlignment="0" applyProtection="0"/>
    <xf numFmtId="0" fontId="108" fillId="27" borderId="0" applyNumberFormat="0" applyBorder="0" applyAlignment="0" applyProtection="0"/>
    <xf numFmtId="0" fontId="46" fillId="27" borderId="0" applyNumberFormat="0" applyBorder="0" applyAlignment="0" applyProtection="0"/>
    <xf numFmtId="0" fontId="109" fillId="27" borderId="0" applyNumberFormat="0" applyBorder="0" applyAlignment="0" applyProtection="0"/>
    <xf numFmtId="173" fontId="56" fillId="52" borderId="0" applyNumberFormat="0" applyBorder="0" applyAlignment="0" applyProtection="0"/>
    <xf numFmtId="0" fontId="109" fillId="27" borderId="0" applyNumberFormat="0" applyBorder="0" applyAlignment="0" applyProtection="0"/>
    <xf numFmtId="0" fontId="110" fillId="27" borderId="0" applyNumberFormat="0" applyBorder="0" applyAlignment="0" applyProtection="0"/>
    <xf numFmtId="0" fontId="56" fillId="52" borderId="0" applyNumberFormat="0" applyBorder="0" applyAlignment="0" applyProtection="0"/>
    <xf numFmtId="0" fontId="56" fillId="78" borderId="0" applyNumberFormat="0" applyBorder="0" applyAlignment="0" applyProtection="0"/>
    <xf numFmtId="0" fontId="46" fillId="27" borderId="0" applyNumberFormat="0" applyBorder="0" applyAlignment="0" applyProtection="0"/>
    <xf numFmtId="173" fontId="56" fillId="52" borderId="0" applyNumberFormat="0" applyBorder="0" applyAlignment="0" applyProtection="0"/>
    <xf numFmtId="0" fontId="46" fillId="27" borderId="0" applyNumberFormat="0" applyBorder="0" applyAlignment="0" applyProtection="0"/>
    <xf numFmtId="173" fontId="56" fillId="52" borderId="0" applyNumberFormat="0" applyBorder="0" applyAlignment="0" applyProtection="0"/>
    <xf numFmtId="0" fontId="46" fillId="27" borderId="0" applyNumberFormat="0" applyBorder="0" applyAlignment="0" applyProtection="0"/>
    <xf numFmtId="0" fontId="108"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110" fillId="27" borderId="0" applyNumberFormat="0" applyBorder="0" applyAlignment="0" applyProtection="0"/>
    <xf numFmtId="0" fontId="109" fillId="27" borderId="0" applyNumberFormat="0" applyBorder="0" applyAlignment="0" applyProtection="0"/>
    <xf numFmtId="0" fontId="111" fillId="84" borderId="0" applyNumberFormat="0" applyBorder="0" applyAlignment="0" applyProtection="0"/>
    <xf numFmtId="0" fontId="111" fillId="92" borderId="0" applyNumberFormat="0" applyBorder="0" applyAlignment="0" applyProtection="0"/>
    <xf numFmtId="0" fontId="56" fillId="92" borderId="0" applyNumberFormat="0" applyBorder="0" applyAlignment="0" applyProtection="0"/>
    <xf numFmtId="0" fontId="107" fillId="31" borderId="0" applyNumberFormat="0" applyBorder="0" applyAlignment="0" applyProtection="0"/>
    <xf numFmtId="0" fontId="107" fillId="31" borderId="0" applyNumberFormat="0" applyBorder="0" applyAlignment="0" applyProtection="0"/>
    <xf numFmtId="0" fontId="107" fillId="31" borderId="0" applyNumberFormat="0" applyBorder="0" applyAlignment="0" applyProtection="0"/>
    <xf numFmtId="0" fontId="107" fillId="31" borderId="0" applyNumberFormat="0" applyBorder="0" applyAlignment="0" applyProtection="0"/>
    <xf numFmtId="0" fontId="108" fillId="31" borderId="0" applyNumberFormat="0" applyBorder="0" applyAlignment="0" applyProtection="0"/>
    <xf numFmtId="0" fontId="108" fillId="31" borderId="0" applyNumberFormat="0" applyBorder="0" applyAlignment="0" applyProtection="0"/>
    <xf numFmtId="0" fontId="46" fillId="31" borderId="0" applyNumberFormat="0" applyBorder="0" applyAlignment="0" applyProtection="0"/>
    <xf numFmtId="0" fontId="109" fillId="31" borderId="0" applyNumberFormat="0" applyBorder="0" applyAlignment="0" applyProtection="0"/>
    <xf numFmtId="173" fontId="56" fillId="59" borderId="0" applyNumberFormat="0" applyBorder="0" applyAlignment="0" applyProtection="0"/>
    <xf numFmtId="0" fontId="109" fillId="31" borderId="0" applyNumberFormat="0" applyBorder="0" applyAlignment="0" applyProtection="0"/>
    <xf numFmtId="0" fontId="110" fillId="31" borderId="0" applyNumberFormat="0" applyBorder="0" applyAlignment="0" applyProtection="0"/>
    <xf numFmtId="0" fontId="56" fillId="59" borderId="0" applyNumberFormat="0" applyBorder="0" applyAlignment="0" applyProtection="0"/>
    <xf numFmtId="0" fontId="56" fillId="93" borderId="0" applyNumberFormat="0" applyBorder="0" applyAlignment="0" applyProtection="0"/>
    <xf numFmtId="0" fontId="46" fillId="31" borderId="0" applyNumberFormat="0" applyBorder="0" applyAlignment="0" applyProtection="0"/>
    <xf numFmtId="173" fontId="56" fillId="59" borderId="0" applyNumberFormat="0" applyBorder="0" applyAlignment="0" applyProtection="0"/>
    <xf numFmtId="0" fontId="46" fillId="31" borderId="0" applyNumberFormat="0" applyBorder="0" applyAlignment="0" applyProtection="0"/>
    <xf numFmtId="173" fontId="56" fillId="59" borderId="0" applyNumberFormat="0" applyBorder="0" applyAlignment="0" applyProtection="0"/>
    <xf numFmtId="0" fontId="46" fillId="31" borderId="0" applyNumberFormat="0" applyBorder="0" applyAlignment="0" applyProtection="0"/>
    <xf numFmtId="0" fontId="108"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110" fillId="31" borderId="0" applyNumberFormat="0" applyBorder="0" applyAlignment="0" applyProtection="0"/>
    <xf numFmtId="0" fontId="109" fillId="31" borderId="0" applyNumberFormat="0" applyBorder="0" applyAlignment="0" applyProtection="0"/>
    <xf numFmtId="0" fontId="112" fillId="0" borderId="58" applyNumberFormat="0"/>
    <xf numFmtId="0" fontId="103" fillId="0" borderId="47" applyNumberFormat="0" applyFont="0" applyBorder="0"/>
    <xf numFmtId="0" fontId="113" fillId="94" borderId="47" applyNumberFormat="0" applyBorder="0"/>
    <xf numFmtId="0" fontId="113" fillId="94" borderId="59" applyNumberFormat="0" applyFont="0"/>
    <xf numFmtId="0" fontId="114" fillId="94" borderId="47" applyNumberFormat="0" applyFont="0" applyBorder="0"/>
    <xf numFmtId="193" fontId="49" fillId="60" borderId="23">
      <alignment horizontal="center" vertical="center"/>
    </xf>
    <xf numFmtId="193" fontId="49" fillId="60" borderId="23">
      <alignment horizontal="center" vertical="center"/>
    </xf>
    <xf numFmtId="193" fontId="49" fillId="60" borderId="23">
      <alignment horizontal="center" vertical="center"/>
    </xf>
    <xf numFmtId="194" fontId="84" fillId="60" borderId="23">
      <alignment horizontal="center" vertical="center"/>
    </xf>
    <xf numFmtId="179" fontId="7" fillId="60" borderId="23">
      <alignment horizontal="center" vertical="center"/>
    </xf>
    <xf numFmtId="179" fontId="7" fillId="60" borderId="23">
      <alignment horizontal="center" vertical="center"/>
    </xf>
    <xf numFmtId="179" fontId="7" fillId="60" borderId="23">
      <alignment horizontal="center" vertical="center"/>
    </xf>
    <xf numFmtId="179" fontId="7" fillId="60" borderId="23">
      <alignment horizontal="center" vertical="center"/>
    </xf>
    <xf numFmtId="179" fontId="7" fillId="60" borderId="23">
      <alignment horizontal="center" vertical="center"/>
    </xf>
    <xf numFmtId="179" fontId="7" fillId="60" borderId="23">
      <alignment horizontal="center" vertical="center"/>
    </xf>
    <xf numFmtId="179" fontId="7" fillId="60" borderId="23">
      <alignment horizontal="center" vertical="center"/>
    </xf>
    <xf numFmtId="193" fontId="49" fillId="60" borderId="23">
      <alignment horizontal="center" vertical="center"/>
    </xf>
    <xf numFmtId="179" fontId="7" fillId="60" borderId="23">
      <alignment horizontal="center" vertical="center"/>
    </xf>
    <xf numFmtId="179" fontId="7" fillId="60" borderId="23">
      <alignment horizontal="center" vertical="center"/>
    </xf>
    <xf numFmtId="0" fontId="77" fillId="0" borderId="0" applyNumberFormat="0" applyFill="0" applyBorder="0" applyAlignment="0">
      <protection locked="0"/>
    </xf>
    <xf numFmtId="0" fontId="115" fillId="0" borderId="0" applyNumberFormat="0" applyFill="0" applyBorder="0" applyAlignment="0">
      <protection locked="0"/>
    </xf>
    <xf numFmtId="0" fontId="77" fillId="0" borderId="0" applyNumberFormat="0" applyFill="0" applyBorder="0" applyAlignment="0">
      <protection locked="0"/>
    </xf>
    <xf numFmtId="0" fontId="115" fillId="0" borderId="0" applyNumberFormat="0" applyFill="0" applyBorder="0" applyAlignment="0">
      <protection locked="0"/>
    </xf>
    <xf numFmtId="0" fontId="116" fillId="5" borderId="0" applyNumberFormat="0" applyBorder="0" applyAlignment="0" applyProtection="0"/>
    <xf numFmtId="0" fontId="117" fillId="5" borderId="0" applyNumberFormat="0" applyBorder="0" applyAlignment="0" applyProtection="0"/>
    <xf numFmtId="0" fontId="118" fillId="5" borderId="0" applyNumberFormat="0" applyBorder="0" applyAlignment="0" applyProtection="0"/>
    <xf numFmtId="0" fontId="37" fillId="5" borderId="0" applyNumberFormat="0" applyBorder="0" applyAlignment="0" applyProtection="0"/>
    <xf numFmtId="0" fontId="119" fillId="5" borderId="0" applyNumberFormat="0" applyBorder="0" applyAlignment="0" applyProtection="0"/>
    <xf numFmtId="173" fontId="58" fillId="40" borderId="0" applyNumberFormat="0" applyBorder="0" applyAlignment="0" applyProtection="0"/>
    <xf numFmtId="0" fontId="119" fillId="5" borderId="0" applyNumberFormat="0" applyBorder="0" applyAlignment="0" applyProtection="0"/>
    <xf numFmtId="0" fontId="120" fillId="5" borderId="0" applyNumberFormat="0" applyBorder="0" applyAlignment="0" applyProtection="0"/>
    <xf numFmtId="0" fontId="121" fillId="5" borderId="0" applyNumberFormat="0" applyBorder="0" applyAlignment="0" applyProtection="0"/>
    <xf numFmtId="0" fontId="58" fillId="40" borderId="0" applyNumberFormat="0" applyBorder="0" applyAlignment="0" applyProtection="0"/>
    <xf numFmtId="0" fontId="122" fillId="67" borderId="0" applyNumberFormat="0" applyBorder="0" applyAlignment="0" applyProtection="0"/>
    <xf numFmtId="0" fontId="37" fillId="5" borderId="0" applyNumberFormat="0" applyBorder="0" applyAlignment="0" applyProtection="0"/>
    <xf numFmtId="173" fontId="58" fillId="40" borderId="0" applyNumberFormat="0" applyBorder="0" applyAlignment="0" applyProtection="0"/>
    <xf numFmtId="0" fontId="37" fillId="5" borderId="0" applyNumberFormat="0" applyBorder="0" applyAlignment="0" applyProtection="0"/>
    <xf numFmtId="173" fontId="58" fillId="40" borderId="0" applyNumberFormat="0" applyBorder="0" applyAlignment="0" applyProtection="0"/>
    <xf numFmtId="0" fontId="37" fillId="5" borderId="0" applyNumberFormat="0" applyBorder="0" applyAlignment="0" applyProtection="0"/>
    <xf numFmtId="0" fontId="11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121" fillId="5" borderId="0" applyNumberFormat="0" applyBorder="0" applyAlignment="0" applyProtection="0"/>
    <xf numFmtId="0" fontId="119" fillId="5" borderId="0" applyNumberFormat="0" applyBorder="0" applyAlignment="0" applyProtection="0"/>
    <xf numFmtId="0" fontId="3" fillId="46" borderId="0" applyNumberFormat="0" applyBorder="0" applyAlignment="0">
      <protection locked="0"/>
    </xf>
    <xf numFmtId="0" fontId="3" fillId="46" borderId="0" applyNumberFormat="0" applyBorder="0" applyAlignment="0">
      <protection locked="0"/>
    </xf>
    <xf numFmtId="3" fontId="123" fillId="95" borderId="0" applyNumberFormat="0" applyBorder="0" applyAlignment="0" applyProtection="0">
      <alignment vertical="top"/>
    </xf>
    <xf numFmtId="173" fontId="124" fillId="0" borderId="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173" fontId="125" fillId="63" borderId="60" applyNumberFormat="0" applyBorder="0" applyAlignment="0" applyProtection="0"/>
    <xf numFmtId="0" fontId="24" fillId="96" borderId="0">
      <alignment horizontal="center"/>
    </xf>
    <xf numFmtId="0" fontId="24" fillId="96" borderId="0">
      <alignment horizontal="center"/>
    </xf>
    <xf numFmtId="0" fontId="126" fillId="8" borderId="17" applyNumberFormat="0" applyAlignment="0" applyProtection="0"/>
    <xf numFmtId="0" fontId="127" fillId="8" borderId="17" applyNumberFormat="0" applyAlignment="0" applyProtection="0"/>
    <xf numFmtId="0" fontId="41" fillId="8" borderId="17" applyNumberFormat="0" applyAlignment="0" applyProtection="0"/>
    <xf numFmtId="0" fontId="128" fillId="8" borderId="17" applyNumberFormat="0" applyAlignment="0" applyProtection="0"/>
    <xf numFmtId="173" fontId="60" fillId="47" borderId="48" applyNumberFormat="0" applyAlignment="0" applyProtection="0"/>
    <xf numFmtId="0" fontId="128" fillId="8" borderId="17" applyNumberFormat="0" applyAlignment="0" applyProtection="0"/>
    <xf numFmtId="0" fontId="41" fillId="37" borderId="17" applyNumberFormat="0" applyAlignment="0" applyProtection="0"/>
    <xf numFmtId="0" fontId="129" fillId="8" borderId="17" applyNumberFormat="0" applyAlignment="0" applyProtection="0"/>
    <xf numFmtId="0" fontId="60" fillId="97" borderId="48" applyNumberFormat="0" applyAlignment="0" applyProtection="0"/>
    <xf numFmtId="0" fontId="60" fillId="37" borderId="48" applyNumberFormat="0" applyAlignment="0" applyProtection="0"/>
    <xf numFmtId="173" fontId="60" fillId="47" borderId="48" applyNumberFormat="0" applyAlignment="0" applyProtection="0"/>
    <xf numFmtId="0" fontId="41" fillId="8" borderId="17" applyNumberFormat="0" applyAlignment="0" applyProtection="0"/>
    <xf numFmtId="0" fontId="60" fillId="37" borderId="48" applyNumberFormat="0" applyAlignment="0" applyProtection="0"/>
    <xf numFmtId="0" fontId="60" fillId="37" borderId="48" applyNumberFormat="0" applyAlignment="0" applyProtection="0"/>
    <xf numFmtId="0" fontId="41" fillId="8" borderId="17" applyNumberFormat="0" applyAlignment="0" applyProtection="0"/>
    <xf numFmtId="173" fontId="60" fillId="47" borderId="48" applyNumberFormat="0" applyAlignment="0" applyProtection="0"/>
    <xf numFmtId="0" fontId="41" fillId="8" borderId="17" applyNumberFormat="0" applyAlignment="0" applyProtection="0"/>
    <xf numFmtId="0" fontId="60" fillId="37" borderId="48" applyNumberFormat="0" applyAlignment="0" applyProtection="0"/>
    <xf numFmtId="0" fontId="127" fillId="8" borderId="17" applyNumberFormat="0" applyAlignment="0" applyProtection="0"/>
    <xf numFmtId="0" fontId="41" fillId="8" borderId="17" applyNumberFormat="0" applyAlignment="0" applyProtection="0"/>
    <xf numFmtId="0" fontId="41" fillId="8" borderId="17" applyNumberFormat="0" applyAlignment="0" applyProtection="0"/>
    <xf numFmtId="0" fontId="129" fillId="8" borderId="17" applyNumberFormat="0" applyAlignment="0" applyProtection="0"/>
    <xf numFmtId="0" fontId="128" fillId="8" borderId="17" applyNumberFormat="0" applyAlignment="0" applyProtection="0"/>
    <xf numFmtId="0" fontId="3" fillId="0" borderId="61" applyNumberFormat="0" applyFont="0" applyBorder="0"/>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3" fillId="0" borderId="47" applyNumberFormat="0" applyBorder="0">
      <alignment horizontal="center"/>
    </xf>
    <xf numFmtId="0" fontId="101" fillId="98" borderId="62" applyNumberFormat="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Fill="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0" fontId="3" fillId="0" borderId="61" applyNumberFormat="0" applyFont="0" applyBorder="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9" fontId="3" fillId="35" borderId="62" applyNumberFormat="0" applyFont="0"/>
    <xf numFmtId="0" fontId="6" fillId="0" borderId="63" applyNumberFormat="0" applyBorder="0"/>
    <xf numFmtId="0" fontId="6" fillId="0" borderId="63" applyNumberFormat="0" applyBorder="0"/>
    <xf numFmtId="0" fontId="6" fillId="0" borderId="63" applyNumberFormat="0" applyBorder="0"/>
    <xf numFmtId="0" fontId="6" fillId="0" borderId="63" applyNumberFormat="0" applyBorder="0"/>
    <xf numFmtId="0" fontId="6" fillId="0" borderId="63" applyNumberFormat="0" applyBorder="0"/>
    <xf numFmtId="0" fontId="6" fillId="0" borderId="63" applyNumberFormat="0" applyBorder="0"/>
    <xf numFmtId="0" fontId="6" fillId="0" borderId="63" applyNumberFormat="0" applyBorder="0"/>
    <xf numFmtId="0" fontId="6" fillId="0" borderId="63" applyNumberFormat="0" applyBorder="0"/>
    <xf numFmtId="0" fontId="6" fillId="0" borderId="63" applyNumberFormat="0" applyBorder="0"/>
    <xf numFmtId="0" fontId="6" fillId="0" borderId="63" applyNumberFormat="0" applyBorder="0"/>
    <xf numFmtId="0" fontId="3" fillId="0" borderId="0">
      <alignment horizontal="centerContinuous" vertical="center" wrapText="1"/>
    </xf>
    <xf numFmtId="0" fontId="3" fillId="0" borderId="0">
      <alignment horizontal="centerContinuous" vertical="center" wrapText="1"/>
    </xf>
    <xf numFmtId="0" fontId="130" fillId="0" borderId="0">
      <alignment horizontal="centerContinuous" vertical="center" wrapText="1"/>
    </xf>
    <xf numFmtId="195" fontId="131" fillId="0" borderId="0" applyFont="0" applyAlignment="0"/>
    <xf numFmtId="0" fontId="132" fillId="9" borderId="20" applyNumberFormat="0" applyAlignment="0" applyProtection="0"/>
    <xf numFmtId="0" fontId="133" fillId="9" borderId="20" applyNumberFormat="0" applyAlignment="0" applyProtection="0"/>
    <xf numFmtId="0" fontId="43" fillId="9" borderId="20" applyNumberFormat="0" applyAlignment="0" applyProtection="0"/>
    <xf numFmtId="0" fontId="102" fillId="9" borderId="20" applyNumberFormat="0" applyAlignment="0" applyProtection="0"/>
    <xf numFmtId="173" fontId="61" fillId="61" borderId="25" applyNumberFormat="0" applyAlignment="0" applyProtection="0"/>
    <xf numFmtId="0" fontId="102" fillId="9" borderId="20" applyNumberFormat="0" applyAlignment="0" applyProtection="0"/>
    <xf numFmtId="0" fontId="134" fillId="9" borderId="20" applyNumberFormat="0" applyAlignment="0" applyProtection="0"/>
    <xf numFmtId="0" fontId="61" fillId="61" borderId="25" applyNumberFormat="0" applyAlignment="0" applyProtection="0"/>
    <xf numFmtId="0" fontId="61" fillId="99" borderId="25" applyNumberFormat="0" applyAlignment="0" applyProtection="0"/>
    <xf numFmtId="0" fontId="43" fillId="9" borderId="20" applyNumberFormat="0" applyAlignment="0" applyProtection="0"/>
    <xf numFmtId="173" fontId="61" fillId="61" borderId="25" applyNumberFormat="0" applyAlignment="0" applyProtection="0"/>
    <xf numFmtId="0" fontId="43" fillId="9" borderId="20" applyNumberFormat="0" applyAlignment="0" applyProtection="0"/>
    <xf numFmtId="173" fontId="61" fillId="61" borderId="25" applyNumberFormat="0" applyAlignment="0" applyProtection="0"/>
    <xf numFmtId="0" fontId="43" fillId="9" borderId="20" applyNumberFormat="0" applyAlignment="0" applyProtection="0"/>
    <xf numFmtId="0" fontId="133" fillId="9" borderId="20" applyNumberFormat="0" applyAlignment="0" applyProtection="0"/>
    <xf numFmtId="0" fontId="43" fillId="9" borderId="20" applyNumberFormat="0" applyAlignment="0" applyProtection="0"/>
    <xf numFmtId="0" fontId="43" fillId="9" borderId="20" applyNumberFormat="0" applyAlignment="0" applyProtection="0"/>
    <xf numFmtId="0" fontId="134" fillId="9" borderId="20" applyNumberFormat="0" applyAlignment="0" applyProtection="0"/>
    <xf numFmtId="0" fontId="102" fillId="9" borderId="20" applyNumberFormat="0" applyAlignment="0" applyProtection="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0" fontId="3" fillId="0" borderId="0" applyFont="0" applyFill="0" applyBorder="0" applyAlignment="0" applyProtection="0">
      <alignment horizontal="center" vertical="center"/>
    </xf>
    <xf numFmtId="197" fontId="84"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0" fontId="3" fillId="0" borderId="0" applyFont="0" applyFill="0" applyBorder="0" applyAlignment="0" applyProtection="0">
      <alignment horizontal="center" vertical="center"/>
    </xf>
    <xf numFmtId="0" fontId="3" fillId="0" borderId="0" applyFont="0" applyFill="0" applyBorder="0" applyAlignment="0" applyProtection="0">
      <alignment horizontal="center"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2" fillId="0" borderId="0" applyFont="0" applyFill="0" applyBorder="0" applyAlignment="0" applyProtection="0"/>
    <xf numFmtId="41" fontId="3" fillId="0" borderId="0">
      <alignment vertical="center"/>
    </xf>
    <xf numFmtId="41" fontId="2" fillId="0" borderId="0" applyFont="0" applyFill="0" applyBorder="0" applyAlignment="0" applyProtection="0"/>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41" fontId="3" fillId="0" borderId="0">
      <alignment vertical="center"/>
    </xf>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198" fontId="131" fillId="0" borderId="64" applyBorder="0">
      <alignment horizontal="center"/>
    </xf>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3" fillId="0" borderId="0">
      <alignment vertical="center"/>
    </xf>
    <xf numFmtId="43" fontId="55"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84" fillId="0" borderId="0" applyFont="0" applyFill="0" applyBorder="0" applyAlignment="0" applyProtection="0"/>
    <xf numFmtId="39" fontId="3" fillId="0" borderId="0" applyFont="0" applyFill="0" applyBorder="0">
      <protection locked="0"/>
    </xf>
    <xf numFmtId="43" fontId="136" fillId="0" borderId="0" applyFont="0" applyFill="0" applyBorder="0" applyAlignment="0" applyProtection="0"/>
    <xf numFmtId="39" fontId="3" fillId="0" borderId="0" applyFont="0" applyFill="0" applyBorder="0">
      <protection locked="0"/>
    </xf>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1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2" fontId="24" fillId="0" borderId="0"/>
    <xf numFmtId="42" fontId="24" fillId="0" borderId="0"/>
    <xf numFmtId="42" fontId="24" fillId="0" borderId="0"/>
    <xf numFmtId="42" fontId="24" fillId="0" borderId="0"/>
    <xf numFmtId="42" fontId="24" fillId="0" borderId="0"/>
    <xf numFmtId="42" fontId="24" fillId="0" borderId="0"/>
    <xf numFmtId="42" fontId="24" fillId="0" borderId="0"/>
    <xf numFmtId="0" fontId="55" fillId="0" borderId="0"/>
    <xf numFmtId="0" fontId="55" fillId="0" borderId="0"/>
    <xf numFmtId="43" fontId="3" fillId="0" borderId="0" applyFont="0" applyFill="0" applyBorder="0" applyAlignment="0" applyProtection="0"/>
    <xf numFmtId="43" fontId="84" fillId="0" borderId="0" applyFont="0" applyFill="0" applyBorder="0" applyAlignment="0" applyProtection="0"/>
    <xf numFmtId="42" fontId="24" fillId="0" borderId="0"/>
    <xf numFmtId="0" fontId="55" fillId="0" borderId="0"/>
    <xf numFmtId="0" fontId="55" fillId="0" borderId="0"/>
    <xf numFmtId="43" fontId="1"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42" fontId="24" fillId="0" borderId="0"/>
    <xf numFmtId="43" fontId="2" fillId="0" borderId="0" applyFont="0" applyFill="0" applyBorder="0" applyAlignment="0" applyProtection="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2"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43" fontId="2"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2" fontId="24" fillId="0" borderId="0"/>
    <xf numFmtId="42" fontId="24" fillId="0" borderId="0"/>
    <xf numFmtId="42" fontId="24" fillId="0" borderId="0"/>
    <xf numFmtId="42" fontId="24" fillId="0" borderId="0"/>
    <xf numFmtId="42" fontId="24" fillId="0" borderId="0"/>
    <xf numFmtId="42" fontId="24" fillId="0" borderId="0"/>
    <xf numFmtId="42" fontId="24" fillId="0" borderId="0"/>
    <xf numFmtId="0" fontId="55" fillId="0" borderId="0"/>
    <xf numFmtId="0" fontId="55" fillId="0" borderId="0"/>
    <xf numFmtId="43" fontId="55" fillId="0" borderId="0" applyFont="0" applyFill="0" applyBorder="0" applyAlignment="0" applyProtection="0"/>
    <xf numFmtId="43" fontId="3" fillId="0" borderId="0" applyFont="0" applyFill="0" applyBorder="0" applyAlignment="0" applyProtection="0"/>
    <xf numFmtId="42" fontId="24" fillId="0" borderId="0"/>
    <xf numFmtId="0" fontId="55" fillId="0" borderId="0"/>
    <xf numFmtId="0" fontId="55" fillId="0" borderId="0"/>
    <xf numFmtId="43" fontId="55" fillId="0" borderId="0" applyFont="0" applyFill="0" applyBorder="0" applyAlignment="0" applyProtection="0"/>
    <xf numFmtId="43" fontId="3"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42" fontId="24" fillId="0" borderId="0"/>
    <xf numFmtId="42" fontId="24"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43" fontId="2"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0" fontId="55" fillId="0" borderId="0"/>
    <xf numFmtId="43" fontId="84" fillId="0" borderId="0" applyFont="0" applyFill="0" applyBorder="0" applyAlignment="0" applyProtection="0"/>
    <xf numFmtId="43" fontId="84" fillId="0" borderId="0" applyFont="0" applyFill="0" applyBorder="0" applyAlignment="0" applyProtection="0"/>
    <xf numFmtId="0" fontId="55" fillId="0" borderId="0"/>
    <xf numFmtId="43" fontId="1"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1"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0" fontId="55" fillId="0" borderId="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0" fontId="55" fillId="0" borderId="0"/>
    <xf numFmtId="0" fontId="138" fillId="0" borderId="0"/>
    <xf numFmtId="0" fontId="55" fillId="0" borderId="0"/>
    <xf numFmtId="0" fontId="55" fillId="0" borderId="0"/>
    <xf numFmtId="0" fontId="55" fillId="0" borderId="0"/>
    <xf numFmtId="0" fontId="55" fillId="0" borderId="0"/>
    <xf numFmtId="173" fontId="124" fillId="0" borderId="0"/>
    <xf numFmtId="0" fontId="55" fillId="0" borderId="0"/>
    <xf numFmtId="0" fontId="55" fillId="0" borderId="0"/>
    <xf numFmtId="0" fontId="55" fillId="0" borderId="0"/>
    <xf numFmtId="0" fontId="55" fillId="0" borderId="0"/>
    <xf numFmtId="3" fontId="139" fillId="0" borderId="0">
      <protection locked="0"/>
    </xf>
    <xf numFmtId="173" fontId="12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0" fontId="55" fillId="0" borderId="0"/>
    <xf numFmtId="0" fontId="55" fillId="0" borderId="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0" fontId="131" fillId="0" borderId="53"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7"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44" fontId="1"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5" fillId="0" borderId="0"/>
    <xf numFmtId="0" fontId="55" fillId="0" borderId="0"/>
    <xf numFmtId="0" fontId="55" fillId="0" borderId="0"/>
    <xf numFmtId="0" fontId="55" fillId="0" borderId="0"/>
    <xf numFmtId="44" fontId="55" fillId="0" borderId="0"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5"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6" fontId="140" fillId="0" borderId="0">
      <protection locked="0"/>
    </xf>
    <xf numFmtId="0" fontId="55" fillId="0" borderId="0"/>
    <xf numFmtId="0" fontId="55" fillId="0" borderId="0"/>
    <xf numFmtId="6" fontId="141" fillId="0" borderId="0">
      <protection locked="0"/>
    </xf>
    <xf numFmtId="17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6" fontId="141" fillId="0" borderId="0">
      <protection locked="0"/>
    </xf>
    <xf numFmtId="6" fontId="140"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5" fontId="3" fillId="0" borderId="0"/>
    <xf numFmtId="176" fontId="3" fillId="0" borderId="0" applyFont="0" applyFill="0" applyBorder="0" applyAlignment="0" applyProtection="0"/>
    <xf numFmtId="177"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37" fontId="138" fillId="100" borderId="0" applyNumberFormat="0" applyFon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1"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2" fillId="0" borderId="0" applyNumberFormat="0" applyFill="0" applyBorder="0" applyAlignment="0" applyProtection="0"/>
    <xf numFmtId="0" fontId="143"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6"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66" fillId="0" borderId="0" applyNumberFormat="0" applyFill="0" applyBorder="0" applyAlignment="0" applyProtection="0"/>
    <xf numFmtId="0" fontId="55" fillId="0" borderId="0"/>
    <xf numFmtId="0" fontId="55" fillId="0" borderId="0"/>
    <xf numFmtId="0" fontId="143"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applyNumberFormat="0" applyFill="0" applyBorder="0" applyAlignment="0" applyProtection="0"/>
    <xf numFmtId="0" fontId="55" fillId="0" borderId="0"/>
    <xf numFmtId="0" fontId="55" fillId="0" borderId="0"/>
    <xf numFmtId="0" fontId="144" fillId="0" borderId="0" applyProtection="0"/>
    <xf numFmtId="0" fontId="68" fillId="0" borderId="0" applyProtection="0"/>
    <xf numFmtId="0" fontId="145" fillId="0" borderId="0" applyProtection="0"/>
    <xf numFmtId="0" fontId="2" fillId="0" borderId="0" applyProtection="0"/>
    <xf numFmtId="0" fontId="146" fillId="0" borderId="0" applyProtection="0"/>
    <xf numFmtId="0" fontId="47" fillId="0" borderId="0" applyProtection="0"/>
    <xf numFmtId="0" fontId="48" fillId="0" borderId="0" applyProtection="0"/>
    <xf numFmtId="202" fontId="3"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2" fontId="3"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7" fillId="4" borderId="0" applyNumberFormat="0" applyBorder="0" applyAlignment="0" applyProtection="0"/>
    <xf numFmtId="0" fontId="148" fillId="4"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7" fillId="42"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67" fillId="42" borderId="0" applyNumberFormat="0" applyBorder="0" applyAlignment="0" applyProtection="0"/>
    <xf numFmtId="0" fontId="55" fillId="0" borderId="0"/>
    <xf numFmtId="0" fontId="55" fillId="0" borderId="0"/>
    <xf numFmtId="0" fontId="148" fillId="4"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5" fontId="5" fillId="80" borderId="56" applyNumberFormat="0" applyAlignment="0" applyProtection="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3" fontId="149" fillId="101" borderId="0" applyProtection="0"/>
    <xf numFmtId="0" fontId="55" fillId="0" borderId="0"/>
    <xf numFmtId="0" fontId="150" fillId="0" borderId="14" applyNumberFormat="0" applyFill="0" applyAlignment="0" applyProtection="0"/>
    <xf numFmtId="0" fontId="151"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0" fillId="0" borderId="26"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0" fillId="0" borderId="26" applyNumberFormat="0" applyFill="0" applyAlignment="0" applyProtection="0"/>
    <xf numFmtId="0" fontId="55" fillId="0" borderId="0"/>
    <xf numFmtId="0" fontId="55" fillId="0" borderId="0"/>
    <xf numFmtId="0" fontId="151" fillId="0" borderId="14"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2" fillId="0" borderId="15" applyNumberFormat="0" applyFill="0" applyAlignment="0" applyProtection="0"/>
    <xf numFmtId="0" fontId="153" fillId="0" borderId="15"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3" fillId="0" borderId="28"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3" fillId="0" borderId="28" applyNumberFormat="0" applyFill="0" applyAlignment="0" applyProtection="0"/>
    <xf numFmtId="0" fontId="55" fillId="0" borderId="0"/>
    <xf numFmtId="0" fontId="55" fillId="0" borderId="0"/>
    <xf numFmtId="0" fontId="153" fillId="0" borderId="15"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4" fillId="0" borderId="16" applyNumberFormat="0" applyFill="0" applyAlignment="0" applyProtection="0"/>
    <xf numFmtId="0" fontId="155" fillId="0" borderId="16"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29"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29" applyNumberFormat="0" applyFill="0" applyAlignment="0" applyProtection="0"/>
    <xf numFmtId="0" fontId="55" fillId="0" borderId="0"/>
    <xf numFmtId="0" fontId="55" fillId="0" borderId="0"/>
    <xf numFmtId="0" fontId="155" fillId="0" borderId="16"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4" fillId="0" borderId="0" applyNumberFormat="0" applyFill="0" applyBorder="0" applyAlignment="0" applyProtection="0"/>
    <xf numFmtId="0" fontId="15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0" applyNumberFormat="0" applyFill="0" applyBorder="0" applyAlignment="0" applyProtection="0"/>
    <xf numFmtId="0" fontId="55" fillId="0" borderId="0"/>
    <xf numFmtId="0" fontId="55" fillId="0" borderId="0"/>
    <xf numFmtId="0" fontId="15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applyNumberFormat="0" applyFill="0" applyBorder="0" applyProtection="0">
      <alignment wrapText="1"/>
    </xf>
    <xf numFmtId="0" fontId="3" fillId="0" borderId="0" applyNumberFormat="0" applyFill="0" applyBorder="0" applyProtection="0">
      <alignment horizontal="justify" vertical="top" wrapText="1"/>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89" fontId="156" fillId="0" borderId="0"/>
    <xf numFmtId="0" fontId="55" fillId="0" borderId="0"/>
    <xf numFmtId="0" fontId="55" fillId="0" borderId="0"/>
    <xf numFmtId="0" fontId="22" fillId="0" borderId="0" applyNumberFormat="0" applyFill="0" applyBorder="0" applyAlignment="0" applyProtection="0"/>
    <xf numFmtId="0" fontId="157"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5" fillId="0" borderId="0"/>
    <xf numFmtId="0" fontId="55" fillId="0" borderId="0"/>
    <xf numFmtId="0" fontId="158" fillId="0" borderId="0" applyNumberFormat="0" applyFill="0" applyBorder="0" applyAlignment="0" applyProtection="0"/>
    <xf numFmtId="0" fontId="159"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5" fillId="0" borderId="0"/>
    <xf numFmtId="0" fontId="55" fillId="0" borderId="0"/>
    <xf numFmtId="0" fontId="31"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7" fillId="0" borderId="0" applyNumberFormat="0" applyFill="0" applyBorder="0" applyAlignment="0" applyProtection="0">
      <alignment vertical="top"/>
      <protection locked="0"/>
    </xf>
    <xf numFmtId="0" fontId="55" fillId="0" borderId="0"/>
    <xf numFmtId="0" fontId="55" fillId="0" borderId="0"/>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163" fillId="7" borderId="17"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7" borderId="17" applyNumberFormat="0" applyAlignment="0" applyProtection="0"/>
    <xf numFmtId="0" fontId="55" fillId="0" borderId="0"/>
    <xf numFmtId="0" fontId="163" fillId="7" borderId="17" applyNumberFormat="0" applyAlignment="0" applyProtection="0"/>
    <xf numFmtId="0" fontId="55" fillId="0" borderId="0"/>
    <xf numFmtId="0" fontId="163" fillId="7" borderId="17" applyNumberFormat="0" applyAlignment="0" applyProtection="0"/>
    <xf numFmtId="0" fontId="55" fillId="0" borderId="0"/>
    <xf numFmtId="0" fontId="163" fillId="7" borderId="17" applyNumberFormat="0" applyAlignment="0" applyProtection="0"/>
    <xf numFmtId="0" fontId="164" fillId="7" borderId="17" applyNumberFormat="0" applyAlignment="0" applyProtection="0"/>
    <xf numFmtId="0" fontId="163" fillId="7" borderId="17" applyNumberFormat="0" applyAlignment="0" applyProtection="0"/>
    <xf numFmtId="0" fontId="164" fillId="7" borderId="17" applyNumberFormat="0" applyAlignment="0" applyProtection="0"/>
    <xf numFmtId="0" fontId="164" fillId="7" borderId="17" applyNumberFormat="0" applyAlignment="0" applyProtection="0"/>
    <xf numFmtId="0" fontId="164" fillId="7" borderId="17" applyNumberFormat="0" applyAlignment="0" applyProtection="0"/>
    <xf numFmtId="0" fontId="163" fillId="7" borderId="17" applyNumberFormat="0" applyAlignment="0" applyProtection="0"/>
    <xf numFmtId="0" fontId="163" fillId="7" borderId="17"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7" borderId="17" applyNumberFormat="0" applyAlignment="0" applyProtection="0"/>
    <xf numFmtId="0" fontId="55" fillId="0" borderId="0"/>
    <xf numFmtId="0" fontId="55" fillId="0" borderId="0"/>
    <xf numFmtId="0" fontId="55" fillId="0" borderId="0"/>
    <xf numFmtId="0" fontId="55" fillId="0" borderId="0"/>
    <xf numFmtId="0" fontId="163" fillId="7" borderId="17" applyNumberFormat="0" applyAlignment="0" applyProtection="0"/>
    <xf numFmtId="0" fontId="55" fillId="0" borderId="0"/>
    <xf numFmtId="0" fontId="55" fillId="0" borderId="0"/>
    <xf numFmtId="0" fontId="55" fillId="0" borderId="0"/>
    <xf numFmtId="0" fontId="55" fillId="0" borderId="0"/>
    <xf numFmtId="0" fontId="163" fillId="7" borderId="17"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3" fontId="5" fillId="0" borderId="0" applyFill="0" applyBorder="0" applyAlignment="0" applyProtection="0">
      <alignment horizontal="center"/>
    </xf>
    <xf numFmtId="0" fontId="55" fillId="0" borderId="0"/>
    <xf numFmtId="0" fontId="55" fillId="0" borderId="0"/>
    <xf numFmtId="0" fontId="55" fillId="0" borderId="0"/>
    <xf numFmtId="0" fontId="165" fillId="0" borderId="19" applyNumberFormat="0" applyFill="0" applyAlignment="0" applyProtection="0"/>
    <xf numFmtId="0" fontId="166" fillId="0" borderId="19"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9" fillId="0" borderId="32"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79" fillId="0" borderId="32" applyNumberFormat="0" applyFill="0" applyAlignment="0" applyProtection="0"/>
    <xf numFmtId="0" fontId="55" fillId="0" borderId="0"/>
    <xf numFmtId="0" fontId="55" fillId="0" borderId="0"/>
    <xf numFmtId="0" fontId="166" fillId="0" borderId="19"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4" fontId="5" fillId="0" borderId="0" applyFill="0" applyBorder="0" applyAlignment="0" applyProtection="0">
      <alignment horizontal="center"/>
    </xf>
    <xf numFmtId="41" fontId="3" fillId="0" borderId="0" applyFont="0" applyFill="0" applyBorder="0" applyAlignment="0" applyProtection="0"/>
    <xf numFmtId="43" fontId="3" fillId="0" borderId="0" applyFont="0" applyFill="0" applyBorder="0" applyAlignment="0" applyProtection="0"/>
    <xf numFmtId="205" fontId="3" fillId="0" borderId="0" applyFont="0" applyFill="0" applyBorder="0" applyAlignment="0" applyProtection="0"/>
    <xf numFmtId="206"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167" fillId="6" borderId="0" applyNumberFormat="0" applyBorder="0" applyAlignment="0" applyProtection="0"/>
    <xf numFmtId="0" fontId="168" fillId="6"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80" fillId="49"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80" fillId="49" borderId="0" applyNumberFormat="0" applyBorder="0" applyAlignment="0" applyProtection="0"/>
    <xf numFmtId="0" fontId="55" fillId="0" borderId="0"/>
    <xf numFmtId="0" fontId="55" fillId="0" borderId="0"/>
    <xf numFmtId="0" fontId="168" fillId="6"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3" fontId="138" fillId="0" borderId="0" applyFont="0" applyFill="0" applyBorder="0" applyAlignment="0" applyProtection="0">
      <alignment horizontal="center"/>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207" fontId="49" fillId="0" borderId="0"/>
    <xf numFmtId="173" fontId="82" fillId="0" borderId="0"/>
    <xf numFmtId="0" fontId="1" fillId="0" borderId="0"/>
    <xf numFmtId="0" fontId="1" fillId="0" borderId="0"/>
    <xf numFmtId="0" fontId="1" fillId="0" borderId="0"/>
    <xf numFmtId="0" fontId="1" fillId="0" borderId="0"/>
    <xf numFmtId="0" fontId="1" fillId="0" borderId="0"/>
    <xf numFmtId="0" fontId="1" fillId="0" borderId="0"/>
    <xf numFmtId="207"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8" fontId="82"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84" fillId="0" borderId="0"/>
    <xf numFmtId="0" fontId="1" fillId="0" borderId="0"/>
    <xf numFmtId="0" fontId="1" fillId="0" borderId="0"/>
    <xf numFmtId="0" fontId="84" fillId="0" borderId="0"/>
    <xf numFmtId="0" fontId="14" fillId="0" borderId="0"/>
    <xf numFmtId="0" fontId="1" fillId="0" borderId="0"/>
    <xf numFmtId="0" fontId="84" fillId="0" borderId="0"/>
    <xf numFmtId="0" fontId="1"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4" fillId="0" borderId="0"/>
    <xf numFmtId="0" fontId="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5"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84" fillId="0" borderId="0"/>
    <xf numFmtId="0" fontId="84" fillId="0" borderId="0"/>
    <xf numFmtId="0" fontId="84"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19" fillId="0" borderId="0"/>
    <xf numFmtId="0" fontId="15" fillId="0" borderId="0"/>
    <xf numFmtId="0" fontId="15" fillId="0" borderId="0"/>
    <xf numFmtId="0" fontId="15" fillId="0" borderId="0"/>
    <xf numFmtId="0" fontId="19"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applyNumberFormat="0" applyFill="0" applyBorder="0" applyAlignment="0" applyProtection="0"/>
    <xf numFmtId="0" fontId="15" fillId="0" borderId="0"/>
    <xf numFmtId="0" fontId="15" fillId="0" borderId="0"/>
    <xf numFmtId="0" fontId="15" fillId="0" borderId="0"/>
    <xf numFmtId="0" fontId="3" fillId="0" borderId="0" applyNumberFormat="0" applyFill="0" applyBorder="0" applyAlignment="0" applyProtection="0"/>
    <xf numFmtId="0" fontId="3" fillId="0" borderId="0" applyNumberFormat="0" applyFill="0" applyBorder="0" applyAlignment="0" applyProtection="0"/>
    <xf numFmtId="0" fontId="15" fillId="0" borderId="0"/>
    <xf numFmtId="0" fontId="15" fillId="0" borderId="0"/>
    <xf numFmtId="0" fontId="15" fillId="0" borderId="0"/>
    <xf numFmtId="0" fontId="3" fillId="0" borderId="0" applyNumberFormat="0" applyFill="0" applyBorder="0" applyAlignment="0" applyProtection="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8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73" fillId="0" borderId="0"/>
    <xf numFmtId="0" fontId="1" fillId="0" borderId="0"/>
    <xf numFmtId="0" fontId="173"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 fillId="0" borderId="0"/>
    <xf numFmtId="0" fontId="173" fillId="0" borderId="0"/>
    <xf numFmtId="0" fontId="1" fillId="0" borderId="0"/>
    <xf numFmtId="0" fontId="1" fillId="0" borderId="0"/>
    <xf numFmtId="0" fontId="173"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3" fillId="0" borderId="0"/>
    <xf numFmtId="0" fontId="3" fillId="0" borderId="0"/>
    <xf numFmtId="0" fontId="1" fillId="0" borderId="0"/>
    <xf numFmtId="0" fontId="1" fillId="0" borderId="0"/>
    <xf numFmtId="0" fontId="84" fillId="0" borderId="0"/>
    <xf numFmtId="0" fontId="3" fillId="0" borderId="0" applyNumberFormat="0" applyFill="0" applyBorder="0" applyAlignment="0" applyProtection="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 fillId="0" borderId="0"/>
    <xf numFmtId="0" fontId="1" fillId="0" borderId="0"/>
    <xf numFmtId="0" fontId="3" fillId="0" borderId="0"/>
    <xf numFmtId="0" fontId="1" fillId="0" borderId="0"/>
    <xf numFmtId="0" fontId="15" fillId="0" borderId="0"/>
    <xf numFmtId="0" fontId="1" fillId="0" borderId="0"/>
    <xf numFmtId="0" fontId="15" fillId="0" borderId="0"/>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4"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84" fillId="0" borderId="0"/>
    <xf numFmtId="0" fontId="1" fillId="0" borderId="0"/>
    <xf numFmtId="0" fontId="84" fillId="0" borderId="0"/>
    <xf numFmtId="0" fontId="1" fillId="0" borderId="0"/>
    <xf numFmtId="0" fontId="1" fillId="0" borderId="0"/>
    <xf numFmtId="0" fontId="171" fillId="0" borderId="0"/>
    <xf numFmtId="0" fontId="17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3" fillId="0" borderId="0"/>
    <xf numFmtId="208" fontId="3"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8" fontId="3"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24"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190" fontId="3" fillId="0" borderId="0">
      <alignment horizontal="left" wrapText="1"/>
    </xf>
    <xf numFmtId="173"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190" fontId="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75"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4"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7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5" fillId="0" borderId="0"/>
    <xf numFmtId="0" fontId="15"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5"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2"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2" fillId="0" borderId="0"/>
    <xf numFmtId="0" fontId="1" fillId="0" borderId="0"/>
    <xf numFmtId="0" fontId="1" fillId="0" borderId="0"/>
    <xf numFmtId="0" fontId="17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84" fillId="0" borderId="0"/>
    <xf numFmtId="0" fontId="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5" fillId="0" borderId="0"/>
    <xf numFmtId="0" fontId="15" fillId="0" borderId="0"/>
    <xf numFmtId="0" fontId="15" fillId="0" borderId="0"/>
    <xf numFmtId="0" fontId="1" fillId="0" borderId="0"/>
    <xf numFmtId="0" fontId="171" fillId="0" borderId="0"/>
    <xf numFmtId="0" fontId="15"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5" fillId="0" borderId="0"/>
    <xf numFmtId="0" fontId="15"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71"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84" fillId="0" borderId="0"/>
    <xf numFmtId="0" fontId="3" fillId="0" borderId="0"/>
    <xf numFmtId="0" fontId="15" fillId="0" borderId="0"/>
    <xf numFmtId="0" fontId="84" fillId="0" borderId="0"/>
    <xf numFmtId="0" fontId="84" fillId="0" borderId="0"/>
    <xf numFmtId="0" fontId="3" fillId="0" borderId="0"/>
    <xf numFmtId="0" fontId="3" fillId="0" borderId="0"/>
    <xf numFmtId="0" fontId="1"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84"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14" fillId="0" borderId="0"/>
    <xf numFmtId="0" fontId="84" fillId="0" borderId="0"/>
    <xf numFmtId="0" fontId="84" fillId="0" borderId="0"/>
    <xf numFmtId="0" fontId="84" fillId="0" borderId="0"/>
    <xf numFmtId="0" fontId="84" fillId="0" borderId="0"/>
    <xf numFmtId="0" fontId="84"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24"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24"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1" fillId="0" borderId="0"/>
    <xf numFmtId="0" fontId="1" fillId="0" borderId="0"/>
    <xf numFmtId="0" fontId="171" fillId="0" borderId="0"/>
    <xf numFmtId="0" fontId="24" fillId="0" borderId="0"/>
    <xf numFmtId="0" fontId="1" fillId="0" borderId="0"/>
    <xf numFmtId="0" fontId="15" fillId="0" borderId="0"/>
    <xf numFmtId="0" fontId="1" fillId="0" borderId="0"/>
    <xf numFmtId="0" fontId="15" fillId="0" borderId="0"/>
    <xf numFmtId="0" fontId="15" fillId="0" borderId="0"/>
    <xf numFmtId="0" fontId="24"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5"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84" fillId="0" borderId="0"/>
    <xf numFmtId="0" fontId="1"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05" fillId="10" borderId="21" applyNumberFormat="0" applyFont="0" applyAlignment="0" applyProtection="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24" fillId="41" borderId="49" applyNumberFormat="0" applyFont="0" applyAlignment="0" applyProtection="0"/>
    <xf numFmtId="0" fontId="15" fillId="10" borderId="21" applyNumberFormat="0" applyFont="0" applyAlignment="0" applyProtection="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41" borderId="49" applyNumberFormat="0" applyFont="0" applyAlignment="0" applyProtection="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 fillId="0" borderId="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5" fillId="10" borderId="21" applyNumberFormat="0" applyFont="0" applyAlignment="0" applyProtection="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5" fillId="10" borderId="21" applyNumberFormat="0" applyFont="0" applyAlignment="0" applyProtection="0"/>
    <xf numFmtId="0" fontId="1" fillId="0" borderId="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55" fillId="41" borderId="49" applyNumberFormat="0" applyFont="0" applyAlignment="0" applyProtection="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5" fillId="10" borderId="21" applyNumberFormat="0" applyFont="0" applyAlignment="0" applyProtection="0"/>
    <xf numFmtId="0" fontId="1" fillId="0" borderId="0"/>
    <xf numFmtId="0" fontId="1" fillId="0" borderId="0"/>
    <xf numFmtId="0" fontId="15" fillId="10" borderId="21" applyNumberFormat="0" applyFont="0" applyAlignment="0" applyProtection="0"/>
    <xf numFmtId="0" fontId="1" fillId="0" borderId="0"/>
    <xf numFmtId="0" fontId="15" fillId="10" borderId="2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6" fillId="8" borderId="18" applyNumberFormat="0" applyAlignment="0" applyProtection="0"/>
    <xf numFmtId="0" fontId="177" fillId="8" borderId="18"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47" borderId="50" applyNumberFormat="0" applyAlignment="0" applyProtection="0"/>
    <xf numFmtId="0" fontId="1" fillId="0" borderId="0"/>
    <xf numFmtId="0" fontId="1" fillId="0" borderId="0"/>
    <xf numFmtId="0" fontId="1" fillId="0" borderId="0"/>
    <xf numFmtId="0" fontId="1" fillId="0" borderId="0"/>
    <xf numFmtId="0" fontId="86" fillId="47" borderId="50" applyNumberFormat="0" applyAlignment="0" applyProtection="0"/>
    <xf numFmtId="0" fontId="1" fillId="0" borderId="0"/>
    <xf numFmtId="0" fontId="1" fillId="0" borderId="0"/>
    <xf numFmtId="0" fontId="177" fillId="8" borderId="18" applyNumberFormat="0" applyAlignment="0" applyProtection="0"/>
    <xf numFmtId="0" fontId="1" fillId="0" borderId="0"/>
    <xf numFmtId="0" fontId="1" fillId="0" borderId="0"/>
    <xf numFmtId="0" fontId="1" fillId="0" borderId="0"/>
    <xf numFmtId="0" fontId="1" fillId="0" borderId="0"/>
    <xf numFmtId="0" fontId="1" fillId="0" borderId="0"/>
    <xf numFmtId="173"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9" fillId="0" borderId="0" applyFont="0" applyFill="0" applyBorder="0" applyAlignment="0" applyProtection="0"/>
    <xf numFmtId="10" fontId="4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5" fillId="102" borderId="0" applyNumberFormat="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5" fillId="103" borderId="0" applyNumberFormat="0" applyFont="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173" fontId="5" fillId="0" borderId="0" applyFont="0" applyFill="0" applyBorder="0" applyAlignment="0" applyProtection="0">
      <alignment vertical="top"/>
    </xf>
    <xf numFmtId="173" fontId="5" fillId="0" borderId="0" applyFont="0" applyFill="0" applyBorder="0" applyAlignment="0" applyProtection="0"/>
    <xf numFmtId="173" fontId="5" fillId="0" borderId="0" applyFont="0" applyFill="0" applyBorder="0" applyAlignment="0" applyProtection="0"/>
    <xf numFmtId="0" fontId="1" fillId="0" borderId="0"/>
    <xf numFmtId="4" fontId="178" fillId="104" borderId="46" applyNumberFormat="0" applyProtection="0">
      <alignment horizontal="right" vertical="center" wrapText="1"/>
    </xf>
    <xf numFmtId="0" fontId="1" fillId="0" borderId="0"/>
    <xf numFmtId="0" fontId="1" fillId="0" borderId="0"/>
    <xf numFmtId="189" fontId="179" fillId="0" borderId="54">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9" fontId="7" fillId="0" borderId="0" applyFill="0" applyBorder="0" applyAlignment="0" applyProtection="0">
      <alignment horizontal="center"/>
    </xf>
    <xf numFmtId="0" fontId="3" fillId="105"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10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01" fillId="0" borderId="0" applyNumberFormat="0" applyFill="0" applyBorder="0" applyAlignment="0" applyProtection="0"/>
    <xf numFmtId="0" fontId="68" fillId="0" borderId="0" applyNumberFormat="0" applyFill="0" applyBorder="0" applyProtection="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1" fillId="10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0" fontId="3" fillId="0" borderId="0" applyFont="0" applyFill="0" applyBorder="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 fontId="3" fillId="0" borderId="0" applyFont="0" applyFill="0" applyBorder="0" applyProtection="0"/>
    <xf numFmtId="0" fontId="7" fillId="10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2"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2" fillId="107" borderId="0"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83"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3" fillId="0" borderId="0" applyNumberFormat="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ont="0" applyFill="0" applyBorder="0" applyProtection="0">
      <alignment horizontal="left"/>
    </xf>
    <xf numFmtId="0" fontId="1" fillId="0" borderId="0"/>
    <xf numFmtId="0" fontId="1" fillId="0" borderId="0"/>
    <xf numFmtId="0" fontId="1" fillId="0" borderId="0"/>
    <xf numFmtId="0" fontId="1" fillId="0" borderId="0"/>
    <xf numFmtId="0" fontId="1" fillId="0" borderId="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3" fillId="10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170"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4"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10"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pplyNumberFormat="0" applyBorder="0" applyAlignment="0"/>
    <xf numFmtId="0" fontId="13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85" fillId="0" borderId="0"/>
    <xf numFmtId="0" fontId="1" fillId="0" borderId="0"/>
    <xf numFmtId="0" fontId="1" fillId="0" borderId="0"/>
    <xf numFmtId="0" fontId="1" fillId="0" borderId="0"/>
    <xf numFmtId="0" fontId="32" fillId="0" borderId="0" applyNumberFormat="0" applyFill="0" applyBorder="0" applyAlignment="0" applyProtection="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7" fillId="0" borderId="47">
      <alignment horizontal="centerContinuous"/>
    </xf>
    <xf numFmtId="0" fontId="1" fillId="0" borderId="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7" fillId="0" borderId="47">
      <alignment horizontal="centerContinuous"/>
    </xf>
    <xf numFmtId="0" fontId="1" fillId="0" borderId="0"/>
    <xf numFmtId="0" fontId="1" fillId="0" borderId="0"/>
    <xf numFmtId="0" fontId="1" fillId="0" borderId="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6" fillId="0" borderId="22" applyNumberFormat="0" applyFill="0" applyAlignment="0" applyProtection="0"/>
    <xf numFmtId="0" fontId="28" fillId="0" borderId="2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3" fillId="0" borderId="65">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3" fillId="0" borderId="65">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5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2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3" fillId="0" borderId="0">
      <protection locked="0"/>
    </xf>
    <xf numFmtId="0" fontId="1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1" fontId="3" fillId="0" borderId="0" applyFont="0" applyFill="0" applyBorder="0" applyAlignment="0" applyProtection="0"/>
    <xf numFmtId="212" fontId="3" fillId="0" borderId="0" applyFont="0" applyFill="0" applyBorder="0" applyAlignment="0" applyProtection="0"/>
    <xf numFmtId="0" fontId="1" fillId="0" borderId="0"/>
    <xf numFmtId="0" fontId="188" fillId="0" borderId="0" applyNumberFormat="0" applyFill="0" applyBorder="0" applyAlignment="0" applyProtection="0"/>
    <xf numFmtId="0" fontId="189"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 fillId="0" borderId="0"/>
    <xf numFmtId="0" fontId="189"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1" fontId="3" fillId="0" borderId="0">
      <alignment horizontal="center"/>
    </xf>
    <xf numFmtId="14" fontId="3" fillId="63" borderId="46"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4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7"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47"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0" borderId="14" applyNumberFormat="0" applyFill="0" applyAlignment="0" applyProtection="0"/>
    <xf numFmtId="0" fontId="34" fillId="0" borderId="15" applyNumberFormat="0" applyFill="0" applyAlignment="0" applyProtection="0"/>
    <xf numFmtId="0" fontId="35" fillId="0" borderId="16" applyNumberFormat="0" applyFill="0" applyAlignment="0" applyProtection="0"/>
    <xf numFmtId="0" fontId="35" fillId="0" borderId="0" applyNumberFormat="0" applyFill="0" applyBorder="0" applyAlignment="0" applyProtection="0"/>
    <xf numFmtId="0" fontId="36" fillId="4" borderId="0" applyNumberFormat="0" applyBorder="0" applyAlignment="0" applyProtection="0"/>
    <xf numFmtId="0" fontId="37" fillId="5" borderId="0" applyNumberFormat="0" applyBorder="0" applyAlignment="0" applyProtection="0"/>
    <xf numFmtId="0" fontId="38" fillId="6" borderId="0" applyNumberFormat="0" applyBorder="0" applyAlignment="0" applyProtection="0"/>
    <xf numFmtId="0" fontId="39" fillId="7" borderId="17" applyNumberFormat="0" applyAlignment="0" applyProtection="0"/>
    <xf numFmtId="0" fontId="40" fillId="8" borderId="18" applyNumberFormat="0" applyAlignment="0" applyProtection="0"/>
    <xf numFmtId="0" fontId="41" fillId="8" borderId="17" applyNumberFormat="0" applyAlignment="0" applyProtection="0"/>
    <xf numFmtId="0" fontId="42" fillId="0" borderId="19" applyNumberFormat="0" applyFill="0" applyAlignment="0" applyProtection="0"/>
    <xf numFmtId="0" fontId="43" fillId="9" borderId="20"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 fillId="0" borderId="22" applyNumberFormat="0" applyFill="0" applyAlignment="0" applyProtection="0"/>
    <xf numFmtId="0" fontId="4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6" fillId="34" borderId="0" applyNumberFormat="0" applyBorder="0" applyAlignment="0" applyProtection="0"/>
    <xf numFmtId="0" fontId="190" fillId="0" borderId="0"/>
    <xf numFmtId="43" fontId="2" fillId="0" borderId="0" applyFont="0" applyFill="0" applyBorder="0" applyAlignment="0" applyProtection="0"/>
    <xf numFmtId="0" fontId="190" fillId="0" borderId="0"/>
    <xf numFmtId="0" fontId="190" fillId="0" borderId="0"/>
    <xf numFmtId="43" fontId="2" fillId="0" borderId="0" applyFont="0" applyFill="0" applyBorder="0" applyAlignment="0" applyProtection="0"/>
    <xf numFmtId="43" fontId="2" fillId="0" borderId="0" applyFont="0" applyFill="0" applyBorder="0" applyAlignment="0" applyProtection="0"/>
    <xf numFmtId="0" fontId="190"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3" fillId="109" borderId="0"/>
    <xf numFmtId="0" fontId="1" fillId="10" borderId="21" applyNumberFormat="0" applyFont="0" applyAlignment="0" applyProtection="0"/>
    <xf numFmtId="0" fontId="190" fillId="0" borderId="0"/>
    <xf numFmtId="43" fontId="2" fillId="0" borderId="0" applyFont="0" applyFill="0" applyBorder="0" applyAlignment="0" applyProtection="0"/>
    <xf numFmtId="0" fontId="190" fillId="0" borderId="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95" fillId="0" borderId="0"/>
    <xf numFmtId="43" fontId="2" fillId="0" borderId="0" applyFont="0" applyFill="0" applyBorder="0" applyAlignment="0" applyProtection="0"/>
    <xf numFmtId="0" fontId="196" fillId="0" borderId="0"/>
    <xf numFmtId="43" fontId="2" fillId="0" borderId="0" applyFont="0" applyFill="0" applyBorder="0" applyAlignment="0" applyProtection="0"/>
    <xf numFmtId="0" fontId="196" fillId="0" borderId="0"/>
    <xf numFmtId="43" fontId="2" fillId="0" borderId="0" applyFont="0" applyFill="0" applyBorder="0" applyAlignment="0" applyProtection="0"/>
    <xf numFmtId="9" fontId="196" fillId="0" borderId="0" applyFont="0" applyFill="0" applyBorder="0" applyAlignment="0" applyProtection="0"/>
    <xf numFmtId="9" fontId="196"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8" fillId="0" borderId="0"/>
    <xf numFmtId="43" fontId="2" fillId="0" borderId="0" applyFont="0" applyFill="0" applyBorder="0" applyAlignment="0" applyProtection="0"/>
    <xf numFmtId="0" fontId="198" fillId="0" borderId="0"/>
    <xf numFmtId="43" fontId="2" fillId="0" borderId="0" applyFont="0" applyFill="0" applyBorder="0" applyAlignment="0" applyProtection="0"/>
    <xf numFmtId="0" fontId="198" fillId="0" borderId="0"/>
    <xf numFmtId="9" fontId="2" fillId="0" borderId="0" applyFont="0" applyFill="0" applyBorder="0" applyAlignment="0" applyProtection="0"/>
    <xf numFmtId="0" fontId="84" fillId="0" borderId="0"/>
    <xf numFmtId="43" fontId="2" fillId="0" borderId="0" applyFont="0" applyFill="0" applyBorder="0" applyAlignment="0" applyProtection="0"/>
    <xf numFmtId="9" fontId="2" fillId="0" borderId="0" applyFont="0" applyFill="0" applyBorder="0" applyAlignment="0" applyProtection="0"/>
    <xf numFmtId="43" fontId="24" fillId="0" borderId="0" applyFont="0" applyFill="0" applyBorder="0" applyAlignment="0" applyProtection="0"/>
    <xf numFmtId="9" fontId="24" fillId="0" borderId="0" applyFont="0" applyFill="0" applyBorder="0" applyAlignment="0" applyProtection="0"/>
  </cellStyleXfs>
  <cellXfs count="233">
    <xf numFmtId="0" fontId="0" fillId="0" borderId="0" xfId="0"/>
    <xf numFmtId="0" fontId="0" fillId="0" borderId="0" xfId="0" applyAlignment="1">
      <alignment wrapText="1"/>
    </xf>
    <xf numFmtId="0" fontId="2" fillId="0" borderId="0" xfId="0" applyFont="1"/>
    <xf numFmtId="0" fontId="2" fillId="0" borderId="0" xfId="5"/>
    <xf numFmtId="0" fontId="2" fillId="0" borderId="0" xfId="5" applyAlignment="1">
      <alignment wrapText="1"/>
    </xf>
    <xf numFmtId="0" fontId="2" fillId="0" borderId="0" xfId="5" applyAlignment="1">
      <alignment vertical="center"/>
    </xf>
    <xf numFmtId="0" fontId="3" fillId="0" borderId="0" xfId="2"/>
    <xf numFmtId="0" fontId="9" fillId="0" borderId="0" xfId="42" applyFont="1"/>
    <xf numFmtId="164" fontId="1" fillId="0" borderId="6" xfId="42" applyNumberFormat="1" applyBorder="1"/>
    <xf numFmtId="164" fontId="1" fillId="0" borderId="0" xfId="42" applyNumberFormat="1"/>
    <xf numFmtId="0" fontId="0" fillId="0" borderId="9" xfId="42" applyFont="1" applyBorder="1" applyAlignment="1">
      <alignment wrapText="1"/>
    </xf>
    <xf numFmtId="0" fontId="14" fillId="0" borderId="0" xfId="0" applyFont="1" applyAlignment="1">
      <alignment wrapText="1"/>
    </xf>
    <xf numFmtId="0" fontId="9" fillId="0" borderId="0" xfId="42" applyFont="1" applyAlignment="1">
      <alignment wrapText="1"/>
    </xf>
    <xf numFmtId="164" fontId="0" fillId="0" borderId="0" xfId="42" applyNumberFormat="1" applyFont="1"/>
    <xf numFmtId="0" fontId="22" fillId="0" borderId="0" xfId="45"/>
    <xf numFmtId="0" fontId="15" fillId="0" borderId="0" xfId="0" applyFont="1"/>
    <xf numFmtId="171" fontId="2" fillId="0" borderId="0" xfId="26" applyNumberFormat="1" applyFont="1" applyFill="1" applyBorder="1"/>
    <xf numFmtId="171" fontId="9" fillId="0" borderId="0" xfId="42" applyNumberFormat="1" applyFont="1"/>
    <xf numFmtId="172" fontId="1" fillId="0" borderId="0" xfId="42" applyNumberFormat="1"/>
    <xf numFmtId="164" fontId="0" fillId="0" borderId="0" xfId="0" applyNumberFormat="1"/>
    <xf numFmtId="0" fontId="21" fillId="2" borderId="5" xfId="0" applyFont="1" applyFill="1" applyBorder="1" applyAlignment="1">
      <alignment horizontal="right" wrapText="1"/>
    </xf>
    <xf numFmtId="9" fontId="9" fillId="0" borderId="0" xfId="26" applyFont="1" applyFill="1" applyBorder="1"/>
    <xf numFmtId="0" fontId="17" fillId="0" borderId="66" xfId="0" applyFont="1" applyBorder="1" applyAlignment="1">
      <alignment horizontal="center" wrapText="1"/>
    </xf>
    <xf numFmtId="164" fontId="85" fillId="0" borderId="67" xfId="1" applyNumberFormat="1" applyFont="1" applyBorder="1"/>
    <xf numFmtId="10" fontId="85" fillId="0" borderId="68" xfId="26" applyNumberFormat="1" applyFont="1" applyBorder="1"/>
    <xf numFmtId="3" fontId="85" fillId="0" borderId="67" xfId="0" applyNumberFormat="1" applyFont="1" applyBorder="1"/>
    <xf numFmtId="3" fontId="17" fillId="0" borderId="6" xfId="0" applyNumberFormat="1" applyFont="1" applyBorder="1"/>
    <xf numFmtId="10" fontId="17" fillId="0" borderId="6" xfId="26" applyNumberFormat="1" applyFont="1" applyBorder="1"/>
    <xf numFmtId="0" fontId="85" fillId="0" borderId="8" xfId="0" applyFont="1" applyBorder="1" applyAlignment="1">
      <alignment horizontal="left"/>
    </xf>
    <xf numFmtId="3" fontId="17" fillId="0" borderId="72" xfId="0" applyNumberFormat="1" applyFont="1" applyBorder="1"/>
    <xf numFmtId="3" fontId="0" fillId="0" borderId="0" xfId="0" applyNumberFormat="1"/>
    <xf numFmtId="3" fontId="193" fillId="0" borderId="72" xfId="0" applyNumberFormat="1" applyFont="1" applyBorder="1" applyAlignment="1">
      <alignment horizontal="center"/>
    </xf>
    <xf numFmtId="3" fontId="85" fillId="0" borderId="72" xfId="0" applyNumberFormat="1" applyFont="1" applyBorder="1"/>
    <xf numFmtId="3" fontId="19" fillId="0" borderId="68" xfId="0" applyNumberFormat="1" applyFont="1" applyBorder="1"/>
    <xf numFmtId="3" fontId="85" fillId="0" borderId="72" xfId="0" applyNumberFormat="1" applyFont="1" applyBorder="1" applyAlignment="1">
      <alignment horizontal="left"/>
    </xf>
    <xf numFmtId="0" fontId="194" fillId="0" borderId="0" xfId="0" applyFont="1"/>
    <xf numFmtId="3" fontId="85" fillId="0" borderId="68" xfId="0" applyNumberFormat="1" applyFont="1" applyBorder="1"/>
    <xf numFmtId="0" fontId="193" fillId="0" borderId="10" xfId="0" applyFont="1" applyBorder="1" applyAlignment="1">
      <alignment vertical="top"/>
    </xf>
    <xf numFmtId="43" fontId="85" fillId="0" borderId="67" xfId="1" applyFont="1" applyBorder="1"/>
    <xf numFmtId="10" fontId="0" fillId="0" borderId="0" xfId="26" applyNumberFormat="1" applyFont="1"/>
    <xf numFmtId="4" fontId="0" fillId="0" borderId="0" xfId="0" applyNumberFormat="1"/>
    <xf numFmtId="164" fontId="0" fillId="0" borderId="0" xfId="1" applyNumberFormat="1" applyFont="1"/>
    <xf numFmtId="0" fontId="193" fillId="0" borderId="0" xfId="0" applyFont="1" applyAlignment="1">
      <alignment vertical="top"/>
    </xf>
    <xf numFmtId="0" fontId="17" fillId="0" borderId="0" xfId="0" applyFont="1" applyAlignment="1">
      <alignment horizontal="center" wrapText="1"/>
    </xf>
    <xf numFmtId="0" fontId="17" fillId="0" borderId="0" xfId="0" applyFont="1" applyAlignment="1">
      <alignment horizontal="left"/>
    </xf>
    <xf numFmtId="9" fontId="1" fillId="0" borderId="0" xfId="26" applyBorder="1"/>
    <xf numFmtId="1" fontId="0" fillId="0" borderId="0" xfId="0" applyNumberFormat="1"/>
    <xf numFmtId="0" fontId="14" fillId="0" borderId="3" xfId="0" applyFont="1" applyBorder="1" applyAlignment="1">
      <alignment wrapText="1"/>
    </xf>
    <xf numFmtId="0" fontId="4" fillId="0" borderId="0" xfId="0" applyFont="1"/>
    <xf numFmtId="0" fontId="85" fillId="0" borderId="76" xfId="0" applyFont="1" applyBorder="1" applyAlignment="1">
      <alignment horizontal="left"/>
    </xf>
    <xf numFmtId="164" fontId="4" fillId="0" borderId="0" xfId="1" applyNumberFormat="1" applyFont="1"/>
    <xf numFmtId="0" fontId="4" fillId="2" borderId="77" xfId="0" applyFont="1" applyFill="1" applyBorder="1"/>
    <xf numFmtId="0" fontId="4" fillId="2" borderId="76" xfId="0" applyFont="1" applyFill="1" applyBorder="1"/>
    <xf numFmtId="0" fontId="0" fillId="0" borderId="5" xfId="0" applyBorder="1"/>
    <xf numFmtId="164" fontId="0" fillId="0" borderId="6" xfId="0" applyNumberFormat="1" applyBorder="1"/>
    <xf numFmtId="173" fontId="21" fillId="0" borderId="76" xfId="0" applyNumberFormat="1" applyFont="1" applyBorder="1" applyAlignment="1" applyProtection="1">
      <alignment horizontal="center" vertical="center" wrapText="1"/>
      <protection locked="0"/>
    </xf>
    <xf numFmtId="43" fontId="21" fillId="0" borderId="76" xfId="6" applyFont="1" applyFill="1" applyBorder="1" applyAlignment="1" applyProtection="1">
      <alignment horizontal="center" vertical="center"/>
      <protection locked="0"/>
    </xf>
    <xf numFmtId="164" fontId="0" fillId="0" borderId="6" xfId="1" applyNumberFormat="1" applyFont="1" applyFill="1" applyBorder="1"/>
    <xf numFmtId="0" fontId="4" fillId="0" borderId="0" xfId="0" applyFont="1" applyAlignment="1">
      <alignment horizontal="left"/>
    </xf>
    <xf numFmtId="0" fontId="4" fillId="0" borderId="77" xfId="0" applyFont="1" applyBorder="1" applyAlignment="1">
      <alignment horizontal="left" vertical="center"/>
    </xf>
    <xf numFmtId="0" fontId="4" fillId="0" borderId="5" xfId="0" applyFont="1" applyBorder="1" applyAlignment="1">
      <alignment horizontal="left"/>
    </xf>
    <xf numFmtId="164" fontId="0" fillId="0" borderId="78" xfId="1" applyNumberFormat="1" applyFont="1" applyFill="1" applyBorder="1"/>
    <xf numFmtId="0" fontId="0" fillId="0" borderId="78" xfId="0" applyBorder="1" applyAlignment="1">
      <alignment wrapText="1"/>
    </xf>
    <xf numFmtId="0" fontId="85" fillId="0" borderId="78" xfId="0" applyFont="1" applyBorder="1" applyAlignment="1">
      <alignment horizontal="left"/>
    </xf>
    <xf numFmtId="0" fontId="4" fillId="0" borderId="62" xfId="0" applyFont="1" applyBorder="1" applyAlignment="1">
      <alignment horizontal="left" vertical="center"/>
    </xf>
    <xf numFmtId="0" fontId="4" fillId="0" borderId="62" xfId="0" applyFont="1" applyBorder="1" applyAlignment="1">
      <alignment horizontal="left"/>
    </xf>
    <xf numFmtId="0" fontId="0" fillId="0" borderId="62" xfId="0" applyBorder="1"/>
    <xf numFmtId="0" fontId="201" fillId="110" borderId="0" xfId="0" applyFont="1" applyFill="1" applyAlignment="1">
      <alignment horizontal="center" wrapText="1"/>
    </xf>
    <xf numFmtId="0" fontId="102" fillId="110" borderId="0" xfId="0" applyFont="1" applyFill="1" applyAlignment="1">
      <alignment horizontal="center" wrapText="1"/>
    </xf>
    <xf numFmtId="0" fontId="102" fillId="110" borderId="0" xfId="0" applyFont="1" applyFill="1" applyAlignment="1">
      <alignment horizontal="left" wrapText="1"/>
    </xf>
    <xf numFmtId="0" fontId="102" fillId="111" borderId="0" xfId="0" applyFont="1" applyFill="1" applyAlignment="1">
      <alignment horizontal="left" wrapText="1"/>
    </xf>
    <xf numFmtId="0" fontId="102" fillId="111" borderId="0" xfId="0" applyFont="1" applyFill="1" applyAlignment="1">
      <alignment horizontal="left"/>
    </xf>
    <xf numFmtId="0" fontId="102" fillId="110" borderId="0" xfId="0" applyFont="1" applyFill="1" applyAlignment="1">
      <alignment horizontal="left"/>
    </xf>
    <xf numFmtId="0" fontId="203" fillId="112" borderId="0" xfId="0" applyFont="1" applyFill="1" applyAlignment="1">
      <alignment horizontal="center"/>
    </xf>
    <xf numFmtId="1" fontId="102" fillId="110" borderId="0" xfId="1" applyNumberFormat="1" applyFont="1" applyFill="1" applyAlignment="1">
      <alignment horizontal="left" wrapText="1"/>
    </xf>
    <xf numFmtId="1" fontId="102" fillId="110" borderId="0" xfId="0" applyNumberFormat="1" applyFont="1" applyFill="1" applyAlignment="1">
      <alignment horizontal="left" wrapText="1"/>
    </xf>
    <xf numFmtId="0" fontId="8" fillId="113" borderId="0" xfId="0" applyFont="1" applyFill="1" applyAlignment="1">
      <alignment horizontal="center" vertical="center" wrapText="1"/>
    </xf>
    <xf numFmtId="41" fontId="204" fillId="113" borderId="0" xfId="0" applyNumberFormat="1" applyFont="1" applyFill="1" applyAlignment="1">
      <alignment vertical="center" wrapText="1"/>
    </xf>
    <xf numFmtId="1" fontId="27" fillId="113" borderId="0" xfId="0" applyNumberFormat="1" applyFont="1" applyFill="1" applyAlignment="1">
      <alignment horizontal="center"/>
    </xf>
    <xf numFmtId="166" fontId="8" fillId="113" borderId="0" xfId="0" applyNumberFormat="1" applyFont="1" applyFill="1" applyAlignment="1">
      <alignment horizontal="center"/>
    </xf>
    <xf numFmtId="166" fontId="16" fillId="113" borderId="0" xfId="0" applyNumberFormat="1" applyFont="1" applyFill="1" applyAlignment="1">
      <alignment horizontal="center"/>
    </xf>
    <xf numFmtId="3" fontId="8" fillId="0" borderId="0" xfId="1" applyNumberFormat="1" applyFont="1" applyAlignment="1">
      <alignment horizontal="center"/>
    </xf>
    <xf numFmtId="3" fontId="8" fillId="0" borderId="0" xfId="0" applyNumberFormat="1" applyFont="1" applyAlignment="1">
      <alignment horizontal="center"/>
    </xf>
    <xf numFmtId="0" fontId="204" fillId="0" borderId="0" xfId="0" applyFont="1" applyAlignment="1">
      <alignment horizontal="left" vertical="center" wrapText="1"/>
    </xf>
    <xf numFmtId="41" fontId="204" fillId="0" borderId="0" xfId="0" applyNumberFormat="1" applyFont="1" applyAlignment="1">
      <alignment vertical="center" wrapText="1"/>
    </xf>
    <xf numFmtId="1" fontId="27" fillId="0" borderId="0" xfId="0" applyNumberFormat="1" applyFont="1" applyAlignment="1">
      <alignment horizontal="center"/>
    </xf>
    <xf numFmtId="166" fontId="8" fillId="0" borderId="0" xfId="0" applyNumberFormat="1" applyFont="1" applyAlignment="1">
      <alignment horizontal="center"/>
    </xf>
    <xf numFmtId="166" fontId="16" fillId="0" borderId="0" xfId="0" applyNumberFormat="1" applyFont="1" applyAlignment="1">
      <alignment horizontal="center"/>
    </xf>
    <xf numFmtId="41" fontId="16" fillId="0" borderId="0" xfId="0" applyNumberFormat="1" applyFont="1" applyAlignment="1">
      <alignment vertical="center" wrapText="1"/>
    </xf>
    <xf numFmtId="0" fontId="16" fillId="0" borderId="0" xfId="0" applyFont="1" applyAlignment="1">
      <alignment horizontal="left" vertical="center" wrapText="1"/>
    </xf>
    <xf numFmtId="0" fontId="0" fillId="0" borderId="0" xfId="0" applyAlignment="1">
      <alignment vertical="center"/>
    </xf>
    <xf numFmtId="41" fontId="0" fillId="0" borderId="0" xfId="0" applyNumberFormat="1" applyAlignment="1">
      <alignment vertical="center"/>
    </xf>
    <xf numFmtId="1" fontId="8" fillId="0" borderId="0" xfId="1" applyNumberFormat="1" applyFont="1" applyAlignment="1">
      <alignment horizontal="center"/>
    </xf>
    <xf numFmtId="1" fontId="8" fillId="0" borderId="0" xfId="0" applyNumberFormat="1" applyFont="1" applyAlignment="1">
      <alignment horizontal="center"/>
    </xf>
    <xf numFmtId="1" fontId="0" fillId="0" borderId="0" xfId="1" applyNumberFormat="1" applyFont="1"/>
    <xf numFmtId="0" fontId="9" fillId="0" borderId="79" xfId="6" applyNumberFormat="1" applyFont="1" applyFill="1" applyBorder="1" applyAlignment="1">
      <alignment vertical="top" wrapText="1"/>
    </xf>
    <xf numFmtId="0" fontId="4" fillId="0" borderId="82" xfId="0" applyFont="1" applyBorder="1" applyAlignment="1">
      <alignment horizontal="left"/>
    </xf>
    <xf numFmtId="164" fontId="0" fillId="0" borderId="79" xfId="1" applyNumberFormat="1" applyFont="1" applyFill="1" applyBorder="1"/>
    <xf numFmtId="0" fontId="22" fillId="0" borderId="0" xfId="45" applyAlignment="1">
      <alignment vertical="center"/>
    </xf>
    <xf numFmtId="170" fontId="9" fillId="0" borderId="0" xfId="42" applyNumberFormat="1" applyFont="1"/>
    <xf numFmtId="164" fontId="200" fillId="0" borderId="78" xfId="1" applyNumberFormat="1" applyFont="1" applyFill="1" applyBorder="1"/>
    <xf numFmtId="0" fontId="6" fillId="3" borderId="11" xfId="0" applyFont="1" applyFill="1" applyBorder="1" applyAlignment="1">
      <alignment horizontal="center" wrapText="1"/>
    </xf>
    <xf numFmtId="0" fontId="6" fillId="3" borderId="12" xfId="0" applyFont="1" applyFill="1" applyBorder="1" applyAlignment="1">
      <alignment horizontal="center" wrapText="1"/>
    </xf>
    <xf numFmtId="0" fontId="6" fillId="3" borderId="0" xfId="0" applyFont="1" applyFill="1" applyAlignment="1">
      <alignment horizontal="center" wrapText="1"/>
    </xf>
    <xf numFmtId="0" fontId="3" fillId="2" borderId="8" xfId="0" applyFont="1" applyFill="1" applyBorder="1" applyAlignment="1">
      <alignment wrapText="1"/>
    </xf>
    <xf numFmtId="0" fontId="3" fillId="2" borderId="7" xfId="0" applyFont="1" applyFill="1" applyBorder="1" applyAlignment="1">
      <alignment wrapText="1"/>
    </xf>
    <xf numFmtId="3" fontId="3" fillId="0" borderId="78" xfId="1" applyNumberFormat="1" applyFont="1" applyFill="1" applyBorder="1" applyAlignment="1">
      <alignment horizontal="right"/>
    </xf>
    <xf numFmtId="0" fontId="3" fillId="2" borderId="78" xfId="0" applyFont="1" applyFill="1" applyBorder="1" applyAlignment="1">
      <alignment wrapText="1"/>
    </xf>
    <xf numFmtId="0" fontId="3" fillId="2" borderId="79" xfId="0" applyFont="1" applyFill="1" applyBorder="1" applyAlignment="1">
      <alignment wrapText="1"/>
    </xf>
    <xf numFmtId="0" fontId="3" fillId="2" borderId="54" xfId="0" applyFont="1" applyFill="1" applyBorder="1" applyAlignment="1">
      <alignment wrapText="1"/>
    </xf>
    <xf numFmtId="3" fontId="3" fillId="0" borderId="79" xfId="1" applyNumberFormat="1" applyFont="1" applyFill="1" applyBorder="1" applyAlignment="1">
      <alignment horizontal="right"/>
    </xf>
    <xf numFmtId="0" fontId="205" fillId="2" borderId="5" xfId="0" applyFont="1" applyFill="1" applyBorder="1" applyAlignment="1">
      <alignment wrapText="1"/>
    </xf>
    <xf numFmtId="0" fontId="205" fillId="2" borderId="6" xfId="0" applyFont="1" applyFill="1" applyBorder="1" applyAlignment="1">
      <alignment wrapText="1"/>
    </xf>
    <xf numFmtId="164" fontId="205" fillId="0" borderId="6" xfId="1" applyNumberFormat="1" applyFont="1" applyFill="1" applyBorder="1" applyAlignment="1">
      <alignment wrapText="1"/>
    </xf>
    <xf numFmtId="10" fontId="85" fillId="0" borderId="78" xfId="26" applyNumberFormat="1" applyFont="1" applyFill="1" applyBorder="1"/>
    <xf numFmtId="164" fontId="9" fillId="0" borderId="0" xfId="42" applyNumberFormat="1" applyFont="1"/>
    <xf numFmtId="0" fontId="17" fillId="2" borderId="5" xfId="42" applyFont="1" applyFill="1" applyBorder="1" applyAlignment="1" applyProtection="1">
      <alignment horizontal="left" vertical="top" wrapText="1"/>
      <protection locked="0"/>
    </xf>
    <xf numFmtId="0" fontId="10" fillId="2" borderId="9" xfId="42" applyFont="1" applyFill="1" applyBorder="1" applyAlignment="1">
      <alignment horizontal="left" vertical="top"/>
    </xf>
    <xf numFmtId="0" fontId="13" fillId="2" borderId="80" xfId="0" applyFont="1" applyFill="1" applyBorder="1" applyAlignment="1">
      <alignment horizontal="center" wrapText="1"/>
    </xf>
    <xf numFmtId="0" fontId="13" fillId="2" borderId="81" xfId="0" applyFont="1" applyFill="1" applyBorder="1" applyAlignment="1">
      <alignment horizontal="center" wrapText="1"/>
    </xf>
    <xf numFmtId="0" fontId="9" fillId="0" borderId="78" xfId="42" applyFont="1" applyBorder="1"/>
    <xf numFmtId="0" fontId="3" fillId="2" borderId="80" xfId="0" applyFont="1" applyFill="1" applyBorder="1" applyAlignment="1">
      <alignment wrapText="1"/>
    </xf>
    <xf numFmtId="9" fontId="9" fillId="0" borderId="78" xfId="26" applyFont="1" applyFill="1" applyBorder="1"/>
    <xf numFmtId="0" fontId="9" fillId="0" borderId="78" xfId="42" applyFont="1" applyBorder="1" applyAlignment="1">
      <alignment wrapText="1"/>
    </xf>
    <xf numFmtId="9" fontId="9" fillId="0" borderId="78" xfId="42" applyNumberFormat="1" applyFont="1" applyBorder="1"/>
    <xf numFmtId="0" fontId="17" fillId="2" borderId="78" xfId="42" applyFont="1" applyFill="1" applyBorder="1" applyAlignment="1" applyProtection="1">
      <alignment horizontal="right" wrapText="1"/>
      <protection locked="0"/>
    </xf>
    <xf numFmtId="0" fontId="18" fillId="2" borderId="78" xfId="42" applyFont="1" applyFill="1" applyBorder="1" applyAlignment="1" applyProtection="1">
      <alignment horizontal="right" wrapText="1"/>
      <protection locked="0"/>
    </xf>
    <xf numFmtId="0" fontId="11" fillId="0" borderId="78" xfId="42" applyFont="1" applyBorder="1" applyAlignment="1">
      <alignment horizontal="center"/>
    </xf>
    <xf numFmtId="1" fontId="11" fillId="0" borderId="78" xfId="42" applyNumberFormat="1" applyFont="1" applyBorder="1" applyAlignment="1">
      <alignment horizontal="center"/>
    </xf>
    <xf numFmtId="0" fontId="11" fillId="0" borderId="78" xfId="42" applyFont="1" applyBorder="1" applyAlignment="1">
      <alignment wrapText="1"/>
    </xf>
    <xf numFmtId="0" fontId="19" fillId="2" borderId="78" xfId="42" applyFont="1" applyFill="1" applyBorder="1" applyAlignment="1" applyProtection="1">
      <alignment horizontal="right" wrapText="1"/>
      <protection locked="0"/>
    </xf>
    <xf numFmtId="164" fontId="9" fillId="0" borderId="78" xfId="6" applyNumberFormat="1" applyFont="1" applyFill="1" applyBorder="1"/>
    <xf numFmtId="170" fontId="9" fillId="0" borderId="78" xfId="42" applyNumberFormat="1" applyFont="1" applyBorder="1"/>
    <xf numFmtId="0" fontId="9" fillId="0" borderId="78" xfId="6" applyNumberFormat="1" applyFont="1" applyFill="1" applyBorder="1" applyAlignment="1">
      <alignment wrapText="1"/>
    </xf>
    <xf numFmtId="164" fontId="9" fillId="0" borderId="78" xfId="6" quotePrefix="1" applyNumberFormat="1" applyFont="1" applyFill="1" applyBorder="1"/>
    <xf numFmtId="10" fontId="9" fillId="0" borderId="78" xfId="26" applyNumberFormat="1" applyFont="1" applyFill="1" applyBorder="1"/>
    <xf numFmtId="0" fontId="19" fillId="0" borderId="78" xfId="42" applyFont="1" applyBorder="1" applyAlignment="1">
      <alignment wrapText="1"/>
    </xf>
    <xf numFmtId="164" fontId="1" fillId="2" borderId="78" xfId="6" applyNumberFormat="1" applyFont="1" applyFill="1" applyBorder="1"/>
    <xf numFmtId="164" fontId="9" fillId="0" borderId="78" xfId="42" applyNumberFormat="1" applyFont="1" applyBorder="1"/>
    <xf numFmtId="0" fontId="19" fillId="0" borderId="78" xfId="6" applyNumberFormat="1" applyFont="1" applyFill="1" applyBorder="1" applyAlignment="1">
      <alignment wrapText="1"/>
    </xf>
    <xf numFmtId="0" fontId="9" fillId="0" borderId="78" xfId="6" applyNumberFormat="1" applyFont="1" applyFill="1" applyBorder="1" applyAlignment="1"/>
    <xf numFmtId="0" fontId="0" fillId="0" borderId="78" xfId="42" applyFont="1" applyBorder="1" applyAlignment="1">
      <alignment wrapText="1"/>
    </xf>
    <xf numFmtId="164" fontId="0" fillId="2" borderId="78" xfId="0" applyNumberFormat="1" applyFill="1" applyBorder="1"/>
    <xf numFmtId="164" fontId="1" fillId="0" borderId="78" xfId="6" applyNumberFormat="1" applyFont="1" applyFill="1" applyBorder="1"/>
    <xf numFmtId="164" fontId="19" fillId="0" borderId="78" xfId="6" quotePrefix="1" applyNumberFormat="1" applyFont="1" applyFill="1" applyBorder="1"/>
    <xf numFmtId="164" fontId="1" fillId="2" borderId="78" xfId="0" applyNumberFormat="1" applyFont="1" applyFill="1" applyBorder="1"/>
    <xf numFmtId="37" fontId="200" fillId="0" borderId="78" xfId="1" applyNumberFormat="1" applyFont="1" applyFill="1" applyBorder="1" applyAlignment="1" applyProtection="1">
      <alignment horizontal="center" vertical="center" wrapText="1"/>
      <protection locked="0"/>
    </xf>
    <xf numFmtId="37" fontId="200" fillId="0" borderId="78" xfId="1" applyNumberFormat="1" applyFont="1" applyFill="1" applyBorder="1" applyAlignment="1" applyProtection="1">
      <alignment horizontal="center" vertical="center"/>
      <protection locked="0"/>
    </xf>
    <xf numFmtId="37" fontId="0" fillId="0" borderId="78" xfId="1" applyNumberFormat="1" applyFont="1" applyFill="1" applyBorder="1"/>
    <xf numFmtId="164" fontId="0" fillId="0" borderId="78" xfId="1" applyNumberFormat="1" applyFont="1" applyBorder="1"/>
    <xf numFmtId="164" fontId="200" fillId="0" borderId="78" xfId="1" applyNumberFormat="1" applyFont="1" applyFill="1" applyBorder="1" applyAlignment="1" applyProtection="1">
      <alignment horizontal="center" vertical="center" wrapText="1"/>
      <protection locked="0"/>
    </xf>
    <xf numFmtId="164" fontId="200" fillId="0" borderId="78" xfId="1" applyNumberFormat="1" applyFont="1" applyFill="1" applyBorder="1" applyAlignment="1" applyProtection="1">
      <alignment horizontal="center" vertical="center"/>
      <protection locked="0"/>
    </xf>
    <xf numFmtId="3" fontId="200" fillId="0" borderId="78" xfId="1" applyNumberFormat="1" applyFont="1" applyFill="1" applyBorder="1"/>
    <xf numFmtId="3" fontId="0" fillId="0" borderId="78" xfId="0" applyNumberFormat="1" applyBorder="1"/>
    <xf numFmtId="10" fontId="0" fillId="0" borderId="78" xfId="26" applyNumberFormat="1" applyFont="1" applyFill="1" applyBorder="1"/>
    <xf numFmtId="0" fontId="105" fillId="0" borderId="0" xfId="0" applyFont="1"/>
    <xf numFmtId="0" fontId="17" fillId="0" borderId="78" xfId="0" applyFont="1" applyBorder="1" applyAlignment="1">
      <alignment horizontal="center" wrapText="1"/>
    </xf>
    <xf numFmtId="10" fontId="0" fillId="0" borderId="78" xfId="26" applyNumberFormat="1" applyFont="1" applyBorder="1"/>
    <xf numFmtId="164" fontId="14" fillId="0" borderId="0" xfId="0" applyNumberFormat="1" applyFont="1" applyAlignment="1">
      <alignment wrapText="1"/>
    </xf>
    <xf numFmtId="3" fontId="17" fillId="0" borderId="85" xfId="0" applyNumberFormat="1" applyFont="1" applyBorder="1"/>
    <xf numFmtId="3" fontId="207" fillId="0" borderId="86" xfId="0" applyNumberFormat="1" applyFont="1" applyBorder="1"/>
    <xf numFmtId="3" fontId="207" fillId="0" borderId="87" xfId="0" applyNumberFormat="1" applyFont="1" applyBorder="1"/>
    <xf numFmtId="3" fontId="207" fillId="0" borderId="88" xfId="0" applyNumberFormat="1" applyFont="1" applyBorder="1"/>
    <xf numFmtId="3" fontId="207" fillId="0" borderId="89" xfId="0" applyNumberFormat="1" applyFont="1" applyBorder="1"/>
    <xf numFmtId="3" fontId="207" fillId="0" borderId="90" xfId="0" applyNumberFormat="1" applyFont="1" applyBorder="1"/>
    <xf numFmtId="10" fontId="17" fillId="0" borderId="69" xfId="26" applyNumberFormat="1" applyFont="1" applyBorder="1"/>
    <xf numFmtId="164" fontId="14" fillId="0" borderId="0" xfId="1" applyNumberFormat="1" applyFont="1" applyAlignment="1">
      <alignment wrapText="1"/>
    </xf>
    <xf numFmtId="166" fontId="0" fillId="0" borderId="0" xfId="26" applyNumberFormat="1" applyFont="1"/>
    <xf numFmtId="0" fontId="11" fillId="0" borderId="0" xfId="42" applyFont="1" applyAlignment="1">
      <alignment horizontal="center"/>
    </xf>
    <xf numFmtId="1" fontId="11" fillId="0" borderId="0" xfId="42" applyNumberFormat="1" applyFont="1" applyAlignment="1">
      <alignment horizontal="center"/>
    </xf>
    <xf numFmtId="43" fontId="0" fillId="0" borderId="0" xfId="0" applyNumberFormat="1"/>
    <xf numFmtId="9" fontId="0" fillId="0" borderId="0" xfId="0" applyNumberFormat="1"/>
    <xf numFmtId="49" fontId="9" fillId="0" borderId="78" xfId="6" applyNumberFormat="1" applyFont="1" applyFill="1" applyBorder="1" applyAlignment="1">
      <alignment wrapText="1"/>
    </xf>
    <xf numFmtId="0" fontId="209" fillId="114" borderId="0" xfId="0" applyFont="1" applyFill="1" applyAlignment="1">
      <alignment horizontal="left" wrapText="1"/>
    </xf>
    <xf numFmtId="0" fontId="133" fillId="114" borderId="0" xfId="0" applyFont="1" applyFill="1" applyAlignment="1">
      <alignment horizontal="center" vertical="center" wrapText="1"/>
    </xf>
    <xf numFmtId="0" fontId="209" fillId="115" borderId="0" xfId="0" applyFont="1" applyFill="1" applyAlignment="1">
      <alignment horizontal="left" wrapText="1"/>
    </xf>
    <xf numFmtId="0" fontId="133" fillId="115" borderId="0" xfId="0" applyFont="1" applyFill="1" applyAlignment="1">
      <alignment horizontal="left" wrapText="1"/>
    </xf>
    <xf numFmtId="0" fontId="133" fillId="115" borderId="0" xfId="0" applyFont="1" applyFill="1" applyAlignment="1">
      <alignment horizontal="left"/>
    </xf>
    <xf numFmtId="0" fontId="133" fillId="116" borderId="0" xfId="0" applyFont="1" applyFill="1" applyAlignment="1">
      <alignment horizontal="left"/>
    </xf>
    <xf numFmtId="0" fontId="133" fillId="116" borderId="0" xfId="0" applyFont="1" applyFill="1" applyAlignment="1">
      <alignment horizontal="left" wrapText="1"/>
    </xf>
    <xf numFmtId="0" fontId="209" fillId="112" borderId="0" xfId="0" applyFont="1" applyFill="1" applyAlignment="1">
      <alignment horizontal="center"/>
    </xf>
    <xf numFmtId="0" fontId="213" fillId="0" borderId="0" xfId="0" applyFont="1" applyAlignment="1">
      <alignment horizontal="center" vertical="center" wrapText="1"/>
    </xf>
    <xf numFmtId="41" fontId="206" fillId="0" borderId="0" xfId="0" applyNumberFormat="1" applyFont="1" applyAlignment="1">
      <alignment vertical="center" wrapText="1"/>
    </xf>
    <xf numFmtId="0" fontId="209" fillId="114" borderId="0" xfId="0" applyFont="1" applyFill="1" applyAlignment="1">
      <alignment horizontal="center" wrapText="1"/>
    </xf>
    <xf numFmtId="166" fontId="28" fillId="0" borderId="0" xfId="0" applyNumberFormat="1" applyFont="1" applyAlignment="1">
      <alignment horizontal="center"/>
    </xf>
    <xf numFmtId="166" fontId="15" fillId="0" borderId="0" xfId="0" applyNumberFormat="1" applyFont="1" applyAlignment="1">
      <alignment horizontal="center"/>
    </xf>
    <xf numFmtId="9" fontId="28" fillId="0" borderId="0" xfId="0" applyNumberFormat="1" applyFont="1" applyAlignment="1">
      <alignment horizontal="center"/>
    </xf>
    <xf numFmtId="1" fontId="28" fillId="0" borderId="0" xfId="0" applyNumberFormat="1" applyFont="1" applyAlignment="1">
      <alignment horizontal="center"/>
    </xf>
    <xf numFmtId="0" fontId="206" fillId="0" borderId="0" xfId="0" applyFont="1" applyAlignment="1">
      <alignment horizontal="left" vertical="center" wrapText="1"/>
    </xf>
    <xf numFmtId="41" fontId="15" fillId="0" borderId="0" xfId="0" applyNumberFormat="1" applyFont="1" applyAlignment="1">
      <alignment vertical="center" wrapText="1"/>
    </xf>
    <xf numFmtId="41" fontId="15" fillId="0" borderId="0" xfId="0" applyNumberFormat="1" applyFont="1" applyAlignment="1">
      <alignment horizontal="center" vertical="center" wrapText="1"/>
    </xf>
    <xf numFmtId="0" fontId="15" fillId="0" borderId="0" xfId="0" applyFont="1" applyAlignment="1">
      <alignment horizontal="left" vertical="center" wrapText="1"/>
    </xf>
    <xf numFmtId="9" fontId="209" fillId="114" borderId="0" xfId="0" applyNumberFormat="1" applyFont="1" applyFill="1" applyAlignment="1">
      <alignment horizontal="center" wrapText="1"/>
    </xf>
    <xf numFmtId="167" fontId="0" fillId="0" borderId="78" xfId="42" applyNumberFormat="1" applyFont="1" applyBorder="1"/>
    <xf numFmtId="0" fontId="10" fillId="0" borderId="0" xfId="42" applyFont="1"/>
    <xf numFmtId="164" fontId="19" fillId="0" borderId="0" xfId="6" applyNumberFormat="1" applyFont="1" applyFill="1" applyBorder="1"/>
    <xf numFmtId="164" fontId="1" fillId="0" borderId="78" xfId="1" applyNumberFormat="1" applyFont="1" applyFill="1" applyBorder="1"/>
    <xf numFmtId="0" fontId="136" fillId="0" borderId="0" xfId="0" applyFont="1" applyAlignment="1">
      <alignment wrapText="1"/>
    </xf>
    <xf numFmtId="3" fontId="14" fillId="0" borderId="0" xfId="0" applyNumberFormat="1" applyFont="1" applyAlignment="1">
      <alignment wrapText="1"/>
    </xf>
    <xf numFmtId="41" fontId="0" fillId="0" borderId="0" xfId="0" applyNumberFormat="1"/>
    <xf numFmtId="0" fontId="105" fillId="0" borderId="78" xfId="42" applyFont="1" applyBorder="1" applyAlignment="1">
      <alignment wrapText="1"/>
    </xf>
    <xf numFmtId="37" fontId="0" fillId="0" borderId="0" xfId="1" applyNumberFormat="1" applyFont="1" applyFill="1" applyBorder="1"/>
    <xf numFmtId="166" fontId="0" fillId="0" borderId="0" xfId="26" applyNumberFormat="1" applyFont="1" applyFill="1"/>
    <xf numFmtId="9" fontId="200" fillId="0" borderId="78" xfId="26" applyFont="1" applyBorder="1"/>
    <xf numFmtId="0" fontId="6" fillId="0" borderId="0" xfId="0" applyFont="1" applyAlignment="1">
      <alignment vertical="top" wrapText="1"/>
    </xf>
    <xf numFmtId="0" fontId="206" fillId="0" borderId="0" xfId="0" applyFont="1" applyAlignment="1">
      <alignment wrapText="1"/>
    </xf>
    <xf numFmtId="0" fontId="17" fillId="0" borderId="13" xfId="0" applyFont="1" applyBorder="1" applyAlignment="1">
      <alignment horizontal="left"/>
    </xf>
    <xf numFmtId="0" fontId="17" fillId="0" borderId="69" xfId="0" applyFont="1" applyBorder="1" applyAlignment="1">
      <alignment horizontal="left"/>
    </xf>
    <xf numFmtId="0" fontId="191" fillId="0" borderId="0" xfId="0" applyFont="1" applyAlignment="1">
      <alignment horizontal="center"/>
    </xf>
    <xf numFmtId="0" fontId="192" fillId="0" borderId="0" xfId="0" applyFont="1" applyAlignment="1">
      <alignment horizontal="center"/>
    </xf>
    <xf numFmtId="3" fontId="17" fillId="0" borderId="74" xfId="0" applyNumberFormat="1" applyFont="1" applyBorder="1" applyAlignment="1">
      <alignment horizontal="left"/>
    </xf>
    <xf numFmtId="3" fontId="17" fillId="0" borderId="75" xfId="0" applyNumberFormat="1" applyFont="1" applyBorder="1" applyAlignment="1">
      <alignment horizontal="left"/>
    </xf>
    <xf numFmtId="0" fontId="193" fillId="0" borderId="91" xfId="0" applyFont="1" applyBorder="1" applyAlignment="1">
      <alignment horizontal="center" vertical="top"/>
    </xf>
    <xf numFmtId="0" fontId="193" fillId="0" borderId="3" xfId="0" applyFont="1" applyBorder="1" applyAlignment="1">
      <alignment horizontal="center" vertical="top"/>
    </xf>
    <xf numFmtId="0" fontId="193" fillId="0" borderId="71" xfId="0" applyFont="1" applyBorder="1" applyAlignment="1">
      <alignment horizontal="center" vertical="top"/>
    </xf>
    <xf numFmtId="0" fontId="193" fillId="0" borderId="70" xfId="0" applyFont="1" applyBorder="1" applyAlignment="1">
      <alignment horizontal="center" vertical="top"/>
    </xf>
    <xf numFmtId="0" fontId="193" fillId="0" borderId="70" xfId="0" applyFont="1" applyBorder="1" applyAlignment="1">
      <alignment horizontal="center" vertical="top" wrapText="1"/>
    </xf>
    <xf numFmtId="0" fontId="193" fillId="0" borderId="3" xfId="0" applyFont="1" applyBorder="1" applyAlignment="1">
      <alignment horizontal="center" vertical="top" wrapText="1"/>
    </xf>
    <xf numFmtId="0" fontId="193" fillId="0" borderId="71" xfId="0" applyFont="1" applyBorder="1" applyAlignment="1">
      <alignment horizontal="center" vertical="top" wrapText="1"/>
    </xf>
    <xf numFmtId="0" fontId="17" fillId="0" borderId="73" xfId="0" applyFont="1" applyBorder="1" applyAlignment="1">
      <alignment horizontal="left"/>
    </xf>
    <xf numFmtId="0" fontId="17" fillId="0" borderId="70" xfId="0" applyFont="1" applyBorder="1" applyAlignment="1">
      <alignment horizontal="left"/>
    </xf>
    <xf numFmtId="0" fontId="193" fillId="0" borderId="70" xfId="0" applyFont="1" applyBorder="1" applyAlignment="1">
      <alignment horizontal="center" wrapText="1"/>
    </xf>
    <xf numFmtId="0" fontId="193" fillId="0" borderId="71" xfId="0" applyFont="1" applyBorder="1" applyAlignment="1">
      <alignment horizontal="center" wrapText="1"/>
    </xf>
    <xf numFmtId="0" fontId="10" fillId="2" borderId="80" xfId="42" applyFont="1" applyFill="1" applyBorder="1" applyAlignment="1">
      <alignment horizontal="center"/>
    </xf>
    <xf numFmtId="0" fontId="10" fillId="2" borderId="40" xfId="42" applyFont="1" applyFill="1" applyBorder="1" applyAlignment="1">
      <alignment horizontal="center"/>
    </xf>
    <xf numFmtId="0" fontId="10" fillId="2" borderId="81" xfId="42" applyFont="1" applyFill="1" applyBorder="1" applyAlignment="1">
      <alignment horizontal="center"/>
    </xf>
    <xf numFmtId="164" fontId="0" fillId="2" borderId="80" xfId="42" applyNumberFormat="1" applyFont="1" applyFill="1" applyBorder="1" applyAlignment="1">
      <alignment horizontal="center" wrapText="1"/>
    </xf>
    <xf numFmtId="164" fontId="0" fillId="2" borderId="40" xfId="42" applyNumberFormat="1" applyFont="1" applyFill="1" applyBorder="1" applyAlignment="1">
      <alignment horizontal="center" wrapText="1"/>
    </xf>
    <xf numFmtId="164" fontId="0" fillId="2" borderId="81" xfId="42" applyNumberFormat="1" applyFont="1" applyFill="1" applyBorder="1" applyAlignment="1">
      <alignment horizontal="center" wrapText="1"/>
    </xf>
    <xf numFmtId="0" fontId="13" fillId="2" borderId="80" xfId="0" applyFont="1" applyFill="1" applyBorder="1" applyAlignment="1">
      <alignment horizontal="center" wrapText="1"/>
    </xf>
    <xf numFmtId="0" fontId="13" fillId="2" borderId="81" xfId="0" applyFont="1" applyFill="1" applyBorder="1" applyAlignment="1">
      <alignment horizontal="center" wrapText="1"/>
    </xf>
    <xf numFmtId="0" fontId="9" fillId="0" borderId="83" xfId="42" applyFont="1" applyBorder="1" applyAlignment="1">
      <alignment horizontal="left" vertical="top" wrapText="1"/>
    </xf>
    <xf numFmtId="0" fontId="9" fillId="0" borderId="84" xfId="42" applyFont="1" applyBorder="1" applyAlignment="1">
      <alignment horizontal="left" vertical="top" wrapText="1"/>
    </xf>
  </cellXfs>
  <cellStyles count="44422">
    <cellStyle name="_x0013_" xfId="56" xr:uid="{00000000-0005-0000-0000-000000000000}"/>
    <cellStyle name="_x0013_ 2" xfId="57" xr:uid="{00000000-0005-0000-0000-000001000000}"/>
    <cellStyle name="_x0013_ 2 2" xfId="58" xr:uid="{00000000-0005-0000-0000-000002000000}"/>
    <cellStyle name="_x0013_ 2 2 2" xfId="8042" xr:uid="{00000000-0005-0000-0000-000003000000}"/>
    <cellStyle name="_x0013_ 2 3" xfId="59" xr:uid="{00000000-0005-0000-0000-000004000000}"/>
    <cellStyle name="_x0013_ 2 3 2" xfId="8043" xr:uid="{00000000-0005-0000-0000-000005000000}"/>
    <cellStyle name="_x0013_ 2 4" xfId="60" xr:uid="{00000000-0005-0000-0000-000006000000}"/>
    <cellStyle name="_x0013_ 2 4 2" xfId="61" xr:uid="{00000000-0005-0000-0000-000007000000}"/>
    <cellStyle name="_x0013_ 2 4 2 2" xfId="8044" xr:uid="{00000000-0005-0000-0000-000008000000}"/>
    <cellStyle name="_x0013_ 2 4 3" xfId="62" xr:uid="{00000000-0005-0000-0000-000009000000}"/>
    <cellStyle name="_x0013_ 2 4 4" xfId="63" xr:uid="{00000000-0005-0000-0000-00000A000000}"/>
    <cellStyle name="_x0013_ 2 4 4 2" xfId="64" xr:uid="{00000000-0005-0000-0000-00000B000000}"/>
    <cellStyle name="_x0013_ 2 5" xfId="8045" xr:uid="{00000000-0005-0000-0000-00000C000000}"/>
    <cellStyle name="_x0013_ 3" xfId="65" xr:uid="{00000000-0005-0000-0000-00000D000000}"/>
    <cellStyle name="_x0013_ 3 2" xfId="8046" xr:uid="{00000000-0005-0000-0000-00000E000000}"/>
    <cellStyle name="_x0013_ 3 2 2" xfId="19275" xr:uid="{00000000-0005-0000-0000-00000F000000}"/>
    <cellStyle name="_x0013_ 3 3" xfId="19276" xr:uid="{00000000-0005-0000-0000-000010000000}"/>
    <cellStyle name="_x0013_ 4" xfId="8047" xr:uid="{00000000-0005-0000-0000-000011000000}"/>
    <cellStyle name="_x0013_ 4 2" xfId="19277" xr:uid="{00000000-0005-0000-0000-000012000000}"/>
    <cellStyle name="_x0013_ 5" xfId="19278" xr:uid="{00000000-0005-0000-0000-000013000000}"/>
    <cellStyle name="_x0013_ 5 2" xfId="19279" xr:uid="{00000000-0005-0000-0000-000014000000}"/>
    <cellStyle name="_x0013_ 6" xfId="19280" xr:uid="{00000000-0005-0000-0000-000015000000}"/>
    <cellStyle name="$/RMB" xfId="19281" xr:uid="{00000000-0005-0000-0000-000016000000}"/>
    <cellStyle name="$/RMB 0.00" xfId="19282" xr:uid="{00000000-0005-0000-0000-000017000000}"/>
    <cellStyle name="$/RMB 0.0000" xfId="19283" xr:uid="{00000000-0005-0000-0000-000018000000}"/>
    <cellStyle name="$0.00" xfId="19284" xr:uid="{00000000-0005-0000-0000-000019000000}"/>
    <cellStyle name="$0.00 2" xfId="19285" xr:uid="{00000000-0005-0000-0000-00001A000000}"/>
    <cellStyle name="$HK" xfId="19286" xr:uid="{00000000-0005-0000-0000-00001B000000}"/>
    <cellStyle name="$HK 0.000" xfId="19287" xr:uid="{00000000-0005-0000-0000-00001C000000}"/>
    <cellStyle name="*MB Hardwired" xfId="66" xr:uid="{00000000-0005-0000-0000-00001D000000}"/>
    <cellStyle name="*MB Input Table Calc" xfId="67" xr:uid="{00000000-0005-0000-0000-00001E000000}"/>
    <cellStyle name="*MB Normal" xfId="68" xr:uid="{00000000-0005-0000-0000-00001F000000}"/>
    <cellStyle name="*MB Normal 2" xfId="69" xr:uid="{00000000-0005-0000-0000-000020000000}"/>
    <cellStyle name="*MB Normal 2 2" xfId="8048" xr:uid="{00000000-0005-0000-0000-000021000000}"/>
    <cellStyle name="*MB Normal 3" xfId="70" xr:uid="{00000000-0005-0000-0000-000022000000}"/>
    <cellStyle name="*MB Normal 3 2" xfId="71" xr:uid="{00000000-0005-0000-0000-000023000000}"/>
    <cellStyle name="*MB Normal 3 2 2" xfId="8049" xr:uid="{00000000-0005-0000-0000-000024000000}"/>
    <cellStyle name="*MB Normal 3 3" xfId="8050" xr:uid="{00000000-0005-0000-0000-000025000000}"/>
    <cellStyle name="*MB Normal 4" xfId="8051" xr:uid="{00000000-0005-0000-0000-000026000000}"/>
    <cellStyle name="*MB Placeholder" xfId="72" xr:uid="{00000000-0005-0000-0000-000027000000}"/>
    <cellStyle name="?? [0]_VERA" xfId="73" xr:uid="{00000000-0005-0000-0000-000028000000}"/>
    <cellStyle name="?????_VERA" xfId="74" xr:uid="{00000000-0005-0000-0000-000029000000}"/>
    <cellStyle name="??_VERA" xfId="75" xr:uid="{00000000-0005-0000-0000-00002A000000}"/>
    <cellStyle name="_x0013__12 Rolling Months" xfId="19288" xr:uid="{00000000-0005-0000-0000-00002B000000}"/>
    <cellStyle name="_x0013__12 Rolling Months 2" xfId="19289" xr:uid="{00000000-0005-0000-0000-00002C000000}"/>
    <cellStyle name="_x0013__12 Rolling Months 2 2" xfId="19290" xr:uid="{00000000-0005-0000-0000-00002D000000}"/>
    <cellStyle name="_x0013__12 Rolling Months 3" xfId="19291" xr:uid="{00000000-0005-0000-0000-00002E000000}"/>
    <cellStyle name="_2008_II__DR_RFP_COSTS" xfId="19292" xr:uid="{00000000-0005-0000-0000-00002F000000}"/>
    <cellStyle name="_2008_II__DR_RFP_COSTS 2" xfId="19293" xr:uid="{00000000-0005-0000-0000-000030000000}"/>
    <cellStyle name="_x0013__2011 Actual" xfId="19294" xr:uid="{00000000-0005-0000-0000-000031000000}"/>
    <cellStyle name="_x0013__2011 Actual 2" xfId="19295" xr:uid="{00000000-0005-0000-0000-000032000000}"/>
    <cellStyle name="_x0013__2011 Actual 2 2" xfId="19296" xr:uid="{00000000-0005-0000-0000-000033000000}"/>
    <cellStyle name="_x0013__2011 Actual 3" xfId="19297" xr:uid="{00000000-0005-0000-0000-000034000000}"/>
    <cellStyle name="_x0013__2011 Data" xfId="76" xr:uid="{00000000-0005-0000-0000-000035000000}"/>
    <cellStyle name="_x0013__2011 Data 2" xfId="77" xr:uid="{00000000-0005-0000-0000-000036000000}"/>
    <cellStyle name="_x0013__2011 Data 2 2" xfId="8052" xr:uid="{00000000-0005-0000-0000-000037000000}"/>
    <cellStyle name="_x0013__2011 Data 2 2 2" xfId="19298" xr:uid="{00000000-0005-0000-0000-000038000000}"/>
    <cellStyle name="_x0013__2011 Data 2 3" xfId="19299" xr:uid="{00000000-0005-0000-0000-000039000000}"/>
    <cellStyle name="_x0013__2011 Data 3" xfId="78" xr:uid="{00000000-0005-0000-0000-00003A000000}"/>
    <cellStyle name="_x0013__2011 Data 4" xfId="79" xr:uid="{00000000-0005-0000-0000-00003B000000}"/>
    <cellStyle name="_x0013__2011 Data 4 2" xfId="80" xr:uid="{00000000-0005-0000-0000-00003C000000}"/>
    <cellStyle name="_x0013__2011 Data_1" xfId="19300" xr:uid="{00000000-0005-0000-0000-00003D000000}"/>
    <cellStyle name="_x0013__2011 Data_1 2" xfId="19301" xr:uid="{00000000-0005-0000-0000-00003E000000}"/>
    <cellStyle name="_x0013__2011 Data_1 2 2" xfId="19302" xr:uid="{00000000-0005-0000-0000-00003F000000}"/>
    <cellStyle name="_x0013__2011 Data_1 3" xfId="19303" xr:uid="{00000000-0005-0000-0000-000040000000}"/>
    <cellStyle name="_x0013__2011 Data_1_2012 Data" xfId="19304" xr:uid="{00000000-0005-0000-0000-000041000000}"/>
    <cellStyle name="_x0013__2011 Data_1_2012 Data 2" xfId="19305" xr:uid="{00000000-0005-0000-0000-000042000000}"/>
    <cellStyle name="_x0013__2011 Data_1_2012 Data 2 2" xfId="19306" xr:uid="{00000000-0005-0000-0000-000043000000}"/>
    <cellStyle name="_x0013__2011 Data_1_2012 Data 3" xfId="19307" xr:uid="{00000000-0005-0000-0000-000044000000}"/>
    <cellStyle name="_x0013__2011 Data_1_JG view" xfId="19308" xr:uid="{00000000-0005-0000-0000-000045000000}"/>
    <cellStyle name="_x0013__2011 Data_1_JG view 2" xfId="19309" xr:uid="{00000000-0005-0000-0000-000046000000}"/>
    <cellStyle name="_x0013__2011 Data_12 Rolling Months" xfId="19310" xr:uid="{00000000-0005-0000-0000-000047000000}"/>
    <cellStyle name="_x0013__2011 Data_12 Rolling Months 2" xfId="19311" xr:uid="{00000000-0005-0000-0000-000048000000}"/>
    <cellStyle name="_x0013__2011 Data_12 Rolling Months 2 2" xfId="19312" xr:uid="{00000000-0005-0000-0000-000049000000}"/>
    <cellStyle name="_x0013__2011 Data_12 Rolling Months 3" xfId="19313" xr:uid="{00000000-0005-0000-0000-00004A000000}"/>
    <cellStyle name="_x0013__2011 Data_2011 Actual" xfId="19314" xr:uid="{00000000-0005-0000-0000-00004B000000}"/>
    <cellStyle name="_x0013__2011 Data_2011 Actual 2" xfId="19315" xr:uid="{00000000-0005-0000-0000-00004C000000}"/>
    <cellStyle name="_x0013__2011 Data_2012 Actual" xfId="19316" xr:uid="{00000000-0005-0000-0000-00004D000000}"/>
    <cellStyle name="_x0013__2011 Data_2012 Actual 2" xfId="19317" xr:uid="{00000000-0005-0000-0000-00004E000000}"/>
    <cellStyle name="_x0013__2011 Data_2012 Forecast" xfId="19318" xr:uid="{00000000-0005-0000-0000-00004F000000}"/>
    <cellStyle name="_x0013__2011 Data_2012 Forecast 2" xfId="19319" xr:uid="{00000000-0005-0000-0000-000050000000}"/>
    <cellStyle name="_x0013__2011 Data_Forecast Vs Actual Template" xfId="19320" xr:uid="{00000000-0005-0000-0000-000051000000}"/>
    <cellStyle name="_x0013__2011 Data_Forecast Vs Actual Template 2" xfId="19321" xr:uid="{00000000-0005-0000-0000-000052000000}"/>
    <cellStyle name="_2011 ERRA Forecast v394 092110 test" xfId="19322" xr:uid="{00000000-0005-0000-0000-000053000000}"/>
    <cellStyle name="_2011 ERRA Forecast v394 092110 test 2" xfId="19323" xr:uid="{00000000-0005-0000-0000-000054000000}"/>
    <cellStyle name="_x0013__2012 Actual" xfId="19324" xr:uid="{00000000-0005-0000-0000-000055000000}"/>
    <cellStyle name="_x0013__2012 Actual 2" xfId="19325" xr:uid="{00000000-0005-0000-0000-000056000000}"/>
    <cellStyle name="_x0013__2012 Actual 2 2" xfId="19326" xr:uid="{00000000-0005-0000-0000-000057000000}"/>
    <cellStyle name="_x0013__2012 Actual 3" xfId="19327" xr:uid="{00000000-0005-0000-0000-000058000000}"/>
    <cellStyle name="_x0013__2012 Data" xfId="19328" xr:uid="{00000000-0005-0000-0000-000059000000}"/>
    <cellStyle name="_x0013__2012 Data 2" xfId="19329" xr:uid="{00000000-0005-0000-0000-00005A000000}"/>
    <cellStyle name="_x0013__Aqu forecast" xfId="19330" xr:uid="{00000000-0005-0000-0000-00005B000000}"/>
    <cellStyle name="_x0013__Aqu forecast 2" xfId="19331" xr:uid="{00000000-0005-0000-0000-00005C000000}"/>
    <cellStyle name="_x0013__Aqu forecast 2 2" xfId="19332" xr:uid="{00000000-0005-0000-0000-00005D000000}"/>
    <cellStyle name="_x0013__Aqu forecast 3" xfId="19333" xr:uid="{00000000-0005-0000-0000-00005E000000}"/>
    <cellStyle name="_Book15" xfId="19334" xr:uid="{00000000-0005-0000-0000-00005F000000}"/>
    <cellStyle name="_Book15 2" xfId="19335" xr:uid="{00000000-0005-0000-0000-000060000000}"/>
    <cellStyle name="_Book2" xfId="19336" xr:uid="{00000000-0005-0000-0000-000061000000}"/>
    <cellStyle name="_Book2 2" xfId="19337" xr:uid="{00000000-0005-0000-0000-000062000000}"/>
    <cellStyle name="_Book6" xfId="19338" xr:uid="{00000000-0005-0000-0000-000063000000}"/>
    <cellStyle name="_Book6 2" xfId="19339" xr:uid="{00000000-0005-0000-0000-000064000000}"/>
    <cellStyle name="_Book6_Calc Greek Diffs" xfId="19340" xr:uid="{00000000-0005-0000-0000-000065000000}"/>
    <cellStyle name="_Book6_Calc Greek Diffs 2" xfId="19341" xr:uid="{00000000-0005-0000-0000-000066000000}"/>
    <cellStyle name="_Book6_Calc Greek Diffs_Forward AssumptionsPlusWorksheets" xfId="19342" xr:uid="{00000000-0005-0000-0000-000067000000}"/>
    <cellStyle name="_Book6_Calc Greek Diffs_PV GDC - Actual" xfId="19343" xr:uid="{00000000-0005-0000-0000-000068000000}"/>
    <cellStyle name="_Book6_Calc Greek Diffs_PV GDC - Actual 2" xfId="19344" xr:uid="{00000000-0005-0000-0000-000069000000}"/>
    <cellStyle name="_Book6_Calc Greek Diffs_PV GDC - Actual_Forward AssumptionsPlusWorksheets" xfId="19345" xr:uid="{00000000-0005-0000-0000-00006A000000}"/>
    <cellStyle name="_Book6_Calc Spread Opt" xfId="19346" xr:uid="{00000000-0005-0000-0000-00006B000000}"/>
    <cellStyle name="_Book6_Calc Spread Opt 2" xfId="19347" xr:uid="{00000000-0005-0000-0000-00006C000000}"/>
    <cellStyle name="_Book6_Calc Spread Opt_Forward AssumptionsPlusWorksheets" xfId="19348" xr:uid="{00000000-0005-0000-0000-00006D000000}"/>
    <cellStyle name="_Book6_Counterparties" xfId="19349" xr:uid="{00000000-0005-0000-0000-00006E000000}"/>
    <cellStyle name="_Book6_Counterparties 2" xfId="19350" xr:uid="{00000000-0005-0000-0000-00006F000000}"/>
    <cellStyle name="_Book6_Forward AssumptionsPlusWorksheets" xfId="19351" xr:uid="{00000000-0005-0000-0000-000070000000}"/>
    <cellStyle name="_Book6_Gas Input Screen" xfId="19352" xr:uid="{00000000-0005-0000-0000-000071000000}"/>
    <cellStyle name="_Book6_Gas Input Screen 2" xfId="19353" xr:uid="{00000000-0005-0000-0000-000072000000}"/>
    <cellStyle name="_Book6_Gas Input Screen_Forward AssumptionsPlusWorksheets" xfId="19354" xr:uid="{00000000-0005-0000-0000-000073000000}"/>
    <cellStyle name="_Book6_Greek Daily Changes" xfId="19355" xr:uid="{00000000-0005-0000-0000-000074000000}"/>
    <cellStyle name="_Book6_Greek Daily Changes 2" xfId="19356" xr:uid="{00000000-0005-0000-0000-000075000000}"/>
    <cellStyle name="_Book6_Greek Daily Changes_Forward AssumptionsPlusWorksheets" xfId="19357" xr:uid="{00000000-0005-0000-0000-000076000000}"/>
    <cellStyle name="_Book6_PnL Summary" xfId="19358" xr:uid="{00000000-0005-0000-0000-000077000000}"/>
    <cellStyle name="_Book6_PnL Summary 2" xfId="19359" xr:uid="{00000000-0005-0000-0000-000078000000}"/>
    <cellStyle name="_Book6_PV GDC - Actual" xfId="19360" xr:uid="{00000000-0005-0000-0000-000079000000}"/>
    <cellStyle name="_Book6_PV GDC - Actual 2" xfId="19361" xr:uid="{00000000-0005-0000-0000-00007A000000}"/>
    <cellStyle name="_Book6_PV GDC - Actual_Forward AssumptionsPlusWorksheets" xfId="19362" xr:uid="{00000000-0005-0000-0000-00007B000000}"/>
    <cellStyle name="_Book6_Rho Table" xfId="19363" xr:uid="{00000000-0005-0000-0000-00007C000000}"/>
    <cellStyle name="_Book6_Rho Table 2" xfId="19364" xr:uid="{00000000-0005-0000-0000-00007D000000}"/>
    <cellStyle name="_Book6_Rho Table_Forward AssumptionsPlusWorksheets" xfId="19365" xr:uid="{00000000-0005-0000-0000-00007E000000}"/>
    <cellStyle name="_Book6_Sheet1" xfId="19366" xr:uid="{00000000-0005-0000-0000-00007F000000}"/>
    <cellStyle name="_Book6_Sheet1 2" xfId="19367" xr:uid="{00000000-0005-0000-0000-000080000000}"/>
    <cellStyle name="_Book63" xfId="19368" xr:uid="{00000000-0005-0000-0000-000081000000}"/>
    <cellStyle name="_Book63 2" xfId="19369" xr:uid="{00000000-0005-0000-0000-000082000000}"/>
    <cellStyle name="_Book63_Calc Greek Diffs" xfId="19370" xr:uid="{00000000-0005-0000-0000-000083000000}"/>
    <cellStyle name="_Book63_Calc Greek Diffs 2" xfId="19371" xr:uid="{00000000-0005-0000-0000-000084000000}"/>
    <cellStyle name="_Book63_Calc Greek Diffs_Forward AssumptionsPlusWorksheets" xfId="19372" xr:uid="{00000000-0005-0000-0000-000085000000}"/>
    <cellStyle name="_Book63_Calc Greek Diffs_PV GDC - Actual" xfId="19373" xr:uid="{00000000-0005-0000-0000-000086000000}"/>
    <cellStyle name="_Book63_Calc Greek Diffs_PV GDC - Actual 2" xfId="19374" xr:uid="{00000000-0005-0000-0000-000087000000}"/>
    <cellStyle name="_Book63_Calc Greek Diffs_PV GDC - Actual_Forward AssumptionsPlusWorksheets" xfId="19375" xr:uid="{00000000-0005-0000-0000-000088000000}"/>
    <cellStyle name="_Book63_Calc Spread Opt" xfId="19376" xr:uid="{00000000-0005-0000-0000-000089000000}"/>
    <cellStyle name="_Book63_Calc Spread Opt 2" xfId="19377" xr:uid="{00000000-0005-0000-0000-00008A000000}"/>
    <cellStyle name="_Book63_Calc Spread Opt_Forward AssumptionsPlusWorksheets" xfId="19378" xr:uid="{00000000-0005-0000-0000-00008B000000}"/>
    <cellStyle name="_Book63_Counterparties" xfId="19379" xr:uid="{00000000-0005-0000-0000-00008C000000}"/>
    <cellStyle name="_Book63_Counterparties 2" xfId="19380" xr:uid="{00000000-0005-0000-0000-00008D000000}"/>
    <cellStyle name="_Book63_Forward AssumptionsPlusWorksheets" xfId="19381" xr:uid="{00000000-0005-0000-0000-00008E000000}"/>
    <cellStyle name="_Book63_Gas Input Screen" xfId="19382" xr:uid="{00000000-0005-0000-0000-00008F000000}"/>
    <cellStyle name="_Book63_Gas Input Screen 2" xfId="19383" xr:uid="{00000000-0005-0000-0000-000090000000}"/>
    <cellStyle name="_Book63_Gas Input Screen_Forward AssumptionsPlusWorksheets" xfId="19384" xr:uid="{00000000-0005-0000-0000-000091000000}"/>
    <cellStyle name="_Book63_Greek Daily Changes" xfId="19385" xr:uid="{00000000-0005-0000-0000-000092000000}"/>
    <cellStyle name="_Book63_Greek Daily Changes 2" xfId="19386" xr:uid="{00000000-0005-0000-0000-000093000000}"/>
    <cellStyle name="_Book63_Greek Daily Changes_Forward AssumptionsPlusWorksheets" xfId="19387" xr:uid="{00000000-0005-0000-0000-000094000000}"/>
    <cellStyle name="_Book63_PnL Summary" xfId="19388" xr:uid="{00000000-0005-0000-0000-000095000000}"/>
    <cellStyle name="_Book63_PnL Summary 2" xfId="19389" xr:uid="{00000000-0005-0000-0000-000096000000}"/>
    <cellStyle name="_Book63_PV GDC - Actual" xfId="19390" xr:uid="{00000000-0005-0000-0000-000097000000}"/>
    <cellStyle name="_Book63_PV GDC - Actual 2" xfId="19391" xr:uid="{00000000-0005-0000-0000-000098000000}"/>
    <cellStyle name="_Book63_PV GDC - Actual_Forward AssumptionsPlusWorksheets" xfId="19392" xr:uid="{00000000-0005-0000-0000-000099000000}"/>
    <cellStyle name="_Book63_Rho Table" xfId="19393" xr:uid="{00000000-0005-0000-0000-00009A000000}"/>
    <cellStyle name="_Book63_Rho Table 2" xfId="19394" xr:uid="{00000000-0005-0000-0000-00009B000000}"/>
    <cellStyle name="_Book63_Rho Table_Forward AssumptionsPlusWorksheets" xfId="19395" xr:uid="{00000000-0005-0000-0000-00009C000000}"/>
    <cellStyle name="_Book63_Sheet1" xfId="19396" xr:uid="{00000000-0005-0000-0000-00009D000000}"/>
    <cellStyle name="_Book63_Sheet1 2" xfId="19397" xr:uid="{00000000-0005-0000-0000-00009E000000}"/>
    <cellStyle name="_CalPeak Model 5.24.06 - Final Equity Case v1" xfId="19398" xr:uid="{00000000-0005-0000-0000-00009F000000}"/>
    <cellStyle name="_CalPeak Pro Forma v33" xfId="19399" xr:uid="{00000000-0005-0000-0000-0000A0000000}"/>
    <cellStyle name="_CCR" xfId="19400" xr:uid="{00000000-0005-0000-0000-0000A1000000}"/>
    <cellStyle name="_CCR 2" xfId="19401" xr:uid="{00000000-0005-0000-0000-0000A2000000}"/>
    <cellStyle name="_CFD 200601 RECON" xfId="19402" xr:uid="{00000000-0005-0000-0000-0000A3000000}"/>
    <cellStyle name="_CFD 200601 RECON 2" xfId="19403" xr:uid="{00000000-0005-0000-0000-0000A4000000}"/>
    <cellStyle name="_CFD 200601 RECON_Calc Greek Diffs" xfId="19404" xr:uid="{00000000-0005-0000-0000-0000A5000000}"/>
    <cellStyle name="_CFD 200601 RECON_Calc Greek Diffs 2" xfId="19405" xr:uid="{00000000-0005-0000-0000-0000A6000000}"/>
    <cellStyle name="_CFD 200601 RECON_Calc Greek Diffs_Forward AssumptionsPlusWorksheets" xfId="19406" xr:uid="{00000000-0005-0000-0000-0000A7000000}"/>
    <cellStyle name="_CFD 200601 RECON_Calc Greek Diffs_PV GDC - Actual" xfId="19407" xr:uid="{00000000-0005-0000-0000-0000A8000000}"/>
    <cellStyle name="_CFD 200601 RECON_Calc Greek Diffs_PV GDC - Actual 2" xfId="19408" xr:uid="{00000000-0005-0000-0000-0000A9000000}"/>
    <cellStyle name="_CFD 200601 RECON_Calc Greek Diffs_PV GDC - Actual_Forward AssumptionsPlusWorksheets" xfId="19409" xr:uid="{00000000-0005-0000-0000-0000AA000000}"/>
    <cellStyle name="_CFD 200601 RECON_Calc Spread Opt" xfId="19410" xr:uid="{00000000-0005-0000-0000-0000AB000000}"/>
    <cellStyle name="_CFD 200601 RECON_Calc Spread Opt 2" xfId="19411" xr:uid="{00000000-0005-0000-0000-0000AC000000}"/>
    <cellStyle name="_CFD 200601 RECON_Calc Spread Opt_Forward AssumptionsPlusWorksheets" xfId="19412" xr:uid="{00000000-0005-0000-0000-0000AD000000}"/>
    <cellStyle name="_CFD 200601 RECON_Counterparties" xfId="19413" xr:uid="{00000000-0005-0000-0000-0000AE000000}"/>
    <cellStyle name="_CFD 200601 RECON_Counterparties 2" xfId="19414" xr:uid="{00000000-0005-0000-0000-0000AF000000}"/>
    <cellStyle name="_CFD 200601 RECON_Forward AssumptionsPlusWorksheets" xfId="19415" xr:uid="{00000000-0005-0000-0000-0000B0000000}"/>
    <cellStyle name="_CFD 200601 RECON_Gas Input Screen" xfId="19416" xr:uid="{00000000-0005-0000-0000-0000B1000000}"/>
    <cellStyle name="_CFD 200601 RECON_Gas Input Screen 2" xfId="19417" xr:uid="{00000000-0005-0000-0000-0000B2000000}"/>
    <cellStyle name="_CFD 200601 RECON_Gas Input Screen_Forward AssumptionsPlusWorksheets" xfId="19418" xr:uid="{00000000-0005-0000-0000-0000B3000000}"/>
    <cellStyle name="_CFD 200601 RECON_Greek Daily Changes" xfId="19419" xr:uid="{00000000-0005-0000-0000-0000B4000000}"/>
    <cellStyle name="_CFD 200601 RECON_Greek Daily Changes 2" xfId="19420" xr:uid="{00000000-0005-0000-0000-0000B5000000}"/>
    <cellStyle name="_CFD 200601 RECON_Greek Daily Changes_Forward AssumptionsPlusWorksheets" xfId="19421" xr:uid="{00000000-0005-0000-0000-0000B6000000}"/>
    <cellStyle name="_CFD 200601 RECON_PnL Summary" xfId="19422" xr:uid="{00000000-0005-0000-0000-0000B7000000}"/>
    <cellStyle name="_CFD 200601 RECON_PnL Summary 2" xfId="19423" xr:uid="{00000000-0005-0000-0000-0000B8000000}"/>
    <cellStyle name="_CFD 200601 RECON_PV GDC - Actual" xfId="19424" xr:uid="{00000000-0005-0000-0000-0000B9000000}"/>
    <cellStyle name="_CFD 200601 RECON_PV GDC - Actual 2" xfId="19425" xr:uid="{00000000-0005-0000-0000-0000BA000000}"/>
    <cellStyle name="_CFD 200601 RECON_PV GDC - Actual_Forward AssumptionsPlusWorksheets" xfId="19426" xr:uid="{00000000-0005-0000-0000-0000BB000000}"/>
    <cellStyle name="_CFD 200601 RECON_Rho Table" xfId="19427" xr:uid="{00000000-0005-0000-0000-0000BC000000}"/>
    <cellStyle name="_CFD 200601 RECON_Rho Table 2" xfId="19428" xr:uid="{00000000-0005-0000-0000-0000BD000000}"/>
    <cellStyle name="_CFD 200601 RECON_Rho Table_Forward AssumptionsPlusWorksheets" xfId="19429" xr:uid="{00000000-0005-0000-0000-0000BE000000}"/>
    <cellStyle name="_CFD 200601 RECON_Sheet1" xfId="19430" xr:uid="{00000000-0005-0000-0000-0000BF000000}"/>
    <cellStyle name="_CFD 200601 RECON_Sheet1 2" xfId="19431" xr:uid="{00000000-0005-0000-0000-0000C0000000}"/>
    <cellStyle name="_CROSS CHECKS" xfId="19432" xr:uid="{00000000-0005-0000-0000-0000C1000000}"/>
    <cellStyle name="_CROSS CHECKS 2" xfId="19433" xr:uid="{00000000-0005-0000-0000-0000C2000000}"/>
    <cellStyle name="_DATA" xfId="19434" xr:uid="{00000000-0005-0000-0000-0000C3000000}"/>
    <cellStyle name="_DWR cash frcst_PM14_2010-ERRA-MWh_4-14-09gas_ver20b" xfId="19435" xr:uid="{00000000-0005-0000-0000-0000C4000000}"/>
    <cellStyle name="_DWR cash frcst_PM14_2010-ERRA-MWh_4-14-09gas_ver20b 2" xfId="19436" xr:uid="{00000000-0005-0000-0000-0000C5000000}"/>
    <cellStyle name="_DWR cash frcst_PM15_2010ERRA_9-17-09gas_ver22d" xfId="19437" xr:uid="{00000000-0005-0000-0000-0000C6000000}"/>
    <cellStyle name="_DWR cash frcst_PM15_2010ERRA_9-17-09gas_ver22d 2" xfId="19438" xr:uid="{00000000-0005-0000-0000-0000C7000000}"/>
    <cellStyle name="_x0013__ESSENTIAL-Detail" xfId="81" xr:uid="{00000000-0005-0000-0000-0000C8000000}"/>
    <cellStyle name="_x0013__ESSENTIAL-Detail (2)" xfId="82" xr:uid="{00000000-0005-0000-0000-0000C9000000}"/>
    <cellStyle name="_x0013__ESSENTIAL-Detail (2) 2" xfId="83" xr:uid="{00000000-0005-0000-0000-0000CA000000}"/>
    <cellStyle name="_x0013__ESSENTIAL-Detail (2) 2 2" xfId="8053" xr:uid="{00000000-0005-0000-0000-0000CB000000}"/>
    <cellStyle name="_x0013__ESSENTIAL-Detail (2) 3" xfId="8054" xr:uid="{00000000-0005-0000-0000-0000CC000000}"/>
    <cellStyle name="_x0013__ESSENTIAL-Detail (2)_Capacity" xfId="84" xr:uid="{00000000-0005-0000-0000-0000CD000000}"/>
    <cellStyle name="_x0013__ESSENTIAL-Detail (2)_Capacity 2" xfId="8055" xr:uid="{00000000-0005-0000-0000-0000CE000000}"/>
    <cellStyle name="_x0013__ESSENTIAL-Detail (2)_ESSENTIAL-Detail" xfId="85" xr:uid="{00000000-0005-0000-0000-0000CF000000}"/>
    <cellStyle name="_x0013__ESSENTIAL-Detail (2)_ESSENTIAL-Detail 2" xfId="8056" xr:uid="{00000000-0005-0000-0000-0000D0000000}"/>
    <cellStyle name="_x0013__ESSENTIAL-Detail (2)_RPS Strategy 9-14-11_Feb Load_Report EE" xfId="86" xr:uid="{00000000-0005-0000-0000-0000D1000000}"/>
    <cellStyle name="_x0013__ESSENTIAL-Detail (2)_RPS Strategy 9-14-11_Feb Load_Report EE 2" xfId="8057" xr:uid="{00000000-0005-0000-0000-0000D2000000}"/>
    <cellStyle name="_x0013__ESSENTIAL-Detail 10" xfId="87" xr:uid="{00000000-0005-0000-0000-0000D3000000}"/>
    <cellStyle name="_x0013__ESSENTIAL-Detail 10 2" xfId="8058" xr:uid="{00000000-0005-0000-0000-0000D4000000}"/>
    <cellStyle name="_x0013__ESSENTIAL-Detail 11" xfId="88" xr:uid="{00000000-0005-0000-0000-0000D5000000}"/>
    <cellStyle name="_x0013__ESSENTIAL-Detail 11 2" xfId="8059" xr:uid="{00000000-0005-0000-0000-0000D6000000}"/>
    <cellStyle name="_x0013__ESSENTIAL-Detail 12" xfId="89" xr:uid="{00000000-0005-0000-0000-0000D7000000}"/>
    <cellStyle name="_x0013__ESSENTIAL-Detail 12 2" xfId="8060" xr:uid="{00000000-0005-0000-0000-0000D8000000}"/>
    <cellStyle name="_x0013__ESSENTIAL-Detail 13" xfId="90" xr:uid="{00000000-0005-0000-0000-0000D9000000}"/>
    <cellStyle name="_x0013__ESSENTIAL-Detail 13 2" xfId="8061" xr:uid="{00000000-0005-0000-0000-0000DA000000}"/>
    <cellStyle name="_x0013__ESSENTIAL-Detail 14" xfId="91" xr:uid="{00000000-0005-0000-0000-0000DB000000}"/>
    <cellStyle name="_x0013__ESSENTIAL-Detail 14 2" xfId="8062" xr:uid="{00000000-0005-0000-0000-0000DC000000}"/>
    <cellStyle name="_x0013__ESSENTIAL-Detail 15" xfId="92" xr:uid="{00000000-0005-0000-0000-0000DD000000}"/>
    <cellStyle name="_x0013__ESSENTIAL-Detail 15 2" xfId="8063" xr:uid="{00000000-0005-0000-0000-0000DE000000}"/>
    <cellStyle name="_x0013__ESSENTIAL-Detail 16" xfId="93" xr:uid="{00000000-0005-0000-0000-0000DF000000}"/>
    <cellStyle name="_x0013__ESSENTIAL-Detail 17" xfId="94" xr:uid="{00000000-0005-0000-0000-0000E0000000}"/>
    <cellStyle name="_x0013__ESSENTIAL-Detail 18" xfId="95" xr:uid="{00000000-0005-0000-0000-0000E1000000}"/>
    <cellStyle name="_x0013__ESSENTIAL-Detail 19" xfId="96" xr:uid="{00000000-0005-0000-0000-0000E2000000}"/>
    <cellStyle name="_x0013__ESSENTIAL-Detail 2" xfId="97" xr:uid="{00000000-0005-0000-0000-0000E3000000}"/>
    <cellStyle name="_x0013__ESSENTIAL-Detail 2 2" xfId="8064" xr:uid="{00000000-0005-0000-0000-0000E4000000}"/>
    <cellStyle name="_x0013__ESSENTIAL-Detail 3" xfId="98" xr:uid="{00000000-0005-0000-0000-0000E5000000}"/>
    <cellStyle name="_x0013__ESSENTIAL-Detail 3 2" xfId="8065" xr:uid="{00000000-0005-0000-0000-0000E6000000}"/>
    <cellStyle name="_x0013__ESSENTIAL-Detail 4" xfId="99" xr:uid="{00000000-0005-0000-0000-0000E7000000}"/>
    <cellStyle name="_x0013__ESSENTIAL-Detail 4 2" xfId="8066" xr:uid="{00000000-0005-0000-0000-0000E8000000}"/>
    <cellStyle name="_x0013__ESSENTIAL-Detail 5" xfId="100" xr:uid="{00000000-0005-0000-0000-0000E9000000}"/>
    <cellStyle name="_x0013__ESSENTIAL-Detail 5 2" xfId="8067" xr:uid="{00000000-0005-0000-0000-0000EA000000}"/>
    <cellStyle name="_x0013__ESSENTIAL-Detail 6" xfId="101" xr:uid="{00000000-0005-0000-0000-0000EB000000}"/>
    <cellStyle name="_x0013__ESSENTIAL-Detail 6 2" xfId="8068" xr:uid="{00000000-0005-0000-0000-0000EC000000}"/>
    <cellStyle name="_x0013__ESSENTIAL-Detail 7" xfId="102" xr:uid="{00000000-0005-0000-0000-0000ED000000}"/>
    <cellStyle name="_x0013__ESSENTIAL-Detail 7 2" xfId="8069" xr:uid="{00000000-0005-0000-0000-0000EE000000}"/>
    <cellStyle name="_x0013__ESSENTIAL-Detail 8" xfId="103" xr:uid="{00000000-0005-0000-0000-0000EF000000}"/>
    <cellStyle name="_x0013__ESSENTIAL-Detail 8 2" xfId="8070" xr:uid="{00000000-0005-0000-0000-0000F0000000}"/>
    <cellStyle name="_x0013__ESSENTIAL-Detail 9" xfId="104" xr:uid="{00000000-0005-0000-0000-0000F1000000}"/>
    <cellStyle name="_x0013__ESSENTIAL-Detail 9 2" xfId="8071" xr:uid="{00000000-0005-0000-0000-0000F2000000}"/>
    <cellStyle name="_x0013__ESSENTIAL-Detail_Capacity" xfId="105" xr:uid="{00000000-0005-0000-0000-0000F3000000}"/>
    <cellStyle name="_x0013__ESSENTIAL-Detail_Capacity 2" xfId="8072" xr:uid="{00000000-0005-0000-0000-0000F4000000}"/>
    <cellStyle name="_x0013__ESSENTIAL-Detail_ESSENTIAL-Detail" xfId="106" xr:uid="{00000000-0005-0000-0000-0000F5000000}"/>
    <cellStyle name="_x0013__ESSENTIAL-Detail_ESSENTIAL-Detail 2" xfId="8073" xr:uid="{00000000-0005-0000-0000-0000F6000000}"/>
    <cellStyle name="_x0013__ESSENTIAL-Detail_RPS Strategy 9-14-11_Feb Load_Report EE" xfId="107" xr:uid="{00000000-0005-0000-0000-0000F7000000}"/>
    <cellStyle name="_x0013__ESSENTIAL-Detail_RPS Strategy 9-14-11_Feb Load_Report EE 2" xfId="8074" xr:uid="{00000000-0005-0000-0000-0000F8000000}"/>
    <cellStyle name="_x0013__Forecast Vs Actual Template" xfId="19439" xr:uid="{00000000-0005-0000-0000-0000F9000000}"/>
    <cellStyle name="_x0013__Forecast Vs Actual Template 2" xfId="19440" xr:uid="{00000000-0005-0000-0000-0000FA000000}"/>
    <cellStyle name="_Fossil" xfId="19441" xr:uid="{00000000-0005-0000-0000-0000FB000000}"/>
    <cellStyle name="_Fossil 2" xfId="19442" xr:uid="{00000000-0005-0000-0000-0000FC000000}"/>
    <cellStyle name="_Fossil Costs" xfId="19443" xr:uid="{00000000-0005-0000-0000-0000FD000000}"/>
    <cellStyle name="_Fossil Costs 2" xfId="19444" xr:uid="{00000000-0005-0000-0000-0000FE000000}"/>
    <cellStyle name="_Gas Position" xfId="19445" xr:uid="{00000000-0005-0000-0000-0000FF000000}"/>
    <cellStyle name="_Gas Position 2" xfId="19446" xr:uid="{00000000-0005-0000-0000-000000010000}"/>
    <cellStyle name="_x0013__Generation and Renewables 2010 2011 (Brad Format)" xfId="19447" xr:uid="{00000000-0005-0000-0000-000001010000}"/>
    <cellStyle name="_x0013__Generation and Renewables 2010 2011 (Brad Format) 2" xfId="19448" xr:uid="{00000000-0005-0000-0000-000002010000}"/>
    <cellStyle name="_x0013__Generation and Renewables 2010 2011 (Brad Format) 2 2" xfId="19449" xr:uid="{00000000-0005-0000-0000-000003010000}"/>
    <cellStyle name="_x0013__Generation and Renewables 2010 2011 (Brad Format) 3" xfId="19450" xr:uid="{00000000-0005-0000-0000-000004010000}"/>
    <cellStyle name="_x0013__Hydro Forecast 2011-2012 (2)" xfId="19451" xr:uid="{00000000-0005-0000-0000-000005010000}"/>
    <cellStyle name="_x0013__Hydro Forecast 2011-2012 (2) 2" xfId="19452" xr:uid="{00000000-0005-0000-0000-000006010000}"/>
    <cellStyle name="_x0013__Hydro Forecast 2011-2012 (2) 2 2" xfId="19453" xr:uid="{00000000-0005-0000-0000-000007010000}"/>
    <cellStyle name="_x0013__Hydro Forecast 2011-2012 (2) 3" xfId="19454" xr:uid="{00000000-0005-0000-0000-000008010000}"/>
    <cellStyle name="_June 2009 Misc" xfId="19455" xr:uid="{00000000-0005-0000-0000-000009010000}"/>
    <cellStyle name="_June 2009 Misc 2" xfId="19456" xr:uid="{00000000-0005-0000-0000-00000A010000}"/>
    <cellStyle name="_x0013__MWD Forecast" xfId="19457" xr:uid="{00000000-0005-0000-0000-00000B010000}"/>
    <cellStyle name="_x0013__MWD Forecast 2" xfId="19458" xr:uid="{00000000-0005-0000-0000-00000C010000}"/>
    <cellStyle name="_x0013__MWD Forecast 2 2" xfId="19459" xr:uid="{00000000-0005-0000-0000-00000D010000}"/>
    <cellStyle name="_x0013__MWD Forecast 3" xfId="19460" xr:uid="{00000000-0005-0000-0000-00000E010000}"/>
    <cellStyle name="_x0013__MWD Forecast_2012 Data" xfId="19461" xr:uid="{00000000-0005-0000-0000-00000F010000}"/>
    <cellStyle name="_x0013__MWD Forecast_2012 Data 2" xfId="19462" xr:uid="{00000000-0005-0000-0000-000010010000}"/>
    <cellStyle name="_x0013__MWD Forecast_2012 Data 2 2" xfId="19463" xr:uid="{00000000-0005-0000-0000-000011010000}"/>
    <cellStyle name="_x0013__MWD Forecast_2012 Data 3" xfId="19464" xr:uid="{00000000-0005-0000-0000-000012010000}"/>
    <cellStyle name="_x0013__MWD Forecast_JG view" xfId="19465" xr:uid="{00000000-0005-0000-0000-000013010000}"/>
    <cellStyle name="_x0013__MWD Forecast_JG view 2" xfId="19466" xr:uid="{00000000-0005-0000-0000-000014010000}"/>
    <cellStyle name="_x0013__new vs old data" xfId="19467" xr:uid="{00000000-0005-0000-0000-000015010000}"/>
    <cellStyle name="_x0013__new vs old data 2" xfId="19468" xr:uid="{00000000-0005-0000-0000-000016010000}"/>
    <cellStyle name="_x0013__new vs old data 2 2" xfId="19469" xr:uid="{00000000-0005-0000-0000-000017010000}"/>
    <cellStyle name="_x0013__new vs old data 3" xfId="19470" xr:uid="{00000000-0005-0000-0000-000018010000}"/>
    <cellStyle name="_Output.REC" xfId="19471" xr:uid="{00000000-0005-0000-0000-000019010000}"/>
    <cellStyle name="_PGE_Compliance Report_August_2010 with data sheets" xfId="19472" xr:uid="{00000000-0005-0000-0000-00001A010000}"/>
    <cellStyle name="_PGE_Compliance Report_August_2010 with data sheets 2" xfId="19473" xr:uid="{00000000-0005-0000-0000-00001B010000}"/>
    <cellStyle name="_PGE_Compliance Report_August_2010_Draft 3" xfId="19474" xr:uid="{00000000-0005-0000-0000-00001C010000}"/>
    <cellStyle name="_PGE_Compliance Report_August_2010_Draft 3 2" xfId="19475" xr:uid="{00000000-0005-0000-0000-00001D010000}"/>
    <cellStyle name="_PGE_Compliance Report_August_2010_Draft 5" xfId="19476" xr:uid="{00000000-0005-0000-0000-00001E010000}"/>
    <cellStyle name="_PGE_Compliance Report_August_2010_Draft 5 2" xfId="19477" xr:uid="{00000000-0005-0000-0000-00001F010000}"/>
    <cellStyle name="_PGE_Compliance Report_August_2010_Draft 8" xfId="19478" xr:uid="{00000000-0005-0000-0000-000020010000}"/>
    <cellStyle name="_PGE_Compliance Report_August_2010_Draft 8 2" xfId="19479" xr:uid="{00000000-0005-0000-0000-000021010000}"/>
    <cellStyle name="_PGE_Compliance Report_August_2010_Final_Confidential M2LL" xfId="19480" xr:uid="{00000000-0005-0000-0000-000022010000}"/>
    <cellStyle name="_PGE_Compliance Report_August_2010_Final_Confidential M2LL 2" xfId="19481" xr:uid="{00000000-0005-0000-0000-000023010000}"/>
    <cellStyle name="_RDC Fwd Pricing" xfId="19482" xr:uid="{00000000-0005-0000-0000-000024010000}"/>
    <cellStyle name="_RDC Fwd Pricing 2" xfId="19483" xr:uid="{00000000-0005-0000-0000-000025010000}"/>
    <cellStyle name="_x0013__Regression Forecast Comparison" xfId="19484" xr:uid="{00000000-0005-0000-0000-000026010000}"/>
    <cellStyle name="_x0013__Regression Forecast Comparison 2" xfId="19485" xr:uid="{00000000-0005-0000-0000-000027010000}"/>
    <cellStyle name="_x0013__Regression Forecast Comparison 2 2" xfId="19486" xr:uid="{00000000-0005-0000-0000-000028010000}"/>
    <cellStyle name="_x0013__Regression Forecast Comparison 3" xfId="19487" xr:uid="{00000000-0005-0000-0000-000029010000}"/>
    <cellStyle name="_RPS Costs" xfId="19488" xr:uid="{00000000-0005-0000-0000-00002A010000}"/>
    <cellStyle name="_RPS Costs 2" xfId="19489" xr:uid="{00000000-0005-0000-0000-00002B010000}"/>
    <cellStyle name="_x0013__Ruiz OG Gen" xfId="19490" xr:uid="{00000000-0005-0000-0000-00002C010000}"/>
    <cellStyle name="_x0013__Ruiz OG Gen 2" xfId="19491" xr:uid="{00000000-0005-0000-0000-00002D010000}"/>
    <cellStyle name="_x0013__Ruiz OG Gen 2 2" xfId="19492" xr:uid="{00000000-0005-0000-0000-00002E010000}"/>
    <cellStyle name="_x0013__Ruiz OG Gen 3" xfId="19493" xr:uid="{00000000-0005-0000-0000-00002F010000}"/>
    <cellStyle name="_Sheet1" xfId="19494" xr:uid="{00000000-0005-0000-0000-000030010000}"/>
    <cellStyle name="_Sheet1 2" xfId="19495" xr:uid="{00000000-0005-0000-0000-000031010000}"/>
    <cellStyle name="_Sheet2" xfId="19496" xr:uid="{00000000-0005-0000-0000-000032010000}"/>
    <cellStyle name="_Sheet2 2" xfId="19497" xr:uid="{00000000-0005-0000-0000-000033010000}"/>
    <cellStyle name="_Sheet3" xfId="19498" xr:uid="{00000000-0005-0000-0000-000034010000}"/>
    <cellStyle name="_Sheet3 2" xfId="19499" xr:uid="{00000000-0005-0000-0000-000035010000}"/>
    <cellStyle name="_Sheet6" xfId="19500" xr:uid="{00000000-0005-0000-0000-000036010000}"/>
    <cellStyle name="_Sheet6 2" xfId="19501" xr:uid="{00000000-0005-0000-0000-000037010000}"/>
    <cellStyle name="_Tbl 2 2 EBal" xfId="19502" xr:uid="{00000000-0005-0000-0000-000038010000}"/>
    <cellStyle name="_Tbl 2 2 EBal 2" xfId="19503" xr:uid="{00000000-0005-0000-0000-000039010000}"/>
    <cellStyle name="_x0010_“+ˆÉ•?pý¤" xfId="108" xr:uid="{00000000-0005-0000-0000-00003A010000}"/>
    <cellStyle name="_x0010_“+ˆÉ•?pý¤ 2" xfId="109" xr:uid="{00000000-0005-0000-0000-00003B010000}"/>
    <cellStyle name="_x0010_“+ˆÉ•?pý¤ 2 2" xfId="8075" xr:uid="{00000000-0005-0000-0000-00003C010000}"/>
    <cellStyle name="_x0010_“+ˆÉ•?pý¤ 2 2 2" xfId="19505" xr:uid="{00000000-0005-0000-0000-00003D010000}"/>
    <cellStyle name="_x0010_“+ˆÉ•?pý¤ 2 2 3" xfId="19506" xr:uid="{00000000-0005-0000-0000-00003E010000}"/>
    <cellStyle name="_x0010_“+ˆÉ•?pý¤ 2 3" xfId="19507" xr:uid="{00000000-0005-0000-0000-00003F010000}"/>
    <cellStyle name="_x0010_“+ˆÉ•?pý¤ 2 3 2" xfId="19508" xr:uid="{00000000-0005-0000-0000-000040010000}"/>
    <cellStyle name="_x0010_“+ˆÉ•?pý¤ 2 4" xfId="19509" xr:uid="{00000000-0005-0000-0000-000041010000}"/>
    <cellStyle name="_x0010_“+ˆÉ•?pý¤ 2 5" xfId="19510" xr:uid="{00000000-0005-0000-0000-000042010000}"/>
    <cellStyle name="_x0010_“+ˆÉ•?pý¤ 2 6" xfId="19504" xr:uid="{00000000-0005-0000-0000-000043010000}"/>
    <cellStyle name="_x0010_“+ˆÉ•?pý¤ 3" xfId="110" xr:uid="{00000000-0005-0000-0000-000044010000}"/>
    <cellStyle name="_x0010_“+ˆÉ•?pý¤ 3 2" xfId="111" xr:uid="{00000000-0005-0000-0000-000045010000}"/>
    <cellStyle name="_x0010_“+ˆÉ•?pý¤ 3 2 2" xfId="8076" xr:uid="{00000000-0005-0000-0000-000046010000}"/>
    <cellStyle name="_x0010_“+ˆÉ•?pý¤ 3 2 3" xfId="19511" xr:uid="{00000000-0005-0000-0000-000047010000}"/>
    <cellStyle name="_x0010_“+ˆÉ•?pý¤ 3 3" xfId="8077" xr:uid="{00000000-0005-0000-0000-000048010000}"/>
    <cellStyle name="_x0010_“+ˆÉ•?pý¤ 4" xfId="8078" xr:uid="{00000000-0005-0000-0000-000049010000}"/>
    <cellStyle name="_x0010_“+ˆÉ•?pý¤ 4 2" xfId="19512" xr:uid="{00000000-0005-0000-0000-00004A010000}"/>
    <cellStyle name="_x0010_“+ˆÉ•?pý¤ 5" xfId="19513" xr:uid="{00000000-0005-0000-0000-00004B010000}"/>
    <cellStyle name="_x0010_“+ˆÉ•?pý¤ 5 2" xfId="19514" xr:uid="{00000000-0005-0000-0000-00004C010000}"/>
    <cellStyle name="_x0010_“+ˆÉ•?pý¤ 6" xfId="19515" xr:uid="{00000000-0005-0000-0000-00004D010000}"/>
    <cellStyle name="⁤⸰〰〰䍟剃 嬀　崀" xfId="19516" xr:uid="{00000000-0005-0000-0000-00004E010000}"/>
    <cellStyle name="⁤⸰〰〰䍟剃 嬀　崀 2" xfId="38382" xr:uid="{00000000-0005-0000-0000-00004F010000}"/>
    <cellStyle name="0" xfId="19517" xr:uid="{00000000-0005-0000-0000-000050010000}"/>
    <cellStyle name="0 2" xfId="19518" xr:uid="{00000000-0005-0000-0000-000051010000}"/>
    <cellStyle name="0.00" xfId="19519" xr:uid="{00000000-0005-0000-0000-000052010000}"/>
    <cellStyle name="0.00 2" xfId="19520" xr:uid="{00000000-0005-0000-0000-000053010000}"/>
    <cellStyle name="1" xfId="19521" xr:uid="{00000000-0005-0000-0000-000054010000}"/>
    <cellStyle name="20% - Accent1" xfId="44340" builtinId="30" customBuiltin="1"/>
    <cellStyle name="20% - Accent1 10" xfId="112" xr:uid="{00000000-0005-0000-0000-000056010000}"/>
    <cellStyle name="20% - Accent1 10 2" xfId="113" xr:uid="{00000000-0005-0000-0000-000057010000}"/>
    <cellStyle name="20% - Accent1 10 2 2" xfId="114" xr:uid="{00000000-0005-0000-0000-000058010000}"/>
    <cellStyle name="20% - Accent1 10 2 2 2" xfId="38383" xr:uid="{00000000-0005-0000-0000-000059010000}"/>
    <cellStyle name="20% - Accent1 10 2 3" xfId="115" xr:uid="{00000000-0005-0000-0000-00005A010000}"/>
    <cellStyle name="20% - Accent1 10 2 4" xfId="19523" xr:uid="{00000000-0005-0000-0000-00005B010000}"/>
    <cellStyle name="20% - Accent1 10 3" xfId="116" xr:uid="{00000000-0005-0000-0000-00005C010000}"/>
    <cellStyle name="20% - Accent1 10 3 2" xfId="117" xr:uid="{00000000-0005-0000-0000-00005D010000}"/>
    <cellStyle name="20% - Accent1 10 3 3" xfId="118" xr:uid="{00000000-0005-0000-0000-00005E010000}"/>
    <cellStyle name="20% - Accent1 10 3 4" xfId="19524" xr:uid="{00000000-0005-0000-0000-00005F010000}"/>
    <cellStyle name="20% - Accent1 10 4" xfId="19522" xr:uid="{00000000-0005-0000-0000-000060010000}"/>
    <cellStyle name="20% - Accent1 11" xfId="119" xr:uid="{00000000-0005-0000-0000-000061010000}"/>
    <cellStyle name="20% - Accent1 11 2" xfId="120" xr:uid="{00000000-0005-0000-0000-000062010000}"/>
    <cellStyle name="20% - Accent1 11 2 2" xfId="121" xr:uid="{00000000-0005-0000-0000-000063010000}"/>
    <cellStyle name="20% - Accent1 11 2 3" xfId="122" xr:uid="{00000000-0005-0000-0000-000064010000}"/>
    <cellStyle name="20% - Accent1 11 3" xfId="123" xr:uid="{00000000-0005-0000-0000-000065010000}"/>
    <cellStyle name="20% - Accent1 11 3 2" xfId="124" xr:uid="{00000000-0005-0000-0000-000066010000}"/>
    <cellStyle name="20% - Accent1 11 3 3" xfId="125" xr:uid="{00000000-0005-0000-0000-000067010000}"/>
    <cellStyle name="20% - Accent1 11 4" xfId="126" xr:uid="{00000000-0005-0000-0000-000068010000}"/>
    <cellStyle name="20% - Accent1 11 4 2" xfId="127" xr:uid="{00000000-0005-0000-0000-000069010000}"/>
    <cellStyle name="20% - Accent1 11 4 2 2" xfId="128" xr:uid="{00000000-0005-0000-0000-00006A010000}"/>
    <cellStyle name="20% - Accent1 11 4 2 2 2" xfId="129" xr:uid="{00000000-0005-0000-0000-00006B010000}"/>
    <cellStyle name="20% - Accent1 11 4 2 2 2 2" xfId="18988" xr:uid="{00000000-0005-0000-0000-00006C010000}"/>
    <cellStyle name="20% - Accent1 11 4 2 2 3" xfId="18470" xr:uid="{00000000-0005-0000-0000-00006D010000}"/>
    <cellStyle name="20% - Accent1 11 4 2 3" xfId="130" xr:uid="{00000000-0005-0000-0000-00006E010000}"/>
    <cellStyle name="20% - Accent1 11 4 2 3 2" xfId="18706" xr:uid="{00000000-0005-0000-0000-00006F010000}"/>
    <cellStyle name="20% - Accent1 11 4 2 4" xfId="18179" xr:uid="{00000000-0005-0000-0000-000070010000}"/>
    <cellStyle name="20% - Accent1 11 4 3" xfId="131" xr:uid="{00000000-0005-0000-0000-000071010000}"/>
    <cellStyle name="20% - Accent1 11 4 3 2" xfId="132" xr:uid="{00000000-0005-0000-0000-000072010000}"/>
    <cellStyle name="20% - Accent1 11 4 3 2 2" xfId="18868" xr:uid="{00000000-0005-0000-0000-000073010000}"/>
    <cellStyle name="20% - Accent1 11 4 3 3" xfId="18347" xr:uid="{00000000-0005-0000-0000-000074010000}"/>
    <cellStyle name="20% - Accent1 11 4 4" xfId="133" xr:uid="{00000000-0005-0000-0000-000075010000}"/>
    <cellStyle name="20% - Accent1 11 4 4 2" xfId="18589" xr:uid="{00000000-0005-0000-0000-000076010000}"/>
    <cellStyle name="20% - Accent1 11 4 5" xfId="18031" xr:uid="{00000000-0005-0000-0000-000077010000}"/>
    <cellStyle name="20% - Accent1 11 5" xfId="19525" xr:uid="{00000000-0005-0000-0000-000078010000}"/>
    <cellStyle name="20% - Accent1 12" xfId="134" xr:uid="{00000000-0005-0000-0000-000079010000}"/>
    <cellStyle name="20% - Accent1 12 2" xfId="135" xr:uid="{00000000-0005-0000-0000-00007A010000}"/>
    <cellStyle name="20% - Accent1 12 2 2" xfId="136" xr:uid="{00000000-0005-0000-0000-00007B010000}"/>
    <cellStyle name="20% - Accent1 12 2 3" xfId="137" xr:uid="{00000000-0005-0000-0000-00007C010000}"/>
    <cellStyle name="20% - Accent1 12 3" xfId="138" xr:uid="{00000000-0005-0000-0000-00007D010000}"/>
    <cellStyle name="20% - Accent1 12 3 2" xfId="139" xr:uid="{00000000-0005-0000-0000-00007E010000}"/>
    <cellStyle name="20% - Accent1 12 3 3" xfId="140" xr:uid="{00000000-0005-0000-0000-00007F010000}"/>
    <cellStyle name="20% - Accent1 12 4" xfId="19526" xr:uid="{00000000-0005-0000-0000-000080010000}"/>
    <cellStyle name="20% - Accent1 13" xfId="141" xr:uid="{00000000-0005-0000-0000-000081010000}"/>
    <cellStyle name="20% - Accent1 13 2" xfId="142" xr:uid="{00000000-0005-0000-0000-000082010000}"/>
    <cellStyle name="20% - Accent1 13 2 2" xfId="143" xr:uid="{00000000-0005-0000-0000-000083010000}"/>
    <cellStyle name="20% - Accent1 13 2 3" xfId="144" xr:uid="{00000000-0005-0000-0000-000084010000}"/>
    <cellStyle name="20% - Accent1 13 3" xfId="145" xr:uid="{00000000-0005-0000-0000-000085010000}"/>
    <cellStyle name="20% - Accent1 13 3 2" xfId="146" xr:uid="{00000000-0005-0000-0000-000086010000}"/>
    <cellStyle name="20% - Accent1 13 3 3" xfId="147" xr:uid="{00000000-0005-0000-0000-000087010000}"/>
    <cellStyle name="20% - Accent1 13 4" xfId="148" xr:uid="{00000000-0005-0000-0000-000088010000}"/>
    <cellStyle name="20% - Accent1 13 4 2" xfId="18744" xr:uid="{00000000-0005-0000-0000-000089010000}"/>
    <cellStyle name="20% - Accent1 13 5" xfId="18215" xr:uid="{00000000-0005-0000-0000-00008A010000}"/>
    <cellStyle name="20% - Accent1 14" xfId="149" xr:uid="{00000000-0005-0000-0000-00008B010000}"/>
    <cellStyle name="20% - Accent1 14 2" xfId="150" xr:uid="{00000000-0005-0000-0000-00008C010000}"/>
    <cellStyle name="20% - Accent1 14 2 2" xfId="151" xr:uid="{00000000-0005-0000-0000-00008D010000}"/>
    <cellStyle name="20% - Accent1 14 2 3" xfId="152" xr:uid="{00000000-0005-0000-0000-00008E010000}"/>
    <cellStyle name="20% - Accent1 14 3" xfId="153" xr:uid="{00000000-0005-0000-0000-00008F010000}"/>
    <cellStyle name="20% - Accent1 14 3 2" xfId="154" xr:uid="{00000000-0005-0000-0000-000090010000}"/>
    <cellStyle name="20% - Accent1 14 3 3" xfId="155" xr:uid="{00000000-0005-0000-0000-000091010000}"/>
    <cellStyle name="20% - Accent1 15" xfId="156" xr:uid="{00000000-0005-0000-0000-000092010000}"/>
    <cellStyle name="20% - Accent1 15 2" xfId="157" xr:uid="{00000000-0005-0000-0000-000093010000}"/>
    <cellStyle name="20% - Accent1 15 2 2" xfId="158" xr:uid="{00000000-0005-0000-0000-000094010000}"/>
    <cellStyle name="20% - Accent1 15 2 3" xfId="159" xr:uid="{00000000-0005-0000-0000-000095010000}"/>
    <cellStyle name="20% - Accent1 15 3" xfId="160" xr:uid="{00000000-0005-0000-0000-000096010000}"/>
    <cellStyle name="20% - Accent1 15 3 2" xfId="161" xr:uid="{00000000-0005-0000-0000-000097010000}"/>
    <cellStyle name="20% - Accent1 15 3 3" xfId="162" xr:uid="{00000000-0005-0000-0000-000098010000}"/>
    <cellStyle name="20% - Accent1 15 4" xfId="163" xr:uid="{00000000-0005-0000-0000-000099010000}"/>
    <cellStyle name="20% - Accent1 15 4 2" xfId="164" xr:uid="{00000000-0005-0000-0000-00009A010000}"/>
    <cellStyle name="20% - Accent1 15 4 3" xfId="165" xr:uid="{00000000-0005-0000-0000-00009B010000}"/>
    <cellStyle name="20% - Accent1 15 5" xfId="166" xr:uid="{00000000-0005-0000-0000-00009C010000}"/>
    <cellStyle name="20% - Accent1 15 5 2" xfId="167" xr:uid="{00000000-0005-0000-0000-00009D010000}"/>
    <cellStyle name="20% - Accent1 15 5 3" xfId="168" xr:uid="{00000000-0005-0000-0000-00009E010000}"/>
    <cellStyle name="20% - Accent1 15 6" xfId="169" xr:uid="{00000000-0005-0000-0000-00009F010000}"/>
    <cellStyle name="20% - Accent1 15 6 2" xfId="170" xr:uid="{00000000-0005-0000-0000-0000A0010000}"/>
    <cellStyle name="20% - Accent1 15 6 3" xfId="171" xr:uid="{00000000-0005-0000-0000-0000A1010000}"/>
    <cellStyle name="20% - Accent1 15 7" xfId="172" xr:uid="{00000000-0005-0000-0000-0000A2010000}"/>
    <cellStyle name="20% - Accent1 15 7 2" xfId="173" xr:uid="{00000000-0005-0000-0000-0000A3010000}"/>
    <cellStyle name="20% - Accent1 15 7 3" xfId="174" xr:uid="{00000000-0005-0000-0000-0000A4010000}"/>
    <cellStyle name="20% - Accent1 15 8" xfId="175" xr:uid="{00000000-0005-0000-0000-0000A5010000}"/>
    <cellStyle name="20% - Accent1 15 9" xfId="176" xr:uid="{00000000-0005-0000-0000-0000A6010000}"/>
    <cellStyle name="20% - Accent1 15_Capacity" xfId="177" xr:uid="{00000000-0005-0000-0000-0000A7010000}"/>
    <cellStyle name="20% - Accent1 16" xfId="178" xr:uid="{00000000-0005-0000-0000-0000A8010000}"/>
    <cellStyle name="20% - Accent1 16 2" xfId="179" xr:uid="{00000000-0005-0000-0000-0000A9010000}"/>
    <cellStyle name="20% - Accent1 16 3" xfId="180" xr:uid="{00000000-0005-0000-0000-0000AA010000}"/>
    <cellStyle name="20% - Accent1 17" xfId="181" xr:uid="{00000000-0005-0000-0000-0000AB010000}"/>
    <cellStyle name="20% - Accent1 17 2" xfId="182" xr:uid="{00000000-0005-0000-0000-0000AC010000}"/>
    <cellStyle name="20% - Accent1 17 3" xfId="183" xr:uid="{00000000-0005-0000-0000-0000AD010000}"/>
    <cellStyle name="20% - Accent1 18" xfId="184" xr:uid="{00000000-0005-0000-0000-0000AE010000}"/>
    <cellStyle name="20% - Accent1 18 2" xfId="185" xr:uid="{00000000-0005-0000-0000-0000AF010000}"/>
    <cellStyle name="20% - Accent1 18 3" xfId="186" xr:uid="{00000000-0005-0000-0000-0000B0010000}"/>
    <cellStyle name="20% - Accent1 19" xfId="187" xr:uid="{00000000-0005-0000-0000-0000B1010000}"/>
    <cellStyle name="20% - Accent1 19 2" xfId="188" xr:uid="{00000000-0005-0000-0000-0000B2010000}"/>
    <cellStyle name="20% - Accent1 19 3" xfId="189" xr:uid="{00000000-0005-0000-0000-0000B3010000}"/>
    <cellStyle name="20% - Accent1 2" xfId="190" xr:uid="{00000000-0005-0000-0000-0000B4010000}"/>
    <cellStyle name="20% - Accent1 2 2" xfId="191" xr:uid="{00000000-0005-0000-0000-0000B5010000}"/>
    <cellStyle name="20% - Accent1 2 2 2" xfId="192" xr:uid="{00000000-0005-0000-0000-0000B6010000}"/>
    <cellStyle name="20% - Accent1 2 2 2 2" xfId="19529" xr:uid="{00000000-0005-0000-0000-0000B7010000}"/>
    <cellStyle name="20% - Accent1 2 2 2 3" xfId="19530" xr:uid="{00000000-0005-0000-0000-0000B8010000}"/>
    <cellStyle name="20% - Accent1 2 2 2 4" xfId="19531" xr:uid="{00000000-0005-0000-0000-0000B9010000}"/>
    <cellStyle name="20% - Accent1 2 2 2 5" xfId="19528" xr:uid="{00000000-0005-0000-0000-0000BA010000}"/>
    <cellStyle name="20% - Accent1 2 2 3" xfId="193" xr:uid="{00000000-0005-0000-0000-0000BB010000}"/>
    <cellStyle name="20% - Accent1 2 2 3 2" xfId="19533" xr:uid="{00000000-0005-0000-0000-0000BC010000}"/>
    <cellStyle name="20% - Accent1 2 2 3 2 2" xfId="19534" xr:uid="{00000000-0005-0000-0000-0000BD010000}"/>
    <cellStyle name="20% - Accent1 2 2 3 2 2 2" xfId="38387" xr:uid="{00000000-0005-0000-0000-0000BE010000}"/>
    <cellStyle name="20% - Accent1 2 2 3 2 3" xfId="38386" xr:uid="{00000000-0005-0000-0000-0000BF010000}"/>
    <cellStyle name="20% - Accent1 2 2 3 3" xfId="19535" xr:uid="{00000000-0005-0000-0000-0000C0010000}"/>
    <cellStyle name="20% - Accent1 2 2 3 3 2" xfId="38388" xr:uid="{00000000-0005-0000-0000-0000C1010000}"/>
    <cellStyle name="20% - Accent1 2 2 3 4" xfId="19536" xr:uid="{00000000-0005-0000-0000-0000C2010000}"/>
    <cellStyle name="20% - Accent1 2 2 3 5" xfId="38385" xr:uid="{00000000-0005-0000-0000-0000C3010000}"/>
    <cellStyle name="20% - Accent1 2 2 3 6" xfId="19532" xr:uid="{00000000-0005-0000-0000-0000C4010000}"/>
    <cellStyle name="20% - Accent1 2 2 4" xfId="19537" xr:uid="{00000000-0005-0000-0000-0000C5010000}"/>
    <cellStyle name="20% - Accent1 2 2 4 2" xfId="19538" xr:uid="{00000000-0005-0000-0000-0000C6010000}"/>
    <cellStyle name="20% - Accent1 2 2 4 2 2" xfId="38390" xr:uid="{00000000-0005-0000-0000-0000C7010000}"/>
    <cellStyle name="20% - Accent1 2 2 4 3" xfId="19539" xr:uid="{00000000-0005-0000-0000-0000C8010000}"/>
    <cellStyle name="20% - Accent1 2 2 4 4" xfId="38389" xr:uid="{00000000-0005-0000-0000-0000C9010000}"/>
    <cellStyle name="20% - Accent1 2 2 5" xfId="19540" xr:uid="{00000000-0005-0000-0000-0000CA010000}"/>
    <cellStyle name="20% - Accent1 2 2 5 2" xfId="19541" xr:uid="{00000000-0005-0000-0000-0000CB010000}"/>
    <cellStyle name="20% - Accent1 2 2 5 3" xfId="38391" xr:uid="{00000000-0005-0000-0000-0000CC010000}"/>
    <cellStyle name="20% - Accent1 2 2 6" xfId="19542" xr:uid="{00000000-0005-0000-0000-0000CD010000}"/>
    <cellStyle name="20% - Accent1 2 2 6 2" xfId="19543" xr:uid="{00000000-0005-0000-0000-0000CE010000}"/>
    <cellStyle name="20% - Accent1 2 2 7" xfId="19544" xr:uid="{00000000-0005-0000-0000-0000CF010000}"/>
    <cellStyle name="20% - Accent1 2 2 8" xfId="38384" xr:uid="{00000000-0005-0000-0000-0000D0010000}"/>
    <cellStyle name="20% - Accent1 2 2 9" xfId="19527" xr:uid="{00000000-0005-0000-0000-0000D1010000}"/>
    <cellStyle name="20% - Accent1 2 3" xfId="194" xr:uid="{00000000-0005-0000-0000-0000D2010000}"/>
    <cellStyle name="20% - Accent1 2 3 2" xfId="195" xr:uid="{00000000-0005-0000-0000-0000D3010000}"/>
    <cellStyle name="20% - Accent1 2 3 2 2" xfId="19547" xr:uid="{00000000-0005-0000-0000-0000D4010000}"/>
    <cellStyle name="20% - Accent1 2 3 2 3" xfId="19548" xr:uid="{00000000-0005-0000-0000-0000D5010000}"/>
    <cellStyle name="20% - Accent1 2 3 2 4" xfId="19549" xr:uid="{00000000-0005-0000-0000-0000D6010000}"/>
    <cellStyle name="20% - Accent1 2 3 2 5" xfId="38392" xr:uid="{00000000-0005-0000-0000-0000D7010000}"/>
    <cellStyle name="20% - Accent1 2 3 2 6" xfId="19546" xr:uid="{00000000-0005-0000-0000-0000D8010000}"/>
    <cellStyle name="20% - Accent1 2 3 3" xfId="196" xr:uid="{00000000-0005-0000-0000-0000D9010000}"/>
    <cellStyle name="20% - Accent1 2 3 3 2" xfId="19550" xr:uid="{00000000-0005-0000-0000-0000DA010000}"/>
    <cellStyle name="20% - Accent1 2 3 4" xfId="19551" xr:uid="{00000000-0005-0000-0000-0000DB010000}"/>
    <cellStyle name="20% - Accent1 2 3 5" xfId="19552" xr:uid="{00000000-0005-0000-0000-0000DC010000}"/>
    <cellStyle name="20% - Accent1 2 3 6" xfId="19545" xr:uid="{00000000-0005-0000-0000-0000DD010000}"/>
    <cellStyle name="20% - Accent1 2 4" xfId="19553" xr:uid="{00000000-0005-0000-0000-0000DE010000}"/>
    <cellStyle name="20% - Accent1 2 4 2" xfId="19554" xr:uid="{00000000-0005-0000-0000-0000DF010000}"/>
    <cellStyle name="20% - Accent1 2 5" xfId="19555" xr:uid="{00000000-0005-0000-0000-0000E0010000}"/>
    <cellStyle name="20% - Accent1 2 5 2" xfId="19556" xr:uid="{00000000-0005-0000-0000-0000E1010000}"/>
    <cellStyle name="20% - Accent1 2 5 3" xfId="19557" xr:uid="{00000000-0005-0000-0000-0000E2010000}"/>
    <cellStyle name="20% - Accent1 2 6" xfId="19558" xr:uid="{00000000-0005-0000-0000-0000E3010000}"/>
    <cellStyle name="20% - Accent1 2 6 2" xfId="19559" xr:uid="{00000000-0005-0000-0000-0000E4010000}"/>
    <cellStyle name="20% - Accent1 2 7" xfId="19560" xr:uid="{00000000-0005-0000-0000-0000E5010000}"/>
    <cellStyle name="20% - Accent1 2 7 2" xfId="19561" xr:uid="{00000000-0005-0000-0000-0000E6010000}"/>
    <cellStyle name="20% - Accent1 2 8" xfId="19562" xr:uid="{00000000-0005-0000-0000-0000E7010000}"/>
    <cellStyle name="20% - Accent1 20" xfId="197" xr:uid="{00000000-0005-0000-0000-0000E8010000}"/>
    <cellStyle name="20% - Accent1 20 2" xfId="198" xr:uid="{00000000-0005-0000-0000-0000E9010000}"/>
    <cellStyle name="20% - Accent1 20 3" xfId="199" xr:uid="{00000000-0005-0000-0000-0000EA010000}"/>
    <cellStyle name="20% - Accent1 21" xfId="200" xr:uid="{00000000-0005-0000-0000-0000EB010000}"/>
    <cellStyle name="20% - Accent1 21 2" xfId="201" xr:uid="{00000000-0005-0000-0000-0000EC010000}"/>
    <cellStyle name="20% - Accent1 21 3" xfId="202" xr:uid="{00000000-0005-0000-0000-0000ED010000}"/>
    <cellStyle name="20% - Accent1 22" xfId="203" xr:uid="{00000000-0005-0000-0000-0000EE010000}"/>
    <cellStyle name="20% - Accent1 22 2" xfId="204" xr:uid="{00000000-0005-0000-0000-0000EF010000}"/>
    <cellStyle name="20% - Accent1 22 3" xfId="205" xr:uid="{00000000-0005-0000-0000-0000F0010000}"/>
    <cellStyle name="20% - Accent1 3" xfId="206" xr:uid="{00000000-0005-0000-0000-0000F1010000}"/>
    <cellStyle name="20% - Accent1 3 10" xfId="19563" xr:uid="{00000000-0005-0000-0000-0000F2010000}"/>
    <cellStyle name="20% - Accent1 3 2" xfId="207" xr:uid="{00000000-0005-0000-0000-0000F3010000}"/>
    <cellStyle name="20% - Accent1 3 2 2" xfId="208" xr:uid="{00000000-0005-0000-0000-0000F4010000}"/>
    <cellStyle name="20% - Accent1 3 2 2 2" xfId="19566" xr:uid="{00000000-0005-0000-0000-0000F5010000}"/>
    <cellStyle name="20% - Accent1 3 2 2 2 2" xfId="19567" xr:uid="{00000000-0005-0000-0000-0000F6010000}"/>
    <cellStyle name="20% - Accent1 3 2 2 2 2 2" xfId="38396" xr:uid="{00000000-0005-0000-0000-0000F7010000}"/>
    <cellStyle name="20% - Accent1 3 2 2 2 3" xfId="19568" xr:uid="{00000000-0005-0000-0000-0000F8010000}"/>
    <cellStyle name="20% - Accent1 3 2 2 2 4" xfId="38395" xr:uid="{00000000-0005-0000-0000-0000F9010000}"/>
    <cellStyle name="20% - Accent1 3 2 2 3" xfId="19569" xr:uid="{00000000-0005-0000-0000-0000FA010000}"/>
    <cellStyle name="20% - Accent1 3 2 2 3 2" xfId="19570" xr:uid="{00000000-0005-0000-0000-0000FB010000}"/>
    <cellStyle name="20% - Accent1 3 2 2 3 3" xfId="38397" xr:uid="{00000000-0005-0000-0000-0000FC010000}"/>
    <cellStyle name="20% - Accent1 3 2 2 4" xfId="19571" xr:uid="{00000000-0005-0000-0000-0000FD010000}"/>
    <cellStyle name="20% - Accent1 3 2 2 5" xfId="38394" xr:uid="{00000000-0005-0000-0000-0000FE010000}"/>
    <cellStyle name="20% - Accent1 3 2 2 6" xfId="19565" xr:uid="{00000000-0005-0000-0000-0000FF010000}"/>
    <cellStyle name="20% - Accent1 3 2 3" xfId="209" xr:uid="{00000000-0005-0000-0000-000000020000}"/>
    <cellStyle name="20% - Accent1 3 2 3 2" xfId="19573" xr:uid="{00000000-0005-0000-0000-000001020000}"/>
    <cellStyle name="20% - Accent1 3 2 3 2 2" xfId="38399" xr:uid="{00000000-0005-0000-0000-000002020000}"/>
    <cellStyle name="20% - Accent1 3 2 3 3" xfId="19574" xr:uid="{00000000-0005-0000-0000-000003020000}"/>
    <cellStyle name="20% - Accent1 3 2 3 4" xfId="38398" xr:uid="{00000000-0005-0000-0000-000004020000}"/>
    <cellStyle name="20% - Accent1 3 2 3 5" xfId="19572" xr:uid="{00000000-0005-0000-0000-000005020000}"/>
    <cellStyle name="20% - Accent1 3 2 4" xfId="19575" xr:uid="{00000000-0005-0000-0000-000006020000}"/>
    <cellStyle name="20% - Accent1 3 2 4 2" xfId="19576" xr:uid="{00000000-0005-0000-0000-000007020000}"/>
    <cellStyle name="20% - Accent1 3 2 4 3" xfId="38400" xr:uid="{00000000-0005-0000-0000-000008020000}"/>
    <cellStyle name="20% - Accent1 3 2 5" xfId="19577" xr:uid="{00000000-0005-0000-0000-000009020000}"/>
    <cellStyle name="20% - Accent1 3 2 5 2" xfId="19578" xr:uid="{00000000-0005-0000-0000-00000A020000}"/>
    <cellStyle name="20% - Accent1 3 2 6" xfId="19579" xr:uid="{00000000-0005-0000-0000-00000B020000}"/>
    <cellStyle name="20% - Accent1 3 2 6 2" xfId="19580" xr:uid="{00000000-0005-0000-0000-00000C020000}"/>
    <cellStyle name="20% - Accent1 3 2 7" xfId="19581" xr:uid="{00000000-0005-0000-0000-00000D020000}"/>
    <cellStyle name="20% - Accent1 3 2 8" xfId="38393" xr:uid="{00000000-0005-0000-0000-00000E020000}"/>
    <cellStyle name="20% - Accent1 3 2 9" xfId="19564" xr:uid="{00000000-0005-0000-0000-00000F020000}"/>
    <cellStyle name="20% - Accent1 3 3" xfId="210" xr:uid="{00000000-0005-0000-0000-000010020000}"/>
    <cellStyle name="20% - Accent1 3 3 2" xfId="211" xr:uid="{00000000-0005-0000-0000-000011020000}"/>
    <cellStyle name="20% - Accent1 3 3 2 2" xfId="19584" xr:uid="{00000000-0005-0000-0000-000012020000}"/>
    <cellStyle name="20% - Accent1 3 3 2 2 2" xfId="38403" xr:uid="{00000000-0005-0000-0000-000013020000}"/>
    <cellStyle name="20% - Accent1 3 3 2 3" xfId="38402" xr:uid="{00000000-0005-0000-0000-000014020000}"/>
    <cellStyle name="20% - Accent1 3 3 2 4" xfId="19583" xr:uid="{00000000-0005-0000-0000-000015020000}"/>
    <cellStyle name="20% - Accent1 3 3 3" xfId="212" xr:uid="{00000000-0005-0000-0000-000016020000}"/>
    <cellStyle name="20% - Accent1 3 3 3 2" xfId="38404" xr:uid="{00000000-0005-0000-0000-000017020000}"/>
    <cellStyle name="20% - Accent1 3 3 3 3" xfId="19585" xr:uid="{00000000-0005-0000-0000-000018020000}"/>
    <cellStyle name="20% - Accent1 3 3 4" xfId="19586" xr:uid="{00000000-0005-0000-0000-000019020000}"/>
    <cellStyle name="20% - Accent1 3 3 5" xfId="38401" xr:uid="{00000000-0005-0000-0000-00001A020000}"/>
    <cellStyle name="20% - Accent1 3 3 6" xfId="19582" xr:uid="{00000000-0005-0000-0000-00001B020000}"/>
    <cellStyle name="20% - Accent1 3 4" xfId="19587" xr:uid="{00000000-0005-0000-0000-00001C020000}"/>
    <cellStyle name="20% - Accent1 3 4 2" xfId="19588" xr:uid="{00000000-0005-0000-0000-00001D020000}"/>
    <cellStyle name="20% - Accent1 3 4 2 2" xfId="38406" xr:uid="{00000000-0005-0000-0000-00001E020000}"/>
    <cellStyle name="20% - Accent1 3 4 3" xfId="19589" xr:uid="{00000000-0005-0000-0000-00001F020000}"/>
    <cellStyle name="20% - Accent1 3 4 4" xfId="38405" xr:uid="{00000000-0005-0000-0000-000020020000}"/>
    <cellStyle name="20% - Accent1 3 5" xfId="19590" xr:uid="{00000000-0005-0000-0000-000021020000}"/>
    <cellStyle name="20% - Accent1 3 5 2" xfId="19591" xr:uid="{00000000-0005-0000-0000-000022020000}"/>
    <cellStyle name="20% - Accent1 3 5 3" xfId="38407" xr:uid="{00000000-0005-0000-0000-000023020000}"/>
    <cellStyle name="20% - Accent1 3 6" xfId="19592" xr:uid="{00000000-0005-0000-0000-000024020000}"/>
    <cellStyle name="20% - Accent1 3 6 2" xfId="19593" xr:uid="{00000000-0005-0000-0000-000025020000}"/>
    <cellStyle name="20% - Accent1 3 6 3" xfId="19594" xr:uid="{00000000-0005-0000-0000-000026020000}"/>
    <cellStyle name="20% - Accent1 3 7" xfId="19595" xr:uid="{00000000-0005-0000-0000-000027020000}"/>
    <cellStyle name="20% - Accent1 3 7 2" xfId="19596" xr:uid="{00000000-0005-0000-0000-000028020000}"/>
    <cellStyle name="20% - Accent1 3 8" xfId="19597" xr:uid="{00000000-0005-0000-0000-000029020000}"/>
    <cellStyle name="20% - Accent1 3 9" xfId="19598" xr:uid="{00000000-0005-0000-0000-00002A020000}"/>
    <cellStyle name="20% - Accent1 4" xfId="213" xr:uid="{00000000-0005-0000-0000-00002B020000}"/>
    <cellStyle name="20% - Accent1 4 2" xfId="214" xr:uid="{00000000-0005-0000-0000-00002C020000}"/>
    <cellStyle name="20% - Accent1 4 2 2" xfId="215" xr:uid="{00000000-0005-0000-0000-00002D020000}"/>
    <cellStyle name="20% - Accent1 4 2 2 2" xfId="19601" xr:uid="{00000000-0005-0000-0000-00002E020000}"/>
    <cellStyle name="20% - Accent1 4 2 2 2 2" xfId="19602" xr:uid="{00000000-0005-0000-0000-00002F020000}"/>
    <cellStyle name="20% - Accent1 4 2 2 2 2 2" xfId="38411" xr:uid="{00000000-0005-0000-0000-000030020000}"/>
    <cellStyle name="20% - Accent1 4 2 2 2 3" xfId="19603" xr:uid="{00000000-0005-0000-0000-000031020000}"/>
    <cellStyle name="20% - Accent1 4 2 2 2 4" xfId="38410" xr:uid="{00000000-0005-0000-0000-000032020000}"/>
    <cellStyle name="20% - Accent1 4 2 2 3" xfId="19604" xr:uid="{00000000-0005-0000-0000-000033020000}"/>
    <cellStyle name="20% - Accent1 4 2 2 3 2" xfId="19605" xr:uid="{00000000-0005-0000-0000-000034020000}"/>
    <cellStyle name="20% - Accent1 4 2 2 3 3" xfId="38412" xr:uid="{00000000-0005-0000-0000-000035020000}"/>
    <cellStyle name="20% - Accent1 4 2 2 4" xfId="19606" xr:uid="{00000000-0005-0000-0000-000036020000}"/>
    <cellStyle name="20% - Accent1 4 2 2 5" xfId="38409" xr:uid="{00000000-0005-0000-0000-000037020000}"/>
    <cellStyle name="20% - Accent1 4 2 2 6" xfId="19600" xr:uid="{00000000-0005-0000-0000-000038020000}"/>
    <cellStyle name="20% - Accent1 4 2 3" xfId="216" xr:uid="{00000000-0005-0000-0000-000039020000}"/>
    <cellStyle name="20% - Accent1 4 2 3 2" xfId="19608" xr:uid="{00000000-0005-0000-0000-00003A020000}"/>
    <cellStyle name="20% - Accent1 4 2 3 2 2" xfId="38414" xr:uid="{00000000-0005-0000-0000-00003B020000}"/>
    <cellStyle name="20% - Accent1 4 2 3 3" xfId="19609" xr:uid="{00000000-0005-0000-0000-00003C020000}"/>
    <cellStyle name="20% - Accent1 4 2 3 4" xfId="38413" xr:uid="{00000000-0005-0000-0000-00003D020000}"/>
    <cellStyle name="20% - Accent1 4 2 3 5" xfId="19607" xr:uid="{00000000-0005-0000-0000-00003E020000}"/>
    <cellStyle name="20% - Accent1 4 2 4" xfId="19610" xr:uid="{00000000-0005-0000-0000-00003F020000}"/>
    <cellStyle name="20% - Accent1 4 2 4 2" xfId="19611" xr:uid="{00000000-0005-0000-0000-000040020000}"/>
    <cellStyle name="20% - Accent1 4 2 4 3" xfId="38415" xr:uid="{00000000-0005-0000-0000-000041020000}"/>
    <cellStyle name="20% - Accent1 4 2 5" xfId="19612" xr:uid="{00000000-0005-0000-0000-000042020000}"/>
    <cellStyle name="20% - Accent1 4 2 5 2" xfId="19613" xr:uid="{00000000-0005-0000-0000-000043020000}"/>
    <cellStyle name="20% - Accent1 4 2 6" xfId="19614" xr:uid="{00000000-0005-0000-0000-000044020000}"/>
    <cellStyle name="20% - Accent1 4 2 6 2" xfId="19615" xr:uid="{00000000-0005-0000-0000-000045020000}"/>
    <cellStyle name="20% - Accent1 4 2 7" xfId="19616" xr:uid="{00000000-0005-0000-0000-000046020000}"/>
    <cellStyle name="20% - Accent1 4 2 8" xfId="38408" xr:uid="{00000000-0005-0000-0000-000047020000}"/>
    <cellStyle name="20% - Accent1 4 2 9" xfId="19599" xr:uid="{00000000-0005-0000-0000-000048020000}"/>
    <cellStyle name="20% - Accent1 4 3" xfId="217" xr:uid="{00000000-0005-0000-0000-000049020000}"/>
    <cellStyle name="20% - Accent1 4 3 2" xfId="218" xr:uid="{00000000-0005-0000-0000-00004A020000}"/>
    <cellStyle name="20% - Accent1 4 3 2 2" xfId="38417" xr:uid="{00000000-0005-0000-0000-00004B020000}"/>
    <cellStyle name="20% - Accent1 4 3 2 3" xfId="19618" xr:uid="{00000000-0005-0000-0000-00004C020000}"/>
    <cellStyle name="20% - Accent1 4 3 3" xfId="219" xr:uid="{00000000-0005-0000-0000-00004D020000}"/>
    <cellStyle name="20% - Accent1 4 3 3 2" xfId="38418" xr:uid="{00000000-0005-0000-0000-00004E020000}"/>
    <cellStyle name="20% - Accent1 4 3 3 3" xfId="19619" xr:uid="{00000000-0005-0000-0000-00004F020000}"/>
    <cellStyle name="20% - Accent1 4 3 4" xfId="19620" xr:uid="{00000000-0005-0000-0000-000050020000}"/>
    <cellStyle name="20% - Accent1 4 3 5" xfId="38416" xr:uid="{00000000-0005-0000-0000-000051020000}"/>
    <cellStyle name="20% - Accent1 4 3 6" xfId="19617" xr:uid="{00000000-0005-0000-0000-000052020000}"/>
    <cellStyle name="20% - Accent1 4 4" xfId="19621" xr:uid="{00000000-0005-0000-0000-000053020000}"/>
    <cellStyle name="20% - Accent1 4 4 2" xfId="19622" xr:uid="{00000000-0005-0000-0000-000054020000}"/>
    <cellStyle name="20% - Accent1 4 4 2 2" xfId="38420" xr:uid="{00000000-0005-0000-0000-000055020000}"/>
    <cellStyle name="20% - Accent1 4 4 3" xfId="19623" xr:uid="{00000000-0005-0000-0000-000056020000}"/>
    <cellStyle name="20% - Accent1 4 4 4" xfId="38419" xr:uid="{00000000-0005-0000-0000-000057020000}"/>
    <cellStyle name="20% - Accent1 4 5" xfId="19624" xr:uid="{00000000-0005-0000-0000-000058020000}"/>
    <cellStyle name="20% - Accent1 4 5 2" xfId="38421" xr:uid="{00000000-0005-0000-0000-000059020000}"/>
    <cellStyle name="20% - Accent1 4 6" xfId="19625" xr:uid="{00000000-0005-0000-0000-00005A020000}"/>
    <cellStyle name="20% - Accent1 4 6 2" xfId="19626" xr:uid="{00000000-0005-0000-0000-00005B020000}"/>
    <cellStyle name="20% - Accent1 4 7" xfId="19627" xr:uid="{00000000-0005-0000-0000-00005C020000}"/>
    <cellStyle name="20% - Accent1 4 7 2" xfId="19628" xr:uid="{00000000-0005-0000-0000-00005D020000}"/>
    <cellStyle name="20% - Accent1 4 8" xfId="19629" xr:uid="{00000000-0005-0000-0000-00005E020000}"/>
    <cellStyle name="20% - Accent1 4 9" xfId="19630" xr:uid="{00000000-0005-0000-0000-00005F020000}"/>
    <cellStyle name="20% - Accent1 5" xfId="220" xr:uid="{00000000-0005-0000-0000-000060020000}"/>
    <cellStyle name="20% - Accent1 5 2" xfId="221" xr:uid="{00000000-0005-0000-0000-000061020000}"/>
    <cellStyle name="20% - Accent1 5 2 2" xfId="222" xr:uid="{00000000-0005-0000-0000-000062020000}"/>
    <cellStyle name="20% - Accent1 5 2 2 2" xfId="19633" xr:uid="{00000000-0005-0000-0000-000063020000}"/>
    <cellStyle name="20% - Accent1 5 2 2 2 2" xfId="19634" xr:uid="{00000000-0005-0000-0000-000064020000}"/>
    <cellStyle name="20% - Accent1 5 2 2 2 2 2" xfId="38425" xr:uid="{00000000-0005-0000-0000-000065020000}"/>
    <cellStyle name="20% - Accent1 5 2 2 2 3" xfId="38424" xr:uid="{00000000-0005-0000-0000-000066020000}"/>
    <cellStyle name="20% - Accent1 5 2 2 3" xfId="19635" xr:uid="{00000000-0005-0000-0000-000067020000}"/>
    <cellStyle name="20% - Accent1 5 2 2 3 2" xfId="38426" xr:uid="{00000000-0005-0000-0000-000068020000}"/>
    <cellStyle name="20% - Accent1 5 2 2 4" xfId="38423" xr:uid="{00000000-0005-0000-0000-000069020000}"/>
    <cellStyle name="20% - Accent1 5 2 2 5" xfId="19632" xr:uid="{00000000-0005-0000-0000-00006A020000}"/>
    <cellStyle name="20% - Accent1 5 2 3" xfId="223" xr:uid="{00000000-0005-0000-0000-00006B020000}"/>
    <cellStyle name="20% - Accent1 5 2 3 2" xfId="19637" xr:uid="{00000000-0005-0000-0000-00006C020000}"/>
    <cellStyle name="20% - Accent1 5 2 3 2 2" xfId="38428" xr:uid="{00000000-0005-0000-0000-00006D020000}"/>
    <cellStyle name="20% - Accent1 5 2 3 3" xfId="38427" xr:uid="{00000000-0005-0000-0000-00006E020000}"/>
    <cellStyle name="20% - Accent1 5 2 3 4" xfId="19636" xr:uid="{00000000-0005-0000-0000-00006F020000}"/>
    <cellStyle name="20% - Accent1 5 2 4" xfId="19638" xr:uid="{00000000-0005-0000-0000-000070020000}"/>
    <cellStyle name="20% - Accent1 5 2 4 2" xfId="38429" xr:uid="{00000000-0005-0000-0000-000071020000}"/>
    <cellStyle name="20% - Accent1 5 2 5" xfId="19639" xr:uid="{00000000-0005-0000-0000-000072020000}"/>
    <cellStyle name="20% - Accent1 5 2 6" xfId="38422" xr:uid="{00000000-0005-0000-0000-000073020000}"/>
    <cellStyle name="20% - Accent1 5 2 7" xfId="19631" xr:uid="{00000000-0005-0000-0000-000074020000}"/>
    <cellStyle name="20% - Accent1 5 3" xfId="224" xr:uid="{00000000-0005-0000-0000-000075020000}"/>
    <cellStyle name="20% - Accent1 5 3 2" xfId="225" xr:uid="{00000000-0005-0000-0000-000076020000}"/>
    <cellStyle name="20% - Accent1 5 3 2 2" xfId="19641" xr:uid="{00000000-0005-0000-0000-000077020000}"/>
    <cellStyle name="20% - Accent1 5 3 3" xfId="226" xr:uid="{00000000-0005-0000-0000-000078020000}"/>
    <cellStyle name="20% - Accent1 5 3 3 2" xfId="38430" xr:uid="{00000000-0005-0000-0000-000079020000}"/>
    <cellStyle name="20% - Accent1 5 3 4" xfId="19640" xr:uid="{00000000-0005-0000-0000-00007A020000}"/>
    <cellStyle name="20% - Accent1 5 4" xfId="19642" xr:uid="{00000000-0005-0000-0000-00007B020000}"/>
    <cellStyle name="20% - Accent1 5 5" xfId="19643" xr:uid="{00000000-0005-0000-0000-00007C020000}"/>
    <cellStyle name="20% - Accent1 6" xfId="227" xr:uid="{00000000-0005-0000-0000-00007D020000}"/>
    <cellStyle name="20% - Accent1 6 2" xfId="228" xr:uid="{00000000-0005-0000-0000-00007E020000}"/>
    <cellStyle name="20% - Accent1 6 2 2" xfId="229" xr:uid="{00000000-0005-0000-0000-00007F020000}"/>
    <cellStyle name="20% - Accent1 6 2 2 2" xfId="38432" xr:uid="{00000000-0005-0000-0000-000080020000}"/>
    <cellStyle name="20% - Accent1 6 2 2 3" xfId="19646" xr:uid="{00000000-0005-0000-0000-000081020000}"/>
    <cellStyle name="20% - Accent1 6 2 3" xfId="230" xr:uid="{00000000-0005-0000-0000-000082020000}"/>
    <cellStyle name="20% - Accent1 6 2 3 2" xfId="19647" xr:uid="{00000000-0005-0000-0000-000083020000}"/>
    <cellStyle name="20% - Accent1 6 2 4" xfId="19648" xr:uid="{00000000-0005-0000-0000-000084020000}"/>
    <cellStyle name="20% - Accent1 6 2 5" xfId="19645" xr:uid="{00000000-0005-0000-0000-000085020000}"/>
    <cellStyle name="20% - Accent1 6 3" xfId="231" xr:uid="{00000000-0005-0000-0000-000086020000}"/>
    <cellStyle name="20% - Accent1 6 3 2" xfId="232" xr:uid="{00000000-0005-0000-0000-000087020000}"/>
    <cellStyle name="20% - Accent1 6 3 2 2" xfId="19651" xr:uid="{00000000-0005-0000-0000-000088020000}"/>
    <cellStyle name="20% - Accent1 6 3 2 2 2" xfId="38435" xr:uid="{00000000-0005-0000-0000-000089020000}"/>
    <cellStyle name="20% - Accent1 6 3 2 3" xfId="38434" xr:uid="{00000000-0005-0000-0000-00008A020000}"/>
    <cellStyle name="20% - Accent1 6 3 2 4" xfId="19650" xr:uid="{00000000-0005-0000-0000-00008B020000}"/>
    <cellStyle name="20% - Accent1 6 3 3" xfId="233" xr:uid="{00000000-0005-0000-0000-00008C020000}"/>
    <cellStyle name="20% - Accent1 6 3 3 2" xfId="38436" xr:uid="{00000000-0005-0000-0000-00008D020000}"/>
    <cellStyle name="20% - Accent1 6 3 3 3" xfId="19652" xr:uid="{00000000-0005-0000-0000-00008E020000}"/>
    <cellStyle name="20% - Accent1 6 3 4" xfId="19653" xr:uid="{00000000-0005-0000-0000-00008F020000}"/>
    <cellStyle name="20% - Accent1 6 3 5" xfId="38433" xr:uid="{00000000-0005-0000-0000-000090020000}"/>
    <cellStyle name="20% - Accent1 6 3 6" xfId="19649" xr:uid="{00000000-0005-0000-0000-000091020000}"/>
    <cellStyle name="20% - Accent1 6 4" xfId="19654" xr:uid="{00000000-0005-0000-0000-000092020000}"/>
    <cellStyle name="20% - Accent1 6 4 2" xfId="19655" xr:uid="{00000000-0005-0000-0000-000093020000}"/>
    <cellStyle name="20% - Accent1 6 4 2 2" xfId="38438" xr:uid="{00000000-0005-0000-0000-000094020000}"/>
    <cellStyle name="20% - Accent1 6 4 3" xfId="38437" xr:uid="{00000000-0005-0000-0000-000095020000}"/>
    <cellStyle name="20% - Accent1 6 5" xfId="19656" xr:uid="{00000000-0005-0000-0000-000096020000}"/>
    <cellStyle name="20% - Accent1 6 5 2" xfId="38439" xr:uid="{00000000-0005-0000-0000-000097020000}"/>
    <cellStyle name="20% - Accent1 6 6" xfId="19657" xr:uid="{00000000-0005-0000-0000-000098020000}"/>
    <cellStyle name="20% - Accent1 6 7" xfId="38431" xr:uid="{00000000-0005-0000-0000-000099020000}"/>
    <cellStyle name="20% - Accent1 6 8" xfId="19644" xr:uid="{00000000-0005-0000-0000-00009A020000}"/>
    <cellStyle name="20% - Accent1 7" xfId="234" xr:uid="{00000000-0005-0000-0000-00009B020000}"/>
    <cellStyle name="20% - Accent1 7 2" xfId="235" xr:uid="{00000000-0005-0000-0000-00009C020000}"/>
    <cellStyle name="20% - Accent1 7 2 2" xfId="236" xr:uid="{00000000-0005-0000-0000-00009D020000}"/>
    <cellStyle name="20% - Accent1 7 2 2 2" xfId="19661" xr:uid="{00000000-0005-0000-0000-00009E020000}"/>
    <cellStyle name="20% - Accent1 7 2 2 2 2" xfId="38443" xr:uid="{00000000-0005-0000-0000-00009F020000}"/>
    <cellStyle name="20% - Accent1 7 2 2 3" xfId="38442" xr:uid="{00000000-0005-0000-0000-0000A0020000}"/>
    <cellStyle name="20% - Accent1 7 2 2 4" xfId="19660" xr:uid="{00000000-0005-0000-0000-0000A1020000}"/>
    <cellStyle name="20% - Accent1 7 2 3" xfId="237" xr:uid="{00000000-0005-0000-0000-0000A2020000}"/>
    <cellStyle name="20% - Accent1 7 2 3 2" xfId="38444" xr:uid="{00000000-0005-0000-0000-0000A3020000}"/>
    <cellStyle name="20% - Accent1 7 2 3 3" xfId="19662" xr:uid="{00000000-0005-0000-0000-0000A4020000}"/>
    <cellStyle name="20% - Accent1 7 2 4" xfId="38441" xr:uid="{00000000-0005-0000-0000-0000A5020000}"/>
    <cellStyle name="20% - Accent1 7 2 5" xfId="19659" xr:uid="{00000000-0005-0000-0000-0000A6020000}"/>
    <cellStyle name="20% - Accent1 7 3" xfId="238" xr:uid="{00000000-0005-0000-0000-0000A7020000}"/>
    <cellStyle name="20% - Accent1 7 3 2" xfId="239" xr:uid="{00000000-0005-0000-0000-0000A8020000}"/>
    <cellStyle name="20% - Accent1 7 3 2 2" xfId="38446" xr:uid="{00000000-0005-0000-0000-0000A9020000}"/>
    <cellStyle name="20% - Accent1 7 3 2 3" xfId="19664" xr:uid="{00000000-0005-0000-0000-0000AA020000}"/>
    <cellStyle name="20% - Accent1 7 3 3" xfId="240" xr:uid="{00000000-0005-0000-0000-0000AB020000}"/>
    <cellStyle name="20% - Accent1 7 3 3 2" xfId="38445" xr:uid="{00000000-0005-0000-0000-0000AC020000}"/>
    <cellStyle name="20% - Accent1 7 3 4" xfId="19663" xr:uid="{00000000-0005-0000-0000-0000AD020000}"/>
    <cellStyle name="20% - Accent1 7 4" xfId="19665" xr:uid="{00000000-0005-0000-0000-0000AE020000}"/>
    <cellStyle name="20% - Accent1 7 4 2" xfId="38447" xr:uid="{00000000-0005-0000-0000-0000AF020000}"/>
    <cellStyle name="20% - Accent1 7 5" xfId="19666" xr:uid="{00000000-0005-0000-0000-0000B0020000}"/>
    <cellStyle name="20% - Accent1 7 6" xfId="38440" xr:uid="{00000000-0005-0000-0000-0000B1020000}"/>
    <cellStyle name="20% - Accent1 7 7" xfId="19658" xr:uid="{00000000-0005-0000-0000-0000B2020000}"/>
    <cellStyle name="20% - Accent1 8" xfId="241" xr:uid="{00000000-0005-0000-0000-0000B3020000}"/>
    <cellStyle name="20% - Accent1 8 2" xfId="242" xr:uid="{00000000-0005-0000-0000-0000B4020000}"/>
    <cellStyle name="20% - Accent1 8 2 2" xfId="243" xr:uid="{00000000-0005-0000-0000-0000B5020000}"/>
    <cellStyle name="20% - Accent1 8 2 3" xfId="244" xr:uid="{00000000-0005-0000-0000-0000B6020000}"/>
    <cellStyle name="20% - Accent1 8 2 4" xfId="19668" xr:uid="{00000000-0005-0000-0000-0000B7020000}"/>
    <cellStyle name="20% - Accent1 8 3" xfId="245" xr:uid="{00000000-0005-0000-0000-0000B8020000}"/>
    <cellStyle name="20% - Accent1 8 3 2" xfId="246" xr:uid="{00000000-0005-0000-0000-0000B9020000}"/>
    <cellStyle name="20% - Accent1 8 3 2 2" xfId="38448" xr:uid="{00000000-0005-0000-0000-0000BA020000}"/>
    <cellStyle name="20% - Accent1 8 3 3" xfId="247" xr:uid="{00000000-0005-0000-0000-0000BB020000}"/>
    <cellStyle name="20% - Accent1 8 3 4" xfId="19669" xr:uid="{00000000-0005-0000-0000-0000BC020000}"/>
    <cellStyle name="20% - Accent1 8 4" xfId="19670" xr:uid="{00000000-0005-0000-0000-0000BD020000}"/>
    <cellStyle name="20% - Accent1 8 5" xfId="19667" xr:uid="{00000000-0005-0000-0000-0000BE020000}"/>
    <cellStyle name="20% - Accent1 9" xfId="248" xr:uid="{00000000-0005-0000-0000-0000BF020000}"/>
    <cellStyle name="20% - Accent1 9 2" xfId="249" xr:uid="{00000000-0005-0000-0000-0000C0020000}"/>
    <cellStyle name="20% - Accent1 9 2 2" xfId="250" xr:uid="{00000000-0005-0000-0000-0000C1020000}"/>
    <cellStyle name="20% - Accent1 9 2 2 2" xfId="38449" xr:uid="{00000000-0005-0000-0000-0000C2020000}"/>
    <cellStyle name="20% - Accent1 9 2 3" xfId="251" xr:uid="{00000000-0005-0000-0000-0000C3020000}"/>
    <cellStyle name="20% - Accent1 9 2 4" xfId="19672" xr:uid="{00000000-0005-0000-0000-0000C4020000}"/>
    <cellStyle name="20% - Accent1 9 3" xfId="252" xr:uid="{00000000-0005-0000-0000-0000C5020000}"/>
    <cellStyle name="20% - Accent1 9 3 2" xfId="253" xr:uid="{00000000-0005-0000-0000-0000C6020000}"/>
    <cellStyle name="20% - Accent1 9 3 3" xfId="254" xr:uid="{00000000-0005-0000-0000-0000C7020000}"/>
    <cellStyle name="20% - Accent1 9 3 4" xfId="19673" xr:uid="{00000000-0005-0000-0000-0000C8020000}"/>
    <cellStyle name="20% - Accent1 9 4" xfId="19671" xr:uid="{00000000-0005-0000-0000-0000C9020000}"/>
    <cellStyle name="20% - Accent2" xfId="44344" builtinId="34" customBuiltin="1"/>
    <cellStyle name="20% - Accent2 10" xfId="255" xr:uid="{00000000-0005-0000-0000-0000CB020000}"/>
    <cellStyle name="20% - Accent2 10 2" xfId="256" xr:uid="{00000000-0005-0000-0000-0000CC020000}"/>
    <cellStyle name="20% - Accent2 10 2 2" xfId="257" xr:uid="{00000000-0005-0000-0000-0000CD020000}"/>
    <cellStyle name="20% - Accent2 10 2 2 2" xfId="38450" xr:uid="{00000000-0005-0000-0000-0000CE020000}"/>
    <cellStyle name="20% - Accent2 10 2 3" xfId="258" xr:uid="{00000000-0005-0000-0000-0000CF020000}"/>
    <cellStyle name="20% - Accent2 10 2 4" xfId="19675" xr:uid="{00000000-0005-0000-0000-0000D0020000}"/>
    <cellStyle name="20% - Accent2 10 3" xfId="259" xr:uid="{00000000-0005-0000-0000-0000D1020000}"/>
    <cellStyle name="20% - Accent2 10 3 2" xfId="260" xr:uid="{00000000-0005-0000-0000-0000D2020000}"/>
    <cellStyle name="20% - Accent2 10 3 3" xfId="261" xr:uid="{00000000-0005-0000-0000-0000D3020000}"/>
    <cellStyle name="20% - Accent2 10 3 4" xfId="19676" xr:uid="{00000000-0005-0000-0000-0000D4020000}"/>
    <cellStyle name="20% - Accent2 10 4" xfId="19674" xr:uid="{00000000-0005-0000-0000-0000D5020000}"/>
    <cellStyle name="20% - Accent2 11" xfId="262" xr:uid="{00000000-0005-0000-0000-0000D6020000}"/>
    <cellStyle name="20% - Accent2 11 2" xfId="263" xr:uid="{00000000-0005-0000-0000-0000D7020000}"/>
    <cellStyle name="20% - Accent2 11 2 2" xfId="264" xr:uid="{00000000-0005-0000-0000-0000D8020000}"/>
    <cellStyle name="20% - Accent2 11 2 3" xfId="265" xr:uid="{00000000-0005-0000-0000-0000D9020000}"/>
    <cellStyle name="20% - Accent2 11 3" xfId="266" xr:uid="{00000000-0005-0000-0000-0000DA020000}"/>
    <cellStyle name="20% - Accent2 11 3 2" xfId="267" xr:uid="{00000000-0005-0000-0000-0000DB020000}"/>
    <cellStyle name="20% - Accent2 11 3 3" xfId="268" xr:uid="{00000000-0005-0000-0000-0000DC020000}"/>
    <cellStyle name="20% - Accent2 11 4" xfId="269" xr:uid="{00000000-0005-0000-0000-0000DD020000}"/>
    <cellStyle name="20% - Accent2 11 4 2" xfId="270" xr:uid="{00000000-0005-0000-0000-0000DE020000}"/>
    <cellStyle name="20% - Accent2 11 4 2 2" xfId="271" xr:uid="{00000000-0005-0000-0000-0000DF020000}"/>
    <cellStyle name="20% - Accent2 11 4 2 2 2" xfId="272" xr:uid="{00000000-0005-0000-0000-0000E0020000}"/>
    <cellStyle name="20% - Accent2 11 4 2 2 2 2" xfId="18990" xr:uid="{00000000-0005-0000-0000-0000E1020000}"/>
    <cellStyle name="20% - Accent2 11 4 2 2 3" xfId="18472" xr:uid="{00000000-0005-0000-0000-0000E2020000}"/>
    <cellStyle name="20% - Accent2 11 4 2 3" xfId="273" xr:uid="{00000000-0005-0000-0000-0000E3020000}"/>
    <cellStyle name="20% - Accent2 11 4 2 3 2" xfId="18708" xr:uid="{00000000-0005-0000-0000-0000E4020000}"/>
    <cellStyle name="20% - Accent2 11 4 2 4" xfId="18181" xr:uid="{00000000-0005-0000-0000-0000E5020000}"/>
    <cellStyle name="20% - Accent2 11 4 3" xfId="274" xr:uid="{00000000-0005-0000-0000-0000E6020000}"/>
    <cellStyle name="20% - Accent2 11 4 3 2" xfId="275" xr:uid="{00000000-0005-0000-0000-0000E7020000}"/>
    <cellStyle name="20% - Accent2 11 4 3 2 2" xfId="18870" xr:uid="{00000000-0005-0000-0000-0000E8020000}"/>
    <cellStyle name="20% - Accent2 11 4 3 3" xfId="18349" xr:uid="{00000000-0005-0000-0000-0000E9020000}"/>
    <cellStyle name="20% - Accent2 11 4 4" xfId="276" xr:uid="{00000000-0005-0000-0000-0000EA020000}"/>
    <cellStyle name="20% - Accent2 11 4 4 2" xfId="18591" xr:uid="{00000000-0005-0000-0000-0000EB020000}"/>
    <cellStyle name="20% - Accent2 11 4 5" xfId="18033" xr:uid="{00000000-0005-0000-0000-0000EC020000}"/>
    <cellStyle name="20% - Accent2 11 5" xfId="19677" xr:uid="{00000000-0005-0000-0000-0000ED020000}"/>
    <cellStyle name="20% - Accent2 12" xfId="277" xr:uid="{00000000-0005-0000-0000-0000EE020000}"/>
    <cellStyle name="20% - Accent2 12 2" xfId="278" xr:uid="{00000000-0005-0000-0000-0000EF020000}"/>
    <cellStyle name="20% - Accent2 12 2 2" xfId="279" xr:uid="{00000000-0005-0000-0000-0000F0020000}"/>
    <cellStyle name="20% - Accent2 12 2 3" xfId="280" xr:uid="{00000000-0005-0000-0000-0000F1020000}"/>
    <cellStyle name="20% - Accent2 12 3" xfId="281" xr:uid="{00000000-0005-0000-0000-0000F2020000}"/>
    <cellStyle name="20% - Accent2 12 3 2" xfId="282" xr:uid="{00000000-0005-0000-0000-0000F3020000}"/>
    <cellStyle name="20% - Accent2 12 3 3" xfId="283" xr:uid="{00000000-0005-0000-0000-0000F4020000}"/>
    <cellStyle name="20% - Accent2 12 4" xfId="19678" xr:uid="{00000000-0005-0000-0000-0000F5020000}"/>
    <cellStyle name="20% - Accent2 13" xfId="284" xr:uid="{00000000-0005-0000-0000-0000F6020000}"/>
    <cellStyle name="20% - Accent2 13 2" xfId="285" xr:uid="{00000000-0005-0000-0000-0000F7020000}"/>
    <cellStyle name="20% - Accent2 13 2 2" xfId="286" xr:uid="{00000000-0005-0000-0000-0000F8020000}"/>
    <cellStyle name="20% - Accent2 13 2 3" xfId="287" xr:uid="{00000000-0005-0000-0000-0000F9020000}"/>
    <cellStyle name="20% - Accent2 13 3" xfId="288" xr:uid="{00000000-0005-0000-0000-0000FA020000}"/>
    <cellStyle name="20% - Accent2 13 3 2" xfId="289" xr:uid="{00000000-0005-0000-0000-0000FB020000}"/>
    <cellStyle name="20% - Accent2 13 3 3" xfId="290" xr:uid="{00000000-0005-0000-0000-0000FC020000}"/>
    <cellStyle name="20% - Accent2 13 4" xfId="291" xr:uid="{00000000-0005-0000-0000-0000FD020000}"/>
    <cellStyle name="20% - Accent2 13 4 2" xfId="18746" xr:uid="{00000000-0005-0000-0000-0000FE020000}"/>
    <cellStyle name="20% - Accent2 13 5" xfId="18217" xr:uid="{00000000-0005-0000-0000-0000FF020000}"/>
    <cellStyle name="20% - Accent2 14" xfId="292" xr:uid="{00000000-0005-0000-0000-000000030000}"/>
    <cellStyle name="20% - Accent2 14 2" xfId="293" xr:uid="{00000000-0005-0000-0000-000001030000}"/>
    <cellStyle name="20% - Accent2 14 2 2" xfId="294" xr:uid="{00000000-0005-0000-0000-000002030000}"/>
    <cellStyle name="20% - Accent2 14 2 3" xfId="295" xr:uid="{00000000-0005-0000-0000-000003030000}"/>
    <cellStyle name="20% - Accent2 14 3" xfId="296" xr:uid="{00000000-0005-0000-0000-000004030000}"/>
    <cellStyle name="20% - Accent2 14 3 2" xfId="297" xr:uid="{00000000-0005-0000-0000-000005030000}"/>
    <cellStyle name="20% - Accent2 14 3 3" xfId="298" xr:uid="{00000000-0005-0000-0000-000006030000}"/>
    <cellStyle name="20% - Accent2 15" xfId="299" xr:uid="{00000000-0005-0000-0000-000007030000}"/>
    <cellStyle name="20% - Accent2 15 2" xfId="300" xr:uid="{00000000-0005-0000-0000-000008030000}"/>
    <cellStyle name="20% - Accent2 15 2 2" xfId="301" xr:uid="{00000000-0005-0000-0000-000009030000}"/>
    <cellStyle name="20% - Accent2 15 2 3" xfId="302" xr:uid="{00000000-0005-0000-0000-00000A030000}"/>
    <cellStyle name="20% - Accent2 15 3" xfId="303" xr:uid="{00000000-0005-0000-0000-00000B030000}"/>
    <cellStyle name="20% - Accent2 15 3 2" xfId="304" xr:uid="{00000000-0005-0000-0000-00000C030000}"/>
    <cellStyle name="20% - Accent2 15 3 3" xfId="305" xr:uid="{00000000-0005-0000-0000-00000D030000}"/>
    <cellStyle name="20% - Accent2 15 4" xfId="306" xr:uid="{00000000-0005-0000-0000-00000E030000}"/>
    <cellStyle name="20% - Accent2 15 4 2" xfId="307" xr:uid="{00000000-0005-0000-0000-00000F030000}"/>
    <cellStyle name="20% - Accent2 15 4 3" xfId="308" xr:uid="{00000000-0005-0000-0000-000010030000}"/>
    <cellStyle name="20% - Accent2 15 5" xfId="309" xr:uid="{00000000-0005-0000-0000-000011030000}"/>
    <cellStyle name="20% - Accent2 15 5 2" xfId="310" xr:uid="{00000000-0005-0000-0000-000012030000}"/>
    <cellStyle name="20% - Accent2 15 5 3" xfId="311" xr:uid="{00000000-0005-0000-0000-000013030000}"/>
    <cellStyle name="20% - Accent2 15 6" xfId="312" xr:uid="{00000000-0005-0000-0000-000014030000}"/>
    <cellStyle name="20% - Accent2 15 6 2" xfId="313" xr:uid="{00000000-0005-0000-0000-000015030000}"/>
    <cellStyle name="20% - Accent2 15 6 3" xfId="314" xr:uid="{00000000-0005-0000-0000-000016030000}"/>
    <cellStyle name="20% - Accent2 15 7" xfId="315" xr:uid="{00000000-0005-0000-0000-000017030000}"/>
    <cellStyle name="20% - Accent2 15 7 2" xfId="316" xr:uid="{00000000-0005-0000-0000-000018030000}"/>
    <cellStyle name="20% - Accent2 15 7 3" xfId="317" xr:uid="{00000000-0005-0000-0000-000019030000}"/>
    <cellStyle name="20% - Accent2 15 8" xfId="318" xr:uid="{00000000-0005-0000-0000-00001A030000}"/>
    <cellStyle name="20% - Accent2 15 9" xfId="319" xr:uid="{00000000-0005-0000-0000-00001B030000}"/>
    <cellStyle name="20% - Accent2 15_Capacity" xfId="320" xr:uid="{00000000-0005-0000-0000-00001C030000}"/>
    <cellStyle name="20% - Accent2 16" xfId="321" xr:uid="{00000000-0005-0000-0000-00001D030000}"/>
    <cellStyle name="20% - Accent2 16 2" xfId="322" xr:uid="{00000000-0005-0000-0000-00001E030000}"/>
    <cellStyle name="20% - Accent2 16 3" xfId="323" xr:uid="{00000000-0005-0000-0000-00001F030000}"/>
    <cellStyle name="20% - Accent2 17" xfId="324" xr:uid="{00000000-0005-0000-0000-000020030000}"/>
    <cellStyle name="20% - Accent2 17 2" xfId="325" xr:uid="{00000000-0005-0000-0000-000021030000}"/>
    <cellStyle name="20% - Accent2 17 3" xfId="326" xr:uid="{00000000-0005-0000-0000-000022030000}"/>
    <cellStyle name="20% - Accent2 18" xfId="327" xr:uid="{00000000-0005-0000-0000-000023030000}"/>
    <cellStyle name="20% - Accent2 18 2" xfId="328" xr:uid="{00000000-0005-0000-0000-000024030000}"/>
    <cellStyle name="20% - Accent2 18 3" xfId="329" xr:uid="{00000000-0005-0000-0000-000025030000}"/>
    <cellStyle name="20% - Accent2 19" xfId="330" xr:uid="{00000000-0005-0000-0000-000026030000}"/>
    <cellStyle name="20% - Accent2 19 2" xfId="331" xr:uid="{00000000-0005-0000-0000-000027030000}"/>
    <cellStyle name="20% - Accent2 19 3" xfId="332" xr:uid="{00000000-0005-0000-0000-000028030000}"/>
    <cellStyle name="20% - Accent2 2" xfId="333" xr:uid="{00000000-0005-0000-0000-000029030000}"/>
    <cellStyle name="20% - Accent2 2 2" xfId="334" xr:uid="{00000000-0005-0000-0000-00002A030000}"/>
    <cellStyle name="20% - Accent2 2 2 2" xfId="335" xr:uid="{00000000-0005-0000-0000-00002B030000}"/>
    <cellStyle name="20% - Accent2 2 2 2 2" xfId="19681" xr:uid="{00000000-0005-0000-0000-00002C030000}"/>
    <cellStyle name="20% - Accent2 2 2 2 3" xfId="19682" xr:uid="{00000000-0005-0000-0000-00002D030000}"/>
    <cellStyle name="20% - Accent2 2 2 2 4" xfId="19683" xr:uid="{00000000-0005-0000-0000-00002E030000}"/>
    <cellStyle name="20% - Accent2 2 2 2 5" xfId="19680" xr:uid="{00000000-0005-0000-0000-00002F030000}"/>
    <cellStyle name="20% - Accent2 2 2 3" xfId="336" xr:uid="{00000000-0005-0000-0000-000030030000}"/>
    <cellStyle name="20% - Accent2 2 2 3 2" xfId="19685" xr:uid="{00000000-0005-0000-0000-000031030000}"/>
    <cellStyle name="20% - Accent2 2 2 3 2 2" xfId="19686" xr:uid="{00000000-0005-0000-0000-000032030000}"/>
    <cellStyle name="20% - Accent2 2 2 3 2 2 2" xfId="38454" xr:uid="{00000000-0005-0000-0000-000033030000}"/>
    <cellStyle name="20% - Accent2 2 2 3 2 3" xfId="38453" xr:uid="{00000000-0005-0000-0000-000034030000}"/>
    <cellStyle name="20% - Accent2 2 2 3 3" xfId="19687" xr:uid="{00000000-0005-0000-0000-000035030000}"/>
    <cellStyle name="20% - Accent2 2 2 3 3 2" xfId="38455" xr:uid="{00000000-0005-0000-0000-000036030000}"/>
    <cellStyle name="20% - Accent2 2 2 3 4" xfId="19688" xr:uid="{00000000-0005-0000-0000-000037030000}"/>
    <cellStyle name="20% - Accent2 2 2 3 5" xfId="38452" xr:uid="{00000000-0005-0000-0000-000038030000}"/>
    <cellStyle name="20% - Accent2 2 2 3 6" xfId="19684" xr:uid="{00000000-0005-0000-0000-000039030000}"/>
    <cellStyle name="20% - Accent2 2 2 4" xfId="19689" xr:uid="{00000000-0005-0000-0000-00003A030000}"/>
    <cellStyle name="20% - Accent2 2 2 4 2" xfId="19690" xr:uid="{00000000-0005-0000-0000-00003B030000}"/>
    <cellStyle name="20% - Accent2 2 2 4 2 2" xfId="38457" xr:uid="{00000000-0005-0000-0000-00003C030000}"/>
    <cellStyle name="20% - Accent2 2 2 4 3" xfId="19691" xr:uid="{00000000-0005-0000-0000-00003D030000}"/>
    <cellStyle name="20% - Accent2 2 2 4 4" xfId="38456" xr:uid="{00000000-0005-0000-0000-00003E030000}"/>
    <cellStyle name="20% - Accent2 2 2 5" xfId="19692" xr:uid="{00000000-0005-0000-0000-00003F030000}"/>
    <cellStyle name="20% - Accent2 2 2 5 2" xfId="19693" xr:uid="{00000000-0005-0000-0000-000040030000}"/>
    <cellStyle name="20% - Accent2 2 2 5 3" xfId="38458" xr:uid="{00000000-0005-0000-0000-000041030000}"/>
    <cellStyle name="20% - Accent2 2 2 6" xfId="19694" xr:uid="{00000000-0005-0000-0000-000042030000}"/>
    <cellStyle name="20% - Accent2 2 2 6 2" xfId="19695" xr:uid="{00000000-0005-0000-0000-000043030000}"/>
    <cellStyle name="20% - Accent2 2 2 7" xfId="19696" xr:uid="{00000000-0005-0000-0000-000044030000}"/>
    <cellStyle name="20% - Accent2 2 2 8" xfId="38451" xr:uid="{00000000-0005-0000-0000-000045030000}"/>
    <cellStyle name="20% - Accent2 2 2 9" xfId="19679" xr:uid="{00000000-0005-0000-0000-000046030000}"/>
    <cellStyle name="20% - Accent2 2 3" xfId="337" xr:uid="{00000000-0005-0000-0000-000047030000}"/>
    <cellStyle name="20% - Accent2 2 3 2" xfId="338" xr:uid="{00000000-0005-0000-0000-000048030000}"/>
    <cellStyle name="20% - Accent2 2 3 2 2" xfId="19699" xr:uid="{00000000-0005-0000-0000-000049030000}"/>
    <cellStyle name="20% - Accent2 2 3 2 3" xfId="19700" xr:uid="{00000000-0005-0000-0000-00004A030000}"/>
    <cellStyle name="20% - Accent2 2 3 2 4" xfId="19701" xr:uid="{00000000-0005-0000-0000-00004B030000}"/>
    <cellStyle name="20% - Accent2 2 3 2 5" xfId="38459" xr:uid="{00000000-0005-0000-0000-00004C030000}"/>
    <cellStyle name="20% - Accent2 2 3 2 6" xfId="19698" xr:uid="{00000000-0005-0000-0000-00004D030000}"/>
    <cellStyle name="20% - Accent2 2 3 3" xfId="339" xr:uid="{00000000-0005-0000-0000-00004E030000}"/>
    <cellStyle name="20% - Accent2 2 3 3 2" xfId="19702" xr:uid="{00000000-0005-0000-0000-00004F030000}"/>
    <cellStyle name="20% - Accent2 2 3 4" xfId="19703" xr:uid="{00000000-0005-0000-0000-000050030000}"/>
    <cellStyle name="20% - Accent2 2 3 5" xfId="19704" xr:uid="{00000000-0005-0000-0000-000051030000}"/>
    <cellStyle name="20% - Accent2 2 3 6" xfId="19697" xr:uid="{00000000-0005-0000-0000-000052030000}"/>
    <cellStyle name="20% - Accent2 2 4" xfId="19705" xr:uid="{00000000-0005-0000-0000-000053030000}"/>
    <cellStyle name="20% - Accent2 2 4 2" xfId="19706" xr:uid="{00000000-0005-0000-0000-000054030000}"/>
    <cellStyle name="20% - Accent2 2 5" xfId="19707" xr:uid="{00000000-0005-0000-0000-000055030000}"/>
    <cellStyle name="20% - Accent2 2 5 2" xfId="19708" xr:uid="{00000000-0005-0000-0000-000056030000}"/>
    <cellStyle name="20% - Accent2 2 5 3" xfId="19709" xr:uid="{00000000-0005-0000-0000-000057030000}"/>
    <cellStyle name="20% - Accent2 2 6" xfId="19710" xr:uid="{00000000-0005-0000-0000-000058030000}"/>
    <cellStyle name="20% - Accent2 2 6 2" xfId="19711" xr:uid="{00000000-0005-0000-0000-000059030000}"/>
    <cellStyle name="20% - Accent2 2 7" xfId="19712" xr:uid="{00000000-0005-0000-0000-00005A030000}"/>
    <cellStyle name="20% - Accent2 2 7 2" xfId="19713" xr:uid="{00000000-0005-0000-0000-00005B030000}"/>
    <cellStyle name="20% - Accent2 2 8" xfId="19714" xr:uid="{00000000-0005-0000-0000-00005C030000}"/>
    <cellStyle name="20% - Accent2 20" xfId="340" xr:uid="{00000000-0005-0000-0000-00005D030000}"/>
    <cellStyle name="20% - Accent2 20 2" xfId="341" xr:uid="{00000000-0005-0000-0000-00005E030000}"/>
    <cellStyle name="20% - Accent2 20 3" xfId="342" xr:uid="{00000000-0005-0000-0000-00005F030000}"/>
    <cellStyle name="20% - Accent2 21" xfId="343" xr:uid="{00000000-0005-0000-0000-000060030000}"/>
    <cellStyle name="20% - Accent2 21 2" xfId="344" xr:uid="{00000000-0005-0000-0000-000061030000}"/>
    <cellStyle name="20% - Accent2 21 3" xfId="345" xr:uid="{00000000-0005-0000-0000-000062030000}"/>
    <cellStyle name="20% - Accent2 22" xfId="346" xr:uid="{00000000-0005-0000-0000-000063030000}"/>
    <cellStyle name="20% - Accent2 22 2" xfId="347" xr:uid="{00000000-0005-0000-0000-000064030000}"/>
    <cellStyle name="20% - Accent2 22 3" xfId="348" xr:uid="{00000000-0005-0000-0000-000065030000}"/>
    <cellStyle name="20% - Accent2 3" xfId="349" xr:uid="{00000000-0005-0000-0000-000066030000}"/>
    <cellStyle name="20% - Accent2 3 10" xfId="19715" xr:uid="{00000000-0005-0000-0000-000067030000}"/>
    <cellStyle name="20% - Accent2 3 2" xfId="350" xr:uid="{00000000-0005-0000-0000-000068030000}"/>
    <cellStyle name="20% - Accent2 3 2 2" xfId="351" xr:uid="{00000000-0005-0000-0000-000069030000}"/>
    <cellStyle name="20% - Accent2 3 2 2 2" xfId="19718" xr:uid="{00000000-0005-0000-0000-00006A030000}"/>
    <cellStyle name="20% - Accent2 3 2 2 2 2" xfId="19719" xr:uid="{00000000-0005-0000-0000-00006B030000}"/>
    <cellStyle name="20% - Accent2 3 2 2 2 2 2" xfId="38463" xr:uid="{00000000-0005-0000-0000-00006C030000}"/>
    <cellStyle name="20% - Accent2 3 2 2 2 3" xfId="19720" xr:uid="{00000000-0005-0000-0000-00006D030000}"/>
    <cellStyle name="20% - Accent2 3 2 2 2 4" xfId="38462" xr:uid="{00000000-0005-0000-0000-00006E030000}"/>
    <cellStyle name="20% - Accent2 3 2 2 3" xfId="19721" xr:uid="{00000000-0005-0000-0000-00006F030000}"/>
    <cellStyle name="20% - Accent2 3 2 2 3 2" xfId="19722" xr:uid="{00000000-0005-0000-0000-000070030000}"/>
    <cellStyle name="20% - Accent2 3 2 2 3 3" xfId="38464" xr:uid="{00000000-0005-0000-0000-000071030000}"/>
    <cellStyle name="20% - Accent2 3 2 2 4" xfId="19723" xr:uid="{00000000-0005-0000-0000-000072030000}"/>
    <cellStyle name="20% - Accent2 3 2 2 5" xfId="38461" xr:uid="{00000000-0005-0000-0000-000073030000}"/>
    <cellStyle name="20% - Accent2 3 2 2 6" xfId="19717" xr:uid="{00000000-0005-0000-0000-000074030000}"/>
    <cellStyle name="20% - Accent2 3 2 3" xfId="352" xr:uid="{00000000-0005-0000-0000-000075030000}"/>
    <cellStyle name="20% - Accent2 3 2 3 2" xfId="19725" xr:uid="{00000000-0005-0000-0000-000076030000}"/>
    <cellStyle name="20% - Accent2 3 2 3 2 2" xfId="38466" xr:uid="{00000000-0005-0000-0000-000077030000}"/>
    <cellStyle name="20% - Accent2 3 2 3 3" xfId="19726" xr:uid="{00000000-0005-0000-0000-000078030000}"/>
    <cellStyle name="20% - Accent2 3 2 3 4" xfId="38465" xr:uid="{00000000-0005-0000-0000-000079030000}"/>
    <cellStyle name="20% - Accent2 3 2 3 5" xfId="19724" xr:uid="{00000000-0005-0000-0000-00007A030000}"/>
    <cellStyle name="20% - Accent2 3 2 4" xfId="19727" xr:uid="{00000000-0005-0000-0000-00007B030000}"/>
    <cellStyle name="20% - Accent2 3 2 4 2" xfId="19728" xr:uid="{00000000-0005-0000-0000-00007C030000}"/>
    <cellStyle name="20% - Accent2 3 2 4 3" xfId="38467" xr:uid="{00000000-0005-0000-0000-00007D030000}"/>
    <cellStyle name="20% - Accent2 3 2 5" xfId="19729" xr:uid="{00000000-0005-0000-0000-00007E030000}"/>
    <cellStyle name="20% - Accent2 3 2 5 2" xfId="19730" xr:uid="{00000000-0005-0000-0000-00007F030000}"/>
    <cellStyle name="20% - Accent2 3 2 6" xfId="19731" xr:uid="{00000000-0005-0000-0000-000080030000}"/>
    <cellStyle name="20% - Accent2 3 2 6 2" xfId="19732" xr:uid="{00000000-0005-0000-0000-000081030000}"/>
    <cellStyle name="20% - Accent2 3 2 7" xfId="19733" xr:uid="{00000000-0005-0000-0000-000082030000}"/>
    <cellStyle name="20% - Accent2 3 2 8" xfId="38460" xr:uid="{00000000-0005-0000-0000-000083030000}"/>
    <cellStyle name="20% - Accent2 3 2 9" xfId="19716" xr:uid="{00000000-0005-0000-0000-000084030000}"/>
    <cellStyle name="20% - Accent2 3 3" xfId="353" xr:uid="{00000000-0005-0000-0000-000085030000}"/>
    <cellStyle name="20% - Accent2 3 3 2" xfId="354" xr:uid="{00000000-0005-0000-0000-000086030000}"/>
    <cellStyle name="20% - Accent2 3 3 2 2" xfId="19736" xr:uid="{00000000-0005-0000-0000-000087030000}"/>
    <cellStyle name="20% - Accent2 3 3 2 2 2" xfId="38470" xr:uid="{00000000-0005-0000-0000-000088030000}"/>
    <cellStyle name="20% - Accent2 3 3 2 3" xfId="38469" xr:uid="{00000000-0005-0000-0000-000089030000}"/>
    <cellStyle name="20% - Accent2 3 3 2 4" xfId="19735" xr:uid="{00000000-0005-0000-0000-00008A030000}"/>
    <cellStyle name="20% - Accent2 3 3 3" xfId="355" xr:uid="{00000000-0005-0000-0000-00008B030000}"/>
    <cellStyle name="20% - Accent2 3 3 3 2" xfId="38471" xr:uid="{00000000-0005-0000-0000-00008C030000}"/>
    <cellStyle name="20% - Accent2 3 3 3 3" xfId="19737" xr:uid="{00000000-0005-0000-0000-00008D030000}"/>
    <cellStyle name="20% - Accent2 3 3 4" xfId="19738" xr:uid="{00000000-0005-0000-0000-00008E030000}"/>
    <cellStyle name="20% - Accent2 3 3 5" xfId="38468" xr:uid="{00000000-0005-0000-0000-00008F030000}"/>
    <cellStyle name="20% - Accent2 3 3 6" xfId="19734" xr:uid="{00000000-0005-0000-0000-000090030000}"/>
    <cellStyle name="20% - Accent2 3 4" xfId="19739" xr:uid="{00000000-0005-0000-0000-000091030000}"/>
    <cellStyle name="20% - Accent2 3 4 2" xfId="19740" xr:uid="{00000000-0005-0000-0000-000092030000}"/>
    <cellStyle name="20% - Accent2 3 4 2 2" xfId="38473" xr:uid="{00000000-0005-0000-0000-000093030000}"/>
    <cellStyle name="20% - Accent2 3 4 3" xfId="19741" xr:uid="{00000000-0005-0000-0000-000094030000}"/>
    <cellStyle name="20% - Accent2 3 4 4" xfId="38472" xr:uid="{00000000-0005-0000-0000-000095030000}"/>
    <cellStyle name="20% - Accent2 3 5" xfId="19742" xr:uid="{00000000-0005-0000-0000-000096030000}"/>
    <cellStyle name="20% - Accent2 3 5 2" xfId="19743" xr:uid="{00000000-0005-0000-0000-000097030000}"/>
    <cellStyle name="20% - Accent2 3 5 3" xfId="38474" xr:uid="{00000000-0005-0000-0000-000098030000}"/>
    <cellStyle name="20% - Accent2 3 6" xfId="19744" xr:uid="{00000000-0005-0000-0000-000099030000}"/>
    <cellStyle name="20% - Accent2 3 6 2" xfId="19745" xr:uid="{00000000-0005-0000-0000-00009A030000}"/>
    <cellStyle name="20% - Accent2 3 6 3" xfId="19746" xr:uid="{00000000-0005-0000-0000-00009B030000}"/>
    <cellStyle name="20% - Accent2 3 7" xfId="19747" xr:uid="{00000000-0005-0000-0000-00009C030000}"/>
    <cellStyle name="20% - Accent2 3 7 2" xfId="19748" xr:uid="{00000000-0005-0000-0000-00009D030000}"/>
    <cellStyle name="20% - Accent2 3 8" xfId="19749" xr:uid="{00000000-0005-0000-0000-00009E030000}"/>
    <cellStyle name="20% - Accent2 3 9" xfId="19750" xr:uid="{00000000-0005-0000-0000-00009F030000}"/>
    <cellStyle name="20% - Accent2 4" xfId="356" xr:uid="{00000000-0005-0000-0000-0000A0030000}"/>
    <cellStyle name="20% - Accent2 4 2" xfId="357" xr:uid="{00000000-0005-0000-0000-0000A1030000}"/>
    <cellStyle name="20% - Accent2 4 2 2" xfId="358" xr:uid="{00000000-0005-0000-0000-0000A2030000}"/>
    <cellStyle name="20% - Accent2 4 2 2 2" xfId="19753" xr:uid="{00000000-0005-0000-0000-0000A3030000}"/>
    <cellStyle name="20% - Accent2 4 2 2 2 2" xfId="19754" xr:uid="{00000000-0005-0000-0000-0000A4030000}"/>
    <cellStyle name="20% - Accent2 4 2 2 2 2 2" xfId="38478" xr:uid="{00000000-0005-0000-0000-0000A5030000}"/>
    <cellStyle name="20% - Accent2 4 2 2 2 3" xfId="19755" xr:uid="{00000000-0005-0000-0000-0000A6030000}"/>
    <cellStyle name="20% - Accent2 4 2 2 2 4" xfId="38477" xr:uid="{00000000-0005-0000-0000-0000A7030000}"/>
    <cellStyle name="20% - Accent2 4 2 2 3" xfId="19756" xr:uid="{00000000-0005-0000-0000-0000A8030000}"/>
    <cellStyle name="20% - Accent2 4 2 2 3 2" xfId="19757" xr:uid="{00000000-0005-0000-0000-0000A9030000}"/>
    <cellStyle name="20% - Accent2 4 2 2 3 3" xfId="38479" xr:uid="{00000000-0005-0000-0000-0000AA030000}"/>
    <cellStyle name="20% - Accent2 4 2 2 4" xfId="19758" xr:uid="{00000000-0005-0000-0000-0000AB030000}"/>
    <cellStyle name="20% - Accent2 4 2 2 5" xfId="38476" xr:uid="{00000000-0005-0000-0000-0000AC030000}"/>
    <cellStyle name="20% - Accent2 4 2 2 6" xfId="19752" xr:uid="{00000000-0005-0000-0000-0000AD030000}"/>
    <cellStyle name="20% - Accent2 4 2 3" xfId="359" xr:uid="{00000000-0005-0000-0000-0000AE030000}"/>
    <cellStyle name="20% - Accent2 4 2 3 2" xfId="19760" xr:uid="{00000000-0005-0000-0000-0000AF030000}"/>
    <cellStyle name="20% - Accent2 4 2 3 2 2" xfId="38481" xr:uid="{00000000-0005-0000-0000-0000B0030000}"/>
    <cellStyle name="20% - Accent2 4 2 3 3" xfId="19761" xr:uid="{00000000-0005-0000-0000-0000B1030000}"/>
    <cellStyle name="20% - Accent2 4 2 3 4" xfId="38480" xr:uid="{00000000-0005-0000-0000-0000B2030000}"/>
    <cellStyle name="20% - Accent2 4 2 3 5" xfId="19759" xr:uid="{00000000-0005-0000-0000-0000B3030000}"/>
    <cellStyle name="20% - Accent2 4 2 4" xfId="19762" xr:uid="{00000000-0005-0000-0000-0000B4030000}"/>
    <cellStyle name="20% - Accent2 4 2 4 2" xfId="19763" xr:uid="{00000000-0005-0000-0000-0000B5030000}"/>
    <cellStyle name="20% - Accent2 4 2 4 3" xfId="38482" xr:uid="{00000000-0005-0000-0000-0000B6030000}"/>
    <cellStyle name="20% - Accent2 4 2 5" xfId="19764" xr:uid="{00000000-0005-0000-0000-0000B7030000}"/>
    <cellStyle name="20% - Accent2 4 2 5 2" xfId="19765" xr:uid="{00000000-0005-0000-0000-0000B8030000}"/>
    <cellStyle name="20% - Accent2 4 2 6" xfId="19766" xr:uid="{00000000-0005-0000-0000-0000B9030000}"/>
    <cellStyle name="20% - Accent2 4 2 6 2" xfId="19767" xr:uid="{00000000-0005-0000-0000-0000BA030000}"/>
    <cellStyle name="20% - Accent2 4 2 7" xfId="19768" xr:uid="{00000000-0005-0000-0000-0000BB030000}"/>
    <cellStyle name="20% - Accent2 4 2 8" xfId="38475" xr:uid="{00000000-0005-0000-0000-0000BC030000}"/>
    <cellStyle name="20% - Accent2 4 2 9" xfId="19751" xr:uid="{00000000-0005-0000-0000-0000BD030000}"/>
    <cellStyle name="20% - Accent2 4 3" xfId="360" xr:uid="{00000000-0005-0000-0000-0000BE030000}"/>
    <cellStyle name="20% - Accent2 4 3 2" xfId="361" xr:uid="{00000000-0005-0000-0000-0000BF030000}"/>
    <cellStyle name="20% - Accent2 4 3 2 2" xfId="38484" xr:uid="{00000000-0005-0000-0000-0000C0030000}"/>
    <cellStyle name="20% - Accent2 4 3 2 3" xfId="19770" xr:uid="{00000000-0005-0000-0000-0000C1030000}"/>
    <cellStyle name="20% - Accent2 4 3 3" xfId="362" xr:uid="{00000000-0005-0000-0000-0000C2030000}"/>
    <cellStyle name="20% - Accent2 4 3 3 2" xfId="38485" xr:uid="{00000000-0005-0000-0000-0000C3030000}"/>
    <cellStyle name="20% - Accent2 4 3 3 3" xfId="19771" xr:uid="{00000000-0005-0000-0000-0000C4030000}"/>
    <cellStyle name="20% - Accent2 4 3 4" xfId="19772" xr:uid="{00000000-0005-0000-0000-0000C5030000}"/>
    <cellStyle name="20% - Accent2 4 3 5" xfId="38483" xr:uid="{00000000-0005-0000-0000-0000C6030000}"/>
    <cellStyle name="20% - Accent2 4 3 6" xfId="19769" xr:uid="{00000000-0005-0000-0000-0000C7030000}"/>
    <cellStyle name="20% - Accent2 4 4" xfId="19773" xr:uid="{00000000-0005-0000-0000-0000C8030000}"/>
    <cellStyle name="20% - Accent2 4 4 2" xfId="19774" xr:uid="{00000000-0005-0000-0000-0000C9030000}"/>
    <cellStyle name="20% - Accent2 4 4 2 2" xfId="38487" xr:uid="{00000000-0005-0000-0000-0000CA030000}"/>
    <cellStyle name="20% - Accent2 4 4 3" xfId="19775" xr:uid="{00000000-0005-0000-0000-0000CB030000}"/>
    <cellStyle name="20% - Accent2 4 4 4" xfId="38486" xr:uid="{00000000-0005-0000-0000-0000CC030000}"/>
    <cellStyle name="20% - Accent2 4 5" xfId="19776" xr:uid="{00000000-0005-0000-0000-0000CD030000}"/>
    <cellStyle name="20% - Accent2 4 5 2" xfId="38488" xr:uid="{00000000-0005-0000-0000-0000CE030000}"/>
    <cellStyle name="20% - Accent2 4 6" xfId="19777" xr:uid="{00000000-0005-0000-0000-0000CF030000}"/>
    <cellStyle name="20% - Accent2 4 6 2" xfId="19778" xr:uid="{00000000-0005-0000-0000-0000D0030000}"/>
    <cellStyle name="20% - Accent2 4 7" xfId="19779" xr:uid="{00000000-0005-0000-0000-0000D1030000}"/>
    <cellStyle name="20% - Accent2 4 7 2" xfId="19780" xr:uid="{00000000-0005-0000-0000-0000D2030000}"/>
    <cellStyle name="20% - Accent2 4 8" xfId="19781" xr:uid="{00000000-0005-0000-0000-0000D3030000}"/>
    <cellStyle name="20% - Accent2 4 9" xfId="19782" xr:uid="{00000000-0005-0000-0000-0000D4030000}"/>
    <cellStyle name="20% - Accent2 5" xfId="363" xr:uid="{00000000-0005-0000-0000-0000D5030000}"/>
    <cellStyle name="20% - Accent2 5 2" xfId="364" xr:uid="{00000000-0005-0000-0000-0000D6030000}"/>
    <cellStyle name="20% - Accent2 5 2 2" xfId="365" xr:uid="{00000000-0005-0000-0000-0000D7030000}"/>
    <cellStyle name="20% - Accent2 5 2 2 2" xfId="19785" xr:uid="{00000000-0005-0000-0000-0000D8030000}"/>
    <cellStyle name="20% - Accent2 5 2 2 2 2" xfId="19786" xr:uid="{00000000-0005-0000-0000-0000D9030000}"/>
    <cellStyle name="20% - Accent2 5 2 2 2 2 2" xfId="38492" xr:uid="{00000000-0005-0000-0000-0000DA030000}"/>
    <cellStyle name="20% - Accent2 5 2 2 2 3" xfId="38491" xr:uid="{00000000-0005-0000-0000-0000DB030000}"/>
    <cellStyle name="20% - Accent2 5 2 2 3" xfId="19787" xr:uid="{00000000-0005-0000-0000-0000DC030000}"/>
    <cellStyle name="20% - Accent2 5 2 2 3 2" xfId="38493" xr:uid="{00000000-0005-0000-0000-0000DD030000}"/>
    <cellStyle name="20% - Accent2 5 2 2 4" xfId="38490" xr:uid="{00000000-0005-0000-0000-0000DE030000}"/>
    <cellStyle name="20% - Accent2 5 2 2 5" xfId="19784" xr:uid="{00000000-0005-0000-0000-0000DF030000}"/>
    <cellStyle name="20% - Accent2 5 2 3" xfId="366" xr:uid="{00000000-0005-0000-0000-0000E0030000}"/>
    <cellStyle name="20% - Accent2 5 2 3 2" xfId="19789" xr:uid="{00000000-0005-0000-0000-0000E1030000}"/>
    <cellStyle name="20% - Accent2 5 2 3 2 2" xfId="38495" xr:uid="{00000000-0005-0000-0000-0000E2030000}"/>
    <cellStyle name="20% - Accent2 5 2 3 3" xfId="38494" xr:uid="{00000000-0005-0000-0000-0000E3030000}"/>
    <cellStyle name="20% - Accent2 5 2 3 4" xfId="19788" xr:uid="{00000000-0005-0000-0000-0000E4030000}"/>
    <cellStyle name="20% - Accent2 5 2 4" xfId="19790" xr:uid="{00000000-0005-0000-0000-0000E5030000}"/>
    <cellStyle name="20% - Accent2 5 2 4 2" xfId="38496" xr:uid="{00000000-0005-0000-0000-0000E6030000}"/>
    <cellStyle name="20% - Accent2 5 2 5" xfId="19791" xr:uid="{00000000-0005-0000-0000-0000E7030000}"/>
    <cellStyle name="20% - Accent2 5 2 6" xfId="38489" xr:uid="{00000000-0005-0000-0000-0000E8030000}"/>
    <cellStyle name="20% - Accent2 5 2 7" xfId="19783" xr:uid="{00000000-0005-0000-0000-0000E9030000}"/>
    <cellStyle name="20% - Accent2 5 3" xfId="367" xr:uid="{00000000-0005-0000-0000-0000EA030000}"/>
    <cellStyle name="20% - Accent2 5 3 2" xfId="368" xr:uid="{00000000-0005-0000-0000-0000EB030000}"/>
    <cellStyle name="20% - Accent2 5 3 2 2" xfId="19793" xr:uid="{00000000-0005-0000-0000-0000EC030000}"/>
    <cellStyle name="20% - Accent2 5 3 3" xfId="369" xr:uid="{00000000-0005-0000-0000-0000ED030000}"/>
    <cellStyle name="20% - Accent2 5 3 3 2" xfId="38497" xr:uid="{00000000-0005-0000-0000-0000EE030000}"/>
    <cellStyle name="20% - Accent2 5 3 4" xfId="19792" xr:uid="{00000000-0005-0000-0000-0000EF030000}"/>
    <cellStyle name="20% - Accent2 5 4" xfId="19794" xr:uid="{00000000-0005-0000-0000-0000F0030000}"/>
    <cellStyle name="20% - Accent2 5 5" xfId="19795" xr:uid="{00000000-0005-0000-0000-0000F1030000}"/>
    <cellStyle name="20% - Accent2 6" xfId="370" xr:uid="{00000000-0005-0000-0000-0000F2030000}"/>
    <cellStyle name="20% - Accent2 6 2" xfId="371" xr:uid="{00000000-0005-0000-0000-0000F3030000}"/>
    <cellStyle name="20% - Accent2 6 2 2" xfId="372" xr:uid="{00000000-0005-0000-0000-0000F4030000}"/>
    <cellStyle name="20% - Accent2 6 2 2 2" xfId="38499" xr:uid="{00000000-0005-0000-0000-0000F5030000}"/>
    <cellStyle name="20% - Accent2 6 2 2 3" xfId="19798" xr:uid="{00000000-0005-0000-0000-0000F6030000}"/>
    <cellStyle name="20% - Accent2 6 2 3" xfId="373" xr:uid="{00000000-0005-0000-0000-0000F7030000}"/>
    <cellStyle name="20% - Accent2 6 2 3 2" xfId="19799" xr:uid="{00000000-0005-0000-0000-0000F8030000}"/>
    <cellStyle name="20% - Accent2 6 2 4" xfId="19800" xr:uid="{00000000-0005-0000-0000-0000F9030000}"/>
    <cellStyle name="20% - Accent2 6 2 5" xfId="19797" xr:uid="{00000000-0005-0000-0000-0000FA030000}"/>
    <cellStyle name="20% - Accent2 6 3" xfId="374" xr:uid="{00000000-0005-0000-0000-0000FB030000}"/>
    <cellStyle name="20% - Accent2 6 3 2" xfId="375" xr:uid="{00000000-0005-0000-0000-0000FC030000}"/>
    <cellStyle name="20% - Accent2 6 3 2 2" xfId="19803" xr:uid="{00000000-0005-0000-0000-0000FD030000}"/>
    <cellStyle name="20% - Accent2 6 3 2 2 2" xfId="38502" xr:uid="{00000000-0005-0000-0000-0000FE030000}"/>
    <cellStyle name="20% - Accent2 6 3 2 3" xfId="38501" xr:uid="{00000000-0005-0000-0000-0000FF030000}"/>
    <cellStyle name="20% - Accent2 6 3 2 4" xfId="19802" xr:uid="{00000000-0005-0000-0000-000000040000}"/>
    <cellStyle name="20% - Accent2 6 3 3" xfId="376" xr:uid="{00000000-0005-0000-0000-000001040000}"/>
    <cellStyle name="20% - Accent2 6 3 3 2" xfId="38503" xr:uid="{00000000-0005-0000-0000-000002040000}"/>
    <cellStyle name="20% - Accent2 6 3 3 3" xfId="19804" xr:uid="{00000000-0005-0000-0000-000003040000}"/>
    <cellStyle name="20% - Accent2 6 3 4" xfId="19805" xr:uid="{00000000-0005-0000-0000-000004040000}"/>
    <cellStyle name="20% - Accent2 6 3 5" xfId="38500" xr:uid="{00000000-0005-0000-0000-000005040000}"/>
    <cellStyle name="20% - Accent2 6 3 6" xfId="19801" xr:uid="{00000000-0005-0000-0000-000006040000}"/>
    <cellStyle name="20% - Accent2 6 4" xfId="19806" xr:uid="{00000000-0005-0000-0000-000007040000}"/>
    <cellStyle name="20% - Accent2 6 4 2" xfId="19807" xr:uid="{00000000-0005-0000-0000-000008040000}"/>
    <cellStyle name="20% - Accent2 6 4 2 2" xfId="38505" xr:uid="{00000000-0005-0000-0000-000009040000}"/>
    <cellStyle name="20% - Accent2 6 4 3" xfId="38504" xr:uid="{00000000-0005-0000-0000-00000A040000}"/>
    <cellStyle name="20% - Accent2 6 5" xfId="19808" xr:uid="{00000000-0005-0000-0000-00000B040000}"/>
    <cellStyle name="20% - Accent2 6 5 2" xfId="38506" xr:uid="{00000000-0005-0000-0000-00000C040000}"/>
    <cellStyle name="20% - Accent2 6 6" xfId="19809" xr:uid="{00000000-0005-0000-0000-00000D040000}"/>
    <cellStyle name="20% - Accent2 6 7" xfId="38498" xr:uid="{00000000-0005-0000-0000-00000E040000}"/>
    <cellStyle name="20% - Accent2 6 8" xfId="19796" xr:uid="{00000000-0005-0000-0000-00000F040000}"/>
    <cellStyle name="20% - Accent2 7" xfId="377" xr:uid="{00000000-0005-0000-0000-000010040000}"/>
    <cellStyle name="20% - Accent2 7 2" xfId="378" xr:uid="{00000000-0005-0000-0000-000011040000}"/>
    <cellStyle name="20% - Accent2 7 2 2" xfId="379" xr:uid="{00000000-0005-0000-0000-000012040000}"/>
    <cellStyle name="20% - Accent2 7 2 2 2" xfId="19813" xr:uid="{00000000-0005-0000-0000-000013040000}"/>
    <cellStyle name="20% - Accent2 7 2 2 2 2" xfId="38510" xr:uid="{00000000-0005-0000-0000-000014040000}"/>
    <cellStyle name="20% - Accent2 7 2 2 3" xfId="38509" xr:uid="{00000000-0005-0000-0000-000015040000}"/>
    <cellStyle name="20% - Accent2 7 2 2 4" xfId="19812" xr:uid="{00000000-0005-0000-0000-000016040000}"/>
    <cellStyle name="20% - Accent2 7 2 3" xfId="380" xr:uid="{00000000-0005-0000-0000-000017040000}"/>
    <cellStyle name="20% - Accent2 7 2 3 2" xfId="38511" xr:uid="{00000000-0005-0000-0000-000018040000}"/>
    <cellStyle name="20% - Accent2 7 2 3 3" xfId="19814" xr:uid="{00000000-0005-0000-0000-000019040000}"/>
    <cellStyle name="20% - Accent2 7 2 4" xfId="38508" xr:uid="{00000000-0005-0000-0000-00001A040000}"/>
    <cellStyle name="20% - Accent2 7 2 5" xfId="19811" xr:uid="{00000000-0005-0000-0000-00001B040000}"/>
    <cellStyle name="20% - Accent2 7 3" xfId="381" xr:uid="{00000000-0005-0000-0000-00001C040000}"/>
    <cellStyle name="20% - Accent2 7 3 2" xfId="382" xr:uid="{00000000-0005-0000-0000-00001D040000}"/>
    <cellStyle name="20% - Accent2 7 3 2 2" xfId="38513" xr:uid="{00000000-0005-0000-0000-00001E040000}"/>
    <cellStyle name="20% - Accent2 7 3 2 3" xfId="19816" xr:uid="{00000000-0005-0000-0000-00001F040000}"/>
    <cellStyle name="20% - Accent2 7 3 3" xfId="383" xr:uid="{00000000-0005-0000-0000-000020040000}"/>
    <cellStyle name="20% - Accent2 7 3 3 2" xfId="38512" xr:uid="{00000000-0005-0000-0000-000021040000}"/>
    <cellStyle name="20% - Accent2 7 3 4" xfId="19815" xr:uid="{00000000-0005-0000-0000-000022040000}"/>
    <cellStyle name="20% - Accent2 7 4" xfId="19817" xr:uid="{00000000-0005-0000-0000-000023040000}"/>
    <cellStyle name="20% - Accent2 7 4 2" xfId="38514" xr:uid="{00000000-0005-0000-0000-000024040000}"/>
    <cellStyle name="20% - Accent2 7 5" xfId="19818" xr:uid="{00000000-0005-0000-0000-000025040000}"/>
    <cellStyle name="20% - Accent2 7 6" xfId="38507" xr:uid="{00000000-0005-0000-0000-000026040000}"/>
    <cellStyle name="20% - Accent2 7 7" xfId="19810" xr:uid="{00000000-0005-0000-0000-000027040000}"/>
    <cellStyle name="20% - Accent2 8" xfId="384" xr:uid="{00000000-0005-0000-0000-000028040000}"/>
    <cellStyle name="20% - Accent2 8 2" xfId="385" xr:uid="{00000000-0005-0000-0000-000029040000}"/>
    <cellStyle name="20% - Accent2 8 2 2" xfId="386" xr:uid="{00000000-0005-0000-0000-00002A040000}"/>
    <cellStyle name="20% - Accent2 8 2 3" xfId="387" xr:uid="{00000000-0005-0000-0000-00002B040000}"/>
    <cellStyle name="20% - Accent2 8 2 4" xfId="19820" xr:uid="{00000000-0005-0000-0000-00002C040000}"/>
    <cellStyle name="20% - Accent2 8 3" xfId="388" xr:uid="{00000000-0005-0000-0000-00002D040000}"/>
    <cellStyle name="20% - Accent2 8 3 2" xfId="389" xr:uid="{00000000-0005-0000-0000-00002E040000}"/>
    <cellStyle name="20% - Accent2 8 3 2 2" xfId="38515" xr:uid="{00000000-0005-0000-0000-00002F040000}"/>
    <cellStyle name="20% - Accent2 8 3 3" xfId="390" xr:uid="{00000000-0005-0000-0000-000030040000}"/>
    <cellStyle name="20% - Accent2 8 3 4" xfId="19821" xr:uid="{00000000-0005-0000-0000-000031040000}"/>
    <cellStyle name="20% - Accent2 8 4" xfId="19822" xr:uid="{00000000-0005-0000-0000-000032040000}"/>
    <cellStyle name="20% - Accent2 8 5" xfId="19819" xr:uid="{00000000-0005-0000-0000-000033040000}"/>
    <cellStyle name="20% - Accent2 9" xfId="391" xr:uid="{00000000-0005-0000-0000-000034040000}"/>
    <cellStyle name="20% - Accent2 9 2" xfId="392" xr:uid="{00000000-0005-0000-0000-000035040000}"/>
    <cellStyle name="20% - Accent2 9 2 2" xfId="393" xr:uid="{00000000-0005-0000-0000-000036040000}"/>
    <cellStyle name="20% - Accent2 9 2 2 2" xfId="38516" xr:uid="{00000000-0005-0000-0000-000037040000}"/>
    <cellStyle name="20% - Accent2 9 2 3" xfId="394" xr:uid="{00000000-0005-0000-0000-000038040000}"/>
    <cellStyle name="20% - Accent2 9 2 4" xfId="19824" xr:uid="{00000000-0005-0000-0000-000039040000}"/>
    <cellStyle name="20% - Accent2 9 3" xfId="395" xr:uid="{00000000-0005-0000-0000-00003A040000}"/>
    <cellStyle name="20% - Accent2 9 3 2" xfId="396" xr:uid="{00000000-0005-0000-0000-00003B040000}"/>
    <cellStyle name="20% - Accent2 9 3 3" xfId="397" xr:uid="{00000000-0005-0000-0000-00003C040000}"/>
    <cellStyle name="20% - Accent2 9 3 4" xfId="19825" xr:uid="{00000000-0005-0000-0000-00003D040000}"/>
    <cellStyle name="20% - Accent2 9 4" xfId="19823" xr:uid="{00000000-0005-0000-0000-00003E040000}"/>
    <cellStyle name="20% - Accent3" xfId="44348" builtinId="38" customBuiltin="1"/>
    <cellStyle name="20% - Accent3 10" xfId="398" xr:uid="{00000000-0005-0000-0000-000040040000}"/>
    <cellStyle name="20% - Accent3 10 2" xfId="399" xr:uid="{00000000-0005-0000-0000-000041040000}"/>
    <cellStyle name="20% - Accent3 10 2 2" xfId="400" xr:uid="{00000000-0005-0000-0000-000042040000}"/>
    <cellStyle name="20% - Accent3 10 2 2 2" xfId="38517" xr:uid="{00000000-0005-0000-0000-000043040000}"/>
    <cellStyle name="20% - Accent3 10 2 3" xfId="401" xr:uid="{00000000-0005-0000-0000-000044040000}"/>
    <cellStyle name="20% - Accent3 10 2 4" xfId="19827" xr:uid="{00000000-0005-0000-0000-000045040000}"/>
    <cellStyle name="20% - Accent3 10 3" xfId="402" xr:uid="{00000000-0005-0000-0000-000046040000}"/>
    <cellStyle name="20% - Accent3 10 3 2" xfId="403" xr:uid="{00000000-0005-0000-0000-000047040000}"/>
    <cellStyle name="20% - Accent3 10 3 3" xfId="404" xr:uid="{00000000-0005-0000-0000-000048040000}"/>
    <cellStyle name="20% - Accent3 10 3 4" xfId="19828" xr:uid="{00000000-0005-0000-0000-000049040000}"/>
    <cellStyle name="20% - Accent3 10 4" xfId="19826" xr:uid="{00000000-0005-0000-0000-00004A040000}"/>
    <cellStyle name="20% - Accent3 11" xfId="405" xr:uid="{00000000-0005-0000-0000-00004B040000}"/>
    <cellStyle name="20% - Accent3 11 2" xfId="406" xr:uid="{00000000-0005-0000-0000-00004C040000}"/>
    <cellStyle name="20% - Accent3 11 2 2" xfId="407" xr:uid="{00000000-0005-0000-0000-00004D040000}"/>
    <cellStyle name="20% - Accent3 11 2 3" xfId="408" xr:uid="{00000000-0005-0000-0000-00004E040000}"/>
    <cellStyle name="20% - Accent3 11 3" xfId="409" xr:uid="{00000000-0005-0000-0000-00004F040000}"/>
    <cellStyle name="20% - Accent3 11 3 2" xfId="410" xr:uid="{00000000-0005-0000-0000-000050040000}"/>
    <cellStyle name="20% - Accent3 11 3 3" xfId="411" xr:uid="{00000000-0005-0000-0000-000051040000}"/>
    <cellStyle name="20% - Accent3 11 4" xfId="412" xr:uid="{00000000-0005-0000-0000-000052040000}"/>
    <cellStyle name="20% - Accent3 11 4 2" xfId="413" xr:uid="{00000000-0005-0000-0000-000053040000}"/>
    <cellStyle name="20% - Accent3 11 4 2 2" xfId="414" xr:uid="{00000000-0005-0000-0000-000054040000}"/>
    <cellStyle name="20% - Accent3 11 4 2 2 2" xfId="415" xr:uid="{00000000-0005-0000-0000-000055040000}"/>
    <cellStyle name="20% - Accent3 11 4 2 2 2 2" xfId="18992" xr:uid="{00000000-0005-0000-0000-000056040000}"/>
    <cellStyle name="20% - Accent3 11 4 2 2 3" xfId="18474" xr:uid="{00000000-0005-0000-0000-000057040000}"/>
    <cellStyle name="20% - Accent3 11 4 2 3" xfId="416" xr:uid="{00000000-0005-0000-0000-000058040000}"/>
    <cellStyle name="20% - Accent3 11 4 2 3 2" xfId="18710" xr:uid="{00000000-0005-0000-0000-000059040000}"/>
    <cellStyle name="20% - Accent3 11 4 2 4" xfId="18183" xr:uid="{00000000-0005-0000-0000-00005A040000}"/>
    <cellStyle name="20% - Accent3 11 4 3" xfId="417" xr:uid="{00000000-0005-0000-0000-00005B040000}"/>
    <cellStyle name="20% - Accent3 11 4 3 2" xfId="418" xr:uid="{00000000-0005-0000-0000-00005C040000}"/>
    <cellStyle name="20% - Accent3 11 4 3 2 2" xfId="18872" xr:uid="{00000000-0005-0000-0000-00005D040000}"/>
    <cellStyle name="20% - Accent3 11 4 3 3" xfId="18351" xr:uid="{00000000-0005-0000-0000-00005E040000}"/>
    <cellStyle name="20% - Accent3 11 4 4" xfId="419" xr:uid="{00000000-0005-0000-0000-00005F040000}"/>
    <cellStyle name="20% - Accent3 11 4 4 2" xfId="18593" xr:uid="{00000000-0005-0000-0000-000060040000}"/>
    <cellStyle name="20% - Accent3 11 4 5" xfId="18035" xr:uid="{00000000-0005-0000-0000-000061040000}"/>
    <cellStyle name="20% - Accent3 11 5" xfId="19829" xr:uid="{00000000-0005-0000-0000-000062040000}"/>
    <cellStyle name="20% - Accent3 12" xfId="420" xr:uid="{00000000-0005-0000-0000-000063040000}"/>
    <cellStyle name="20% - Accent3 12 2" xfId="421" xr:uid="{00000000-0005-0000-0000-000064040000}"/>
    <cellStyle name="20% - Accent3 12 2 2" xfId="422" xr:uid="{00000000-0005-0000-0000-000065040000}"/>
    <cellStyle name="20% - Accent3 12 2 3" xfId="423" xr:uid="{00000000-0005-0000-0000-000066040000}"/>
    <cellStyle name="20% - Accent3 12 3" xfId="424" xr:uid="{00000000-0005-0000-0000-000067040000}"/>
    <cellStyle name="20% - Accent3 12 3 2" xfId="425" xr:uid="{00000000-0005-0000-0000-000068040000}"/>
    <cellStyle name="20% - Accent3 12 3 3" xfId="426" xr:uid="{00000000-0005-0000-0000-000069040000}"/>
    <cellStyle name="20% - Accent3 12 4" xfId="19830" xr:uid="{00000000-0005-0000-0000-00006A040000}"/>
    <cellStyle name="20% - Accent3 13" xfId="427" xr:uid="{00000000-0005-0000-0000-00006B040000}"/>
    <cellStyle name="20% - Accent3 13 2" xfId="428" xr:uid="{00000000-0005-0000-0000-00006C040000}"/>
    <cellStyle name="20% - Accent3 13 2 2" xfId="429" xr:uid="{00000000-0005-0000-0000-00006D040000}"/>
    <cellStyle name="20% - Accent3 13 2 3" xfId="430" xr:uid="{00000000-0005-0000-0000-00006E040000}"/>
    <cellStyle name="20% - Accent3 13 3" xfId="431" xr:uid="{00000000-0005-0000-0000-00006F040000}"/>
    <cellStyle name="20% - Accent3 13 3 2" xfId="432" xr:uid="{00000000-0005-0000-0000-000070040000}"/>
    <cellStyle name="20% - Accent3 13 3 3" xfId="433" xr:uid="{00000000-0005-0000-0000-000071040000}"/>
    <cellStyle name="20% - Accent3 13 4" xfId="434" xr:uid="{00000000-0005-0000-0000-000072040000}"/>
    <cellStyle name="20% - Accent3 13 4 2" xfId="18748" xr:uid="{00000000-0005-0000-0000-000073040000}"/>
    <cellStyle name="20% - Accent3 13 5" xfId="18219" xr:uid="{00000000-0005-0000-0000-000074040000}"/>
    <cellStyle name="20% - Accent3 14" xfId="435" xr:uid="{00000000-0005-0000-0000-000075040000}"/>
    <cellStyle name="20% - Accent3 14 2" xfId="436" xr:uid="{00000000-0005-0000-0000-000076040000}"/>
    <cellStyle name="20% - Accent3 14 2 2" xfId="437" xr:uid="{00000000-0005-0000-0000-000077040000}"/>
    <cellStyle name="20% - Accent3 14 2 3" xfId="438" xr:uid="{00000000-0005-0000-0000-000078040000}"/>
    <cellStyle name="20% - Accent3 14 3" xfId="439" xr:uid="{00000000-0005-0000-0000-000079040000}"/>
    <cellStyle name="20% - Accent3 14 3 2" xfId="440" xr:uid="{00000000-0005-0000-0000-00007A040000}"/>
    <cellStyle name="20% - Accent3 14 3 3" xfId="441" xr:uid="{00000000-0005-0000-0000-00007B040000}"/>
    <cellStyle name="20% - Accent3 15" xfId="442" xr:uid="{00000000-0005-0000-0000-00007C040000}"/>
    <cellStyle name="20% - Accent3 15 2" xfId="443" xr:uid="{00000000-0005-0000-0000-00007D040000}"/>
    <cellStyle name="20% - Accent3 15 2 2" xfId="444" xr:uid="{00000000-0005-0000-0000-00007E040000}"/>
    <cellStyle name="20% - Accent3 15 2 3" xfId="445" xr:uid="{00000000-0005-0000-0000-00007F040000}"/>
    <cellStyle name="20% - Accent3 15 3" xfId="446" xr:uid="{00000000-0005-0000-0000-000080040000}"/>
    <cellStyle name="20% - Accent3 15 3 2" xfId="447" xr:uid="{00000000-0005-0000-0000-000081040000}"/>
    <cellStyle name="20% - Accent3 15 3 3" xfId="448" xr:uid="{00000000-0005-0000-0000-000082040000}"/>
    <cellStyle name="20% - Accent3 15 4" xfId="449" xr:uid="{00000000-0005-0000-0000-000083040000}"/>
    <cellStyle name="20% - Accent3 15 4 2" xfId="450" xr:uid="{00000000-0005-0000-0000-000084040000}"/>
    <cellStyle name="20% - Accent3 15 4 3" xfId="451" xr:uid="{00000000-0005-0000-0000-000085040000}"/>
    <cellStyle name="20% - Accent3 15 5" xfId="452" xr:uid="{00000000-0005-0000-0000-000086040000}"/>
    <cellStyle name="20% - Accent3 15 5 2" xfId="453" xr:uid="{00000000-0005-0000-0000-000087040000}"/>
    <cellStyle name="20% - Accent3 15 5 3" xfId="454" xr:uid="{00000000-0005-0000-0000-000088040000}"/>
    <cellStyle name="20% - Accent3 15 6" xfId="455" xr:uid="{00000000-0005-0000-0000-000089040000}"/>
    <cellStyle name="20% - Accent3 15 6 2" xfId="456" xr:uid="{00000000-0005-0000-0000-00008A040000}"/>
    <cellStyle name="20% - Accent3 15 6 3" xfId="457" xr:uid="{00000000-0005-0000-0000-00008B040000}"/>
    <cellStyle name="20% - Accent3 15 7" xfId="458" xr:uid="{00000000-0005-0000-0000-00008C040000}"/>
    <cellStyle name="20% - Accent3 15 7 2" xfId="459" xr:uid="{00000000-0005-0000-0000-00008D040000}"/>
    <cellStyle name="20% - Accent3 15 7 3" xfId="460" xr:uid="{00000000-0005-0000-0000-00008E040000}"/>
    <cellStyle name="20% - Accent3 15 8" xfId="461" xr:uid="{00000000-0005-0000-0000-00008F040000}"/>
    <cellStyle name="20% - Accent3 15 9" xfId="462" xr:uid="{00000000-0005-0000-0000-000090040000}"/>
    <cellStyle name="20% - Accent3 15_Capacity" xfId="463" xr:uid="{00000000-0005-0000-0000-000091040000}"/>
    <cellStyle name="20% - Accent3 16" xfId="464" xr:uid="{00000000-0005-0000-0000-000092040000}"/>
    <cellStyle name="20% - Accent3 16 2" xfId="465" xr:uid="{00000000-0005-0000-0000-000093040000}"/>
    <cellStyle name="20% - Accent3 16 3" xfId="466" xr:uid="{00000000-0005-0000-0000-000094040000}"/>
    <cellStyle name="20% - Accent3 17" xfId="467" xr:uid="{00000000-0005-0000-0000-000095040000}"/>
    <cellStyle name="20% - Accent3 17 2" xfId="468" xr:uid="{00000000-0005-0000-0000-000096040000}"/>
    <cellStyle name="20% - Accent3 17 3" xfId="469" xr:uid="{00000000-0005-0000-0000-000097040000}"/>
    <cellStyle name="20% - Accent3 18" xfId="470" xr:uid="{00000000-0005-0000-0000-000098040000}"/>
    <cellStyle name="20% - Accent3 18 2" xfId="471" xr:uid="{00000000-0005-0000-0000-000099040000}"/>
    <cellStyle name="20% - Accent3 18 3" xfId="472" xr:uid="{00000000-0005-0000-0000-00009A040000}"/>
    <cellStyle name="20% - Accent3 19" xfId="473" xr:uid="{00000000-0005-0000-0000-00009B040000}"/>
    <cellStyle name="20% - Accent3 19 2" xfId="474" xr:uid="{00000000-0005-0000-0000-00009C040000}"/>
    <cellStyle name="20% - Accent3 19 3" xfId="475" xr:uid="{00000000-0005-0000-0000-00009D040000}"/>
    <cellStyle name="20% - Accent3 2" xfId="476" xr:uid="{00000000-0005-0000-0000-00009E040000}"/>
    <cellStyle name="20% - Accent3 2 2" xfId="477" xr:uid="{00000000-0005-0000-0000-00009F040000}"/>
    <cellStyle name="20% - Accent3 2 2 2" xfId="478" xr:uid="{00000000-0005-0000-0000-0000A0040000}"/>
    <cellStyle name="20% - Accent3 2 2 2 2" xfId="19833" xr:uid="{00000000-0005-0000-0000-0000A1040000}"/>
    <cellStyle name="20% - Accent3 2 2 2 3" xfId="19834" xr:uid="{00000000-0005-0000-0000-0000A2040000}"/>
    <cellStyle name="20% - Accent3 2 2 2 4" xfId="19835" xr:uid="{00000000-0005-0000-0000-0000A3040000}"/>
    <cellStyle name="20% - Accent3 2 2 2 5" xfId="19832" xr:uid="{00000000-0005-0000-0000-0000A4040000}"/>
    <cellStyle name="20% - Accent3 2 2 3" xfId="479" xr:uid="{00000000-0005-0000-0000-0000A5040000}"/>
    <cellStyle name="20% - Accent3 2 2 3 2" xfId="19837" xr:uid="{00000000-0005-0000-0000-0000A6040000}"/>
    <cellStyle name="20% - Accent3 2 2 3 2 2" xfId="19838" xr:uid="{00000000-0005-0000-0000-0000A7040000}"/>
    <cellStyle name="20% - Accent3 2 2 3 2 2 2" xfId="38521" xr:uid="{00000000-0005-0000-0000-0000A8040000}"/>
    <cellStyle name="20% - Accent3 2 2 3 2 3" xfId="38520" xr:uid="{00000000-0005-0000-0000-0000A9040000}"/>
    <cellStyle name="20% - Accent3 2 2 3 3" xfId="19839" xr:uid="{00000000-0005-0000-0000-0000AA040000}"/>
    <cellStyle name="20% - Accent3 2 2 3 3 2" xfId="38522" xr:uid="{00000000-0005-0000-0000-0000AB040000}"/>
    <cellStyle name="20% - Accent3 2 2 3 4" xfId="19840" xr:uid="{00000000-0005-0000-0000-0000AC040000}"/>
    <cellStyle name="20% - Accent3 2 2 3 5" xfId="38519" xr:uid="{00000000-0005-0000-0000-0000AD040000}"/>
    <cellStyle name="20% - Accent3 2 2 3 6" xfId="19836" xr:uid="{00000000-0005-0000-0000-0000AE040000}"/>
    <cellStyle name="20% - Accent3 2 2 4" xfId="19841" xr:uid="{00000000-0005-0000-0000-0000AF040000}"/>
    <cellStyle name="20% - Accent3 2 2 4 2" xfId="19842" xr:uid="{00000000-0005-0000-0000-0000B0040000}"/>
    <cellStyle name="20% - Accent3 2 2 4 2 2" xfId="38524" xr:uid="{00000000-0005-0000-0000-0000B1040000}"/>
    <cellStyle name="20% - Accent3 2 2 4 3" xfId="19843" xr:uid="{00000000-0005-0000-0000-0000B2040000}"/>
    <cellStyle name="20% - Accent3 2 2 4 4" xfId="38523" xr:uid="{00000000-0005-0000-0000-0000B3040000}"/>
    <cellStyle name="20% - Accent3 2 2 5" xfId="19844" xr:uid="{00000000-0005-0000-0000-0000B4040000}"/>
    <cellStyle name="20% - Accent3 2 2 5 2" xfId="19845" xr:uid="{00000000-0005-0000-0000-0000B5040000}"/>
    <cellStyle name="20% - Accent3 2 2 5 3" xfId="38525" xr:uid="{00000000-0005-0000-0000-0000B6040000}"/>
    <cellStyle name="20% - Accent3 2 2 6" xfId="19846" xr:uid="{00000000-0005-0000-0000-0000B7040000}"/>
    <cellStyle name="20% - Accent3 2 2 6 2" xfId="19847" xr:uid="{00000000-0005-0000-0000-0000B8040000}"/>
    <cellStyle name="20% - Accent3 2 2 7" xfId="19848" xr:uid="{00000000-0005-0000-0000-0000B9040000}"/>
    <cellStyle name="20% - Accent3 2 2 8" xfId="38518" xr:uid="{00000000-0005-0000-0000-0000BA040000}"/>
    <cellStyle name="20% - Accent3 2 2 9" xfId="19831" xr:uid="{00000000-0005-0000-0000-0000BB040000}"/>
    <cellStyle name="20% - Accent3 2 3" xfId="480" xr:uid="{00000000-0005-0000-0000-0000BC040000}"/>
    <cellStyle name="20% - Accent3 2 3 2" xfId="481" xr:uid="{00000000-0005-0000-0000-0000BD040000}"/>
    <cellStyle name="20% - Accent3 2 3 2 2" xfId="19851" xr:uid="{00000000-0005-0000-0000-0000BE040000}"/>
    <cellStyle name="20% - Accent3 2 3 2 3" xfId="19852" xr:uid="{00000000-0005-0000-0000-0000BF040000}"/>
    <cellStyle name="20% - Accent3 2 3 2 4" xfId="19853" xr:uid="{00000000-0005-0000-0000-0000C0040000}"/>
    <cellStyle name="20% - Accent3 2 3 2 5" xfId="38526" xr:uid="{00000000-0005-0000-0000-0000C1040000}"/>
    <cellStyle name="20% - Accent3 2 3 2 6" xfId="19850" xr:uid="{00000000-0005-0000-0000-0000C2040000}"/>
    <cellStyle name="20% - Accent3 2 3 3" xfId="482" xr:uid="{00000000-0005-0000-0000-0000C3040000}"/>
    <cellStyle name="20% - Accent3 2 3 3 2" xfId="19854" xr:uid="{00000000-0005-0000-0000-0000C4040000}"/>
    <cellStyle name="20% - Accent3 2 3 4" xfId="19855" xr:uid="{00000000-0005-0000-0000-0000C5040000}"/>
    <cellStyle name="20% - Accent3 2 3 5" xfId="19856" xr:uid="{00000000-0005-0000-0000-0000C6040000}"/>
    <cellStyle name="20% - Accent3 2 3 6" xfId="19849" xr:uid="{00000000-0005-0000-0000-0000C7040000}"/>
    <cellStyle name="20% - Accent3 2 4" xfId="19857" xr:uid="{00000000-0005-0000-0000-0000C8040000}"/>
    <cellStyle name="20% - Accent3 2 4 2" xfId="19858" xr:uid="{00000000-0005-0000-0000-0000C9040000}"/>
    <cellStyle name="20% - Accent3 2 5" xfId="19859" xr:uid="{00000000-0005-0000-0000-0000CA040000}"/>
    <cellStyle name="20% - Accent3 2 5 2" xfId="19860" xr:uid="{00000000-0005-0000-0000-0000CB040000}"/>
    <cellStyle name="20% - Accent3 2 5 3" xfId="19861" xr:uid="{00000000-0005-0000-0000-0000CC040000}"/>
    <cellStyle name="20% - Accent3 2 6" xfId="19862" xr:uid="{00000000-0005-0000-0000-0000CD040000}"/>
    <cellStyle name="20% - Accent3 2 6 2" xfId="19863" xr:uid="{00000000-0005-0000-0000-0000CE040000}"/>
    <cellStyle name="20% - Accent3 2 7" xfId="19864" xr:uid="{00000000-0005-0000-0000-0000CF040000}"/>
    <cellStyle name="20% - Accent3 2 7 2" xfId="19865" xr:uid="{00000000-0005-0000-0000-0000D0040000}"/>
    <cellStyle name="20% - Accent3 2 8" xfId="19866" xr:uid="{00000000-0005-0000-0000-0000D1040000}"/>
    <cellStyle name="20% - Accent3 20" xfId="483" xr:uid="{00000000-0005-0000-0000-0000D2040000}"/>
    <cellStyle name="20% - Accent3 20 2" xfId="484" xr:uid="{00000000-0005-0000-0000-0000D3040000}"/>
    <cellStyle name="20% - Accent3 20 3" xfId="485" xr:uid="{00000000-0005-0000-0000-0000D4040000}"/>
    <cellStyle name="20% - Accent3 21" xfId="486" xr:uid="{00000000-0005-0000-0000-0000D5040000}"/>
    <cellStyle name="20% - Accent3 21 2" xfId="487" xr:uid="{00000000-0005-0000-0000-0000D6040000}"/>
    <cellStyle name="20% - Accent3 21 3" xfId="488" xr:uid="{00000000-0005-0000-0000-0000D7040000}"/>
    <cellStyle name="20% - Accent3 22" xfId="489" xr:uid="{00000000-0005-0000-0000-0000D8040000}"/>
    <cellStyle name="20% - Accent3 22 2" xfId="490" xr:uid="{00000000-0005-0000-0000-0000D9040000}"/>
    <cellStyle name="20% - Accent3 22 3" xfId="491" xr:uid="{00000000-0005-0000-0000-0000DA040000}"/>
    <cellStyle name="20% - Accent3 3" xfId="492" xr:uid="{00000000-0005-0000-0000-0000DB040000}"/>
    <cellStyle name="20% - Accent3 3 10" xfId="19867" xr:uid="{00000000-0005-0000-0000-0000DC040000}"/>
    <cellStyle name="20% - Accent3 3 2" xfId="493" xr:uid="{00000000-0005-0000-0000-0000DD040000}"/>
    <cellStyle name="20% - Accent3 3 2 2" xfId="494" xr:uid="{00000000-0005-0000-0000-0000DE040000}"/>
    <cellStyle name="20% - Accent3 3 2 2 2" xfId="19870" xr:uid="{00000000-0005-0000-0000-0000DF040000}"/>
    <cellStyle name="20% - Accent3 3 2 2 2 2" xfId="19871" xr:uid="{00000000-0005-0000-0000-0000E0040000}"/>
    <cellStyle name="20% - Accent3 3 2 2 2 2 2" xfId="38530" xr:uid="{00000000-0005-0000-0000-0000E1040000}"/>
    <cellStyle name="20% - Accent3 3 2 2 2 3" xfId="19872" xr:uid="{00000000-0005-0000-0000-0000E2040000}"/>
    <cellStyle name="20% - Accent3 3 2 2 2 4" xfId="38529" xr:uid="{00000000-0005-0000-0000-0000E3040000}"/>
    <cellStyle name="20% - Accent3 3 2 2 3" xfId="19873" xr:uid="{00000000-0005-0000-0000-0000E4040000}"/>
    <cellStyle name="20% - Accent3 3 2 2 3 2" xfId="19874" xr:uid="{00000000-0005-0000-0000-0000E5040000}"/>
    <cellStyle name="20% - Accent3 3 2 2 3 3" xfId="38531" xr:uid="{00000000-0005-0000-0000-0000E6040000}"/>
    <cellStyle name="20% - Accent3 3 2 2 4" xfId="19875" xr:uid="{00000000-0005-0000-0000-0000E7040000}"/>
    <cellStyle name="20% - Accent3 3 2 2 5" xfId="38528" xr:uid="{00000000-0005-0000-0000-0000E8040000}"/>
    <cellStyle name="20% - Accent3 3 2 2 6" xfId="19869" xr:uid="{00000000-0005-0000-0000-0000E9040000}"/>
    <cellStyle name="20% - Accent3 3 2 3" xfId="495" xr:uid="{00000000-0005-0000-0000-0000EA040000}"/>
    <cellStyle name="20% - Accent3 3 2 3 2" xfId="19877" xr:uid="{00000000-0005-0000-0000-0000EB040000}"/>
    <cellStyle name="20% - Accent3 3 2 3 2 2" xfId="38533" xr:uid="{00000000-0005-0000-0000-0000EC040000}"/>
    <cellStyle name="20% - Accent3 3 2 3 3" xfId="19878" xr:uid="{00000000-0005-0000-0000-0000ED040000}"/>
    <cellStyle name="20% - Accent3 3 2 3 4" xfId="38532" xr:uid="{00000000-0005-0000-0000-0000EE040000}"/>
    <cellStyle name="20% - Accent3 3 2 3 5" xfId="19876" xr:uid="{00000000-0005-0000-0000-0000EF040000}"/>
    <cellStyle name="20% - Accent3 3 2 4" xfId="19879" xr:uid="{00000000-0005-0000-0000-0000F0040000}"/>
    <cellStyle name="20% - Accent3 3 2 4 2" xfId="19880" xr:uid="{00000000-0005-0000-0000-0000F1040000}"/>
    <cellStyle name="20% - Accent3 3 2 4 3" xfId="38534" xr:uid="{00000000-0005-0000-0000-0000F2040000}"/>
    <cellStyle name="20% - Accent3 3 2 5" xfId="19881" xr:uid="{00000000-0005-0000-0000-0000F3040000}"/>
    <cellStyle name="20% - Accent3 3 2 5 2" xfId="19882" xr:uid="{00000000-0005-0000-0000-0000F4040000}"/>
    <cellStyle name="20% - Accent3 3 2 6" xfId="19883" xr:uid="{00000000-0005-0000-0000-0000F5040000}"/>
    <cellStyle name="20% - Accent3 3 2 6 2" xfId="19884" xr:uid="{00000000-0005-0000-0000-0000F6040000}"/>
    <cellStyle name="20% - Accent3 3 2 7" xfId="19885" xr:uid="{00000000-0005-0000-0000-0000F7040000}"/>
    <cellStyle name="20% - Accent3 3 2 8" xfId="38527" xr:uid="{00000000-0005-0000-0000-0000F8040000}"/>
    <cellStyle name="20% - Accent3 3 2 9" xfId="19868" xr:uid="{00000000-0005-0000-0000-0000F9040000}"/>
    <cellStyle name="20% - Accent3 3 3" xfId="496" xr:uid="{00000000-0005-0000-0000-0000FA040000}"/>
    <cellStyle name="20% - Accent3 3 3 2" xfId="497" xr:uid="{00000000-0005-0000-0000-0000FB040000}"/>
    <cellStyle name="20% - Accent3 3 3 2 2" xfId="19888" xr:uid="{00000000-0005-0000-0000-0000FC040000}"/>
    <cellStyle name="20% - Accent3 3 3 2 2 2" xfId="38537" xr:uid="{00000000-0005-0000-0000-0000FD040000}"/>
    <cellStyle name="20% - Accent3 3 3 2 3" xfId="38536" xr:uid="{00000000-0005-0000-0000-0000FE040000}"/>
    <cellStyle name="20% - Accent3 3 3 2 4" xfId="19887" xr:uid="{00000000-0005-0000-0000-0000FF040000}"/>
    <cellStyle name="20% - Accent3 3 3 3" xfId="498" xr:uid="{00000000-0005-0000-0000-000000050000}"/>
    <cellStyle name="20% - Accent3 3 3 3 2" xfId="38538" xr:uid="{00000000-0005-0000-0000-000001050000}"/>
    <cellStyle name="20% - Accent3 3 3 3 3" xfId="19889" xr:uid="{00000000-0005-0000-0000-000002050000}"/>
    <cellStyle name="20% - Accent3 3 3 4" xfId="19890" xr:uid="{00000000-0005-0000-0000-000003050000}"/>
    <cellStyle name="20% - Accent3 3 3 5" xfId="38535" xr:uid="{00000000-0005-0000-0000-000004050000}"/>
    <cellStyle name="20% - Accent3 3 3 6" xfId="19886" xr:uid="{00000000-0005-0000-0000-000005050000}"/>
    <cellStyle name="20% - Accent3 3 4" xfId="19891" xr:uid="{00000000-0005-0000-0000-000006050000}"/>
    <cellStyle name="20% - Accent3 3 4 2" xfId="19892" xr:uid="{00000000-0005-0000-0000-000007050000}"/>
    <cellStyle name="20% - Accent3 3 4 2 2" xfId="38540" xr:uid="{00000000-0005-0000-0000-000008050000}"/>
    <cellStyle name="20% - Accent3 3 4 3" xfId="19893" xr:uid="{00000000-0005-0000-0000-000009050000}"/>
    <cellStyle name="20% - Accent3 3 4 4" xfId="38539" xr:uid="{00000000-0005-0000-0000-00000A050000}"/>
    <cellStyle name="20% - Accent3 3 5" xfId="19894" xr:uid="{00000000-0005-0000-0000-00000B050000}"/>
    <cellStyle name="20% - Accent3 3 5 2" xfId="19895" xr:uid="{00000000-0005-0000-0000-00000C050000}"/>
    <cellStyle name="20% - Accent3 3 5 3" xfId="38541" xr:uid="{00000000-0005-0000-0000-00000D050000}"/>
    <cellStyle name="20% - Accent3 3 6" xfId="19896" xr:uid="{00000000-0005-0000-0000-00000E050000}"/>
    <cellStyle name="20% - Accent3 3 6 2" xfId="19897" xr:uid="{00000000-0005-0000-0000-00000F050000}"/>
    <cellStyle name="20% - Accent3 3 6 3" xfId="19898" xr:uid="{00000000-0005-0000-0000-000010050000}"/>
    <cellStyle name="20% - Accent3 3 7" xfId="19899" xr:uid="{00000000-0005-0000-0000-000011050000}"/>
    <cellStyle name="20% - Accent3 3 7 2" xfId="19900" xr:uid="{00000000-0005-0000-0000-000012050000}"/>
    <cellStyle name="20% - Accent3 3 8" xfId="19901" xr:uid="{00000000-0005-0000-0000-000013050000}"/>
    <cellStyle name="20% - Accent3 3 9" xfId="19902" xr:uid="{00000000-0005-0000-0000-000014050000}"/>
    <cellStyle name="20% - Accent3 4" xfId="499" xr:uid="{00000000-0005-0000-0000-000015050000}"/>
    <cellStyle name="20% - Accent3 4 2" xfId="500" xr:uid="{00000000-0005-0000-0000-000016050000}"/>
    <cellStyle name="20% - Accent3 4 2 2" xfId="501" xr:uid="{00000000-0005-0000-0000-000017050000}"/>
    <cellStyle name="20% - Accent3 4 2 2 2" xfId="19905" xr:uid="{00000000-0005-0000-0000-000018050000}"/>
    <cellStyle name="20% - Accent3 4 2 2 2 2" xfId="19906" xr:uid="{00000000-0005-0000-0000-000019050000}"/>
    <cellStyle name="20% - Accent3 4 2 2 2 2 2" xfId="38545" xr:uid="{00000000-0005-0000-0000-00001A050000}"/>
    <cellStyle name="20% - Accent3 4 2 2 2 3" xfId="19907" xr:uid="{00000000-0005-0000-0000-00001B050000}"/>
    <cellStyle name="20% - Accent3 4 2 2 2 4" xfId="38544" xr:uid="{00000000-0005-0000-0000-00001C050000}"/>
    <cellStyle name="20% - Accent3 4 2 2 3" xfId="19908" xr:uid="{00000000-0005-0000-0000-00001D050000}"/>
    <cellStyle name="20% - Accent3 4 2 2 3 2" xfId="19909" xr:uid="{00000000-0005-0000-0000-00001E050000}"/>
    <cellStyle name="20% - Accent3 4 2 2 3 3" xfId="38546" xr:uid="{00000000-0005-0000-0000-00001F050000}"/>
    <cellStyle name="20% - Accent3 4 2 2 4" xfId="19910" xr:uid="{00000000-0005-0000-0000-000020050000}"/>
    <cellStyle name="20% - Accent3 4 2 2 5" xfId="38543" xr:uid="{00000000-0005-0000-0000-000021050000}"/>
    <cellStyle name="20% - Accent3 4 2 2 6" xfId="19904" xr:uid="{00000000-0005-0000-0000-000022050000}"/>
    <cellStyle name="20% - Accent3 4 2 3" xfId="502" xr:uid="{00000000-0005-0000-0000-000023050000}"/>
    <cellStyle name="20% - Accent3 4 2 3 2" xfId="19912" xr:uid="{00000000-0005-0000-0000-000024050000}"/>
    <cellStyle name="20% - Accent3 4 2 3 2 2" xfId="38548" xr:uid="{00000000-0005-0000-0000-000025050000}"/>
    <cellStyle name="20% - Accent3 4 2 3 3" xfId="19913" xr:uid="{00000000-0005-0000-0000-000026050000}"/>
    <cellStyle name="20% - Accent3 4 2 3 4" xfId="38547" xr:uid="{00000000-0005-0000-0000-000027050000}"/>
    <cellStyle name="20% - Accent3 4 2 3 5" xfId="19911" xr:uid="{00000000-0005-0000-0000-000028050000}"/>
    <cellStyle name="20% - Accent3 4 2 4" xfId="19914" xr:uid="{00000000-0005-0000-0000-000029050000}"/>
    <cellStyle name="20% - Accent3 4 2 4 2" xfId="19915" xr:uid="{00000000-0005-0000-0000-00002A050000}"/>
    <cellStyle name="20% - Accent3 4 2 4 3" xfId="38549" xr:uid="{00000000-0005-0000-0000-00002B050000}"/>
    <cellStyle name="20% - Accent3 4 2 5" xfId="19916" xr:uid="{00000000-0005-0000-0000-00002C050000}"/>
    <cellStyle name="20% - Accent3 4 2 5 2" xfId="19917" xr:uid="{00000000-0005-0000-0000-00002D050000}"/>
    <cellStyle name="20% - Accent3 4 2 6" xfId="19918" xr:uid="{00000000-0005-0000-0000-00002E050000}"/>
    <cellStyle name="20% - Accent3 4 2 6 2" xfId="19919" xr:uid="{00000000-0005-0000-0000-00002F050000}"/>
    <cellStyle name="20% - Accent3 4 2 7" xfId="19920" xr:uid="{00000000-0005-0000-0000-000030050000}"/>
    <cellStyle name="20% - Accent3 4 2 8" xfId="38542" xr:uid="{00000000-0005-0000-0000-000031050000}"/>
    <cellStyle name="20% - Accent3 4 2 9" xfId="19903" xr:uid="{00000000-0005-0000-0000-000032050000}"/>
    <cellStyle name="20% - Accent3 4 3" xfId="503" xr:uid="{00000000-0005-0000-0000-000033050000}"/>
    <cellStyle name="20% - Accent3 4 3 2" xfId="504" xr:uid="{00000000-0005-0000-0000-000034050000}"/>
    <cellStyle name="20% - Accent3 4 3 2 2" xfId="38551" xr:uid="{00000000-0005-0000-0000-000035050000}"/>
    <cellStyle name="20% - Accent3 4 3 2 3" xfId="19922" xr:uid="{00000000-0005-0000-0000-000036050000}"/>
    <cellStyle name="20% - Accent3 4 3 3" xfId="505" xr:uid="{00000000-0005-0000-0000-000037050000}"/>
    <cellStyle name="20% - Accent3 4 3 3 2" xfId="38552" xr:uid="{00000000-0005-0000-0000-000038050000}"/>
    <cellStyle name="20% - Accent3 4 3 3 3" xfId="19923" xr:uid="{00000000-0005-0000-0000-000039050000}"/>
    <cellStyle name="20% - Accent3 4 3 4" xfId="19924" xr:uid="{00000000-0005-0000-0000-00003A050000}"/>
    <cellStyle name="20% - Accent3 4 3 5" xfId="38550" xr:uid="{00000000-0005-0000-0000-00003B050000}"/>
    <cellStyle name="20% - Accent3 4 3 6" xfId="19921" xr:uid="{00000000-0005-0000-0000-00003C050000}"/>
    <cellStyle name="20% - Accent3 4 4" xfId="19925" xr:uid="{00000000-0005-0000-0000-00003D050000}"/>
    <cellStyle name="20% - Accent3 4 4 2" xfId="19926" xr:uid="{00000000-0005-0000-0000-00003E050000}"/>
    <cellStyle name="20% - Accent3 4 4 2 2" xfId="38554" xr:uid="{00000000-0005-0000-0000-00003F050000}"/>
    <cellStyle name="20% - Accent3 4 4 3" xfId="19927" xr:uid="{00000000-0005-0000-0000-000040050000}"/>
    <cellStyle name="20% - Accent3 4 4 4" xfId="38553" xr:uid="{00000000-0005-0000-0000-000041050000}"/>
    <cellStyle name="20% - Accent3 4 5" xfId="19928" xr:uid="{00000000-0005-0000-0000-000042050000}"/>
    <cellStyle name="20% - Accent3 4 5 2" xfId="38555" xr:uid="{00000000-0005-0000-0000-000043050000}"/>
    <cellStyle name="20% - Accent3 4 6" xfId="19929" xr:uid="{00000000-0005-0000-0000-000044050000}"/>
    <cellStyle name="20% - Accent3 4 6 2" xfId="19930" xr:uid="{00000000-0005-0000-0000-000045050000}"/>
    <cellStyle name="20% - Accent3 4 7" xfId="19931" xr:uid="{00000000-0005-0000-0000-000046050000}"/>
    <cellStyle name="20% - Accent3 4 7 2" xfId="19932" xr:uid="{00000000-0005-0000-0000-000047050000}"/>
    <cellStyle name="20% - Accent3 4 8" xfId="19933" xr:uid="{00000000-0005-0000-0000-000048050000}"/>
    <cellStyle name="20% - Accent3 4 9" xfId="19934" xr:uid="{00000000-0005-0000-0000-000049050000}"/>
    <cellStyle name="20% - Accent3 5" xfId="506" xr:uid="{00000000-0005-0000-0000-00004A050000}"/>
    <cellStyle name="20% - Accent3 5 2" xfId="507" xr:uid="{00000000-0005-0000-0000-00004B050000}"/>
    <cellStyle name="20% - Accent3 5 2 2" xfId="508" xr:uid="{00000000-0005-0000-0000-00004C050000}"/>
    <cellStyle name="20% - Accent3 5 2 2 2" xfId="19937" xr:uid="{00000000-0005-0000-0000-00004D050000}"/>
    <cellStyle name="20% - Accent3 5 2 2 2 2" xfId="19938" xr:uid="{00000000-0005-0000-0000-00004E050000}"/>
    <cellStyle name="20% - Accent3 5 2 2 2 2 2" xfId="38559" xr:uid="{00000000-0005-0000-0000-00004F050000}"/>
    <cellStyle name="20% - Accent3 5 2 2 2 3" xfId="38558" xr:uid="{00000000-0005-0000-0000-000050050000}"/>
    <cellStyle name="20% - Accent3 5 2 2 3" xfId="19939" xr:uid="{00000000-0005-0000-0000-000051050000}"/>
    <cellStyle name="20% - Accent3 5 2 2 3 2" xfId="38560" xr:uid="{00000000-0005-0000-0000-000052050000}"/>
    <cellStyle name="20% - Accent3 5 2 2 4" xfId="38557" xr:uid="{00000000-0005-0000-0000-000053050000}"/>
    <cellStyle name="20% - Accent3 5 2 2 5" xfId="19936" xr:uid="{00000000-0005-0000-0000-000054050000}"/>
    <cellStyle name="20% - Accent3 5 2 3" xfId="509" xr:uid="{00000000-0005-0000-0000-000055050000}"/>
    <cellStyle name="20% - Accent3 5 2 3 2" xfId="19941" xr:uid="{00000000-0005-0000-0000-000056050000}"/>
    <cellStyle name="20% - Accent3 5 2 3 2 2" xfId="38562" xr:uid="{00000000-0005-0000-0000-000057050000}"/>
    <cellStyle name="20% - Accent3 5 2 3 3" xfId="38561" xr:uid="{00000000-0005-0000-0000-000058050000}"/>
    <cellStyle name="20% - Accent3 5 2 3 4" xfId="19940" xr:uid="{00000000-0005-0000-0000-000059050000}"/>
    <cellStyle name="20% - Accent3 5 2 4" xfId="19942" xr:uid="{00000000-0005-0000-0000-00005A050000}"/>
    <cellStyle name="20% - Accent3 5 2 4 2" xfId="38563" xr:uid="{00000000-0005-0000-0000-00005B050000}"/>
    <cellStyle name="20% - Accent3 5 2 5" xfId="19943" xr:uid="{00000000-0005-0000-0000-00005C050000}"/>
    <cellStyle name="20% - Accent3 5 2 6" xfId="38556" xr:uid="{00000000-0005-0000-0000-00005D050000}"/>
    <cellStyle name="20% - Accent3 5 2 7" xfId="19935" xr:uid="{00000000-0005-0000-0000-00005E050000}"/>
    <cellStyle name="20% - Accent3 5 3" xfId="510" xr:uid="{00000000-0005-0000-0000-00005F050000}"/>
    <cellStyle name="20% - Accent3 5 3 2" xfId="511" xr:uid="{00000000-0005-0000-0000-000060050000}"/>
    <cellStyle name="20% - Accent3 5 3 2 2" xfId="19945" xr:uid="{00000000-0005-0000-0000-000061050000}"/>
    <cellStyle name="20% - Accent3 5 3 3" xfId="512" xr:uid="{00000000-0005-0000-0000-000062050000}"/>
    <cellStyle name="20% - Accent3 5 3 3 2" xfId="38564" xr:uid="{00000000-0005-0000-0000-000063050000}"/>
    <cellStyle name="20% - Accent3 5 3 4" xfId="19944" xr:uid="{00000000-0005-0000-0000-000064050000}"/>
    <cellStyle name="20% - Accent3 5 4" xfId="19946" xr:uid="{00000000-0005-0000-0000-000065050000}"/>
    <cellStyle name="20% - Accent3 5 5" xfId="19947" xr:uid="{00000000-0005-0000-0000-000066050000}"/>
    <cellStyle name="20% - Accent3 6" xfId="513" xr:uid="{00000000-0005-0000-0000-000067050000}"/>
    <cellStyle name="20% - Accent3 6 2" xfId="514" xr:uid="{00000000-0005-0000-0000-000068050000}"/>
    <cellStyle name="20% - Accent3 6 2 2" xfId="515" xr:uid="{00000000-0005-0000-0000-000069050000}"/>
    <cellStyle name="20% - Accent3 6 2 2 2" xfId="38566" xr:uid="{00000000-0005-0000-0000-00006A050000}"/>
    <cellStyle name="20% - Accent3 6 2 2 3" xfId="19950" xr:uid="{00000000-0005-0000-0000-00006B050000}"/>
    <cellStyle name="20% - Accent3 6 2 3" xfId="516" xr:uid="{00000000-0005-0000-0000-00006C050000}"/>
    <cellStyle name="20% - Accent3 6 2 3 2" xfId="19951" xr:uid="{00000000-0005-0000-0000-00006D050000}"/>
    <cellStyle name="20% - Accent3 6 2 4" xfId="19952" xr:uid="{00000000-0005-0000-0000-00006E050000}"/>
    <cellStyle name="20% - Accent3 6 2 5" xfId="19949" xr:uid="{00000000-0005-0000-0000-00006F050000}"/>
    <cellStyle name="20% - Accent3 6 3" xfId="517" xr:uid="{00000000-0005-0000-0000-000070050000}"/>
    <cellStyle name="20% - Accent3 6 3 2" xfId="518" xr:uid="{00000000-0005-0000-0000-000071050000}"/>
    <cellStyle name="20% - Accent3 6 3 2 2" xfId="19955" xr:uid="{00000000-0005-0000-0000-000072050000}"/>
    <cellStyle name="20% - Accent3 6 3 2 2 2" xfId="38569" xr:uid="{00000000-0005-0000-0000-000073050000}"/>
    <cellStyle name="20% - Accent3 6 3 2 3" xfId="38568" xr:uid="{00000000-0005-0000-0000-000074050000}"/>
    <cellStyle name="20% - Accent3 6 3 2 4" xfId="19954" xr:uid="{00000000-0005-0000-0000-000075050000}"/>
    <cellStyle name="20% - Accent3 6 3 3" xfId="519" xr:uid="{00000000-0005-0000-0000-000076050000}"/>
    <cellStyle name="20% - Accent3 6 3 3 2" xfId="38570" xr:uid="{00000000-0005-0000-0000-000077050000}"/>
    <cellStyle name="20% - Accent3 6 3 3 3" xfId="19956" xr:uid="{00000000-0005-0000-0000-000078050000}"/>
    <cellStyle name="20% - Accent3 6 3 4" xfId="19957" xr:uid="{00000000-0005-0000-0000-000079050000}"/>
    <cellStyle name="20% - Accent3 6 3 5" xfId="38567" xr:uid="{00000000-0005-0000-0000-00007A050000}"/>
    <cellStyle name="20% - Accent3 6 3 6" xfId="19953" xr:uid="{00000000-0005-0000-0000-00007B050000}"/>
    <cellStyle name="20% - Accent3 6 4" xfId="19958" xr:uid="{00000000-0005-0000-0000-00007C050000}"/>
    <cellStyle name="20% - Accent3 6 4 2" xfId="19959" xr:uid="{00000000-0005-0000-0000-00007D050000}"/>
    <cellStyle name="20% - Accent3 6 4 2 2" xfId="38572" xr:uid="{00000000-0005-0000-0000-00007E050000}"/>
    <cellStyle name="20% - Accent3 6 4 3" xfId="38571" xr:uid="{00000000-0005-0000-0000-00007F050000}"/>
    <cellStyle name="20% - Accent3 6 5" xfId="19960" xr:uid="{00000000-0005-0000-0000-000080050000}"/>
    <cellStyle name="20% - Accent3 6 5 2" xfId="38573" xr:uid="{00000000-0005-0000-0000-000081050000}"/>
    <cellStyle name="20% - Accent3 6 6" xfId="19961" xr:uid="{00000000-0005-0000-0000-000082050000}"/>
    <cellStyle name="20% - Accent3 6 7" xfId="38565" xr:uid="{00000000-0005-0000-0000-000083050000}"/>
    <cellStyle name="20% - Accent3 6 8" xfId="19948" xr:uid="{00000000-0005-0000-0000-000084050000}"/>
    <cellStyle name="20% - Accent3 7" xfId="520" xr:uid="{00000000-0005-0000-0000-000085050000}"/>
    <cellStyle name="20% - Accent3 7 2" xfId="521" xr:uid="{00000000-0005-0000-0000-000086050000}"/>
    <cellStyle name="20% - Accent3 7 2 2" xfId="522" xr:uid="{00000000-0005-0000-0000-000087050000}"/>
    <cellStyle name="20% - Accent3 7 2 2 2" xfId="19965" xr:uid="{00000000-0005-0000-0000-000088050000}"/>
    <cellStyle name="20% - Accent3 7 2 2 2 2" xfId="38577" xr:uid="{00000000-0005-0000-0000-000089050000}"/>
    <cellStyle name="20% - Accent3 7 2 2 3" xfId="38576" xr:uid="{00000000-0005-0000-0000-00008A050000}"/>
    <cellStyle name="20% - Accent3 7 2 2 4" xfId="19964" xr:uid="{00000000-0005-0000-0000-00008B050000}"/>
    <cellStyle name="20% - Accent3 7 2 3" xfId="523" xr:uid="{00000000-0005-0000-0000-00008C050000}"/>
    <cellStyle name="20% - Accent3 7 2 3 2" xfId="38578" xr:uid="{00000000-0005-0000-0000-00008D050000}"/>
    <cellStyle name="20% - Accent3 7 2 3 3" xfId="19966" xr:uid="{00000000-0005-0000-0000-00008E050000}"/>
    <cellStyle name="20% - Accent3 7 2 4" xfId="38575" xr:uid="{00000000-0005-0000-0000-00008F050000}"/>
    <cellStyle name="20% - Accent3 7 2 5" xfId="19963" xr:uid="{00000000-0005-0000-0000-000090050000}"/>
    <cellStyle name="20% - Accent3 7 3" xfId="524" xr:uid="{00000000-0005-0000-0000-000091050000}"/>
    <cellStyle name="20% - Accent3 7 3 2" xfId="525" xr:uid="{00000000-0005-0000-0000-000092050000}"/>
    <cellStyle name="20% - Accent3 7 3 2 2" xfId="38580" xr:uid="{00000000-0005-0000-0000-000093050000}"/>
    <cellStyle name="20% - Accent3 7 3 2 3" xfId="19968" xr:uid="{00000000-0005-0000-0000-000094050000}"/>
    <cellStyle name="20% - Accent3 7 3 3" xfId="526" xr:uid="{00000000-0005-0000-0000-000095050000}"/>
    <cellStyle name="20% - Accent3 7 3 3 2" xfId="38579" xr:uid="{00000000-0005-0000-0000-000096050000}"/>
    <cellStyle name="20% - Accent3 7 3 4" xfId="19967" xr:uid="{00000000-0005-0000-0000-000097050000}"/>
    <cellStyle name="20% - Accent3 7 4" xfId="19969" xr:uid="{00000000-0005-0000-0000-000098050000}"/>
    <cellStyle name="20% - Accent3 7 4 2" xfId="38581" xr:uid="{00000000-0005-0000-0000-000099050000}"/>
    <cellStyle name="20% - Accent3 7 5" xfId="19970" xr:uid="{00000000-0005-0000-0000-00009A050000}"/>
    <cellStyle name="20% - Accent3 7 6" xfId="38574" xr:uid="{00000000-0005-0000-0000-00009B050000}"/>
    <cellStyle name="20% - Accent3 7 7" xfId="19962" xr:uid="{00000000-0005-0000-0000-00009C050000}"/>
    <cellStyle name="20% - Accent3 8" xfId="527" xr:uid="{00000000-0005-0000-0000-00009D050000}"/>
    <cellStyle name="20% - Accent3 8 2" xfId="528" xr:uid="{00000000-0005-0000-0000-00009E050000}"/>
    <cellStyle name="20% - Accent3 8 2 2" xfId="529" xr:uid="{00000000-0005-0000-0000-00009F050000}"/>
    <cellStyle name="20% - Accent3 8 2 3" xfId="530" xr:uid="{00000000-0005-0000-0000-0000A0050000}"/>
    <cellStyle name="20% - Accent3 8 2 4" xfId="19972" xr:uid="{00000000-0005-0000-0000-0000A1050000}"/>
    <cellStyle name="20% - Accent3 8 3" xfId="531" xr:uid="{00000000-0005-0000-0000-0000A2050000}"/>
    <cellStyle name="20% - Accent3 8 3 2" xfId="532" xr:uid="{00000000-0005-0000-0000-0000A3050000}"/>
    <cellStyle name="20% - Accent3 8 3 2 2" xfId="38582" xr:uid="{00000000-0005-0000-0000-0000A4050000}"/>
    <cellStyle name="20% - Accent3 8 3 3" xfId="533" xr:uid="{00000000-0005-0000-0000-0000A5050000}"/>
    <cellStyle name="20% - Accent3 8 3 4" xfId="19973" xr:uid="{00000000-0005-0000-0000-0000A6050000}"/>
    <cellStyle name="20% - Accent3 8 4" xfId="19974" xr:uid="{00000000-0005-0000-0000-0000A7050000}"/>
    <cellStyle name="20% - Accent3 8 5" xfId="19971" xr:uid="{00000000-0005-0000-0000-0000A8050000}"/>
    <cellStyle name="20% - Accent3 9" xfId="534" xr:uid="{00000000-0005-0000-0000-0000A9050000}"/>
    <cellStyle name="20% - Accent3 9 2" xfId="535" xr:uid="{00000000-0005-0000-0000-0000AA050000}"/>
    <cellStyle name="20% - Accent3 9 2 2" xfId="536" xr:uid="{00000000-0005-0000-0000-0000AB050000}"/>
    <cellStyle name="20% - Accent3 9 2 2 2" xfId="38583" xr:uid="{00000000-0005-0000-0000-0000AC050000}"/>
    <cellStyle name="20% - Accent3 9 2 3" xfId="537" xr:uid="{00000000-0005-0000-0000-0000AD050000}"/>
    <cellStyle name="20% - Accent3 9 2 4" xfId="19976" xr:uid="{00000000-0005-0000-0000-0000AE050000}"/>
    <cellStyle name="20% - Accent3 9 3" xfId="538" xr:uid="{00000000-0005-0000-0000-0000AF050000}"/>
    <cellStyle name="20% - Accent3 9 3 2" xfId="539" xr:uid="{00000000-0005-0000-0000-0000B0050000}"/>
    <cellStyle name="20% - Accent3 9 3 3" xfId="540" xr:uid="{00000000-0005-0000-0000-0000B1050000}"/>
    <cellStyle name="20% - Accent3 9 3 4" xfId="19977" xr:uid="{00000000-0005-0000-0000-0000B2050000}"/>
    <cellStyle name="20% - Accent3 9 4" xfId="19975" xr:uid="{00000000-0005-0000-0000-0000B3050000}"/>
    <cellStyle name="20% - Accent4" xfId="44352" builtinId="42" customBuiltin="1"/>
    <cellStyle name="20% - Accent4 10" xfId="541" xr:uid="{00000000-0005-0000-0000-0000B5050000}"/>
    <cellStyle name="20% - Accent4 10 2" xfId="542" xr:uid="{00000000-0005-0000-0000-0000B6050000}"/>
    <cellStyle name="20% - Accent4 10 2 2" xfId="543" xr:uid="{00000000-0005-0000-0000-0000B7050000}"/>
    <cellStyle name="20% - Accent4 10 2 2 2" xfId="38584" xr:uid="{00000000-0005-0000-0000-0000B8050000}"/>
    <cellStyle name="20% - Accent4 10 2 3" xfId="544" xr:uid="{00000000-0005-0000-0000-0000B9050000}"/>
    <cellStyle name="20% - Accent4 10 2 4" xfId="19979" xr:uid="{00000000-0005-0000-0000-0000BA050000}"/>
    <cellStyle name="20% - Accent4 10 3" xfId="545" xr:uid="{00000000-0005-0000-0000-0000BB050000}"/>
    <cellStyle name="20% - Accent4 10 3 2" xfId="546" xr:uid="{00000000-0005-0000-0000-0000BC050000}"/>
    <cellStyle name="20% - Accent4 10 3 3" xfId="547" xr:uid="{00000000-0005-0000-0000-0000BD050000}"/>
    <cellStyle name="20% - Accent4 10 3 4" xfId="19980" xr:uid="{00000000-0005-0000-0000-0000BE050000}"/>
    <cellStyle name="20% - Accent4 10 4" xfId="19978" xr:uid="{00000000-0005-0000-0000-0000BF050000}"/>
    <cellStyle name="20% - Accent4 11" xfId="548" xr:uid="{00000000-0005-0000-0000-0000C0050000}"/>
    <cellStyle name="20% - Accent4 11 2" xfId="549" xr:uid="{00000000-0005-0000-0000-0000C1050000}"/>
    <cellStyle name="20% - Accent4 11 2 2" xfId="550" xr:uid="{00000000-0005-0000-0000-0000C2050000}"/>
    <cellStyle name="20% - Accent4 11 2 3" xfId="551" xr:uid="{00000000-0005-0000-0000-0000C3050000}"/>
    <cellStyle name="20% - Accent4 11 3" xfId="552" xr:uid="{00000000-0005-0000-0000-0000C4050000}"/>
    <cellStyle name="20% - Accent4 11 3 2" xfId="553" xr:uid="{00000000-0005-0000-0000-0000C5050000}"/>
    <cellStyle name="20% - Accent4 11 3 3" xfId="554" xr:uid="{00000000-0005-0000-0000-0000C6050000}"/>
    <cellStyle name="20% - Accent4 11 4" xfId="555" xr:uid="{00000000-0005-0000-0000-0000C7050000}"/>
    <cellStyle name="20% - Accent4 11 4 2" xfId="556" xr:uid="{00000000-0005-0000-0000-0000C8050000}"/>
    <cellStyle name="20% - Accent4 11 4 2 2" xfId="557" xr:uid="{00000000-0005-0000-0000-0000C9050000}"/>
    <cellStyle name="20% - Accent4 11 4 2 2 2" xfId="558" xr:uid="{00000000-0005-0000-0000-0000CA050000}"/>
    <cellStyle name="20% - Accent4 11 4 2 2 2 2" xfId="18994" xr:uid="{00000000-0005-0000-0000-0000CB050000}"/>
    <cellStyle name="20% - Accent4 11 4 2 2 3" xfId="18476" xr:uid="{00000000-0005-0000-0000-0000CC050000}"/>
    <cellStyle name="20% - Accent4 11 4 2 3" xfId="559" xr:uid="{00000000-0005-0000-0000-0000CD050000}"/>
    <cellStyle name="20% - Accent4 11 4 2 3 2" xfId="18712" xr:uid="{00000000-0005-0000-0000-0000CE050000}"/>
    <cellStyle name="20% - Accent4 11 4 2 4" xfId="18185" xr:uid="{00000000-0005-0000-0000-0000CF050000}"/>
    <cellStyle name="20% - Accent4 11 4 3" xfId="560" xr:uid="{00000000-0005-0000-0000-0000D0050000}"/>
    <cellStyle name="20% - Accent4 11 4 3 2" xfId="561" xr:uid="{00000000-0005-0000-0000-0000D1050000}"/>
    <cellStyle name="20% - Accent4 11 4 3 2 2" xfId="18874" xr:uid="{00000000-0005-0000-0000-0000D2050000}"/>
    <cellStyle name="20% - Accent4 11 4 3 3" xfId="18353" xr:uid="{00000000-0005-0000-0000-0000D3050000}"/>
    <cellStyle name="20% - Accent4 11 4 4" xfId="562" xr:uid="{00000000-0005-0000-0000-0000D4050000}"/>
    <cellStyle name="20% - Accent4 11 4 4 2" xfId="18595" xr:uid="{00000000-0005-0000-0000-0000D5050000}"/>
    <cellStyle name="20% - Accent4 11 4 5" xfId="18037" xr:uid="{00000000-0005-0000-0000-0000D6050000}"/>
    <cellStyle name="20% - Accent4 11 5" xfId="19981" xr:uid="{00000000-0005-0000-0000-0000D7050000}"/>
    <cellStyle name="20% - Accent4 12" xfId="563" xr:uid="{00000000-0005-0000-0000-0000D8050000}"/>
    <cellStyle name="20% - Accent4 12 2" xfId="564" xr:uid="{00000000-0005-0000-0000-0000D9050000}"/>
    <cellStyle name="20% - Accent4 12 2 2" xfId="565" xr:uid="{00000000-0005-0000-0000-0000DA050000}"/>
    <cellStyle name="20% - Accent4 12 2 3" xfId="566" xr:uid="{00000000-0005-0000-0000-0000DB050000}"/>
    <cellStyle name="20% - Accent4 12 3" xfId="567" xr:uid="{00000000-0005-0000-0000-0000DC050000}"/>
    <cellStyle name="20% - Accent4 12 3 2" xfId="568" xr:uid="{00000000-0005-0000-0000-0000DD050000}"/>
    <cellStyle name="20% - Accent4 12 3 3" xfId="569" xr:uid="{00000000-0005-0000-0000-0000DE050000}"/>
    <cellStyle name="20% - Accent4 12 4" xfId="19982" xr:uid="{00000000-0005-0000-0000-0000DF050000}"/>
    <cellStyle name="20% - Accent4 13" xfId="570" xr:uid="{00000000-0005-0000-0000-0000E0050000}"/>
    <cellStyle name="20% - Accent4 13 2" xfId="571" xr:uid="{00000000-0005-0000-0000-0000E1050000}"/>
    <cellStyle name="20% - Accent4 13 2 2" xfId="572" xr:uid="{00000000-0005-0000-0000-0000E2050000}"/>
    <cellStyle name="20% - Accent4 13 2 3" xfId="573" xr:uid="{00000000-0005-0000-0000-0000E3050000}"/>
    <cellStyle name="20% - Accent4 13 3" xfId="574" xr:uid="{00000000-0005-0000-0000-0000E4050000}"/>
    <cellStyle name="20% - Accent4 13 3 2" xfId="575" xr:uid="{00000000-0005-0000-0000-0000E5050000}"/>
    <cellStyle name="20% - Accent4 13 3 3" xfId="576" xr:uid="{00000000-0005-0000-0000-0000E6050000}"/>
    <cellStyle name="20% - Accent4 13 4" xfId="577" xr:uid="{00000000-0005-0000-0000-0000E7050000}"/>
    <cellStyle name="20% - Accent4 13 4 2" xfId="18750" xr:uid="{00000000-0005-0000-0000-0000E8050000}"/>
    <cellStyle name="20% - Accent4 13 5" xfId="18221" xr:uid="{00000000-0005-0000-0000-0000E9050000}"/>
    <cellStyle name="20% - Accent4 14" xfId="578" xr:uid="{00000000-0005-0000-0000-0000EA050000}"/>
    <cellStyle name="20% - Accent4 14 2" xfId="579" xr:uid="{00000000-0005-0000-0000-0000EB050000}"/>
    <cellStyle name="20% - Accent4 14 2 2" xfId="580" xr:uid="{00000000-0005-0000-0000-0000EC050000}"/>
    <cellStyle name="20% - Accent4 14 2 3" xfId="581" xr:uid="{00000000-0005-0000-0000-0000ED050000}"/>
    <cellStyle name="20% - Accent4 14 3" xfId="582" xr:uid="{00000000-0005-0000-0000-0000EE050000}"/>
    <cellStyle name="20% - Accent4 14 3 2" xfId="583" xr:uid="{00000000-0005-0000-0000-0000EF050000}"/>
    <cellStyle name="20% - Accent4 14 3 3" xfId="584" xr:uid="{00000000-0005-0000-0000-0000F0050000}"/>
    <cellStyle name="20% - Accent4 15" xfId="585" xr:uid="{00000000-0005-0000-0000-0000F1050000}"/>
    <cellStyle name="20% - Accent4 15 2" xfId="586" xr:uid="{00000000-0005-0000-0000-0000F2050000}"/>
    <cellStyle name="20% - Accent4 15 2 2" xfId="587" xr:uid="{00000000-0005-0000-0000-0000F3050000}"/>
    <cellStyle name="20% - Accent4 15 2 3" xfId="588" xr:uid="{00000000-0005-0000-0000-0000F4050000}"/>
    <cellStyle name="20% - Accent4 15 3" xfId="589" xr:uid="{00000000-0005-0000-0000-0000F5050000}"/>
    <cellStyle name="20% - Accent4 15 3 2" xfId="590" xr:uid="{00000000-0005-0000-0000-0000F6050000}"/>
    <cellStyle name="20% - Accent4 15 3 3" xfId="591" xr:uid="{00000000-0005-0000-0000-0000F7050000}"/>
    <cellStyle name="20% - Accent4 15 4" xfId="592" xr:uid="{00000000-0005-0000-0000-0000F8050000}"/>
    <cellStyle name="20% - Accent4 15 4 2" xfId="593" xr:uid="{00000000-0005-0000-0000-0000F9050000}"/>
    <cellStyle name="20% - Accent4 15 4 3" xfId="594" xr:uid="{00000000-0005-0000-0000-0000FA050000}"/>
    <cellStyle name="20% - Accent4 15 5" xfId="595" xr:uid="{00000000-0005-0000-0000-0000FB050000}"/>
    <cellStyle name="20% - Accent4 15 5 2" xfId="596" xr:uid="{00000000-0005-0000-0000-0000FC050000}"/>
    <cellStyle name="20% - Accent4 15 5 3" xfId="597" xr:uid="{00000000-0005-0000-0000-0000FD050000}"/>
    <cellStyle name="20% - Accent4 15 6" xfId="598" xr:uid="{00000000-0005-0000-0000-0000FE050000}"/>
    <cellStyle name="20% - Accent4 15 6 2" xfId="599" xr:uid="{00000000-0005-0000-0000-0000FF050000}"/>
    <cellStyle name="20% - Accent4 15 6 3" xfId="600" xr:uid="{00000000-0005-0000-0000-000000060000}"/>
    <cellStyle name="20% - Accent4 15 7" xfId="601" xr:uid="{00000000-0005-0000-0000-000001060000}"/>
    <cellStyle name="20% - Accent4 15 7 2" xfId="602" xr:uid="{00000000-0005-0000-0000-000002060000}"/>
    <cellStyle name="20% - Accent4 15 7 3" xfId="603" xr:uid="{00000000-0005-0000-0000-000003060000}"/>
    <cellStyle name="20% - Accent4 15 8" xfId="604" xr:uid="{00000000-0005-0000-0000-000004060000}"/>
    <cellStyle name="20% - Accent4 15 9" xfId="605" xr:uid="{00000000-0005-0000-0000-000005060000}"/>
    <cellStyle name="20% - Accent4 15_Capacity" xfId="606" xr:uid="{00000000-0005-0000-0000-000006060000}"/>
    <cellStyle name="20% - Accent4 16" xfId="607" xr:uid="{00000000-0005-0000-0000-000007060000}"/>
    <cellStyle name="20% - Accent4 16 2" xfId="608" xr:uid="{00000000-0005-0000-0000-000008060000}"/>
    <cellStyle name="20% - Accent4 16 3" xfId="609" xr:uid="{00000000-0005-0000-0000-000009060000}"/>
    <cellStyle name="20% - Accent4 17" xfId="610" xr:uid="{00000000-0005-0000-0000-00000A060000}"/>
    <cellStyle name="20% - Accent4 17 2" xfId="611" xr:uid="{00000000-0005-0000-0000-00000B060000}"/>
    <cellStyle name="20% - Accent4 17 3" xfId="612" xr:uid="{00000000-0005-0000-0000-00000C060000}"/>
    <cellStyle name="20% - Accent4 18" xfId="613" xr:uid="{00000000-0005-0000-0000-00000D060000}"/>
    <cellStyle name="20% - Accent4 18 2" xfId="614" xr:uid="{00000000-0005-0000-0000-00000E060000}"/>
    <cellStyle name="20% - Accent4 18 3" xfId="615" xr:uid="{00000000-0005-0000-0000-00000F060000}"/>
    <cellStyle name="20% - Accent4 19" xfId="616" xr:uid="{00000000-0005-0000-0000-000010060000}"/>
    <cellStyle name="20% - Accent4 19 2" xfId="617" xr:uid="{00000000-0005-0000-0000-000011060000}"/>
    <cellStyle name="20% - Accent4 19 3" xfId="618" xr:uid="{00000000-0005-0000-0000-000012060000}"/>
    <cellStyle name="20% - Accent4 2" xfId="619" xr:uid="{00000000-0005-0000-0000-000013060000}"/>
    <cellStyle name="20% - Accent4 2 2" xfId="620" xr:uid="{00000000-0005-0000-0000-000014060000}"/>
    <cellStyle name="20% - Accent4 2 2 2" xfId="621" xr:uid="{00000000-0005-0000-0000-000015060000}"/>
    <cellStyle name="20% - Accent4 2 2 2 2" xfId="19985" xr:uid="{00000000-0005-0000-0000-000016060000}"/>
    <cellStyle name="20% - Accent4 2 2 2 3" xfId="19986" xr:uid="{00000000-0005-0000-0000-000017060000}"/>
    <cellStyle name="20% - Accent4 2 2 2 4" xfId="19987" xr:uid="{00000000-0005-0000-0000-000018060000}"/>
    <cellStyle name="20% - Accent4 2 2 2 5" xfId="19984" xr:uid="{00000000-0005-0000-0000-000019060000}"/>
    <cellStyle name="20% - Accent4 2 2 3" xfId="622" xr:uid="{00000000-0005-0000-0000-00001A060000}"/>
    <cellStyle name="20% - Accent4 2 2 3 2" xfId="19989" xr:uid="{00000000-0005-0000-0000-00001B060000}"/>
    <cellStyle name="20% - Accent4 2 2 3 2 2" xfId="19990" xr:uid="{00000000-0005-0000-0000-00001C060000}"/>
    <cellStyle name="20% - Accent4 2 2 3 2 2 2" xfId="38588" xr:uid="{00000000-0005-0000-0000-00001D060000}"/>
    <cellStyle name="20% - Accent4 2 2 3 2 3" xfId="38587" xr:uid="{00000000-0005-0000-0000-00001E060000}"/>
    <cellStyle name="20% - Accent4 2 2 3 3" xfId="19991" xr:uid="{00000000-0005-0000-0000-00001F060000}"/>
    <cellStyle name="20% - Accent4 2 2 3 3 2" xfId="38589" xr:uid="{00000000-0005-0000-0000-000020060000}"/>
    <cellStyle name="20% - Accent4 2 2 3 4" xfId="19992" xr:uid="{00000000-0005-0000-0000-000021060000}"/>
    <cellStyle name="20% - Accent4 2 2 3 5" xfId="38586" xr:uid="{00000000-0005-0000-0000-000022060000}"/>
    <cellStyle name="20% - Accent4 2 2 3 6" xfId="19988" xr:uid="{00000000-0005-0000-0000-000023060000}"/>
    <cellStyle name="20% - Accent4 2 2 4" xfId="19993" xr:uid="{00000000-0005-0000-0000-000024060000}"/>
    <cellStyle name="20% - Accent4 2 2 4 2" xfId="19994" xr:uid="{00000000-0005-0000-0000-000025060000}"/>
    <cellStyle name="20% - Accent4 2 2 4 2 2" xfId="38591" xr:uid="{00000000-0005-0000-0000-000026060000}"/>
    <cellStyle name="20% - Accent4 2 2 4 3" xfId="19995" xr:uid="{00000000-0005-0000-0000-000027060000}"/>
    <cellStyle name="20% - Accent4 2 2 4 4" xfId="38590" xr:uid="{00000000-0005-0000-0000-000028060000}"/>
    <cellStyle name="20% - Accent4 2 2 5" xfId="19996" xr:uid="{00000000-0005-0000-0000-000029060000}"/>
    <cellStyle name="20% - Accent4 2 2 5 2" xfId="19997" xr:uid="{00000000-0005-0000-0000-00002A060000}"/>
    <cellStyle name="20% - Accent4 2 2 5 3" xfId="38592" xr:uid="{00000000-0005-0000-0000-00002B060000}"/>
    <cellStyle name="20% - Accent4 2 2 6" xfId="19998" xr:uid="{00000000-0005-0000-0000-00002C060000}"/>
    <cellStyle name="20% - Accent4 2 2 6 2" xfId="19999" xr:uid="{00000000-0005-0000-0000-00002D060000}"/>
    <cellStyle name="20% - Accent4 2 2 7" xfId="20000" xr:uid="{00000000-0005-0000-0000-00002E060000}"/>
    <cellStyle name="20% - Accent4 2 2 8" xfId="38585" xr:uid="{00000000-0005-0000-0000-00002F060000}"/>
    <cellStyle name="20% - Accent4 2 2 9" xfId="19983" xr:uid="{00000000-0005-0000-0000-000030060000}"/>
    <cellStyle name="20% - Accent4 2 3" xfId="623" xr:uid="{00000000-0005-0000-0000-000031060000}"/>
    <cellStyle name="20% - Accent4 2 3 2" xfId="624" xr:uid="{00000000-0005-0000-0000-000032060000}"/>
    <cellStyle name="20% - Accent4 2 3 2 2" xfId="20003" xr:uid="{00000000-0005-0000-0000-000033060000}"/>
    <cellStyle name="20% - Accent4 2 3 2 3" xfId="20004" xr:uid="{00000000-0005-0000-0000-000034060000}"/>
    <cellStyle name="20% - Accent4 2 3 2 4" xfId="20005" xr:uid="{00000000-0005-0000-0000-000035060000}"/>
    <cellStyle name="20% - Accent4 2 3 2 5" xfId="38593" xr:uid="{00000000-0005-0000-0000-000036060000}"/>
    <cellStyle name="20% - Accent4 2 3 2 6" xfId="20002" xr:uid="{00000000-0005-0000-0000-000037060000}"/>
    <cellStyle name="20% - Accent4 2 3 3" xfId="625" xr:uid="{00000000-0005-0000-0000-000038060000}"/>
    <cellStyle name="20% - Accent4 2 3 3 2" xfId="20006" xr:uid="{00000000-0005-0000-0000-000039060000}"/>
    <cellStyle name="20% - Accent4 2 3 4" xfId="20007" xr:uid="{00000000-0005-0000-0000-00003A060000}"/>
    <cellStyle name="20% - Accent4 2 3 5" xfId="20008" xr:uid="{00000000-0005-0000-0000-00003B060000}"/>
    <cellStyle name="20% - Accent4 2 3 6" xfId="20001" xr:uid="{00000000-0005-0000-0000-00003C060000}"/>
    <cellStyle name="20% - Accent4 2 4" xfId="20009" xr:uid="{00000000-0005-0000-0000-00003D060000}"/>
    <cellStyle name="20% - Accent4 2 4 2" xfId="20010" xr:uid="{00000000-0005-0000-0000-00003E060000}"/>
    <cellStyle name="20% - Accent4 2 5" xfId="20011" xr:uid="{00000000-0005-0000-0000-00003F060000}"/>
    <cellStyle name="20% - Accent4 2 5 2" xfId="20012" xr:uid="{00000000-0005-0000-0000-000040060000}"/>
    <cellStyle name="20% - Accent4 2 5 3" xfId="20013" xr:uid="{00000000-0005-0000-0000-000041060000}"/>
    <cellStyle name="20% - Accent4 2 6" xfId="20014" xr:uid="{00000000-0005-0000-0000-000042060000}"/>
    <cellStyle name="20% - Accent4 2 6 2" xfId="20015" xr:uid="{00000000-0005-0000-0000-000043060000}"/>
    <cellStyle name="20% - Accent4 2 7" xfId="20016" xr:uid="{00000000-0005-0000-0000-000044060000}"/>
    <cellStyle name="20% - Accent4 2 7 2" xfId="20017" xr:uid="{00000000-0005-0000-0000-000045060000}"/>
    <cellStyle name="20% - Accent4 2 8" xfId="20018" xr:uid="{00000000-0005-0000-0000-000046060000}"/>
    <cellStyle name="20% - Accent4 20" xfId="626" xr:uid="{00000000-0005-0000-0000-000047060000}"/>
    <cellStyle name="20% - Accent4 20 2" xfId="627" xr:uid="{00000000-0005-0000-0000-000048060000}"/>
    <cellStyle name="20% - Accent4 20 3" xfId="628" xr:uid="{00000000-0005-0000-0000-000049060000}"/>
    <cellStyle name="20% - Accent4 21" xfId="629" xr:uid="{00000000-0005-0000-0000-00004A060000}"/>
    <cellStyle name="20% - Accent4 21 2" xfId="630" xr:uid="{00000000-0005-0000-0000-00004B060000}"/>
    <cellStyle name="20% - Accent4 21 3" xfId="631" xr:uid="{00000000-0005-0000-0000-00004C060000}"/>
    <cellStyle name="20% - Accent4 22" xfId="632" xr:uid="{00000000-0005-0000-0000-00004D060000}"/>
    <cellStyle name="20% - Accent4 22 2" xfId="633" xr:uid="{00000000-0005-0000-0000-00004E060000}"/>
    <cellStyle name="20% - Accent4 22 3" xfId="634" xr:uid="{00000000-0005-0000-0000-00004F060000}"/>
    <cellStyle name="20% - Accent4 3" xfId="635" xr:uid="{00000000-0005-0000-0000-000050060000}"/>
    <cellStyle name="20% - Accent4 3 10" xfId="20019" xr:uid="{00000000-0005-0000-0000-000051060000}"/>
    <cellStyle name="20% - Accent4 3 2" xfId="636" xr:uid="{00000000-0005-0000-0000-000052060000}"/>
    <cellStyle name="20% - Accent4 3 2 2" xfId="637" xr:uid="{00000000-0005-0000-0000-000053060000}"/>
    <cellStyle name="20% - Accent4 3 2 2 2" xfId="20022" xr:uid="{00000000-0005-0000-0000-000054060000}"/>
    <cellStyle name="20% - Accent4 3 2 2 2 2" xfId="20023" xr:uid="{00000000-0005-0000-0000-000055060000}"/>
    <cellStyle name="20% - Accent4 3 2 2 2 2 2" xfId="38597" xr:uid="{00000000-0005-0000-0000-000056060000}"/>
    <cellStyle name="20% - Accent4 3 2 2 2 3" xfId="20024" xr:uid="{00000000-0005-0000-0000-000057060000}"/>
    <cellStyle name="20% - Accent4 3 2 2 2 4" xfId="38596" xr:uid="{00000000-0005-0000-0000-000058060000}"/>
    <cellStyle name="20% - Accent4 3 2 2 3" xfId="20025" xr:uid="{00000000-0005-0000-0000-000059060000}"/>
    <cellStyle name="20% - Accent4 3 2 2 3 2" xfId="20026" xr:uid="{00000000-0005-0000-0000-00005A060000}"/>
    <cellStyle name="20% - Accent4 3 2 2 3 3" xfId="38598" xr:uid="{00000000-0005-0000-0000-00005B060000}"/>
    <cellStyle name="20% - Accent4 3 2 2 4" xfId="20027" xr:uid="{00000000-0005-0000-0000-00005C060000}"/>
    <cellStyle name="20% - Accent4 3 2 2 5" xfId="38595" xr:uid="{00000000-0005-0000-0000-00005D060000}"/>
    <cellStyle name="20% - Accent4 3 2 2 6" xfId="20021" xr:uid="{00000000-0005-0000-0000-00005E060000}"/>
    <cellStyle name="20% - Accent4 3 2 3" xfId="638" xr:uid="{00000000-0005-0000-0000-00005F060000}"/>
    <cellStyle name="20% - Accent4 3 2 3 2" xfId="20029" xr:uid="{00000000-0005-0000-0000-000060060000}"/>
    <cellStyle name="20% - Accent4 3 2 3 2 2" xfId="38600" xr:uid="{00000000-0005-0000-0000-000061060000}"/>
    <cellStyle name="20% - Accent4 3 2 3 3" xfId="20030" xr:uid="{00000000-0005-0000-0000-000062060000}"/>
    <cellStyle name="20% - Accent4 3 2 3 4" xfId="38599" xr:uid="{00000000-0005-0000-0000-000063060000}"/>
    <cellStyle name="20% - Accent4 3 2 3 5" xfId="20028" xr:uid="{00000000-0005-0000-0000-000064060000}"/>
    <cellStyle name="20% - Accent4 3 2 4" xfId="20031" xr:uid="{00000000-0005-0000-0000-000065060000}"/>
    <cellStyle name="20% - Accent4 3 2 4 2" xfId="20032" xr:uid="{00000000-0005-0000-0000-000066060000}"/>
    <cellStyle name="20% - Accent4 3 2 4 3" xfId="38601" xr:uid="{00000000-0005-0000-0000-000067060000}"/>
    <cellStyle name="20% - Accent4 3 2 5" xfId="20033" xr:uid="{00000000-0005-0000-0000-000068060000}"/>
    <cellStyle name="20% - Accent4 3 2 5 2" xfId="20034" xr:uid="{00000000-0005-0000-0000-000069060000}"/>
    <cellStyle name="20% - Accent4 3 2 6" xfId="20035" xr:uid="{00000000-0005-0000-0000-00006A060000}"/>
    <cellStyle name="20% - Accent4 3 2 6 2" xfId="20036" xr:uid="{00000000-0005-0000-0000-00006B060000}"/>
    <cellStyle name="20% - Accent4 3 2 7" xfId="20037" xr:uid="{00000000-0005-0000-0000-00006C060000}"/>
    <cellStyle name="20% - Accent4 3 2 8" xfId="38594" xr:uid="{00000000-0005-0000-0000-00006D060000}"/>
    <cellStyle name="20% - Accent4 3 2 9" xfId="20020" xr:uid="{00000000-0005-0000-0000-00006E060000}"/>
    <cellStyle name="20% - Accent4 3 3" xfId="639" xr:uid="{00000000-0005-0000-0000-00006F060000}"/>
    <cellStyle name="20% - Accent4 3 3 2" xfId="640" xr:uid="{00000000-0005-0000-0000-000070060000}"/>
    <cellStyle name="20% - Accent4 3 3 2 2" xfId="20040" xr:uid="{00000000-0005-0000-0000-000071060000}"/>
    <cellStyle name="20% - Accent4 3 3 2 2 2" xfId="38604" xr:uid="{00000000-0005-0000-0000-000072060000}"/>
    <cellStyle name="20% - Accent4 3 3 2 3" xfId="38603" xr:uid="{00000000-0005-0000-0000-000073060000}"/>
    <cellStyle name="20% - Accent4 3 3 2 4" xfId="20039" xr:uid="{00000000-0005-0000-0000-000074060000}"/>
    <cellStyle name="20% - Accent4 3 3 3" xfId="641" xr:uid="{00000000-0005-0000-0000-000075060000}"/>
    <cellStyle name="20% - Accent4 3 3 3 2" xfId="38605" xr:uid="{00000000-0005-0000-0000-000076060000}"/>
    <cellStyle name="20% - Accent4 3 3 3 3" xfId="20041" xr:uid="{00000000-0005-0000-0000-000077060000}"/>
    <cellStyle name="20% - Accent4 3 3 4" xfId="20042" xr:uid="{00000000-0005-0000-0000-000078060000}"/>
    <cellStyle name="20% - Accent4 3 3 5" xfId="38602" xr:uid="{00000000-0005-0000-0000-000079060000}"/>
    <cellStyle name="20% - Accent4 3 3 6" xfId="20038" xr:uid="{00000000-0005-0000-0000-00007A060000}"/>
    <cellStyle name="20% - Accent4 3 4" xfId="20043" xr:uid="{00000000-0005-0000-0000-00007B060000}"/>
    <cellStyle name="20% - Accent4 3 4 2" xfId="20044" xr:uid="{00000000-0005-0000-0000-00007C060000}"/>
    <cellStyle name="20% - Accent4 3 4 2 2" xfId="38607" xr:uid="{00000000-0005-0000-0000-00007D060000}"/>
    <cellStyle name="20% - Accent4 3 4 3" xfId="20045" xr:uid="{00000000-0005-0000-0000-00007E060000}"/>
    <cellStyle name="20% - Accent4 3 4 4" xfId="38606" xr:uid="{00000000-0005-0000-0000-00007F060000}"/>
    <cellStyle name="20% - Accent4 3 5" xfId="20046" xr:uid="{00000000-0005-0000-0000-000080060000}"/>
    <cellStyle name="20% - Accent4 3 5 2" xfId="20047" xr:uid="{00000000-0005-0000-0000-000081060000}"/>
    <cellStyle name="20% - Accent4 3 5 3" xfId="38608" xr:uid="{00000000-0005-0000-0000-000082060000}"/>
    <cellStyle name="20% - Accent4 3 6" xfId="20048" xr:uid="{00000000-0005-0000-0000-000083060000}"/>
    <cellStyle name="20% - Accent4 3 6 2" xfId="20049" xr:uid="{00000000-0005-0000-0000-000084060000}"/>
    <cellStyle name="20% - Accent4 3 6 3" xfId="20050" xr:uid="{00000000-0005-0000-0000-000085060000}"/>
    <cellStyle name="20% - Accent4 3 7" xfId="20051" xr:uid="{00000000-0005-0000-0000-000086060000}"/>
    <cellStyle name="20% - Accent4 3 7 2" xfId="20052" xr:uid="{00000000-0005-0000-0000-000087060000}"/>
    <cellStyle name="20% - Accent4 3 8" xfId="20053" xr:uid="{00000000-0005-0000-0000-000088060000}"/>
    <cellStyle name="20% - Accent4 3 9" xfId="20054" xr:uid="{00000000-0005-0000-0000-000089060000}"/>
    <cellStyle name="20% - Accent4 4" xfId="642" xr:uid="{00000000-0005-0000-0000-00008A060000}"/>
    <cellStyle name="20% - Accent4 4 2" xfId="643" xr:uid="{00000000-0005-0000-0000-00008B060000}"/>
    <cellStyle name="20% - Accent4 4 2 2" xfId="644" xr:uid="{00000000-0005-0000-0000-00008C060000}"/>
    <cellStyle name="20% - Accent4 4 2 2 2" xfId="20057" xr:uid="{00000000-0005-0000-0000-00008D060000}"/>
    <cellStyle name="20% - Accent4 4 2 2 2 2" xfId="20058" xr:uid="{00000000-0005-0000-0000-00008E060000}"/>
    <cellStyle name="20% - Accent4 4 2 2 2 2 2" xfId="38612" xr:uid="{00000000-0005-0000-0000-00008F060000}"/>
    <cellStyle name="20% - Accent4 4 2 2 2 3" xfId="20059" xr:uid="{00000000-0005-0000-0000-000090060000}"/>
    <cellStyle name="20% - Accent4 4 2 2 2 4" xfId="38611" xr:uid="{00000000-0005-0000-0000-000091060000}"/>
    <cellStyle name="20% - Accent4 4 2 2 3" xfId="20060" xr:uid="{00000000-0005-0000-0000-000092060000}"/>
    <cellStyle name="20% - Accent4 4 2 2 3 2" xfId="20061" xr:uid="{00000000-0005-0000-0000-000093060000}"/>
    <cellStyle name="20% - Accent4 4 2 2 3 3" xfId="38613" xr:uid="{00000000-0005-0000-0000-000094060000}"/>
    <cellStyle name="20% - Accent4 4 2 2 4" xfId="20062" xr:uid="{00000000-0005-0000-0000-000095060000}"/>
    <cellStyle name="20% - Accent4 4 2 2 5" xfId="38610" xr:uid="{00000000-0005-0000-0000-000096060000}"/>
    <cellStyle name="20% - Accent4 4 2 2 6" xfId="20056" xr:uid="{00000000-0005-0000-0000-000097060000}"/>
    <cellStyle name="20% - Accent4 4 2 3" xfId="645" xr:uid="{00000000-0005-0000-0000-000098060000}"/>
    <cellStyle name="20% - Accent4 4 2 3 2" xfId="20064" xr:uid="{00000000-0005-0000-0000-000099060000}"/>
    <cellStyle name="20% - Accent4 4 2 3 2 2" xfId="38615" xr:uid="{00000000-0005-0000-0000-00009A060000}"/>
    <cellStyle name="20% - Accent4 4 2 3 3" xfId="20065" xr:uid="{00000000-0005-0000-0000-00009B060000}"/>
    <cellStyle name="20% - Accent4 4 2 3 4" xfId="38614" xr:uid="{00000000-0005-0000-0000-00009C060000}"/>
    <cellStyle name="20% - Accent4 4 2 3 5" xfId="20063" xr:uid="{00000000-0005-0000-0000-00009D060000}"/>
    <cellStyle name="20% - Accent4 4 2 4" xfId="20066" xr:uid="{00000000-0005-0000-0000-00009E060000}"/>
    <cellStyle name="20% - Accent4 4 2 4 2" xfId="20067" xr:uid="{00000000-0005-0000-0000-00009F060000}"/>
    <cellStyle name="20% - Accent4 4 2 4 3" xfId="38616" xr:uid="{00000000-0005-0000-0000-0000A0060000}"/>
    <cellStyle name="20% - Accent4 4 2 5" xfId="20068" xr:uid="{00000000-0005-0000-0000-0000A1060000}"/>
    <cellStyle name="20% - Accent4 4 2 5 2" xfId="20069" xr:uid="{00000000-0005-0000-0000-0000A2060000}"/>
    <cellStyle name="20% - Accent4 4 2 6" xfId="20070" xr:uid="{00000000-0005-0000-0000-0000A3060000}"/>
    <cellStyle name="20% - Accent4 4 2 6 2" xfId="20071" xr:uid="{00000000-0005-0000-0000-0000A4060000}"/>
    <cellStyle name="20% - Accent4 4 2 7" xfId="20072" xr:uid="{00000000-0005-0000-0000-0000A5060000}"/>
    <cellStyle name="20% - Accent4 4 2 8" xfId="38609" xr:uid="{00000000-0005-0000-0000-0000A6060000}"/>
    <cellStyle name="20% - Accent4 4 2 9" xfId="20055" xr:uid="{00000000-0005-0000-0000-0000A7060000}"/>
    <cellStyle name="20% - Accent4 4 3" xfId="646" xr:uid="{00000000-0005-0000-0000-0000A8060000}"/>
    <cellStyle name="20% - Accent4 4 3 2" xfId="647" xr:uid="{00000000-0005-0000-0000-0000A9060000}"/>
    <cellStyle name="20% - Accent4 4 3 2 2" xfId="38618" xr:uid="{00000000-0005-0000-0000-0000AA060000}"/>
    <cellStyle name="20% - Accent4 4 3 2 3" xfId="20074" xr:uid="{00000000-0005-0000-0000-0000AB060000}"/>
    <cellStyle name="20% - Accent4 4 3 3" xfId="648" xr:uid="{00000000-0005-0000-0000-0000AC060000}"/>
    <cellStyle name="20% - Accent4 4 3 3 2" xfId="38619" xr:uid="{00000000-0005-0000-0000-0000AD060000}"/>
    <cellStyle name="20% - Accent4 4 3 3 3" xfId="20075" xr:uid="{00000000-0005-0000-0000-0000AE060000}"/>
    <cellStyle name="20% - Accent4 4 3 4" xfId="20076" xr:uid="{00000000-0005-0000-0000-0000AF060000}"/>
    <cellStyle name="20% - Accent4 4 3 5" xfId="38617" xr:uid="{00000000-0005-0000-0000-0000B0060000}"/>
    <cellStyle name="20% - Accent4 4 3 6" xfId="20073" xr:uid="{00000000-0005-0000-0000-0000B1060000}"/>
    <cellStyle name="20% - Accent4 4 4" xfId="20077" xr:uid="{00000000-0005-0000-0000-0000B2060000}"/>
    <cellStyle name="20% - Accent4 4 4 2" xfId="20078" xr:uid="{00000000-0005-0000-0000-0000B3060000}"/>
    <cellStyle name="20% - Accent4 4 4 2 2" xfId="38621" xr:uid="{00000000-0005-0000-0000-0000B4060000}"/>
    <cellStyle name="20% - Accent4 4 4 3" xfId="20079" xr:uid="{00000000-0005-0000-0000-0000B5060000}"/>
    <cellStyle name="20% - Accent4 4 4 4" xfId="38620" xr:uid="{00000000-0005-0000-0000-0000B6060000}"/>
    <cellStyle name="20% - Accent4 4 5" xfId="20080" xr:uid="{00000000-0005-0000-0000-0000B7060000}"/>
    <cellStyle name="20% - Accent4 4 5 2" xfId="38622" xr:uid="{00000000-0005-0000-0000-0000B8060000}"/>
    <cellStyle name="20% - Accent4 4 6" xfId="20081" xr:uid="{00000000-0005-0000-0000-0000B9060000}"/>
    <cellStyle name="20% - Accent4 4 6 2" xfId="20082" xr:uid="{00000000-0005-0000-0000-0000BA060000}"/>
    <cellStyle name="20% - Accent4 4 7" xfId="20083" xr:uid="{00000000-0005-0000-0000-0000BB060000}"/>
    <cellStyle name="20% - Accent4 4 7 2" xfId="20084" xr:uid="{00000000-0005-0000-0000-0000BC060000}"/>
    <cellStyle name="20% - Accent4 4 8" xfId="20085" xr:uid="{00000000-0005-0000-0000-0000BD060000}"/>
    <cellStyle name="20% - Accent4 4 9" xfId="20086" xr:uid="{00000000-0005-0000-0000-0000BE060000}"/>
    <cellStyle name="20% - Accent4 5" xfId="649" xr:uid="{00000000-0005-0000-0000-0000BF060000}"/>
    <cellStyle name="20% - Accent4 5 2" xfId="650" xr:uid="{00000000-0005-0000-0000-0000C0060000}"/>
    <cellStyle name="20% - Accent4 5 2 2" xfId="651" xr:uid="{00000000-0005-0000-0000-0000C1060000}"/>
    <cellStyle name="20% - Accent4 5 2 2 2" xfId="20089" xr:uid="{00000000-0005-0000-0000-0000C2060000}"/>
    <cellStyle name="20% - Accent4 5 2 2 2 2" xfId="20090" xr:uid="{00000000-0005-0000-0000-0000C3060000}"/>
    <cellStyle name="20% - Accent4 5 2 2 2 2 2" xfId="38626" xr:uid="{00000000-0005-0000-0000-0000C4060000}"/>
    <cellStyle name="20% - Accent4 5 2 2 2 3" xfId="38625" xr:uid="{00000000-0005-0000-0000-0000C5060000}"/>
    <cellStyle name="20% - Accent4 5 2 2 3" xfId="20091" xr:uid="{00000000-0005-0000-0000-0000C6060000}"/>
    <cellStyle name="20% - Accent4 5 2 2 3 2" xfId="38627" xr:uid="{00000000-0005-0000-0000-0000C7060000}"/>
    <cellStyle name="20% - Accent4 5 2 2 4" xfId="38624" xr:uid="{00000000-0005-0000-0000-0000C8060000}"/>
    <cellStyle name="20% - Accent4 5 2 2 5" xfId="20088" xr:uid="{00000000-0005-0000-0000-0000C9060000}"/>
    <cellStyle name="20% - Accent4 5 2 3" xfId="652" xr:uid="{00000000-0005-0000-0000-0000CA060000}"/>
    <cellStyle name="20% - Accent4 5 2 3 2" xfId="20093" xr:uid="{00000000-0005-0000-0000-0000CB060000}"/>
    <cellStyle name="20% - Accent4 5 2 3 2 2" xfId="38629" xr:uid="{00000000-0005-0000-0000-0000CC060000}"/>
    <cellStyle name="20% - Accent4 5 2 3 3" xfId="38628" xr:uid="{00000000-0005-0000-0000-0000CD060000}"/>
    <cellStyle name="20% - Accent4 5 2 3 4" xfId="20092" xr:uid="{00000000-0005-0000-0000-0000CE060000}"/>
    <cellStyle name="20% - Accent4 5 2 4" xfId="20094" xr:uid="{00000000-0005-0000-0000-0000CF060000}"/>
    <cellStyle name="20% - Accent4 5 2 4 2" xfId="38630" xr:uid="{00000000-0005-0000-0000-0000D0060000}"/>
    <cellStyle name="20% - Accent4 5 2 5" xfId="20095" xr:uid="{00000000-0005-0000-0000-0000D1060000}"/>
    <cellStyle name="20% - Accent4 5 2 6" xfId="38623" xr:uid="{00000000-0005-0000-0000-0000D2060000}"/>
    <cellStyle name="20% - Accent4 5 2 7" xfId="20087" xr:uid="{00000000-0005-0000-0000-0000D3060000}"/>
    <cellStyle name="20% - Accent4 5 3" xfId="653" xr:uid="{00000000-0005-0000-0000-0000D4060000}"/>
    <cellStyle name="20% - Accent4 5 3 2" xfId="654" xr:uid="{00000000-0005-0000-0000-0000D5060000}"/>
    <cellStyle name="20% - Accent4 5 3 2 2" xfId="20097" xr:uid="{00000000-0005-0000-0000-0000D6060000}"/>
    <cellStyle name="20% - Accent4 5 3 3" xfId="655" xr:uid="{00000000-0005-0000-0000-0000D7060000}"/>
    <cellStyle name="20% - Accent4 5 3 3 2" xfId="38631" xr:uid="{00000000-0005-0000-0000-0000D8060000}"/>
    <cellStyle name="20% - Accent4 5 3 4" xfId="20096" xr:uid="{00000000-0005-0000-0000-0000D9060000}"/>
    <cellStyle name="20% - Accent4 5 4" xfId="20098" xr:uid="{00000000-0005-0000-0000-0000DA060000}"/>
    <cellStyle name="20% - Accent4 5 5" xfId="20099" xr:uid="{00000000-0005-0000-0000-0000DB060000}"/>
    <cellStyle name="20% - Accent4 6" xfId="656" xr:uid="{00000000-0005-0000-0000-0000DC060000}"/>
    <cellStyle name="20% - Accent4 6 2" xfId="657" xr:uid="{00000000-0005-0000-0000-0000DD060000}"/>
    <cellStyle name="20% - Accent4 6 2 2" xfId="658" xr:uid="{00000000-0005-0000-0000-0000DE060000}"/>
    <cellStyle name="20% - Accent4 6 2 2 2" xfId="38633" xr:uid="{00000000-0005-0000-0000-0000DF060000}"/>
    <cellStyle name="20% - Accent4 6 2 2 3" xfId="20102" xr:uid="{00000000-0005-0000-0000-0000E0060000}"/>
    <cellStyle name="20% - Accent4 6 2 3" xfId="659" xr:uid="{00000000-0005-0000-0000-0000E1060000}"/>
    <cellStyle name="20% - Accent4 6 2 3 2" xfId="20103" xr:uid="{00000000-0005-0000-0000-0000E2060000}"/>
    <cellStyle name="20% - Accent4 6 2 4" xfId="20104" xr:uid="{00000000-0005-0000-0000-0000E3060000}"/>
    <cellStyle name="20% - Accent4 6 2 5" xfId="20101" xr:uid="{00000000-0005-0000-0000-0000E4060000}"/>
    <cellStyle name="20% - Accent4 6 3" xfId="660" xr:uid="{00000000-0005-0000-0000-0000E5060000}"/>
    <cellStyle name="20% - Accent4 6 3 2" xfId="661" xr:uid="{00000000-0005-0000-0000-0000E6060000}"/>
    <cellStyle name="20% - Accent4 6 3 2 2" xfId="20107" xr:uid="{00000000-0005-0000-0000-0000E7060000}"/>
    <cellStyle name="20% - Accent4 6 3 2 2 2" xfId="38636" xr:uid="{00000000-0005-0000-0000-0000E8060000}"/>
    <cellStyle name="20% - Accent4 6 3 2 3" xfId="38635" xr:uid="{00000000-0005-0000-0000-0000E9060000}"/>
    <cellStyle name="20% - Accent4 6 3 2 4" xfId="20106" xr:uid="{00000000-0005-0000-0000-0000EA060000}"/>
    <cellStyle name="20% - Accent4 6 3 3" xfId="662" xr:uid="{00000000-0005-0000-0000-0000EB060000}"/>
    <cellStyle name="20% - Accent4 6 3 3 2" xfId="38637" xr:uid="{00000000-0005-0000-0000-0000EC060000}"/>
    <cellStyle name="20% - Accent4 6 3 3 3" xfId="20108" xr:uid="{00000000-0005-0000-0000-0000ED060000}"/>
    <cellStyle name="20% - Accent4 6 3 4" xfId="20109" xr:uid="{00000000-0005-0000-0000-0000EE060000}"/>
    <cellStyle name="20% - Accent4 6 3 5" xfId="38634" xr:uid="{00000000-0005-0000-0000-0000EF060000}"/>
    <cellStyle name="20% - Accent4 6 3 6" xfId="20105" xr:uid="{00000000-0005-0000-0000-0000F0060000}"/>
    <cellStyle name="20% - Accent4 6 4" xfId="20110" xr:uid="{00000000-0005-0000-0000-0000F1060000}"/>
    <cellStyle name="20% - Accent4 6 4 2" xfId="20111" xr:uid="{00000000-0005-0000-0000-0000F2060000}"/>
    <cellStyle name="20% - Accent4 6 4 2 2" xfId="38639" xr:uid="{00000000-0005-0000-0000-0000F3060000}"/>
    <cellStyle name="20% - Accent4 6 4 3" xfId="38638" xr:uid="{00000000-0005-0000-0000-0000F4060000}"/>
    <cellStyle name="20% - Accent4 6 5" xfId="20112" xr:uid="{00000000-0005-0000-0000-0000F5060000}"/>
    <cellStyle name="20% - Accent4 6 5 2" xfId="38640" xr:uid="{00000000-0005-0000-0000-0000F6060000}"/>
    <cellStyle name="20% - Accent4 6 6" xfId="20113" xr:uid="{00000000-0005-0000-0000-0000F7060000}"/>
    <cellStyle name="20% - Accent4 6 7" xfId="38632" xr:uid="{00000000-0005-0000-0000-0000F8060000}"/>
    <cellStyle name="20% - Accent4 6 8" xfId="20100" xr:uid="{00000000-0005-0000-0000-0000F9060000}"/>
    <cellStyle name="20% - Accent4 7" xfId="663" xr:uid="{00000000-0005-0000-0000-0000FA060000}"/>
    <cellStyle name="20% - Accent4 7 2" xfId="664" xr:uid="{00000000-0005-0000-0000-0000FB060000}"/>
    <cellStyle name="20% - Accent4 7 2 2" xfId="665" xr:uid="{00000000-0005-0000-0000-0000FC060000}"/>
    <cellStyle name="20% - Accent4 7 2 2 2" xfId="20117" xr:uid="{00000000-0005-0000-0000-0000FD060000}"/>
    <cellStyle name="20% - Accent4 7 2 2 2 2" xfId="38644" xr:uid="{00000000-0005-0000-0000-0000FE060000}"/>
    <cellStyle name="20% - Accent4 7 2 2 3" xfId="38643" xr:uid="{00000000-0005-0000-0000-0000FF060000}"/>
    <cellStyle name="20% - Accent4 7 2 2 4" xfId="20116" xr:uid="{00000000-0005-0000-0000-000000070000}"/>
    <cellStyle name="20% - Accent4 7 2 3" xfId="666" xr:uid="{00000000-0005-0000-0000-000001070000}"/>
    <cellStyle name="20% - Accent4 7 2 3 2" xfId="38645" xr:uid="{00000000-0005-0000-0000-000002070000}"/>
    <cellStyle name="20% - Accent4 7 2 3 3" xfId="20118" xr:uid="{00000000-0005-0000-0000-000003070000}"/>
    <cellStyle name="20% - Accent4 7 2 4" xfId="38642" xr:uid="{00000000-0005-0000-0000-000004070000}"/>
    <cellStyle name="20% - Accent4 7 2 5" xfId="20115" xr:uid="{00000000-0005-0000-0000-000005070000}"/>
    <cellStyle name="20% - Accent4 7 3" xfId="667" xr:uid="{00000000-0005-0000-0000-000006070000}"/>
    <cellStyle name="20% - Accent4 7 3 2" xfId="668" xr:uid="{00000000-0005-0000-0000-000007070000}"/>
    <cellStyle name="20% - Accent4 7 3 2 2" xfId="38647" xr:uid="{00000000-0005-0000-0000-000008070000}"/>
    <cellStyle name="20% - Accent4 7 3 2 3" xfId="20120" xr:uid="{00000000-0005-0000-0000-000009070000}"/>
    <cellStyle name="20% - Accent4 7 3 3" xfId="669" xr:uid="{00000000-0005-0000-0000-00000A070000}"/>
    <cellStyle name="20% - Accent4 7 3 3 2" xfId="38646" xr:uid="{00000000-0005-0000-0000-00000B070000}"/>
    <cellStyle name="20% - Accent4 7 3 4" xfId="20119" xr:uid="{00000000-0005-0000-0000-00000C070000}"/>
    <cellStyle name="20% - Accent4 7 4" xfId="20121" xr:uid="{00000000-0005-0000-0000-00000D070000}"/>
    <cellStyle name="20% - Accent4 7 4 2" xfId="38648" xr:uid="{00000000-0005-0000-0000-00000E070000}"/>
    <cellStyle name="20% - Accent4 7 5" xfId="20122" xr:uid="{00000000-0005-0000-0000-00000F070000}"/>
    <cellStyle name="20% - Accent4 7 6" xfId="38641" xr:uid="{00000000-0005-0000-0000-000010070000}"/>
    <cellStyle name="20% - Accent4 7 7" xfId="20114" xr:uid="{00000000-0005-0000-0000-000011070000}"/>
    <cellStyle name="20% - Accent4 8" xfId="670" xr:uid="{00000000-0005-0000-0000-000012070000}"/>
    <cellStyle name="20% - Accent4 8 2" xfId="671" xr:uid="{00000000-0005-0000-0000-000013070000}"/>
    <cellStyle name="20% - Accent4 8 2 2" xfId="672" xr:uid="{00000000-0005-0000-0000-000014070000}"/>
    <cellStyle name="20% - Accent4 8 2 3" xfId="673" xr:uid="{00000000-0005-0000-0000-000015070000}"/>
    <cellStyle name="20% - Accent4 8 2 4" xfId="20124" xr:uid="{00000000-0005-0000-0000-000016070000}"/>
    <cellStyle name="20% - Accent4 8 3" xfId="674" xr:uid="{00000000-0005-0000-0000-000017070000}"/>
    <cellStyle name="20% - Accent4 8 3 2" xfId="675" xr:uid="{00000000-0005-0000-0000-000018070000}"/>
    <cellStyle name="20% - Accent4 8 3 2 2" xfId="38649" xr:uid="{00000000-0005-0000-0000-000019070000}"/>
    <cellStyle name="20% - Accent4 8 3 3" xfId="676" xr:uid="{00000000-0005-0000-0000-00001A070000}"/>
    <cellStyle name="20% - Accent4 8 3 4" xfId="20125" xr:uid="{00000000-0005-0000-0000-00001B070000}"/>
    <cellStyle name="20% - Accent4 8 4" xfId="20126" xr:uid="{00000000-0005-0000-0000-00001C070000}"/>
    <cellStyle name="20% - Accent4 8 5" xfId="20123" xr:uid="{00000000-0005-0000-0000-00001D070000}"/>
    <cellStyle name="20% - Accent4 9" xfId="677" xr:uid="{00000000-0005-0000-0000-00001E070000}"/>
    <cellStyle name="20% - Accent4 9 2" xfId="678" xr:uid="{00000000-0005-0000-0000-00001F070000}"/>
    <cellStyle name="20% - Accent4 9 2 2" xfId="679" xr:uid="{00000000-0005-0000-0000-000020070000}"/>
    <cellStyle name="20% - Accent4 9 2 2 2" xfId="38650" xr:uid="{00000000-0005-0000-0000-000021070000}"/>
    <cellStyle name="20% - Accent4 9 2 3" xfId="680" xr:uid="{00000000-0005-0000-0000-000022070000}"/>
    <cellStyle name="20% - Accent4 9 2 4" xfId="20128" xr:uid="{00000000-0005-0000-0000-000023070000}"/>
    <cellStyle name="20% - Accent4 9 3" xfId="681" xr:uid="{00000000-0005-0000-0000-000024070000}"/>
    <cellStyle name="20% - Accent4 9 3 2" xfId="682" xr:uid="{00000000-0005-0000-0000-000025070000}"/>
    <cellStyle name="20% - Accent4 9 3 3" xfId="683" xr:uid="{00000000-0005-0000-0000-000026070000}"/>
    <cellStyle name="20% - Accent4 9 3 4" xfId="20129" xr:uid="{00000000-0005-0000-0000-000027070000}"/>
    <cellStyle name="20% - Accent4 9 4" xfId="20127" xr:uid="{00000000-0005-0000-0000-000028070000}"/>
    <cellStyle name="20% - Accent5" xfId="44356" builtinId="46" customBuiltin="1"/>
    <cellStyle name="20% - Accent5 10" xfId="684" xr:uid="{00000000-0005-0000-0000-00002A070000}"/>
    <cellStyle name="20% - Accent5 10 2" xfId="685" xr:uid="{00000000-0005-0000-0000-00002B070000}"/>
    <cellStyle name="20% - Accent5 10 2 2" xfId="686" xr:uid="{00000000-0005-0000-0000-00002C070000}"/>
    <cellStyle name="20% - Accent5 10 2 2 2" xfId="38651" xr:uid="{00000000-0005-0000-0000-00002D070000}"/>
    <cellStyle name="20% - Accent5 10 2 3" xfId="687" xr:uid="{00000000-0005-0000-0000-00002E070000}"/>
    <cellStyle name="20% - Accent5 10 2 4" xfId="20131" xr:uid="{00000000-0005-0000-0000-00002F070000}"/>
    <cellStyle name="20% - Accent5 10 3" xfId="688" xr:uid="{00000000-0005-0000-0000-000030070000}"/>
    <cellStyle name="20% - Accent5 10 3 2" xfId="689" xr:uid="{00000000-0005-0000-0000-000031070000}"/>
    <cellStyle name="20% - Accent5 10 3 3" xfId="690" xr:uid="{00000000-0005-0000-0000-000032070000}"/>
    <cellStyle name="20% - Accent5 10 3 4" xfId="20132" xr:uid="{00000000-0005-0000-0000-000033070000}"/>
    <cellStyle name="20% - Accent5 10 4" xfId="20130" xr:uid="{00000000-0005-0000-0000-000034070000}"/>
    <cellStyle name="20% - Accent5 11" xfId="691" xr:uid="{00000000-0005-0000-0000-000035070000}"/>
    <cellStyle name="20% - Accent5 11 2" xfId="692" xr:uid="{00000000-0005-0000-0000-000036070000}"/>
    <cellStyle name="20% - Accent5 11 2 2" xfId="693" xr:uid="{00000000-0005-0000-0000-000037070000}"/>
    <cellStyle name="20% - Accent5 11 2 3" xfId="694" xr:uid="{00000000-0005-0000-0000-000038070000}"/>
    <cellStyle name="20% - Accent5 11 3" xfId="695" xr:uid="{00000000-0005-0000-0000-000039070000}"/>
    <cellStyle name="20% - Accent5 11 3 2" xfId="696" xr:uid="{00000000-0005-0000-0000-00003A070000}"/>
    <cellStyle name="20% - Accent5 11 3 3" xfId="697" xr:uid="{00000000-0005-0000-0000-00003B070000}"/>
    <cellStyle name="20% - Accent5 11 4" xfId="698" xr:uid="{00000000-0005-0000-0000-00003C070000}"/>
    <cellStyle name="20% - Accent5 11 4 2" xfId="699" xr:uid="{00000000-0005-0000-0000-00003D070000}"/>
    <cellStyle name="20% - Accent5 11 4 2 2" xfId="700" xr:uid="{00000000-0005-0000-0000-00003E070000}"/>
    <cellStyle name="20% - Accent5 11 4 2 2 2" xfId="18996" xr:uid="{00000000-0005-0000-0000-00003F070000}"/>
    <cellStyle name="20% - Accent5 11 4 2 3" xfId="18478" xr:uid="{00000000-0005-0000-0000-000040070000}"/>
    <cellStyle name="20% - Accent5 11 4 3" xfId="701" xr:uid="{00000000-0005-0000-0000-000041070000}"/>
    <cellStyle name="20% - Accent5 11 4 3 2" xfId="18714" xr:uid="{00000000-0005-0000-0000-000042070000}"/>
    <cellStyle name="20% - Accent5 11 4 4" xfId="18187" xr:uid="{00000000-0005-0000-0000-000043070000}"/>
    <cellStyle name="20% - Accent5 11 5" xfId="702" xr:uid="{00000000-0005-0000-0000-000044070000}"/>
    <cellStyle name="20% - Accent5 11 5 2" xfId="703" xr:uid="{00000000-0005-0000-0000-000045070000}"/>
    <cellStyle name="20% - Accent5 11 5 2 2" xfId="18876" xr:uid="{00000000-0005-0000-0000-000046070000}"/>
    <cellStyle name="20% - Accent5 11 5 3" xfId="18355" xr:uid="{00000000-0005-0000-0000-000047070000}"/>
    <cellStyle name="20% - Accent5 11 6" xfId="704" xr:uid="{00000000-0005-0000-0000-000048070000}"/>
    <cellStyle name="20% - Accent5 11 6 2" xfId="18597" xr:uid="{00000000-0005-0000-0000-000049070000}"/>
    <cellStyle name="20% - Accent5 11 7" xfId="18039" xr:uid="{00000000-0005-0000-0000-00004A070000}"/>
    <cellStyle name="20% - Accent5 11 8" xfId="20133" xr:uid="{00000000-0005-0000-0000-00004B070000}"/>
    <cellStyle name="20% - Accent5 12" xfId="705" xr:uid="{00000000-0005-0000-0000-00004C070000}"/>
    <cellStyle name="20% - Accent5 12 2" xfId="706" xr:uid="{00000000-0005-0000-0000-00004D070000}"/>
    <cellStyle name="20% - Accent5 12 2 2" xfId="707" xr:uid="{00000000-0005-0000-0000-00004E070000}"/>
    <cellStyle name="20% - Accent5 12 2 3" xfId="708" xr:uid="{00000000-0005-0000-0000-00004F070000}"/>
    <cellStyle name="20% - Accent5 12 3" xfId="709" xr:uid="{00000000-0005-0000-0000-000050070000}"/>
    <cellStyle name="20% - Accent5 12 3 2" xfId="710" xr:uid="{00000000-0005-0000-0000-000051070000}"/>
    <cellStyle name="20% - Accent5 12 3 3" xfId="711" xr:uid="{00000000-0005-0000-0000-000052070000}"/>
    <cellStyle name="20% - Accent5 12 4" xfId="20134" xr:uid="{00000000-0005-0000-0000-000053070000}"/>
    <cellStyle name="20% - Accent5 13" xfId="712" xr:uid="{00000000-0005-0000-0000-000054070000}"/>
    <cellStyle name="20% - Accent5 13 2" xfId="713" xr:uid="{00000000-0005-0000-0000-000055070000}"/>
    <cellStyle name="20% - Accent5 13 2 2" xfId="714" xr:uid="{00000000-0005-0000-0000-000056070000}"/>
    <cellStyle name="20% - Accent5 13 2 3" xfId="715" xr:uid="{00000000-0005-0000-0000-000057070000}"/>
    <cellStyle name="20% - Accent5 13 3" xfId="716" xr:uid="{00000000-0005-0000-0000-000058070000}"/>
    <cellStyle name="20% - Accent5 13 3 2" xfId="717" xr:uid="{00000000-0005-0000-0000-000059070000}"/>
    <cellStyle name="20% - Accent5 13 3 3" xfId="718" xr:uid="{00000000-0005-0000-0000-00005A070000}"/>
    <cellStyle name="20% - Accent5 13 4" xfId="719" xr:uid="{00000000-0005-0000-0000-00005B070000}"/>
    <cellStyle name="20% - Accent5 13 4 2" xfId="18752" xr:uid="{00000000-0005-0000-0000-00005C070000}"/>
    <cellStyle name="20% - Accent5 13 5" xfId="18223" xr:uid="{00000000-0005-0000-0000-00005D070000}"/>
    <cellStyle name="20% - Accent5 14" xfId="720" xr:uid="{00000000-0005-0000-0000-00005E070000}"/>
    <cellStyle name="20% - Accent5 14 2" xfId="721" xr:uid="{00000000-0005-0000-0000-00005F070000}"/>
    <cellStyle name="20% - Accent5 14 2 2" xfId="722" xr:uid="{00000000-0005-0000-0000-000060070000}"/>
    <cellStyle name="20% - Accent5 14 2 3" xfId="723" xr:uid="{00000000-0005-0000-0000-000061070000}"/>
    <cellStyle name="20% - Accent5 14 3" xfId="724" xr:uid="{00000000-0005-0000-0000-000062070000}"/>
    <cellStyle name="20% - Accent5 14 3 2" xfId="725" xr:uid="{00000000-0005-0000-0000-000063070000}"/>
    <cellStyle name="20% - Accent5 14 3 3" xfId="726" xr:uid="{00000000-0005-0000-0000-000064070000}"/>
    <cellStyle name="20% - Accent5 15" xfId="727" xr:uid="{00000000-0005-0000-0000-000065070000}"/>
    <cellStyle name="20% - Accent5 15 2" xfId="728" xr:uid="{00000000-0005-0000-0000-000066070000}"/>
    <cellStyle name="20% - Accent5 15 2 2" xfId="729" xr:uid="{00000000-0005-0000-0000-000067070000}"/>
    <cellStyle name="20% - Accent5 15 2 3" xfId="730" xr:uid="{00000000-0005-0000-0000-000068070000}"/>
    <cellStyle name="20% - Accent5 15 3" xfId="731" xr:uid="{00000000-0005-0000-0000-000069070000}"/>
    <cellStyle name="20% - Accent5 15 3 2" xfId="732" xr:uid="{00000000-0005-0000-0000-00006A070000}"/>
    <cellStyle name="20% - Accent5 15 3 3" xfId="733" xr:uid="{00000000-0005-0000-0000-00006B070000}"/>
    <cellStyle name="20% - Accent5 15 4" xfId="734" xr:uid="{00000000-0005-0000-0000-00006C070000}"/>
    <cellStyle name="20% - Accent5 15 4 2" xfId="735" xr:uid="{00000000-0005-0000-0000-00006D070000}"/>
    <cellStyle name="20% - Accent5 15 4 3" xfId="736" xr:uid="{00000000-0005-0000-0000-00006E070000}"/>
    <cellStyle name="20% - Accent5 15 5" xfId="737" xr:uid="{00000000-0005-0000-0000-00006F070000}"/>
    <cellStyle name="20% - Accent5 15 5 2" xfId="738" xr:uid="{00000000-0005-0000-0000-000070070000}"/>
    <cellStyle name="20% - Accent5 15 5 3" xfId="739" xr:uid="{00000000-0005-0000-0000-000071070000}"/>
    <cellStyle name="20% - Accent5 15 6" xfId="740" xr:uid="{00000000-0005-0000-0000-000072070000}"/>
    <cellStyle name="20% - Accent5 15 6 2" xfId="741" xr:uid="{00000000-0005-0000-0000-000073070000}"/>
    <cellStyle name="20% - Accent5 15 6 3" xfId="742" xr:uid="{00000000-0005-0000-0000-000074070000}"/>
    <cellStyle name="20% - Accent5 15 7" xfId="743" xr:uid="{00000000-0005-0000-0000-000075070000}"/>
    <cellStyle name="20% - Accent5 15 7 2" xfId="744" xr:uid="{00000000-0005-0000-0000-000076070000}"/>
    <cellStyle name="20% - Accent5 15 7 3" xfId="745" xr:uid="{00000000-0005-0000-0000-000077070000}"/>
    <cellStyle name="20% - Accent5 15 8" xfId="746" xr:uid="{00000000-0005-0000-0000-000078070000}"/>
    <cellStyle name="20% - Accent5 15 9" xfId="747" xr:uid="{00000000-0005-0000-0000-000079070000}"/>
    <cellStyle name="20% - Accent5 15_Capacity" xfId="748" xr:uid="{00000000-0005-0000-0000-00007A070000}"/>
    <cellStyle name="20% - Accent5 16" xfId="749" xr:uid="{00000000-0005-0000-0000-00007B070000}"/>
    <cellStyle name="20% - Accent5 16 2" xfId="750" xr:uid="{00000000-0005-0000-0000-00007C070000}"/>
    <cellStyle name="20% - Accent5 16 3" xfId="751" xr:uid="{00000000-0005-0000-0000-00007D070000}"/>
    <cellStyle name="20% - Accent5 17" xfId="752" xr:uid="{00000000-0005-0000-0000-00007E070000}"/>
    <cellStyle name="20% - Accent5 17 2" xfId="753" xr:uid="{00000000-0005-0000-0000-00007F070000}"/>
    <cellStyle name="20% - Accent5 17 3" xfId="754" xr:uid="{00000000-0005-0000-0000-000080070000}"/>
    <cellStyle name="20% - Accent5 18" xfId="755" xr:uid="{00000000-0005-0000-0000-000081070000}"/>
    <cellStyle name="20% - Accent5 18 2" xfId="756" xr:uid="{00000000-0005-0000-0000-000082070000}"/>
    <cellStyle name="20% - Accent5 18 3" xfId="757" xr:uid="{00000000-0005-0000-0000-000083070000}"/>
    <cellStyle name="20% - Accent5 19" xfId="758" xr:uid="{00000000-0005-0000-0000-000084070000}"/>
    <cellStyle name="20% - Accent5 19 2" xfId="759" xr:uid="{00000000-0005-0000-0000-000085070000}"/>
    <cellStyle name="20% - Accent5 19 3" xfId="760" xr:uid="{00000000-0005-0000-0000-000086070000}"/>
    <cellStyle name="20% - Accent5 2" xfId="761" xr:uid="{00000000-0005-0000-0000-000087070000}"/>
    <cellStyle name="20% - Accent5 2 2" xfId="762" xr:uid="{00000000-0005-0000-0000-000088070000}"/>
    <cellStyle name="20% - Accent5 2 2 2" xfId="763" xr:uid="{00000000-0005-0000-0000-000089070000}"/>
    <cellStyle name="20% - Accent5 2 2 2 2" xfId="20137" xr:uid="{00000000-0005-0000-0000-00008A070000}"/>
    <cellStyle name="20% - Accent5 2 2 2 3" xfId="20138" xr:uid="{00000000-0005-0000-0000-00008B070000}"/>
    <cellStyle name="20% - Accent5 2 2 2 4" xfId="20139" xr:uid="{00000000-0005-0000-0000-00008C070000}"/>
    <cellStyle name="20% - Accent5 2 2 2 5" xfId="20136" xr:uid="{00000000-0005-0000-0000-00008D070000}"/>
    <cellStyle name="20% - Accent5 2 2 3" xfId="764" xr:uid="{00000000-0005-0000-0000-00008E070000}"/>
    <cellStyle name="20% - Accent5 2 2 3 2" xfId="20141" xr:uid="{00000000-0005-0000-0000-00008F070000}"/>
    <cellStyle name="20% - Accent5 2 2 3 2 2" xfId="20142" xr:uid="{00000000-0005-0000-0000-000090070000}"/>
    <cellStyle name="20% - Accent5 2 2 3 2 2 2" xfId="38655" xr:uid="{00000000-0005-0000-0000-000091070000}"/>
    <cellStyle name="20% - Accent5 2 2 3 2 3" xfId="38654" xr:uid="{00000000-0005-0000-0000-000092070000}"/>
    <cellStyle name="20% - Accent5 2 2 3 3" xfId="20143" xr:uid="{00000000-0005-0000-0000-000093070000}"/>
    <cellStyle name="20% - Accent5 2 2 3 3 2" xfId="38656" xr:uid="{00000000-0005-0000-0000-000094070000}"/>
    <cellStyle name="20% - Accent5 2 2 3 4" xfId="20144" xr:uid="{00000000-0005-0000-0000-000095070000}"/>
    <cellStyle name="20% - Accent5 2 2 3 5" xfId="38653" xr:uid="{00000000-0005-0000-0000-000096070000}"/>
    <cellStyle name="20% - Accent5 2 2 3 6" xfId="20140" xr:uid="{00000000-0005-0000-0000-000097070000}"/>
    <cellStyle name="20% - Accent5 2 2 4" xfId="20145" xr:uid="{00000000-0005-0000-0000-000098070000}"/>
    <cellStyle name="20% - Accent5 2 2 4 2" xfId="20146" xr:uid="{00000000-0005-0000-0000-000099070000}"/>
    <cellStyle name="20% - Accent5 2 2 4 2 2" xfId="38658" xr:uid="{00000000-0005-0000-0000-00009A070000}"/>
    <cellStyle name="20% - Accent5 2 2 4 3" xfId="20147" xr:uid="{00000000-0005-0000-0000-00009B070000}"/>
    <cellStyle name="20% - Accent5 2 2 4 4" xfId="38657" xr:uid="{00000000-0005-0000-0000-00009C070000}"/>
    <cellStyle name="20% - Accent5 2 2 5" xfId="20148" xr:uid="{00000000-0005-0000-0000-00009D070000}"/>
    <cellStyle name="20% - Accent5 2 2 5 2" xfId="20149" xr:uid="{00000000-0005-0000-0000-00009E070000}"/>
    <cellStyle name="20% - Accent5 2 2 5 3" xfId="38659" xr:uid="{00000000-0005-0000-0000-00009F070000}"/>
    <cellStyle name="20% - Accent5 2 2 6" xfId="20150" xr:uid="{00000000-0005-0000-0000-0000A0070000}"/>
    <cellStyle name="20% - Accent5 2 2 6 2" xfId="20151" xr:uid="{00000000-0005-0000-0000-0000A1070000}"/>
    <cellStyle name="20% - Accent5 2 2 7" xfId="20152" xr:uid="{00000000-0005-0000-0000-0000A2070000}"/>
    <cellStyle name="20% - Accent5 2 2 8" xfId="38652" xr:uid="{00000000-0005-0000-0000-0000A3070000}"/>
    <cellStyle name="20% - Accent5 2 2 9" xfId="20135" xr:uid="{00000000-0005-0000-0000-0000A4070000}"/>
    <cellStyle name="20% - Accent5 2 3" xfId="765" xr:uid="{00000000-0005-0000-0000-0000A5070000}"/>
    <cellStyle name="20% - Accent5 2 3 2" xfId="766" xr:uid="{00000000-0005-0000-0000-0000A6070000}"/>
    <cellStyle name="20% - Accent5 2 3 2 2" xfId="20155" xr:uid="{00000000-0005-0000-0000-0000A7070000}"/>
    <cellStyle name="20% - Accent5 2 3 2 3" xfId="20156" xr:uid="{00000000-0005-0000-0000-0000A8070000}"/>
    <cellStyle name="20% - Accent5 2 3 2 4" xfId="20154" xr:uid="{00000000-0005-0000-0000-0000A9070000}"/>
    <cellStyle name="20% - Accent5 2 3 3" xfId="767" xr:uid="{00000000-0005-0000-0000-0000AA070000}"/>
    <cellStyle name="20% - Accent5 2 3 3 2" xfId="20157" xr:uid="{00000000-0005-0000-0000-0000AB070000}"/>
    <cellStyle name="20% - Accent5 2 3 4" xfId="20158" xr:uid="{00000000-0005-0000-0000-0000AC070000}"/>
    <cellStyle name="20% - Accent5 2 3 5" xfId="20159" xr:uid="{00000000-0005-0000-0000-0000AD070000}"/>
    <cellStyle name="20% - Accent5 2 3 6" xfId="20153" xr:uid="{00000000-0005-0000-0000-0000AE070000}"/>
    <cellStyle name="20% - Accent5 2 4" xfId="20160" xr:uid="{00000000-0005-0000-0000-0000AF070000}"/>
    <cellStyle name="20% - Accent5 2 4 2" xfId="20161" xr:uid="{00000000-0005-0000-0000-0000B0070000}"/>
    <cellStyle name="20% - Accent5 2 5" xfId="20162" xr:uid="{00000000-0005-0000-0000-0000B1070000}"/>
    <cellStyle name="20% - Accent5 2 5 2" xfId="20163" xr:uid="{00000000-0005-0000-0000-0000B2070000}"/>
    <cellStyle name="20% - Accent5 2 6" xfId="20164" xr:uid="{00000000-0005-0000-0000-0000B3070000}"/>
    <cellStyle name="20% - Accent5 2 7" xfId="20165" xr:uid="{00000000-0005-0000-0000-0000B4070000}"/>
    <cellStyle name="20% - Accent5 2 8" xfId="20166" xr:uid="{00000000-0005-0000-0000-0000B5070000}"/>
    <cellStyle name="20% - Accent5 20" xfId="768" xr:uid="{00000000-0005-0000-0000-0000B6070000}"/>
    <cellStyle name="20% - Accent5 20 2" xfId="769" xr:uid="{00000000-0005-0000-0000-0000B7070000}"/>
    <cellStyle name="20% - Accent5 20 3" xfId="770" xr:uid="{00000000-0005-0000-0000-0000B8070000}"/>
    <cellStyle name="20% - Accent5 21" xfId="771" xr:uid="{00000000-0005-0000-0000-0000B9070000}"/>
    <cellStyle name="20% - Accent5 21 2" xfId="772" xr:uid="{00000000-0005-0000-0000-0000BA070000}"/>
    <cellStyle name="20% - Accent5 21 3" xfId="773" xr:uid="{00000000-0005-0000-0000-0000BB070000}"/>
    <cellStyle name="20% - Accent5 22" xfId="774" xr:uid="{00000000-0005-0000-0000-0000BC070000}"/>
    <cellStyle name="20% - Accent5 22 2" xfId="775" xr:uid="{00000000-0005-0000-0000-0000BD070000}"/>
    <cellStyle name="20% - Accent5 22 3" xfId="776" xr:uid="{00000000-0005-0000-0000-0000BE070000}"/>
    <cellStyle name="20% - Accent5 3" xfId="777" xr:uid="{00000000-0005-0000-0000-0000BF070000}"/>
    <cellStyle name="20% - Accent5 3 10" xfId="20167" xr:uid="{00000000-0005-0000-0000-0000C0070000}"/>
    <cellStyle name="20% - Accent5 3 2" xfId="778" xr:uid="{00000000-0005-0000-0000-0000C1070000}"/>
    <cellStyle name="20% - Accent5 3 2 2" xfId="779" xr:uid="{00000000-0005-0000-0000-0000C2070000}"/>
    <cellStyle name="20% - Accent5 3 2 2 2" xfId="20170" xr:uid="{00000000-0005-0000-0000-0000C3070000}"/>
    <cellStyle name="20% - Accent5 3 2 2 2 2" xfId="20171" xr:uid="{00000000-0005-0000-0000-0000C4070000}"/>
    <cellStyle name="20% - Accent5 3 2 2 2 2 2" xfId="38663" xr:uid="{00000000-0005-0000-0000-0000C5070000}"/>
    <cellStyle name="20% - Accent5 3 2 2 2 3" xfId="20172" xr:uid="{00000000-0005-0000-0000-0000C6070000}"/>
    <cellStyle name="20% - Accent5 3 2 2 2 4" xfId="38662" xr:uid="{00000000-0005-0000-0000-0000C7070000}"/>
    <cellStyle name="20% - Accent5 3 2 2 3" xfId="20173" xr:uid="{00000000-0005-0000-0000-0000C8070000}"/>
    <cellStyle name="20% - Accent5 3 2 2 3 2" xfId="20174" xr:uid="{00000000-0005-0000-0000-0000C9070000}"/>
    <cellStyle name="20% - Accent5 3 2 2 3 3" xfId="38664" xr:uid="{00000000-0005-0000-0000-0000CA070000}"/>
    <cellStyle name="20% - Accent5 3 2 2 4" xfId="20175" xr:uid="{00000000-0005-0000-0000-0000CB070000}"/>
    <cellStyle name="20% - Accent5 3 2 2 5" xfId="38661" xr:uid="{00000000-0005-0000-0000-0000CC070000}"/>
    <cellStyle name="20% - Accent5 3 2 2 6" xfId="20169" xr:uid="{00000000-0005-0000-0000-0000CD070000}"/>
    <cellStyle name="20% - Accent5 3 2 3" xfId="780" xr:uid="{00000000-0005-0000-0000-0000CE070000}"/>
    <cellStyle name="20% - Accent5 3 2 3 2" xfId="20177" xr:uid="{00000000-0005-0000-0000-0000CF070000}"/>
    <cellStyle name="20% - Accent5 3 2 3 2 2" xfId="38666" xr:uid="{00000000-0005-0000-0000-0000D0070000}"/>
    <cellStyle name="20% - Accent5 3 2 3 3" xfId="20178" xr:uid="{00000000-0005-0000-0000-0000D1070000}"/>
    <cellStyle name="20% - Accent5 3 2 3 4" xfId="38665" xr:uid="{00000000-0005-0000-0000-0000D2070000}"/>
    <cellStyle name="20% - Accent5 3 2 3 5" xfId="20176" xr:uid="{00000000-0005-0000-0000-0000D3070000}"/>
    <cellStyle name="20% - Accent5 3 2 4" xfId="20179" xr:uid="{00000000-0005-0000-0000-0000D4070000}"/>
    <cellStyle name="20% - Accent5 3 2 4 2" xfId="20180" xr:uid="{00000000-0005-0000-0000-0000D5070000}"/>
    <cellStyle name="20% - Accent5 3 2 4 3" xfId="38667" xr:uid="{00000000-0005-0000-0000-0000D6070000}"/>
    <cellStyle name="20% - Accent5 3 2 5" xfId="20181" xr:uid="{00000000-0005-0000-0000-0000D7070000}"/>
    <cellStyle name="20% - Accent5 3 2 5 2" xfId="20182" xr:uid="{00000000-0005-0000-0000-0000D8070000}"/>
    <cellStyle name="20% - Accent5 3 2 6" xfId="20183" xr:uid="{00000000-0005-0000-0000-0000D9070000}"/>
    <cellStyle name="20% - Accent5 3 2 6 2" xfId="20184" xr:uid="{00000000-0005-0000-0000-0000DA070000}"/>
    <cellStyle name="20% - Accent5 3 2 7" xfId="20185" xr:uid="{00000000-0005-0000-0000-0000DB070000}"/>
    <cellStyle name="20% - Accent5 3 2 8" xfId="38660" xr:uid="{00000000-0005-0000-0000-0000DC070000}"/>
    <cellStyle name="20% - Accent5 3 2 9" xfId="20168" xr:uid="{00000000-0005-0000-0000-0000DD070000}"/>
    <cellStyle name="20% - Accent5 3 3" xfId="781" xr:uid="{00000000-0005-0000-0000-0000DE070000}"/>
    <cellStyle name="20% - Accent5 3 3 2" xfId="782" xr:uid="{00000000-0005-0000-0000-0000DF070000}"/>
    <cellStyle name="20% - Accent5 3 3 2 2" xfId="20188" xr:uid="{00000000-0005-0000-0000-0000E0070000}"/>
    <cellStyle name="20% - Accent5 3 3 2 2 2" xfId="38670" xr:uid="{00000000-0005-0000-0000-0000E1070000}"/>
    <cellStyle name="20% - Accent5 3 3 2 3" xfId="38669" xr:uid="{00000000-0005-0000-0000-0000E2070000}"/>
    <cellStyle name="20% - Accent5 3 3 2 4" xfId="20187" xr:uid="{00000000-0005-0000-0000-0000E3070000}"/>
    <cellStyle name="20% - Accent5 3 3 3" xfId="783" xr:uid="{00000000-0005-0000-0000-0000E4070000}"/>
    <cellStyle name="20% - Accent5 3 3 3 2" xfId="38671" xr:uid="{00000000-0005-0000-0000-0000E5070000}"/>
    <cellStyle name="20% - Accent5 3 3 3 3" xfId="20189" xr:uid="{00000000-0005-0000-0000-0000E6070000}"/>
    <cellStyle name="20% - Accent5 3 3 4" xfId="20190" xr:uid="{00000000-0005-0000-0000-0000E7070000}"/>
    <cellStyle name="20% - Accent5 3 3 5" xfId="38668" xr:uid="{00000000-0005-0000-0000-0000E8070000}"/>
    <cellStyle name="20% - Accent5 3 3 6" xfId="20186" xr:uid="{00000000-0005-0000-0000-0000E9070000}"/>
    <cellStyle name="20% - Accent5 3 4" xfId="20191" xr:uid="{00000000-0005-0000-0000-0000EA070000}"/>
    <cellStyle name="20% - Accent5 3 4 2" xfId="20192" xr:uid="{00000000-0005-0000-0000-0000EB070000}"/>
    <cellStyle name="20% - Accent5 3 4 2 2" xfId="38673" xr:uid="{00000000-0005-0000-0000-0000EC070000}"/>
    <cellStyle name="20% - Accent5 3 4 3" xfId="20193" xr:uid="{00000000-0005-0000-0000-0000ED070000}"/>
    <cellStyle name="20% - Accent5 3 4 4" xfId="38672" xr:uid="{00000000-0005-0000-0000-0000EE070000}"/>
    <cellStyle name="20% - Accent5 3 5" xfId="20194" xr:uid="{00000000-0005-0000-0000-0000EF070000}"/>
    <cellStyle name="20% - Accent5 3 5 2" xfId="20195" xr:uid="{00000000-0005-0000-0000-0000F0070000}"/>
    <cellStyle name="20% - Accent5 3 5 3" xfId="38674" xr:uid="{00000000-0005-0000-0000-0000F1070000}"/>
    <cellStyle name="20% - Accent5 3 6" xfId="20196" xr:uid="{00000000-0005-0000-0000-0000F2070000}"/>
    <cellStyle name="20% - Accent5 3 6 2" xfId="20197" xr:uid="{00000000-0005-0000-0000-0000F3070000}"/>
    <cellStyle name="20% - Accent5 3 6 3" xfId="20198" xr:uid="{00000000-0005-0000-0000-0000F4070000}"/>
    <cellStyle name="20% - Accent5 3 7" xfId="20199" xr:uid="{00000000-0005-0000-0000-0000F5070000}"/>
    <cellStyle name="20% - Accent5 3 7 2" xfId="20200" xr:uid="{00000000-0005-0000-0000-0000F6070000}"/>
    <cellStyle name="20% - Accent5 3 8" xfId="20201" xr:uid="{00000000-0005-0000-0000-0000F7070000}"/>
    <cellStyle name="20% - Accent5 3 9" xfId="20202" xr:uid="{00000000-0005-0000-0000-0000F8070000}"/>
    <cellStyle name="20% - Accent5 4" xfId="784" xr:uid="{00000000-0005-0000-0000-0000F9070000}"/>
    <cellStyle name="20% - Accent5 4 2" xfId="785" xr:uid="{00000000-0005-0000-0000-0000FA070000}"/>
    <cellStyle name="20% - Accent5 4 2 2" xfId="786" xr:uid="{00000000-0005-0000-0000-0000FB070000}"/>
    <cellStyle name="20% - Accent5 4 2 2 2" xfId="20205" xr:uid="{00000000-0005-0000-0000-0000FC070000}"/>
    <cellStyle name="20% - Accent5 4 2 2 2 2" xfId="20206" xr:uid="{00000000-0005-0000-0000-0000FD070000}"/>
    <cellStyle name="20% - Accent5 4 2 2 2 2 2" xfId="38678" xr:uid="{00000000-0005-0000-0000-0000FE070000}"/>
    <cellStyle name="20% - Accent5 4 2 2 2 3" xfId="20207" xr:uid="{00000000-0005-0000-0000-0000FF070000}"/>
    <cellStyle name="20% - Accent5 4 2 2 2 4" xfId="38677" xr:uid="{00000000-0005-0000-0000-000000080000}"/>
    <cellStyle name="20% - Accent5 4 2 2 3" xfId="20208" xr:uid="{00000000-0005-0000-0000-000001080000}"/>
    <cellStyle name="20% - Accent5 4 2 2 3 2" xfId="20209" xr:uid="{00000000-0005-0000-0000-000002080000}"/>
    <cellStyle name="20% - Accent5 4 2 2 3 3" xfId="38679" xr:uid="{00000000-0005-0000-0000-000003080000}"/>
    <cellStyle name="20% - Accent5 4 2 2 4" xfId="20210" xr:uid="{00000000-0005-0000-0000-000004080000}"/>
    <cellStyle name="20% - Accent5 4 2 2 5" xfId="38676" xr:uid="{00000000-0005-0000-0000-000005080000}"/>
    <cellStyle name="20% - Accent5 4 2 2 6" xfId="20204" xr:uid="{00000000-0005-0000-0000-000006080000}"/>
    <cellStyle name="20% - Accent5 4 2 3" xfId="787" xr:uid="{00000000-0005-0000-0000-000007080000}"/>
    <cellStyle name="20% - Accent5 4 2 3 2" xfId="20212" xr:uid="{00000000-0005-0000-0000-000008080000}"/>
    <cellStyle name="20% - Accent5 4 2 3 2 2" xfId="38681" xr:uid="{00000000-0005-0000-0000-000009080000}"/>
    <cellStyle name="20% - Accent5 4 2 3 3" xfId="20213" xr:uid="{00000000-0005-0000-0000-00000A080000}"/>
    <cellStyle name="20% - Accent5 4 2 3 4" xfId="38680" xr:uid="{00000000-0005-0000-0000-00000B080000}"/>
    <cellStyle name="20% - Accent5 4 2 3 5" xfId="20211" xr:uid="{00000000-0005-0000-0000-00000C080000}"/>
    <cellStyle name="20% - Accent5 4 2 4" xfId="20214" xr:uid="{00000000-0005-0000-0000-00000D080000}"/>
    <cellStyle name="20% - Accent5 4 2 4 2" xfId="20215" xr:uid="{00000000-0005-0000-0000-00000E080000}"/>
    <cellStyle name="20% - Accent5 4 2 4 3" xfId="38682" xr:uid="{00000000-0005-0000-0000-00000F080000}"/>
    <cellStyle name="20% - Accent5 4 2 5" xfId="20216" xr:uid="{00000000-0005-0000-0000-000010080000}"/>
    <cellStyle name="20% - Accent5 4 2 5 2" xfId="20217" xr:uid="{00000000-0005-0000-0000-000011080000}"/>
    <cellStyle name="20% - Accent5 4 2 6" xfId="20218" xr:uid="{00000000-0005-0000-0000-000012080000}"/>
    <cellStyle name="20% - Accent5 4 2 6 2" xfId="20219" xr:uid="{00000000-0005-0000-0000-000013080000}"/>
    <cellStyle name="20% - Accent5 4 2 7" xfId="20220" xr:uid="{00000000-0005-0000-0000-000014080000}"/>
    <cellStyle name="20% - Accent5 4 2 8" xfId="38675" xr:uid="{00000000-0005-0000-0000-000015080000}"/>
    <cellStyle name="20% - Accent5 4 2 9" xfId="20203" xr:uid="{00000000-0005-0000-0000-000016080000}"/>
    <cellStyle name="20% - Accent5 4 3" xfId="788" xr:uid="{00000000-0005-0000-0000-000017080000}"/>
    <cellStyle name="20% - Accent5 4 3 2" xfId="789" xr:uid="{00000000-0005-0000-0000-000018080000}"/>
    <cellStyle name="20% - Accent5 4 3 2 2" xfId="38684" xr:uid="{00000000-0005-0000-0000-000019080000}"/>
    <cellStyle name="20% - Accent5 4 3 2 3" xfId="20222" xr:uid="{00000000-0005-0000-0000-00001A080000}"/>
    <cellStyle name="20% - Accent5 4 3 3" xfId="790" xr:uid="{00000000-0005-0000-0000-00001B080000}"/>
    <cellStyle name="20% - Accent5 4 3 3 2" xfId="38685" xr:uid="{00000000-0005-0000-0000-00001C080000}"/>
    <cellStyle name="20% - Accent5 4 3 3 3" xfId="20223" xr:uid="{00000000-0005-0000-0000-00001D080000}"/>
    <cellStyle name="20% - Accent5 4 3 4" xfId="20224" xr:uid="{00000000-0005-0000-0000-00001E080000}"/>
    <cellStyle name="20% - Accent5 4 3 5" xfId="38683" xr:uid="{00000000-0005-0000-0000-00001F080000}"/>
    <cellStyle name="20% - Accent5 4 3 6" xfId="20221" xr:uid="{00000000-0005-0000-0000-000020080000}"/>
    <cellStyle name="20% - Accent5 4 4" xfId="20225" xr:uid="{00000000-0005-0000-0000-000021080000}"/>
    <cellStyle name="20% - Accent5 4 4 2" xfId="20226" xr:uid="{00000000-0005-0000-0000-000022080000}"/>
    <cellStyle name="20% - Accent5 4 4 2 2" xfId="38687" xr:uid="{00000000-0005-0000-0000-000023080000}"/>
    <cellStyle name="20% - Accent5 4 4 3" xfId="20227" xr:uid="{00000000-0005-0000-0000-000024080000}"/>
    <cellStyle name="20% - Accent5 4 4 4" xfId="38686" xr:uid="{00000000-0005-0000-0000-000025080000}"/>
    <cellStyle name="20% - Accent5 4 5" xfId="20228" xr:uid="{00000000-0005-0000-0000-000026080000}"/>
    <cellStyle name="20% - Accent5 4 5 2" xfId="38688" xr:uid="{00000000-0005-0000-0000-000027080000}"/>
    <cellStyle name="20% - Accent5 4 6" xfId="20229" xr:uid="{00000000-0005-0000-0000-000028080000}"/>
    <cellStyle name="20% - Accent5 4 6 2" xfId="20230" xr:uid="{00000000-0005-0000-0000-000029080000}"/>
    <cellStyle name="20% - Accent5 4 7" xfId="20231" xr:uid="{00000000-0005-0000-0000-00002A080000}"/>
    <cellStyle name="20% - Accent5 4 7 2" xfId="20232" xr:uid="{00000000-0005-0000-0000-00002B080000}"/>
    <cellStyle name="20% - Accent5 4 8" xfId="20233" xr:uid="{00000000-0005-0000-0000-00002C080000}"/>
    <cellStyle name="20% - Accent5 4 9" xfId="20234" xr:uid="{00000000-0005-0000-0000-00002D080000}"/>
    <cellStyle name="20% - Accent5 5" xfId="791" xr:uid="{00000000-0005-0000-0000-00002E080000}"/>
    <cellStyle name="20% - Accent5 5 2" xfId="792" xr:uid="{00000000-0005-0000-0000-00002F080000}"/>
    <cellStyle name="20% - Accent5 5 2 2" xfId="793" xr:uid="{00000000-0005-0000-0000-000030080000}"/>
    <cellStyle name="20% - Accent5 5 2 2 2" xfId="38690" xr:uid="{00000000-0005-0000-0000-000031080000}"/>
    <cellStyle name="20% - Accent5 5 2 2 3" xfId="20236" xr:uid="{00000000-0005-0000-0000-000032080000}"/>
    <cellStyle name="20% - Accent5 5 2 3" xfId="794" xr:uid="{00000000-0005-0000-0000-000033080000}"/>
    <cellStyle name="20% - Accent5 5 2 3 2" xfId="38691" xr:uid="{00000000-0005-0000-0000-000034080000}"/>
    <cellStyle name="20% - Accent5 5 2 3 3" xfId="20237" xr:uid="{00000000-0005-0000-0000-000035080000}"/>
    <cellStyle name="20% - Accent5 5 2 4" xfId="20238" xr:uid="{00000000-0005-0000-0000-000036080000}"/>
    <cellStyle name="20% - Accent5 5 2 5" xfId="20239" xr:uid="{00000000-0005-0000-0000-000037080000}"/>
    <cellStyle name="20% - Accent5 5 3" xfId="795" xr:uid="{00000000-0005-0000-0000-000038080000}"/>
    <cellStyle name="20% - Accent5 5 3 2" xfId="796" xr:uid="{00000000-0005-0000-0000-000039080000}"/>
    <cellStyle name="20% - Accent5 5 3 2 2" xfId="20242" xr:uid="{00000000-0005-0000-0000-00003A080000}"/>
    <cellStyle name="20% - Accent5 5 3 2 2 2" xfId="38694" xr:uid="{00000000-0005-0000-0000-00003B080000}"/>
    <cellStyle name="20% - Accent5 5 3 2 3" xfId="38693" xr:uid="{00000000-0005-0000-0000-00003C080000}"/>
    <cellStyle name="20% - Accent5 5 3 2 4" xfId="20241" xr:uid="{00000000-0005-0000-0000-00003D080000}"/>
    <cellStyle name="20% - Accent5 5 3 3" xfId="797" xr:uid="{00000000-0005-0000-0000-00003E080000}"/>
    <cellStyle name="20% - Accent5 5 3 3 2" xfId="38695" xr:uid="{00000000-0005-0000-0000-00003F080000}"/>
    <cellStyle name="20% - Accent5 5 3 3 3" xfId="20243" xr:uid="{00000000-0005-0000-0000-000040080000}"/>
    <cellStyle name="20% - Accent5 5 3 4" xfId="20244" xr:uid="{00000000-0005-0000-0000-000041080000}"/>
    <cellStyle name="20% - Accent5 5 3 5" xfId="38692" xr:uid="{00000000-0005-0000-0000-000042080000}"/>
    <cellStyle name="20% - Accent5 5 3 6" xfId="20240" xr:uid="{00000000-0005-0000-0000-000043080000}"/>
    <cellStyle name="20% - Accent5 5 4" xfId="20245" xr:uid="{00000000-0005-0000-0000-000044080000}"/>
    <cellStyle name="20% - Accent5 5 4 2" xfId="20246" xr:uid="{00000000-0005-0000-0000-000045080000}"/>
    <cellStyle name="20% - Accent5 5 4 2 2" xfId="38697" xr:uid="{00000000-0005-0000-0000-000046080000}"/>
    <cellStyle name="20% - Accent5 5 4 3" xfId="38696" xr:uid="{00000000-0005-0000-0000-000047080000}"/>
    <cellStyle name="20% - Accent5 5 5" xfId="20247" xr:uid="{00000000-0005-0000-0000-000048080000}"/>
    <cellStyle name="20% - Accent5 5 5 2" xfId="38698" xr:uid="{00000000-0005-0000-0000-000049080000}"/>
    <cellStyle name="20% - Accent5 5 6" xfId="20248" xr:uid="{00000000-0005-0000-0000-00004A080000}"/>
    <cellStyle name="20% - Accent5 5 7" xfId="38689" xr:uid="{00000000-0005-0000-0000-00004B080000}"/>
    <cellStyle name="20% - Accent5 5 8" xfId="20235" xr:uid="{00000000-0005-0000-0000-00004C080000}"/>
    <cellStyle name="20% - Accent5 6" xfId="798" xr:uid="{00000000-0005-0000-0000-00004D080000}"/>
    <cellStyle name="20% - Accent5 6 2" xfId="799" xr:uid="{00000000-0005-0000-0000-00004E080000}"/>
    <cellStyle name="20% - Accent5 6 2 2" xfId="800" xr:uid="{00000000-0005-0000-0000-00004F080000}"/>
    <cellStyle name="20% - Accent5 6 2 2 2" xfId="20252" xr:uid="{00000000-0005-0000-0000-000050080000}"/>
    <cellStyle name="20% - Accent5 6 2 2 2 2" xfId="38702" xr:uid="{00000000-0005-0000-0000-000051080000}"/>
    <cellStyle name="20% - Accent5 6 2 2 3" xfId="38701" xr:uid="{00000000-0005-0000-0000-000052080000}"/>
    <cellStyle name="20% - Accent5 6 2 2 4" xfId="20251" xr:uid="{00000000-0005-0000-0000-000053080000}"/>
    <cellStyle name="20% - Accent5 6 2 3" xfId="801" xr:uid="{00000000-0005-0000-0000-000054080000}"/>
    <cellStyle name="20% - Accent5 6 2 3 2" xfId="38703" xr:uid="{00000000-0005-0000-0000-000055080000}"/>
    <cellStyle name="20% - Accent5 6 2 3 3" xfId="20253" xr:uid="{00000000-0005-0000-0000-000056080000}"/>
    <cellStyle name="20% - Accent5 6 2 4" xfId="20254" xr:uid="{00000000-0005-0000-0000-000057080000}"/>
    <cellStyle name="20% - Accent5 6 2 5" xfId="38700" xr:uid="{00000000-0005-0000-0000-000058080000}"/>
    <cellStyle name="20% - Accent5 6 2 6" xfId="20250" xr:uid="{00000000-0005-0000-0000-000059080000}"/>
    <cellStyle name="20% - Accent5 6 3" xfId="802" xr:uid="{00000000-0005-0000-0000-00005A080000}"/>
    <cellStyle name="20% - Accent5 6 3 2" xfId="803" xr:uid="{00000000-0005-0000-0000-00005B080000}"/>
    <cellStyle name="20% - Accent5 6 3 2 2" xfId="38705" xr:uid="{00000000-0005-0000-0000-00005C080000}"/>
    <cellStyle name="20% - Accent5 6 3 2 3" xfId="20256" xr:uid="{00000000-0005-0000-0000-00005D080000}"/>
    <cellStyle name="20% - Accent5 6 3 3" xfId="804" xr:uid="{00000000-0005-0000-0000-00005E080000}"/>
    <cellStyle name="20% - Accent5 6 3 3 2" xfId="20257" xr:uid="{00000000-0005-0000-0000-00005F080000}"/>
    <cellStyle name="20% - Accent5 6 3 4" xfId="38704" xr:uid="{00000000-0005-0000-0000-000060080000}"/>
    <cellStyle name="20% - Accent5 6 3 5" xfId="20255" xr:uid="{00000000-0005-0000-0000-000061080000}"/>
    <cellStyle name="20% - Accent5 6 4" xfId="20258" xr:uid="{00000000-0005-0000-0000-000062080000}"/>
    <cellStyle name="20% - Accent5 6 4 2" xfId="38706" xr:uid="{00000000-0005-0000-0000-000063080000}"/>
    <cellStyle name="20% - Accent5 6 5" xfId="20259" xr:uid="{00000000-0005-0000-0000-000064080000}"/>
    <cellStyle name="20% - Accent5 6 6" xfId="38699" xr:uid="{00000000-0005-0000-0000-000065080000}"/>
    <cellStyle name="20% - Accent5 6 7" xfId="20249" xr:uid="{00000000-0005-0000-0000-000066080000}"/>
    <cellStyle name="20% - Accent5 7" xfId="805" xr:uid="{00000000-0005-0000-0000-000067080000}"/>
    <cellStyle name="20% - Accent5 7 2" xfId="806" xr:uid="{00000000-0005-0000-0000-000068080000}"/>
    <cellStyle name="20% - Accent5 7 2 2" xfId="807" xr:uid="{00000000-0005-0000-0000-000069080000}"/>
    <cellStyle name="20% - Accent5 7 2 2 2" xfId="20263" xr:uid="{00000000-0005-0000-0000-00006A080000}"/>
    <cellStyle name="20% - Accent5 7 2 2 2 2" xfId="38710" xr:uid="{00000000-0005-0000-0000-00006B080000}"/>
    <cellStyle name="20% - Accent5 7 2 2 3" xfId="38709" xr:uid="{00000000-0005-0000-0000-00006C080000}"/>
    <cellStyle name="20% - Accent5 7 2 2 4" xfId="20262" xr:uid="{00000000-0005-0000-0000-00006D080000}"/>
    <cellStyle name="20% - Accent5 7 2 3" xfId="808" xr:uid="{00000000-0005-0000-0000-00006E080000}"/>
    <cellStyle name="20% - Accent5 7 2 3 2" xfId="38711" xr:uid="{00000000-0005-0000-0000-00006F080000}"/>
    <cellStyle name="20% - Accent5 7 2 3 3" xfId="20264" xr:uid="{00000000-0005-0000-0000-000070080000}"/>
    <cellStyle name="20% - Accent5 7 2 4" xfId="38708" xr:uid="{00000000-0005-0000-0000-000071080000}"/>
    <cellStyle name="20% - Accent5 7 2 5" xfId="20261" xr:uid="{00000000-0005-0000-0000-000072080000}"/>
    <cellStyle name="20% - Accent5 7 3" xfId="809" xr:uid="{00000000-0005-0000-0000-000073080000}"/>
    <cellStyle name="20% - Accent5 7 3 2" xfId="810" xr:uid="{00000000-0005-0000-0000-000074080000}"/>
    <cellStyle name="20% - Accent5 7 3 2 2" xfId="38713" xr:uid="{00000000-0005-0000-0000-000075080000}"/>
    <cellStyle name="20% - Accent5 7 3 2 3" xfId="20266" xr:uid="{00000000-0005-0000-0000-000076080000}"/>
    <cellStyle name="20% - Accent5 7 3 3" xfId="811" xr:uid="{00000000-0005-0000-0000-000077080000}"/>
    <cellStyle name="20% - Accent5 7 3 3 2" xfId="38712" xr:uid="{00000000-0005-0000-0000-000078080000}"/>
    <cellStyle name="20% - Accent5 7 3 4" xfId="20265" xr:uid="{00000000-0005-0000-0000-000079080000}"/>
    <cellStyle name="20% - Accent5 7 4" xfId="20267" xr:uid="{00000000-0005-0000-0000-00007A080000}"/>
    <cellStyle name="20% - Accent5 7 4 2" xfId="38714" xr:uid="{00000000-0005-0000-0000-00007B080000}"/>
    <cellStyle name="20% - Accent5 7 5" xfId="20268" xr:uid="{00000000-0005-0000-0000-00007C080000}"/>
    <cellStyle name="20% - Accent5 7 6" xfId="38707" xr:uid="{00000000-0005-0000-0000-00007D080000}"/>
    <cellStyle name="20% - Accent5 7 7" xfId="20260" xr:uid="{00000000-0005-0000-0000-00007E080000}"/>
    <cellStyle name="20% - Accent5 8" xfId="812" xr:uid="{00000000-0005-0000-0000-00007F080000}"/>
    <cellStyle name="20% - Accent5 8 2" xfId="813" xr:uid="{00000000-0005-0000-0000-000080080000}"/>
    <cellStyle name="20% - Accent5 8 2 2" xfId="814" xr:uid="{00000000-0005-0000-0000-000081080000}"/>
    <cellStyle name="20% - Accent5 8 2 3" xfId="815" xr:uid="{00000000-0005-0000-0000-000082080000}"/>
    <cellStyle name="20% - Accent5 8 2 4" xfId="20270" xr:uid="{00000000-0005-0000-0000-000083080000}"/>
    <cellStyle name="20% - Accent5 8 3" xfId="816" xr:uid="{00000000-0005-0000-0000-000084080000}"/>
    <cellStyle name="20% - Accent5 8 3 2" xfId="817" xr:uid="{00000000-0005-0000-0000-000085080000}"/>
    <cellStyle name="20% - Accent5 8 3 2 2" xfId="38715" xr:uid="{00000000-0005-0000-0000-000086080000}"/>
    <cellStyle name="20% - Accent5 8 3 3" xfId="818" xr:uid="{00000000-0005-0000-0000-000087080000}"/>
    <cellStyle name="20% - Accent5 8 3 4" xfId="20271" xr:uid="{00000000-0005-0000-0000-000088080000}"/>
    <cellStyle name="20% - Accent5 8 4" xfId="20272" xr:uid="{00000000-0005-0000-0000-000089080000}"/>
    <cellStyle name="20% - Accent5 8 5" xfId="20269" xr:uid="{00000000-0005-0000-0000-00008A080000}"/>
    <cellStyle name="20% - Accent5 9" xfId="819" xr:uid="{00000000-0005-0000-0000-00008B080000}"/>
    <cellStyle name="20% - Accent5 9 2" xfId="820" xr:uid="{00000000-0005-0000-0000-00008C080000}"/>
    <cellStyle name="20% - Accent5 9 2 2" xfId="821" xr:uid="{00000000-0005-0000-0000-00008D080000}"/>
    <cellStyle name="20% - Accent5 9 2 2 2" xfId="38716" xr:uid="{00000000-0005-0000-0000-00008E080000}"/>
    <cellStyle name="20% - Accent5 9 2 3" xfId="822" xr:uid="{00000000-0005-0000-0000-00008F080000}"/>
    <cellStyle name="20% - Accent5 9 2 4" xfId="20274" xr:uid="{00000000-0005-0000-0000-000090080000}"/>
    <cellStyle name="20% - Accent5 9 3" xfId="823" xr:uid="{00000000-0005-0000-0000-000091080000}"/>
    <cellStyle name="20% - Accent5 9 3 2" xfId="824" xr:uid="{00000000-0005-0000-0000-000092080000}"/>
    <cellStyle name="20% - Accent5 9 3 3" xfId="825" xr:uid="{00000000-0005-0000-0000-000093080000}"/>
    <cellStyle name="20% - Accent5 9 3 4" xfId="20275" xr:uid="{00000000-0005-0000-0000-000094080000}"/>
    <cellStyle name="20% - Accent5 9 4" xfId="20273" xr:uid="{00000000-0005-0000-0000-000095080000}"/>
    <cellStyle name="20% - Accent6" xfId="44360" builtinId="50" customBuiltin="1"/>
    <cellStyle name="20% - Accent6 10" xfId="826" xr:uid="{00000000-0005-0000-0000-000097080000}"/>
    <cellStyle name="20% - Accent6 10 2" xfId="827" xr:uid="{00000000-0005-0000-0000-000098080000}"/>
    <cellStyle name="20% - Accent6 10 2 2" xfId="828" xr:uid="{00000000-0005-0000-0000-000099080000}"/>
    <cellStyle name="20% - Accent6 10 2 2 2" xfId="38717" xr:uid="{00000000-0005-0000-0000-00009A080000}"/>
    <cellStyle name="20% - Accent6 10 2 3" xfId="829" xr:uid="{00000000-0005-0000-0000-00009B080000}"/>
    <cellStyle name="20% - Accent6 10 2 4" xfId="20277" xr:uid="{00000000-0005-0000-0000-00009C080000}"/>
    <cellStyle name="20% - Accent6 10 3" xfId="830" xr:uid="{00000000-0005-0000-0000-00009D080000}"/>
    <cellStyle name="20% - Accent6 10 3 2" xfId="831" xr:uid="{00000000-0005-0000-0000-00009E080000}"/>
    <cellStyle name="20% - Accent6 10 3 3" xfId="832" xr:uid="{00000000-0005-0000-0000-00009F080000}"/>
    <cellStyle name="20% - Accent6 10 3 4" xfId="20278" xr:uid="{00000000-0005-0000-0000-0000A0080000}"/>
    <cellStyle name="20% - Accent6 10 4" xfId="20276" xr:uid="{00000000-0005-0000-0000-0000A1080000}"/>
    <cellStyle name="20% - Accent6 11" xfId="833" xr:uid="{00000000-0005-0000-0000-0000A2080000}"/>
    <cellStyle name="20% - Accent6 11 2" xfId="834" xr:uid="{00000000-0005-0000-0000-0000A3080000}"/>
    <cellStyle name="20% - Accent6 11 2 2" xfId="835" xr:uid="{00000000-0005-0000-0000-0000A4080000}"/>
    <cellStyle name="20% - Accent6 11 2 3" xfId="836" xr:uid="{00000000-0005-0000-0000-0000A5080000}"/>
    <cellStyle name="20% - Accent6 11 3" xfId="837" xr:uid="{00000000-0005-0000-0000-0000A6080000}"/>
    <cellStyle name="20% - Accent6 11 3 2" xfId="838" xr:uid="{00000000-0005-0000-0000-0000A7080000}"/>
    <cellStyle name="20% - Accent6 11 3 3" xfId="839" xr:uid="{00000000-0005-0000-0000-0000A8080000}"/>
    <cellStyle name="20% - Accent6 11 4" xfId="840" xr:uid="{00000000-0005-0000-0000-0000A9080000}"/>
    <cellStyle name="20% - Accent6 11 4 2" xfId="841" xr:uid="{00000000-0005-0000-0000-0000AA080000}"/>
    <cellStyle name="20% - Accent6 11 4 2 2" xfId="842" xr:uid="{00000000-0005-0000-0000-0000AB080000}"/>
    <cellStyle name="20% - Accent6 11 4 2 2 2" xfId="18998" xr:uid="{00000000-0005-0000-0000-0000AC080000}"/>
    <cellStyle name="20% - Accent6 11 4 2 3" xfId="18480" xr:uid="{00000000-0005-0000-0000-0000AD080000}"/>
    <cellStyle name="20% - Accent6 11 4 3" xfId="843" xr:uid="{00000000-0005-0000-0000-0000AE080000}"/>
    <cellStyle name="20% - Accent6 11 4 3 2" xfId="18716" xr:uid="{00000000-0005-0000-0000-0000AF080000}"/>
    <cellStyle name="20% - Accent6 11 4 4" xfId="18189" xr:uid="{00000000-0005-0000-0000-0000B0080000}"/>
    <cellStyle name="20% - Accent6 11 5" xfId="844" xr:uid="{00000000-0005-0000-0000-0000B1080000}"/>
    <cellStyle name="20% - Accent6 11 5 2" xfId="845" xr:uid="{00000000-0005-0000-0000-0000B2080000}"/>
    <cellStyle name="20% - Accent6 11 5 2 2" xfId="18878" xr:uid="{00000000-0005-0000-0000-0000B3080000}"/>
    <cellStyle name="20% - Accent6 11 5 3" xfId="18357" xr:uid="{00000000-0005-0000-0000-0000B4080000}"/>
    <cellStyle name="20% - Accent6 11 6" xfId="846" xr:uid="{00000000-0005-0000-0000-0000B5080000}"/>
    <cellStyle name="20% - Accent6 11 6 2" xfId="18599" xr:uid="{00000000-0005-0000-0000-0000B6080000}"/>
    <cellStyle name="20% - Accent6 11 7" xfId="18041" xr:uid="{00000000-0005-0000-0000-0000B7080000}"/>
    <cellStyle name="20% - Accent6 11 8" xfId="20279" xr:uid="{00000000-0005-0000-0000-0000B8080000}"/>
    <cellStyle name="20% - Accent6 12" xfId="847" xr:uid="{00000000-0005-0000-0000-0000B9080000}"/>
    <cellStyle name="20% - Accent6 12 2" xfId="848" xr:uid="{00000000-0005-0000-0000-0000BA080000}"/>
    <cellStyle name="20% - Accent6 12 2 2" xfId="849" xr:uid="{00000000-0005-0000-0000-0000BB080000}"/>
    <cellStyle name="20% - Accent6 12 2 3" xfId="850" xr:uid="{00000000-0005-0000-0000-0000BC080000}"/>
    <cellStyle name="20% - Accent6 12 3" xfId="851" xr:uid="{00000000-0005-0000-0000-0000BD080000}"/>
    <cellStyle name="20% - Accent6 12 3 2" xfId="852" xr:uid="{00000000-0005-0000-0000-0000BE080000}"/>
    <cellStyle name="20% - Accent6 12 3 3" xfId="853" xr:uid="{00000000-0005-0000-0000-0000BF080000}"/>
    <cellStyle name="20% - Accent6 12 4" xfId="20280" xr:uid="{00000000-0005-0000-0000-0000C0080000}"/>
    <cellStyle name="20% - Accent6 13" xfId="854" xr:uid="{00000000-0005-0000-0000-0000C1080000}"/>
    <cellStyle name="20% - Accent6 13 2" xfId="855" xr:uid="{00000000-0005-0000-0000-0000C2080000}"/>
    <cellStyle name="20% - Accent6 13 2 2" xfId="856" xr:uid="{00000000-0005-0000-0000-0000C3080000}"/>
    <cellStyle name="20% - Accent6 13 2 3" xfId="857" xr:uid="{00000000-0005-0000-0000-0000C4080000}"/>
    <cellStyle name="20% - Accent6 13 3" xfId="858" xr:uid="{00000000-0005-0000-0000-0000C5080000}"/>
    <cellStyle name="20% - Accent6 13 3 2" xfId="859" xr:uid="{00000000-0005-0000-0000-0000C6080000}"/>
    <cellStyle name="20% - Accent6 13 3 3" xfId="860" xr:uid="{00000000-0005-0000-0000-0000C7080000}"/>
    <cellStyle name="20% - Accent6 13 4" xfId="861" xr:uid="{00000000-0005-0000-0000-0000C8080000}"/>
    <cellStyle name="20% - Accent6 13 4 2" xfId="18754" xr:uid="{00000000-0005-0000-0000-0000C9080000}"/>
    <cellStyle name="20% - Accent6 13 5" xfId="18225" xr:uid="{00000000-0005-0000-0000-0000CA080000}"/>
    <cellStyle name="20% - Accent6 14" xfId="862" xr:uid="{00000000-0005-0000-0000-0000CB080000}"/>
    <cellStyle name="20% - Accent6 14 2" xfId="863" xr:uid="{00000000-0005-0000-0000-0000CC080000}"/>
    <cellStyle name="20% - Accent6 14 2 2" xfId="864" xr:uid="{00000000-0005-0000-0000-0000CD080000}"/>
    <cellStyle name="20% - Accent6 14 2 3" xfId="865" xr:uid="{00000000-0005-0000-0000-0000CE080000}"/>
    <cellStyle name="20% - Accent6 14 3" xfId="866" xr:uid="{00000000-0005-0000-0000-0000CF080000}"/>
    <cellStyle name="20% - Accent6 14 3 2" xfId="867" xr:uid="{00000000-0005-0000-0000-0000D0080000}"/>
    <cellStyle name="20% - Accent6 14 3 3" xfId="868" xr:uid="{00000000-0005-0000-0000-0000D1080000}"/>
    <cellStyle name="20% - Accent6 15" xfId="869" xr:uid="{00000000-0005-0000-0000-0000D2080000}"/>
    <cellStyle name="20% - Accent6 15 2" xfId="870" xr:uid="{00000000-0005-0000-0000-0000D3080000}"/>
    <cellStyle name="20% - Accent6 15 2 2" xfId="871" xr:uid="{00000000-0005-0000-0000-0000D4080000}"/>
    <cellStyle name="20% - Accent6 15 2 3" xfId="872" xr:uid="{00000000-0005-0000-0000-0000D5080000}"/>
    <cellStyle name="20% - Accent6 15 3" xfId="873" xr:uid="{00000000-0005-0000-0000-0000D6080000}"/>
    <cellStyle name="20% - Accent6 15 3 2" xfId="874" xr:uid="{00000000-0005-0000-0000-0000D7080000}"/>
    <cellStyle name="20% - Accent6 15 3 3" xfId="875" xr:uid="{00000000-0005-0000-0000-0000D8080000}"/>
    <cellStyle name="20% - Accent6 15 4" xfId="876" xr:uid="{00000000-0005-0000-0000-0000D9080000}"/>
    <cellStyle name="20% - Accent6 15 4 2" xfId="877" xr:uid="{00000000-0005-0000-0000-0000DA080000}"/>
    <cellStyle name="20% - Accent6 15 4 3" xfId="878" xr:uid="{00000000-0005-0000-0000-0000DB080000}"/>
    <cellStyle name="20% - Accent6 15 5" xfId="879" xr:uid="{00000000-0005-0000-0000-0000DC080000}"/>
    <cellStyle name="20% - Accent6 15 5 2" xfId="880" xr:uid="{00000000-0005-0000-0000-0000DD080000}"/>
    <cellStyle name="20% - Accent6 15 5 3" xfId="881" xr:uid="{00000000-0005-0000-0000-0000DE080000}"/>
    <cellStyle name="20% - Accent6 15 6" xfId="882" xr:uid="{00000000-0005-0000-0000-0000DF080000}"/>
    <cellStyle name="20% - Accent6 15 6 2" xfId="883" xr:uid="{00000000-0005-0000-0000-0000E0080000}"/>
    <cellStyle name="20% - Accent6 15 6 3" xfId="884" xr:uid="{00000000-0005-0000-0000-0000E1080000}"/>
    <cellStyle name="20% - Accent6 15 7" xfId="885" xr:uid="{00000000-0005-0000-0000-0000E2080000}"/>
    <cellStyle name="20% - Accent6 15 7 2" xfId="886" xr:uid="{00000000-0005-0000-0000-0000E3080000}"/>
    <cellStyle name="20% - Accent6 15 7 3" xfId="887" xr:uid="{00000000-0005-0000-0000-0000E4080000}"/>
    <cellStyle name="20% - Accent6 15 8" xfId="888" xr:uid="{00000000-0005-0000-0000-0000E5080000}"/>
    <cellStyle name="20% - Accent6 15 9" xfId="889" xr:uid="{00000000-0005-0000-0000-0000E6080000}"/>
    <cellStyle name="20% - Accent6 15_Capacity" xfId="890" xr:uid="{00000000-0005-0000-0000-0000E7080000}"/>
    <cellStyle name="20% - Accent6 16" xfId="891" xr:uid="{00000000-0005-0000-0000-0000E8080000}"/>
    <cellStyle name="20% - Accent6 16 2" xfId="892" xr:uid="{00000000-0005-0000-0000-0000E9080000}"/>
    <cellStyle name="20% - Accent6 16 3" xfId="893" xr:uid="{00000000-0005-0000-0000-0000EA080000}"/>
    <cellStyle name="20% - Accent6 17" xfId="894" xr:uid="{00000000-0005-0000-0000-0000EB080000}"/>
    <cellStyle name="20% - Accent6 17 2" xfId="895" xr:uid="{00000000-0005-0000-0000-0000EC080000}"/>
    <cellStyle name="20% - Accent6 17 3" xfId="896" xr:uid="{00000000-0005-0000-0000-0000ED080000}"/>
    <cellStyle name="20% - Accent6 18" xfId="897" xr:uid="{00000000-0005-0000-0000-0000EE080000}"/>
    <cellStyle name="20% - Accent6 18 2" xfId="898" xr:uid="{00000000-0005-0000-0000-0000EF080000}"/>
    <cellStyle name="20% - Accent6 18 3" xfId="899" xr:uid="{00000000-0005-0000-0000-0000F0080000}"/>
    <cellStyle name="20% - Accent6 19" xfId="900" xr:uid="{00000000-0005-0000-0000-0000F1080000}"/>
    <cellStyle name="20% - Accent6 19 2" xfId="901" xr:uid="{00000000-0005-0000-0000-0000F2080000}"/>
    <cellStyle name="20% - Accent6 19 3" xfId="902" xr:uid="{00000000-0005-0000-0000-0000F3080000}"/>
    <cellStyle name="20% - Accent6 2" xfId="903" xr:uid="{00000000-0005-0000-0000-0000F4080000}"/>
    <cellStyle name="20% - Accent6 2 2" xfId="904" xr:uid="{00000000-0005-0000-0000-0000F5080000}"/>
    <cellStyle name="20% - Accent6 2 2 2" xfId="905" xr:uid="{00000000-0005-0000-0000-0000F6080000}"/>
    <cellStyle name="20% - Accent6 2 2 2 2" xfId="20283" xr:uid="{00000000-0005-0000-0000-0000F7080000}"/>
    <cellStyle name="20% - Accent6 2 2 2 3" xfId="20284" xr:uid="{00000000-0005-0000-0000-0000F8080000}"/>
    <cellStyle name="20% - Accent6 2 2 2 4" xfId="20285" xr:uid="{00000000-0005-0000-0000-0000F9080000}"/>
    <cellStyle name="20% - Accent6 2 2 2 5" xfId="20282" xr:uid="{00000000-0005-0000-0000-0000FA080000}"/>
    <cellStyle name="20% - Accent6 2 2 3" xfId="906" xr:uid="{00000000-0005-0000-0000-0000FB080000}"/>
    <cellStyle name="20% - Accent6 2 2 3 2" xfId="20287" xr:uid="{00000000-0005-0000-0000-0000FC080000}"/>
    <cellStyle name="20% - Accent6 2 2 3 2 2" xfId="20288" xr:uid="{00000000-0005-0000-0000-0000FD080000}"/>
    <cellStyle name="20% - Accent6 2 2 3 2 2 2" xfId="38721" xr:uid="{00000000-0005-0000-0000-0000FE080000}"/>
    <cellStyle name="20% - Accent6 2 2 3 2 3" xfId="38720" xr:uid="{00000000-0005-0000-0000-0000FF080000}"/>
    <cellStyle name="20% - Accent6 2 2 3 3" xfId="20289" xr:uid="{00000000-0005-0000-0000-000000090000}"/>
    <cellStyle name="20% - Accent6 2 2 3 3 2" xfId="38722" xr:uid="{00000000-0005-0000-0000-000001090000}"/>
    <cellStyle name="20% - Accent6 2 2 3 4" xfId="20290" xr:uid="{00000000-0005-0000-0000-000002090000}"/>
    <cellStyle name="20% - Accent6 2 2 3 5" xfId="38719" xr:uid="{00000000-0005-0000-0000-000003090000}"/>
    <cellStyle name="20% - Accent6 2 2 3 6" xfId="20286" xr:uid="{00000000-0005-0000-0000-000004090000}"/>
    <cellStyle name="20% - Accent6 2 2 4" xfId="20291" xr:uid="{00000000-0005-0000-0000-000005090000}"/>
    <cellStyle name="20% - Accent6 2 2 4 2" xfId="20292" xr:uid="{00000000-0005-0000-0000-000006090000}"/>
    <cellStyle name="20% - Accent6 2 2 4 2 2" xfId="38724" xr:uid="{00000000-0005-0000-0000-000007090000}"/>
    <cellStyle name="20% - Accent6 2 2 4 3" xfId="20293" xr:uid="{00000000-0005-0000-0000-000008090000}"/>
    <cellStyle name="20% - Accent6 2 2 4 4" xfId="38723" xr:uid="{00000000-0005-0000-0000-000009090000}"/>
    <cellStyle name="20% - Accent6 2 2 5" xfId="20294" xr:uid="{00000000-0005-0000-0000-00000A090000}"/>
    <cellStyle name="20% - Accent6 2 2 5 2" xfId="20295" xr:uid="{00000000-0005-0000-0000-00000B090000}"/>
    <cellStyle name="20% - Accent6 2 2 5 3" xfId="38725" xr:uid="{00000000-0005-0000-0000-00000C090000}"/>
    <cellStyle name="20% - Accent6 2 2 6" xfId="20296" xr:uid="{00000000-0005-0000-0000-00000D090000}"/>
    <cellStyle name="20% - Accent6 2 2 6 2" xfId="20297" xr:uid="{00000000-0005-0000-0000-00000E090000}"/>
    <cellStyle name="20% - Accent6 2 2 7" xfId="20298" xr:uid="{00000000-0005-0000-0000-00000F090000}"/>
    <cellStyle name="20% - Accent6 2 2 8" xfId="38718" xr:uid="{00000000-0005-0000-0000-000010090000}"/>
    <cellStyle name="20% - Accent6 2 2 9" xfId="20281" xr:uid="{00000000-0005-0000-0000-000011090000}"/>
    <cellStyle name="20% - Accent6 2 3" xfId="907" xr:uid="{00000000-0005-0000-0000-000012090000}"/>
    <cellStyle name="20% - Accent6 2 3 2" xfId="908" xr:uid="{00000000-0005-0000-0000-000013090000}"/>
    <cellStyle name="20% - Accent6 2 3 2 2" xfId="20301" xr:uid="{00000000-0005-0000-0000-000014090000}"/>
    <cellStyle name="20% - Accent6 2 3 2 3" xfId="20302" xr:uid="{00000000-0005-0000-0000-000015090000}"/>
    <cellStyle name="20% - Accent6 2 3 2 4" xfId="20300" xr:uid="{00000000-0005-0000-0000-000016090000}"/>
    <cellStyle name="20% - Accent6 2 3 3" xfId="909" xr:uid="{00000000-0005-0000-0000-000017090000}"/>
    <cellStyle name="20% - Accent6 2 3 3 2" xfId="20303" xr:uid="{00000000-0005-0000-0000-000018090000}"/>
    <cellStyle name="20% - Accent6 2 3 4" xfId="20304" xr:uid="{00000000-0005-0000-0000-000019090000}"/>
    <cellStyle name="20% - Accent6 2 3 5" xfId="20305" xr:uid="{00000000-0005-0000-0000-00001A090000}"/>
    <cellStyle name="20% - Accent6 2 3 6" xfId="20299" xr:uid="{00000000-0005-0000-0000-00001B090000}"/>
    <cellStyle name="20% - Accent6 2 4" xfId="20306" xr:uid="{00000000-0005-0000-0000-00001C090000}"/>
    <cellStyle name="20% - Accent6 2 4 2" xfId="20307" xr:uid="{00000000-0005-0000-0000-00001D090000}"/>
    <cellStyle name="20% - Accent6 2 5" xfId="20308" xr:uid="{00000000-0005-0000-0000-00001E090000}"/>
    <cellStyle name="20% - Accent6 2 5 2" xfId="20309" xr:uid="{00000000-0005-0000-0000-00001F090000}"/>
    <cellStyle name="20% - Accent6 2 6" xfId="20310" xr:uid="{00000000-0005-0000-0000-000020090000}"/>
    <cellStyle name="20% - Accent6 2 7" xfId="20311" xr:uid="{00000000-0005-0000-0000-000021090000}"/>
    <cellStyle name="20% - Accent6 2 8" xfId="20312" xr:uid="{00000000-0005-0000-0000-000022090000}"/>
    <cellStyle name="20% - Accent6 20" xfId="910" xr:uid="{00000000-0005-0000-0000-000023090000}"/>
    <cellStyle name="20% - Accent6 20 2" xfId="911" xr:uid="{00000000-0005-0000-0000-000024090000}"/>
    <cellStyle name="20% - Accent6 20 3" xfId="912" xr:uid="{00000000-0005-0000-0000-000025090000}"/>
    <cellStyle name="20% - Accent6 21" xfId="913" xr:uid="{00000000-0005-0000-0000-000026090000}"/>
    <cellStyle name="20% - Accent6 21 2" xfId="914" xr:uid="{00000000-0005-0000-0000-000027090000}"/>
    <cellStyle name="20% - Accent6 21 3" xfId="915" xr:uid="{00000000-0005-0000-0000-000028090000}"/>
    <cellStyle name="20% - Accent6 22" xfId="916" xr:uid="{00000000-0005-0000-0000-000029090000}"/>
    <cellStyle name="20% - Accent6 22 2" xfId="917" xr:uid="{00000000-0005-0000-0000-00002A090000}"/>
    <cellStyle name="20% - Accent6 22 3" xfId="918" xr:uid="{00000000-0005-0000-0000-00002B090000}"/>
    <cellStyle name="20% - Accent6 3" xfId="919" xr:uid="{00000000-0005-0000-0000-00002C090000}"/>
    <cellStyle name="20% - Accent6 3 10" xfId="20313" xr:uid="{00000000-0005-0000-0000-00002D090000}"/>
    <cellStyle name="20% - Accent6 3 2" xfId="920" xr:uid="{00000000-0005-0000-0000-00002E090000}"/>
    <cellStyle name="20% - Accent6 3 2 2" xfId="921" xr:uid="{00000000-0005-0000-0000-00002F090000}"/>
    <cellStyle name="20% - Accent6 3 2 2 2" xfId="20316" xr:uid="{00000000-0005-0000-0000-000030090000}"/>
    <cellStyle name="20% - Accent6 3 2 2 2 2" xfId="20317" xr:uid="{00000000-0005-0000-0000-000031090000}"/>
    <cellStyle name="20% - Accent6 3 2 2 2 2 2" xfId="38729" xr:uid="{00000000-0005-0000-0000-000032090000}"/>
    <cellStyle name="20% - Accent6 3 2 2 2 3" xfId="20318" xr:uid="{00000000-0005-0000-0000-000033090000}"/>
    <cellStyle name="20% - Accent6 3 2 2 2 4" xfId="38728" xr:uid="{00000000-0005-0000-0000-000034090000}"/>
    <cellStyle name="20% - Accent6 3 2 2 3" xfId="20319" xr:uid="{00000000-0005-0000-0000-000035090000}"/>
    <cellStyle name="20% - Accent6 3 2 2 3 2" xfId="20320" xr:uid="{00000000-0005-0000-0000-000036090000}"/>
    <cellStyle name="20% - Accent6 3 2 2 3 3" xfId="38730" xr:uid="{00000000-0005-0000-0000-000037090000}"/>
    <cellStyle name="20% - Accent6 3 2 2 4" xfId="20321" xr:uid="{00000000-0005-0000-0000-000038090000}"/>
    <cellStyle name="20% - Accent6 3 2 2 5" xfId="38727" xr:uid="{00000000-0005-0000-0000-000039090000}"/>
    <cellStyle name="20% - Accent6 3 2 2 6" xfId="20315" xr:uid="{00000000-0005-0000-0000-00003A090000}"/>
    <cellStyle name="20% - Accent6 3 2 3" xfId="922" xr:uid="{00000000-0005-0000-0000-00003B090000}"/>
    <cellStyle name="20% - Accent6 3 2 3 2" xfId="20323" xr:uid="{00000000-0005-0000-0000-00003C090000}"/>
    <cellStyle name="20% - Accent6 3 2 3 2 2" xfId="38732" xr:uid="{00000000-0005-0000-0000-00003D090000}"/>
    <cellStyle name="20% - Accent6 3 2 3 3" xfId="20324" xr:uid="{00000000-0005-0000-0000-00003E090000}"/>
    <cellStyle name="20% - Accent6 3 2 3 4" xfId="38731" xr:uid="{00000000-0005-0000-0000-00003F090000}"/>
    <cellStyle name="20% - Accent6 3 2 3 5" xfId="20322" xr:uid="{00000000-0005-0000-0000-000040090000}"/>
    <cellStyle name="20% - Accent6 3 2 4" xfId="20325" xr:uid="{00000000-0005-0000-0000-000041090000}"/>
    <cellStyle name="20% - Accent6 3 2 4 2" xfId="20326" xr:uid="{00000000-0005-0000-0000-000042090000}"/>
    <cellStyle name="20% - Accent6 3 2 4 3" xfId="38733" xr:uid="{00000000-0005-0000-0000-000043090000}"/>
    <cellStyle name="20% - Accent6 3 2 5" xfId="20327" xr:uid="{00000000-0005-0000-0000-000044090000}"/>
    <cellStyle name="20% - Accent6 3 2 5 2" xfId="20328" xr:uid="{00000000-0005-0000-0000-000045090000}"/>
    <cellStyle name="20% - Accent6 3 2 6" xfId="20329" xr:uid="{00000000-0005-0000-0000-000046090000}"/>
    <cellStyle name="20% - Accent6 3 2 6 2" xfId="20330" xr:uid="{00000000-0005-0000-0000-000047090000}"/>
    <cellStyle name="20% - Accent6 3 2 7" xfId="20331" xr:uid="{00000000-0005-0000-0000-000048090000}"/>
    <cellStyle name="20% - Accent6 3 2 8" xfId="38726" xr:uid="{00000000-0005-0000-0000-000049090000}"/>
    <cellStyle name="20% - Accent6 3 2 9" xfId="20314" xr:uid="{00000000-0005-0000-0000-00004A090000}"/>
    <cellStyle name="20% - Accent6 3 3" xfId="923" xr:uid="{00000000-0005-0000-0000-00004B090000}"/>
    <cellStyle name="20% - Accent6 3 3 2" xfId="924" xr:uid="{00000000-0005-0000-0000-00004C090000}"/>
    <cellStyle name="20% - Accent6 3 3 2 2" xfId="20334" xr:uid="{00000000-0005-0000-0000-00004D090000}"/>
    <cellStyle name="20% - Accent6 3 3 2 2 2" xfId="38736" xr:uid="{00000000-0005-0000-0000-00004E090000}"/>
    <cellStyle name="20% - Accent6 3 3 2 3" xfId="38735" xr:uid="{00000000-0005-0000-0000-00004F090000}"/>
    <cellStyle name="20% - Accent6 3 3 2 4" xfId="20333" xr:uid="{00000000-0005-0000-0000-000050090000}"/>
    <cellStyle name="20% - Accent6 3 3 3" xfId="925" xr:uid="{00000000-0005-0000-0000-000051090000}"/>
    <cellStyle name="20% - Accent6 3 3 3 2" xfId="38737" xr:uid="{00000000-0005-0000-0000-000052090000}"/>
    <cellStyle name="20% - Accent6 3 3 3 3" xfId="20335" xr:uid="{00000000-0005-0000-0000-000053090000}"/>
    <cellStyle name="20% - Accent6 3 3 4" xfId="20336" xr:uid="{00000000-0005-0000-0000-000054090000}"/>
    <cellStyle name="20% - Accent6 3 3 5" xfId="38734" xr:uid="{00000000-0005-0000-0000-000055090000}"/>
    <cellStyle name="20% - Accent6 3 3 6" xfId="20332" xr:uid="{00000000-0005-0000-0000-000056090000}"/>
    <cellStyle name="20% - Accent6 3 4" xfId="20337" xr:uid="{00000000-0005-0000-0000-000057090000}"/>
    <cellStyle name="20% - Accent6 3 4 2" xfId="20338" xr:uid="{00000000-0005-0000-0000-000058090000}"/>
    <cellStyle name="20% - Accent6 3 4 2 2" xfId="38739" xr:uid="{00000000-0005-0000-0000-000059090000}"/>
    <cellStyle name="20% - Accent6 3 4 3" xfId="20339" xr:uid="{00000000-0005-0000-0000-00005A090000}"/>
    <cellStyle name="20% - Accent6 3 4 4" xfId="38738" xr:uid="{00000000-0005-0000-0000-00005B090000}"/>
    <cellStyle name="20% - Accent6 3 5" xfId="20340" xr:uid="{00000000-0005-0000-0000-00005C090000}"/>
    <cellStyle name="20% - Accent6 3 5 2" xfId="20341" xr:uid="{00000000-0005-0000-0000-00005D090000}"/>
    <cellStyle name="20% - Accent6 3 5 3" xfId="38740" xr:uid="{00000000-0005-0000-0000-00005E090000}"/>
    <cellStyle name="20% - Accent6 3 6" xfId="20342" xr:uid="{00000000-0005-0000-0000-00005F090000}"/>
    <cellStyle name="20% - Accent6 3 6 2" xfId="20343" xr:uid="{00000000-0005-0000-0000-000060090000}"/>
    <cellStyle name="20% - Accent6 3 6 3" xfId="20344" xr:uid="{00000000-0005-0000-0000-000061090000}"/>
    <cellStyle name="20% - Accent6 3 7" xfId="20345" xr:uid="{00000000-0005-0000-0000-000062090000}"/>
    <cellStyle name="20% - Accent6 3 7 2" xfId="20346" xr:uid="{00000000-0005-0000-0000-000063090000}"/>
    <cellStyle name="20% - Accent6 3 8" xfId="20347" xr:uid="{00000000-0005-0000-0000-000064090000}"/>
    <cellStyle name="20% - Accent6 3 9" xfId="20348" xr:uid="{00000000-0005-0000-0000-000065090000}"/>
    <cellStyle name="20% - Accent6 4" xfId="926" xr:uid="{00000000-0005-0000-0000-000066090000}"/>
    <cellStyle name="20% - Accent6 4 2" xfId="927" xr:uid="{00000000-0005-0000-0000-000067090000}"/>
    <cellStyle name="20% - Accent6 4 2 2" xfId="928" xr:uid="{00000000-0005-0000-0000-000068090000}"/>
    <cellStyle name="20% - Accent6 4 2 2 2" xfId="20351" xr:uid="{00000000-0005-0000-0000-000069090000}"/>
    <cellStyle name="20% - Accent6 4 2 2 2 2" xfId="20352" xr:uid="{00000000-0005-0000-0000-00006A090000}"/>
    <cellStyle name="20% - Accent6 4 2 2 2 2 2" xfId="38744" xr:uid="{00000000-0005-0000-0000-00006B090000}"/>
    <cellStyle name="20% - Accent6 4 2 2 2 3" xfId="20353" xr:uid="{00000000-0005-0000-0000-00006C090000}"/>
    <cellStyle name="20% - Accent6 4 2 2 2 4" xfId="38743" xr:uid="{00000000-0005-0000-0000-00006D090000}"/>
    <cellStyle name="20% - Accent6 4 2 2 3" xfId="20354" xr:uid="{00000000-0005-0000-0000-00006E090000}"/>
    <cellStyle name="20% - Accent6 4 2 2 3 2" xfId="20355" xr:uid="{00000000-0005-0000-0000-00006F090000}"/>
    <cellStyle name="20% - Accent6 4 2 2 3 3" xfId="38745" xr:uid="{00000000-0005-0000-0000-000070090000}"/>
    <cellStyle name="20% - Accent6 4 2 2 4" xfId="20356" xr:uid="{00000000-0005-0000-0000-000071090000}"/>
    <cellStyle name="20% - Accent6 4 2 2 5" xfId="38742" xr:uid="{00000000-0005-0000-0000-000072090000}"/>
    <cellStyle name="20% - Accent6 4 2 2 6" xfId="20350" xr:uid="{00000000-0005-0000-0000-000073090000}"/>
    <cellStyle name="20% - Accent6 4 2 3" xfId="929" xr:uid="{00000000-0005-0000-0000-000074090000}"/>
    <cellStyle name="20% - Accent6 4 2 3 2" xfId="20358" xr:uid="{00000000-0005-0000-0000-000075090000}"/>
    <cellStyle name="20% - Accent6 4 2 3 2 2" xfId="38747" xr:uid="{00000000-0005-0000-0000-000076090000}"/>
    <cellStyle name="20% - Accent6 4 2 3 3" xfId="20359" xr:uid="{00000000-0005-0000-0000-000077090000}"/>
    <cellStyle name="20% - Accent6 4 2 3 4" xfId="38746" xr:uid="{00000000-0005-0000-0000-000078090000}"/>
    <cellStyle name="20% - Accent6 4 2 3 5" xfId="20357" xr:uid="{00000000-0005-0000-0000-000079090000}"/>
    <cellStyle name="20% - Accent6 4 2 4" xfId="20360" xr:uid="{00000000-0005-0000-0000-00007A090000}"/>
    <cellStyle name="20% - Accent6 4 2 4 2" xfId="20361" xr:uid="{00000000-0005-0000-0000-00007B090000}"/>
    <cellStyle name="20% - Accent6 4 2 4 3" xfId="38748" xr:uid="{00000000-0005-0000-0000-00007C090000}"/>
    <cellStyle name="20% - Accent6 4 2 5" xfId="20362" xr:uid="{00000000-0005-0000-0000-00007D090000}"/>
    <cellStyle name="20% - Accent6 4 2 5 2" xfId="20363" xr:uid="{00000000-0005-0000-0000-00007E090000}"/>
    <cellStyle name="20% - Accent6 4 2 6" xfId="20364" xr:uid="{00000000-0005-0000-0000-00007F090000}"/>
    <cellStyle name="20% - Accent6 4 2 6 2" xfId="20365" xr:uid="{00000000-0005-0000-0000-000080090000}"/>
    <cellStyle name="20% - Accent6 4 2 7" xfId="20366" xr:uid="{00000000-0005-0000-0000-000081090000}"/>
    <cellStyle name="20% - Accent6 4 2 8" xfId="38741" xr:uid="{00000000-0005-0000-0000-000082090000}"/>
    <cellStyle name="20% - Accent6 4 2 9" xfId="20349" xr:uid="{00000000-0005-0000-0000-000083090000}"/>
    <cellStyle name="20% - Accent6 4 3" xfId="930" xr:uid="{00000000-0005-0000-0000-000084090000}"/>
    <cellStyle name="20% - Accent6 4 3 2" xfId="931" xr:uid="{00000000-0005-0000-0000-000085090000}"/>
    <cellStyle name="20% - Accent6 4 3 2 2" xfId="38750" xr:uid="{00000000-0005-0000-0000-000086090000}"/>
    <cellStyle name="20% - Accent6 4 3 2 3" xfId="20368" xr:uid="{00000000-0005-0000-0000-000087090000}"/>
    <cellStyle name="20% - Accent6 4 3 3" xfId="932" xr:uid="{00000000-0005-0000-0000-000088090000}"/>
    <cellStyle name="20% - Accent6 4 3 3 2" xfId="38751" xr:uid="{00000000-0005-0000-0000-000089090000}"/>
    <cellStyle name="20% - Accent6 4 3 3 3" xfId="20369" xr:uid="{00000000-0005-0000-0000-00008A090000}"/>
    <cellStyle name="20% - Accent6 4 3 4" xfId="20370" xr:uid="{00000000-0005-0000-0000-00008B090000}"/>
    <cellStyle name="20% - Accent6 4 3 5" xfId="38749" xr:uid="{00000000-0005-0000-0000-00008C090000}"/>
    <cellStyle name="20% - Accent6 4 3 6" xfId="20367" xr:uid="{00000000-0005-0000-0000-00008D090000}"/>
    <cellStyle name="20% - Accent6 4 4" xfId="20371" xr:uid="{00000000-0005-0000-0000-00008E090000}"/>
    <cellStyle name="20% - Accent6 4 4 2" xfId="20372" xr:uid="{00000000-0005-0000-0000-00008F090000}"/>
    <cellStyle name="20% - Accent6 4 4 2 2" xfId="38753" xr:uid="{00000000-0005-0000-0000-000090090000}"/>
    <cellStyle name="20% - Accent6 4 4 3" xfId="20373" xr:uid="{00000000-0005-0000-0000-000091090000}"/>
    <cellStyle name="20% - Accent6 4 4 4" xfId="38752" xr:uid="{00000000-0005-0000-0000-000092090000}"/>
    <cellStyle name="20% - Accent6 4 5" xfId="20374" xr:uid="{00000000-0005-0000-0000-000093090000}"/>
    <cellStyle name="20% - Accent6 4 5 2" xfId="38754" xr:uid="{00000000-0005-0000-0000-000094090000}"/>
    <cellStyle name="20% - Accent6 4 6" xfId="20375" xr:uid="{00000000-0005-0000-0000-000095090000}"/>
    <cellStyle name="20% - Accent6 4 6 2" xfId="20376" xr:uid="{00000000-0005-0000-0000-000096090000}"/>
    <cellStyle name="20% - Accent6 4 7" xfId="20377" xr:uid="{00000000-0005-0000-0000-000097090000}"/>
    <cellStyle name="20% - Accent6 4 7 2" xfId="20378" xr:uid="{00000000-0005-0000-0000-000098090000}"/>
    <cellStyle name="20% - Accent6 4 8" xfId="20379" xr:uid="{00000000-0005-0000-0000-000099090000}"/>
    <cellStyle name="20% - Accent6 4 9" xfId="20380" xr:uid="{00000000-0005-0000-0000-00009A090000}"/>
    <cellStyle name="20% - Accent6 5" xfId="933" xr:uid="{00000000-0005-0000-0000-00009B090000}"/>
    <cellStyle name="20% - Accent6 5 2" xfId="934" xr:uid="{00000000-0005-0000-0000-00009C090000}"/>
    <cellStyle name="20% - Accent6 5 2 2" xfId="935" xr:uid="{00000000-0005-0000-0000-00009D090000}"/>
    <cellStyle name="20% - Accent6 5 2 2 2" xfId="38756" xr:uid="{00000000-0005-0000-0000-00009E090000}"/>
    <cellStyle name="20% - Accent6 5 2 2 3" xfId="20382" xr:uid="{00000000-0005-0000-0000-00009F090000}"/>
    <cellStyle name="20% - Accent6 5 2 3" xfId="936" xr:uid="{00000000-0005-0000-0000-0000A0090000}"/>
    <cellStyle name="20% - Accent6 5 2 3 2" xfId="38757" xr:uid="{00000000-0005-0000-0000-0000A1090000}"/>
    <cellStyle name="20% - Accent6 5 2 3 3" xfId="20383" xr:uid="{00000000-0005-0000-0000-0000A2090000}"/>
    <cellStyle name="20% - Accent6 5 2 4" xfId="20384" xr:uid="{00000000-0005-0000-0000-0000A3090000}"/>
    <cellStyle name="20% - Accent6 5 2 5" xfId="20385" xr:uid="{00000000-0005-0000-0000-0000A4090000}"/>
    <cellStyle name="20% - Accent6 5 3" xfId="937" xr:uid="{00000000-0005-0000-0000-0000A5090000}"/>
    <cellStyle name="20% - Accent6 5 3 2" xfId="938" xr:uid="{00000000-0005-0000-0000-0000A6090000}"/>
    <cellStyle name="20% - Accent6 5 3 2 2" xfId="20388" xr:uid="{00000000-0005-0000-0000-0000A7090000}"/>
    <cellStyle name="20% - Accent6 5 3 2 2 2" xfId="38760" xr:uid="{00000000-0005-0000-0000-0000A8090000}"/>
    <cellStyle name="20% - Accent6 5 3 2 3" xfId="38759" xr:uid="{00000000-0005-0000-0000-0000A9090000}"/>
    <cellStyle name="20% - Accent6 5 3 2 4" xfId="20387" xr:uid="{00000000-0005-0000-0000-0000AA090000}"/>
    <cellStyle name="20% - Accent6 5 3 3" xfId="939" xr:uid="{00000000-0005-0000-0000-0000AB090000}"/>
    <cellStyle name="20% - Accent6 5 3 3 2" xfId="38761" xr:uid="{00000000-0005-0000-0000-0000AC090000}"/>
    <cellStyle name="20% - Accent6 5 3 3 3" xfId="20389" xr:uid="{00000000-0005-0000-0000-0000AD090000}"/>
    <cellStyle name="20% - Accent6 5 3 4" xfId="20390" xr:uid="{00000000-0005-0000-0000-0000AE090000}"/>
    <cellStyle name="20% - Accent6 5 3 5" xfId="38758" xr:uid="{00000000-0005-0000-0000-0000AF090000}"/>
    <cellStyle name="20% - Accent6 5 3 6" xfId="20386" xr:uid="{00000000-0005-0000-0000-0000B0090000}"/>
    <cellStyle name="20% - Accent6 5 4" xfId="20391" xr:uid="{00000000-0005-0000-0000-0000B1090000}"/>
    <cellStyle name="20% - Accent6 5 4 2" xfId="20392" xr:uid="{00000000-0005-0000-0000-0000B2090000}"/>
    <cellStyle name="20% - Accent6 5 4 2 2" xfId="38763" xr:uid="{00000000-0005-0000-0000-0000B3090000}"/>
    <cellStyle name="20% - Accent6 5 4 3" xfId="38762" xr:uid="{00000000-0005-0000-0000-0000B4090000}"/>
    <cellStyle name="20% - Accent6 5 5" xfId="20393" xr:uid="{00000000-0005-0000-0000-0000B5090000}"/>
    <cellStyle name="20% - Accent6 5 5 2" xfId="38764" xr:uid="{00000000-0005-0000-0000-0000B6090000}"/>
    <cellStyle name="20% - Accent6 5 6" xfId="20394" xr:uid="{00000000-0005-0000-0000-0000B7090000}"/>
    <cellStyle name="20% - Accent6 5 7" xfId="38755" xr:uid="{00000000-0005-0000-0000-0000B8090000}"/>
    <cellStyle name="20% - Accent6 5 8" xfId="20381" xr:uid="{00000000-0005-0000-0000-0000B9090000}"/>
    <cellStyle name="20% - Accent6 6" xfId="940" xr:uid="{00000000-0005-0000-0000-0000BA090000}"/>
    <cellStyle name="20% - Accent6 6 2" xfId="941" xr:uid="{00000000-0005-0000-0000-0000BB090000}"/>
    <cellStyle name="20% - Accent6 6 2 2" xfId="942" xr:uid="{00000000-0005-0000-0000-0000BC090000}"/>
    <cellStyle name="20% - Accent6 6 2 2 2" xfId="20398" xr:uid="{00000000-0005-0000-0000-0000BD090000}"/>
    <cellStyle name="20% - Accent6 6 2 2 2 2" xfId="38768" xr:uid="{00000000-0005-0000-0000-0000BE090000}"/>
    <cellStyle name="20% - Accent6 6 2 2 3" xfId="38767" xr:uid="{00000000-0005-0000-0000-0000BF090000}"/>
    <cellStyle name="20% - Accent6 6 2 2 4" xfId="20397" xr:uid="{00000000-0005-0000-0000-0000C0090000}"/>
    <cellStyle name="20% - Accent6 6 2 3" xfId="943" xr:uid="{00000000-0005-0000-0000-0000C1090000}"/>
    <cellStyle name="20% - Accent6 6 2 3 2" xfId="38769" xr:uid="{00000000-0005-0000-0000-0000C2090000}"/>
    <cellStyle name="20% - Accent6 6 2 3 3" xfId="20399" xr:uid="{00000000-0005-0000-0000-0000C3090000}"/>
    <cellStyle name="20% - Accent6 6 2 4" xfId="20400" xr:uid="{00000000-0005-0000-0000-0000C4090000}"/>
    <cellStyle name="20% - Accent6 6 2 5" xfId="38766" xr:uid="{00000000-0005-0000-0000-0000C5090000}"/>
    <cellStyle name="20% - Accent6 6 2 6" xfId="20396" xr:uid="{00000000-0005-0000-0000-0000C6090000}"/>
    <cellStyle name="20% - Accent6 6 3" xfId="944" xr:uid="{00000000-0005-0000-0000-0000C7090000}"/>
    <cellStyle name="20% - Accent6 6 3 2" xfId="945" xr:uid="{00000000-0005-0000-0000-0000C8090000}"/>
    <cellStyle name="20% - Accent6 6 3 2 2" xfId="38771" xr:uid="{00000000-0005-0000-0000-0000C9090000}"/>
    <cellStyle name="20% - Accent6 6 3 2 3" xfId="20402" xr:uid="{00000000-0005-0000-0000-0000CA090000}"/>
    <cellStyle name="20% - Accent6 6 3 3" xfId="946" xr:uid="{00000000-0005-0000-0000-0000CB090000}"/>
    <cellStyle name="20% - Accent6 6 3 3 2" xfId="20403" xr:uid="{00000000-0005-0000-0000-0000CC090000}"/>
    <cellStyle name="20% - Accent6 6 3 4" xfId="38770" xr:uid="{00000000-0005-0000-0000-0000CD090000}"/>
    <cellStyle name="20% - Accent6 6 3 5" xfId="20401" xr:uid="{00000000-0005-0000-0000-0000CE090000}"/>
    <cellStyle name="20% - Accent6 6 4" xfId="20404" xr:uid="{00000000-0005-0000-0000-0000CF090000}"/>
    <cellStyle name="20% - Accent6 6 4 2" xfId="38772" xr:uid="{00000000-0005-0000-0000-0000D0090000}"/>
    <cellStyle name="20% - Accent6 6 5" xfId="20405" xr:uid="{00000000-0005-0000-0000-0000D1090000}"/>
    <cellStyle name="20% - Accent6 6 6" xfId="38765" xr:uid="{00000000-0005-0000-0000-0000D2090000}"/>
    <cellStyle name="20% - Accent6 6 7" xfId="20395" xr:uid="{00000000-0005-0000-0000-0000D3090000}"/>
    <cellStyle name="20% - Accent6 7" xfId="947" xr:uid="{00000000-0005-0000-0000-0000D4090000}"/>
    <cellStyle name="20% - Accent6 7 2" xfId="948" xr:uid="{00000000-0005-0000-0000-0000D5090000}"/>
    <cellStyle name="20% - Accent6 7 2 2" xfId="949" xr:uid="{00000000-0005-0000-0000-0000D6090000}"/>
    <cellStyle name="20% - Accent6 7 2 2 2" xfId="20409" xr:uid="{00000000-0005-0000-0000-0000D7090000}"/>
    <cellStyle name="20% - Accent6 7 2 2 2 2" xfId="38776" xr:uid="{00000000-0005-0000-0000-0000D8090000}"/>
    <cellStyle name="20% - Accent6 7 2 2 3" xfId="38775" xr:uid="{00000000-0005-0000-0000-0000D9090000}"/>
    <cellStyle name="20% - Accent6 7 2 2 4" xfId="20408" xr:uid="{00000000-0005-0000-0000-0000DA090000}"/>
    <cellStyle name="20% - Accent6 7 2 3" xfId="950" xr:uid="{00000000-0005-0000-0000-0000DB090000}"/>
    <cellStyle name="20% - Accent6 7 2 3 2" xfId="38777" xr:uid="{00000000-0005-0000-0000-0000DC090000}"/>
    <cellStyle name="20% - Accent6 7 2 3 3" xfId="20410" xr:uid="{00000000-0005-0000-0000-0000DD090000}"/>
    <cellStyle name="20% - Accent6 7 2 4" xfId="38774" xr:uid="{00000000-0005-0000-0000-0000DE090000}"/>
    <cellStyle name="20% - Accent6 7 2 5" xfId="20407" xr:uid="{00000000-0005-0000-0000-0000DF090000}"/>
    <cellStyle name="20% - Accent6 7 3" xfId="951" xr:uid="{00000000-0005-0000-0000-0000E0090000}"/>
    <cellStyle name="20% - Accent6 7 3 2" xfId="952" xr:uid="{00000000-0005-0000-0000-0000E1090000}"/>
    <cellStyle name="20% - Accent6 7 3 2 2" xfId="38779" xr:uid="{00000000-0005-0000-0000-0000E2090000}"/>
    <cellStyle name="20% - Accent6 7 3 2 3" xfId="20412" xr:uid="{00000000-0005-0000-0000-0000E3090000}"/>
    <cellStyle name="20% - Accent6 7 3 3" xfId="953" xr:uid="{00000000-0005-0000-0000-0000E4090000}"/>
    <cellStyle name="20% - Accent6 7 3 3 2" xfId="38778" xr:uid="{00000000-0005-0000-0000-0000E5090000}"/>
    <cellStyle name="20% - Accent6 7 3 4" xfId="20411" xr:uid="{00000000-0005-0000-0000-0000E6090000}"/>
    <cellStyle name="20% - Accent6 7 4" xfId="20413" xr:uid="{00000000-0005-0000-0000-0000E7090000}"/>
    <cellStyle name="20% - Accent6 7 4 2" xfId="38780" xr:uid="{00000000-0005-0000-0000-0000E8090000}"/>
    <cellStyle name="20% - Accent6 7 5" xfId="20414" xr:uid="{00000000-0005-0000-0000-0000E9090000}"/>
    <cellStyle name="20% - Accent6 7 6" xfId="38773" xr:uid="{00000000-0005-0000-0000-0000EA090000}"/>
    <cellStyle name="20% - Accent6 7 7" xfId="20406" xr:uid="{00000000-0005-0000-0000-0000EB090000}"/>
    <cellStyle name="20% - Accent6 8" xfId="954" xr:uid="{00000000-0005-0000-0000-0000EC090000}"/>
    <cellStyle name="20% - Accent6 8 2" xfId="955" xr:uid="{00000000-0005-0000-0000-0000ED090000}"/>
    <cellStyle name="20% - Accent6 8 2 2" xfId="956" xr:uid="{00000000-0005-0000-0000-0000EE090000}"/>
    <cellStyle name="20% - Accent6 8 2 3" xfId="957" xr:uid="{00000000-0005-0000-0000-0000EF090000}"/>
    <cellStyle name="20% - Accent6 8 2 4" xfId="20416" xr:uid="{00000000-0005-0000-0000-0000F0090000}"/>
    <cellStyle name="20% - Accent6 8 3" xfId="958" xr:uid="{00000000-0005-0000-0000-0000F1090000}"/>
    <cellStyle name="20% - Accent6 8 3 2" xfId="959" xr:uid="{00000000-0005-0000-0000-0000F2090000}"/>
    <cellStyle name="20% - Accent6 8 3 2 2" xfId="38781" xr:uid="{00000000-0005-0000-0000-0000F3090000}"/>
    <cellStyle name="20% - Accent6 8 3 3" xfId="960" xr:uid="{00000000-0005-0000-0000-0000F4090000}"/>
    <cellStyle name="20% - Accent6 8 3 4" xfId="20417" xr:uid="{00000000-0005-0000-0000-0000F5090000}"/>
    <cellStyle name="20% - Accent6 8 4" xfId="20418" xr:uid="{00000000-0005-0000-0000-0000F6090000}"/>
    <cellStyle name="20% - Accent6 8 5" xfId="20415" xr:uid="{00000000-0005-0000-0000-0000F7090000}"/>
    <cellStyle name="20% - Accent6 9" xfId="961" xr:uid="{00000000-0005-0000-0000-0000F8090000}"/>
    <cellStyle name="20% - Accent6 9 2" xfId="962" xr:uid="{00000000-0005-0000-0000-0000F9090000}"/>
    <cellStyle name="20% - Accent6 9 2 2" xfId="963" xr:uid="{00000000-0005-0000-0000-0000FA090000}"/>
    <cellStyle name="20% - Accent6 9 2 2 2" xfId="38782" xr:uid="{00000000-0005-0000-0000-0000FB090000}"/>
    <cellStyle name="20% - Accent6 9 2 3" xfId="964" xr:uid="{00000000-0005-0000-0000-0000FC090000}"/>
    <cellStyle name="20% - Accent6 9 2 4" xfId="20420" xr:uid="{00000000-0005-0000-0000-0000FD090000}"/>
    <cellStyle name="20% - Accent6 9 3" xfId="965" xr:uid="{00000000-0005-0000-0000-0000FE090000}"/>
    <cellStyle name="20% - Accent6 9 3 2" xfId="966" xr:uid="{00000000-0005-0000-0000-0000FF090000}"/>
    <cellStyle name="20% - Accent6 9 3 3" xfId="967" xr:uid="{00000000-0005-0000-0000-0000000A0000}"/>
    <cellStyle name="20% - Accent6 9 3 4" xfId="20421" xr:uid="{00000000-0005-0000-0000-0000010A0000}"/>
    <cellStyle name="20% - Accent6 9 4" xfId="20419" xr:uid="{00000000-0005-0000-0000-0000020A0000}"/>
    <cellStyle name="40% - Accent1" xfId="44341" builtinId="31" customBuiltin="1"/>
    <cellStyle name="40% - Accent1 10" xfId="20422" xr:uid="{00000000-0005-0000-0000-0000040A0000}"/>
    <cellStyle name="40% - Accent1 10 2" xfId="968" xr:uid="{00000000-0005-0000-0000-0000050A0000}"/>
    <cellStyle name="40% - Accent1 10 2 2" xfId="969" xr:uid="{00000000-0005-0000-0000-0000060A0000}"/>
    <cellStyle name="40% - Accent1 10 2 2 2" xfId="38783" xr:uid="{00000000-0005-0000-0000-0000070A0000}"/>
    <cellStyle name="40% - Accent1 10 2 3" xfId="970" xr:uid="{00000000-0005-0000-0000-0000080A0000}"/>
    <cellStyle name="40% - Accent1 10 2 4" xfId="20423" xr:uid="{00000000-0005-0000-0000-0000090A0000}"/>
    <cellStyle name="40% - Accent1 10 3" xfId="971" xr:uid="{00000000-0005-0000-0000-00000A0A0000}"/>
    <cellStyle name="40% - Accent1 10 3 2" xfId="972" xr:uid="{00000000-0005-0000-0000-00000B0A0000}"/>
    <cellStyle name="40% - Accent1 10 3 3" xfId="973" xr:uid="{00000000-0005-0000-0000-00000C0A0000}"/>
    <cellStyle name="40% - Accent1 10 3 4" xfId="20424" xr:uid="{00000000-0005-0000-0000-00000D0A0000}"/>
    <cellStyle name="40% - Accent1 11" xfId="20425" xr:uid="{00000000-0005-0000-0000-00000E0A0000}"/>
    <cellStyle name="40% - Accent1 11 2" xfId="974" xr:uid="{00000000-0005-0000-0000-00000F0A0000}"/>
    <cellStyle name="40% - Accent1 11 2 2" xfId="975" xr:uid="{00000000-0005-0000-0000-0000100A0000}"/>
    <cellStyle name="40% - Accent1 11 2 3" xfId="976" xr:uid="{00000000-0005-0000-0000-0000110A0000}"/>
    <cellStyle name="40% - Accent1 11 3" xfId="977" xr:uid="{00000000-0005-0000-0000-0000120A0000}"/>
    <cellStyle name="40% - Accent1 11 3 2" xfId="978" xr:uid="{00000000-0005-0000-0000-0000130A0000}"/>
    <cellStyle name="40% - Accent1 11 3 3" xfId="979" xr:uid="{00000000-0005-0000-0000-0000140A0000}"/>
    <cellStyle name="40% - Accent1 12" xfId="20426" xr:uid="{00000000-0005-0000-0000-0000150A0000}"/>
    <cellStyle name="40% - Accent1 12 2" xfId="980" xr:uid="{00000000-0005-0000-0000-0000160A0000}"/>
    <cellStyle name="40% - Accent1 12 2 2" xfId="981" xr:uid="{00000000-0005-0000-0000-0000170A0000}"/>
    <cellStyle name="40% - Accent1 12 2 3" xfId="982" xr:uid="{00000000-0005-0000-0000-0000180A0000}"/>
    <cellStyle name="40% - Accent1 12 3" xfId="983" xr:uid="{00000000-0005-0000-0000-0000190A0000}"/>
    <cellStyle name="40% - Accent1 12 3 2" xfId="984" xr:uid="{00000000-0005-0000-0000-00001A0A0000}"/>
    <cellStyle name="40% - Accent1 12 3 3" xfId="985" xr:uid="{00000000-0005-0000-0000-00001B0A0000}"/>
    <cellStyle name="40% - Accent1 13 2" xfId="986" xr:uid="{00000000-0005-0000-0000-00001C0A0000}"/>
    <cellStyle name="40% - Accent1 13 2 2" xfId="987" xr:uid="{00000000-0005-0000-0000-00001D0A0000}"/>
    <cellStyle name="40% - Accent1 13 2 3" xfId="988" xr:uid="{00000000-0005-0000-0000-00001E0A0000}"/>
    <cellStyle name="40% - Accent1 13 3" xfId="989" xr:uid="{00000000-0005-0000-0000-00001F0A0000}"/>
    <cellStyle name="40% - Accent1 13 3 2" xfId="990" xr:uid="{00000000-0005-0000-0000-0000200A0000}"/>
    <cellStyle name="40% - Accent1 13 3 3" xfId="991" xr:uid="{00000000-0005-0000-0000-0000210A0000}"/>
    <cellStyle name="40% - Accent1 14 2" xfId="992" xr:uid="{00000000-0005-0000-0000-0000220A0000}"/>
    <cellStyle name="40% - Accent1 14 2 2" xfId="993" xr:uid="{00000000-0005-0000-0000-0000230A0000}"/>
    <cellStyle name="40% - Accent1 14 2 3" xfId="994" xr:uid="{00000000-0005-0000-0000-0000240A0000}"/>
    <cellStyle name="40% - Accent1 14 3" xfId="995" xr:uid="{00000000-0005-0000-0000-0000250A0000}"/>
    <cellStyle name="40% - Accent1 14 3 2" xfId="996" xr:uid="{00000000-0005-0000-0000-0000260A0000}"/>
    <cellStyle name="40% - Accent1 14 3 3" xfId="997" xr:uid="{00000000-0005-0000-0000-0000270A0000}"/>
    <cellStyle name="40% - Accent1 15" xfId="998" xr:uid="{00000000-0005-0000-0000-0000280A0000}"/>
    <cellStyle name="40% - Accent1 15 2" xfId="999" xr:uid="{00000000-0005-0000-0000-0000290A0000}"/>
    <cellStyle name="40% - Accent1 15 2 2" xfId="1000" xr:uid="{00000000-0005-0000-0000-00002A0A0000}"/>
    <cellStyle name="40% - Accent1 15 2 3" xfId="1001" xr:uid="{00000000-0005-0000-0000-00002B0A0000}"/>
    <cellStyle name="40% - Accent1 15 3" xfId="1002" xr:uid="{00000000-0005-0000-0000-00002C0A0000}"/>
    <cellStyle name="40% - Accent1 15 3 2" xfId="1003" xr:uid="{00000000-0005-0000-0000-00002D0A0000}"/>
    <cellStyle name="40% - Accent1 15 3 3" xfId="1004" xr:uid="{00000000-0005-0000-0000-00002E0A0000}"/>
    <cellStyle name="40% - Accent1 15 4" xfId="1005" xr:uid="{00000000-0005-0000-0000-00002F0A0000}"/>
    <cellStyle name="40% - Accent1 15 4 2" xfId="1006" xr:uid="{00000000-0005-0000-0000-0000300A0000}"/>
    <cellStyle name="40% - Accent1 15 4 3" xfId="1007" xr:uid="{00000000-0005-0000-0000-0000310A0000}"/>
    <cellStyle name="40% - Accent1 15 5" xfId="1008" xr:uid="{00000000-0005-0000-0000-0000320A0000}"/>
    <cellStyle name="40% - Accent1 15 5 2" xfId="1009" xr:uid="{00000000-0005-0000-0000-0000330A0000}"/>
    <cellStyle name="40% - Accent1 15 5 3" xfId="1010" xr:uid="{00000000-0005-0000-0000-0000340A0000}"/>
    <cellStyle name="40% - Accent1 15 6" xfId="1011" xr:uid="{00000000-0005-0000-0000-0000350A0000}"/>
    <cellStyle name="40% - Accent1 15 6 2" xfId="1012" xr:uid="{00000000-0005-0000-0000-0000360A0000}"/>
    <cellStyle name="40% - Accent1 15 6 3" xfId="1013" xr:uid="{00000000-0005-0000-0000-0000370A0000}"/>
    <cellStyle name="40% - Accent1 15 7" xfId="1014" xr:uid="{00000000-0005-0000-0000-0000380A0000}"/>
    <cellStyle name="40% - Accent1 15 7 2" xfId="1015" xr:uid="{00000000-0005-0000-0000-0000390A0000}"/>
    <cellStyle name="40% - Accent1 15 7 3" xfId="1016" xr:uid="{00000000-0005-0000-0000-00003A0A0000}"/>
    <cellStyle name="40% - Accent1 15 8" xfId="1017" xr:uid="{00000000-0005-0000-0000-00003B0A0000}"/>
    <cellStyle name="40% - Accent1 15 9" xfId="1018" xr:uid="{00000000-0005-0000-0000-00003C0A0000}"/>
    <cellStyle name="40% - Accent1 16" xfId="1019" xr:uid="{00000000-0005-0000-0000-00003D0A0000}"/>
    <cellStyle name="40% - Accent1 16 2" xfId="1020" xr:uid="{00000000-0005-0000-0000-00003E0A0000}"/>
    <cellStyle name="40% - Accent1 16 3" xfId="1021" xr:uid="{00000000-0005-0000-0000-00003F0A0000}"/>
    <cellStyle name="40% - Accent1 17" xfId="1022" xr:uid="{00000000-0005-0000-0000-0000400A0000}"/>
    <cellStyle name="40% - Accent1 17 2" xfId="1023" xr:uid="{00000000-0005-0000-0000-0000410A0000}"/>
    <cellStyle name="40% - Accent1 17 3" xfId="1024" xr:uid="{00000000-0005-0000-0000-0000420A0000}"/>
    <cellStyle name="40% - Accent1 18" xfId="1025" xr:uid="{00000000-0005-0000-0000-0000430A0000}"/>
    <cellStyle name="40% - Accent1 18 2" xfId="1026" xr:uid="{00000000-0005-0000-0000-0000440A0000}"/>
    <cellStyle name="40% - Accent1 18 3" xfId="1027" xr:uid="{00000000-0005-0000-0000-0000450A0000}"/>
    <cellStyle name="40% - Accent1 19" xfId="1028" xr:uid="{00000000-0005-0000-0000-0000460A0000}"/>
    <cellStyle name="40% - Accent1 19 2" xfId="1029" xr:uid="{00000000-0005-0000-0000-0000470A0000}"/>
    <cellStyle name="40% - Accent1 19 3" xfId="1030" xr:uid="{00000000-0005-0000-0000-0000480A0000}"/>
    <cellStyle name="40% - Accent1 2" xfId="1031" xr:uid="{00000000-0005-0000-0000-0000490A0000}"/>
    <cellStyle name="40% - Accent1 2 2" xfId="1032" xr:uid="{00000000-0005-0000-0000-00004A0A0000}"/>
    <cellStyle name="40% - Accent1 2 2 2" xfId="1033" xr:uid="{00000000-0005-0000-0000-00004B0A0000}"/>
    <cellStyle name="40% - Accent1 2 2 2 2" xfId="20429" xr:uid="{00000000-0005-0000-0000-00004C0A0000}"/>
    <cellStyle name="40% - Accent1 2 2 2 3" xfId="20430" xr:uid="{00000000-0005-0000-0000-00004D0A0000}"/>
    <cellStyle name="40% - Accent1 2 2 2 4" xfId="20431" xr:uid="{00000000-0005-0000-0000-00004E0A0000}"/>
    <cellStyle name="40% - Accent1 2 2 2 5" xfId="20428" xr:uid="{00000000-0005-0000-0000-00004F0A0000}"/>
    <cellStyle name="40% - Accent1 2 2 3" xfId="1034" xr:uid="{00000000-0005-0000-0000-0000500A0000}"/>
    <cellStyle name="40% - Accent1 2 2 3 2" xfId="20433" xr:uid="{00000000-0005-0000-0000-0000510A0000}"/>
    <cellStyle name="40% - Accent1 2 2 3 2 2" xfId="20434" xr:uid="{00000000-0005-0000-0000-0000520A0000}"/>
    <cellStyle name="40% - Accent1 2 2 3 2 2 2" xfId="38787" xr:uid="{00000000-0005-0000-0000-0000530A0000}"/>
    <cellStyle name="40% - Accent1 2 2 3 2 3" xfId="38786" xr:uid="{00000000-0005-0000-0000-0000540A0000}"/>
    <cellStyle name="40% - Accent1 2 2 3 3" xfId="20435" xr:uid="{00000000-0005-0000-0000-0000550A0000}"/>
    <cellStyle name="40% - Accent1 2 2 3 3 2" xfId="38788" xr:uid="{00000000-0005-0000-0000-0000560A0000}"/>
    <cellStyle name="40% - Accent1 2 2 3 4" xfId="20436" xr:uid="{00000000-0005-0000-0000-0000570A0000}"/>
    <cellStyle name="40% - Accent1 2 2 3 5" xfId="38785" xr:uid="{00000000-0005-0000-0000-0000580A0000}"/>
    <cellStyle name="40% - Accent1 2 2 3 6" xfId="20432" xr:uid="{00000000-0005-0000-0000-0000590A0000}"/>
    <cellStyle name="40% - Accent1 2 2 4" xfId="20437" xr:uid="{00000000-0005-0000-0000-00005A0A0000}"/>
    <cellStyle name="40% - Accent1 2 2 4 2" xfId="20438" xr:uid="{00000000-0005-0000-0000-00005B0A0000}"/>
    <cellStyle name="40% - Accent1 2 2 4 2 2" xfId="38790" xr:uid="{00000000-0005-0000-0000-00005C0A0000}"/>
    <cellStyle name="40% - Accent1 2 2 4 3" xfId="20439" xr:uid="{00000000-0005-0000-0000-00005D0A0000}"/>
    <cellStyle name="40% - Accent1 2 2 4 4" xfId="38789" xr:uid="{00000000-0005-0000-0000-00005E0A0000}"/>
    <cellStyle name="40% - Accent1 2 2 5" xfId="20440" xr:uid="{00000000-0005-0000-0000-00005F0A0000}"/>
    <cellStyle name="40% - Accent1 2 2 5 2" xfId="20441" xr:uid="{00000000-0005-0000-0000-0000600A0000}"/>
    <cellStyle name="40% - Accent1 2 2 5 3" xfId="38791" xr:uid="{00000000-0005-0000-0000-0000610A0000}"/>
    <cellStyle name="40% - Accent1 2 2 6" xfId="20442" xr:uid="{00000000-0005-0000-0000-0000620A0000}"/>
    <cellStyle name="40% - Accent1 2 2 6 2" xfId="20443" xr:uid="{00000000-0005-0000-0000-0000630A0000}"/>
    <cellStyle name="40% - Accent1 2 2 7" xfId="20444" xr:uid="{00000000-0005-0000-0000-0000640A0000}"/>
    <cellStyle name="40% - Accent1 2 2 8" xfId="38784" xr:uid="{00000000-0005-0000-0000-0000650A0000}"/>
    <cellStyle name="40% - Accent1 2 2 9" xfId="20427" xr:uid="{00000000-0005-0000-0000-0000660A0000}"/>
    <cellStyle name="40% - Accent1 2 3" xfId="1035" xr:uid="{00000000-0005-0000-0000-0000670A0000}"/>
    <cellStyle name="40% - Accent1 2 3 2" xfId="1036" xr:uid="{00000000-0005-0000-0000-0000680A0000}"/>
    <cellStyle name="40% - Accent1 2 3 2 2" xfId="20447" xr:uid="{00000000-0005-0000-0000-0000690A0000}"/>
    <cellStyle name="40% - Accent1 2 3 2 3" xfId="20448" xr:uid="{00000000-0005-0000-0000-00006A0A0000}"/>
    <cellStyle name="40% - Accent1 2 3 2 4" xfId="20449" xr:uid="{00000000-0005-0000-0000-00006B0A0000}"/>
    <cellStyle name="40% - Accent1 2 3 2 5" xfId="38792" xr:uid="{00000000-0005-0000-0000-00006C0A0000}"/>
    <cellStyle name="40% - Accent1 2 3 2 6" xfId="20446" xr:uid="{00000000-0005-0000-0000-00006D0A0000}"/>
    <cellStyle name="40% - Accent1 2 3 3" xfId="1037" xr:uid="{00000000-0005-0000-0000-00006E0A0000}"/>
    <cellStyle name="40% - Accent1 2 3 3 2" xfId="20450" xr:uid="{00000000-0005-0000-0000-00006F0A0000}"/>
    <cellStyle name="40% - Accent1 2 3 4" xfId="20451" xr:uid="{00000000-0005-0000-0000-0000700A0000}"/>
    <cellStyle name="40% - Accent1 2 3 5" xfId="20452" xr:uid="{00000000-0005-0000-0000-0000710A0000}"/>
    <cellStyle name="40% - Accent1 2 3 6" xfId="20445" xr:uid="{00000000-0005-0000-0000-0000720A0000}"/>
    <cellStyle name="40% - Accent1 2 4" xfId="20453" xr:uid="{00000000-0005-0000-0000-0000730A0000}"/>
    <cellStyle name="40% - Accent1 2 4 2" xfId="20454" xr:uid="{00000000-0005-0000-0000-0000740A0000}"/>
    <cellStyle name="40% - Accent1 2 5" xfId="20455" xr:uid="{00000000-0005-0000-0000-0000750A0000}"/>
    <cellStyle name="40% - Accent1 2 5 2" xfId="20456" xr:uid="{00000000-0005-0000-0000-0000760A0000}"/>
    <cellStyle name="40% - Accent1 2 5 3" xfId="20457" xr:uid="{00000000-0005-0000-0000-0000770A0000}"/>
    <cellStyle name="40% - Accent1 2 6" xfId="20458" xr:uid="{00000000-0005-0000-0000-0000780A0000}"/>
    <cellStyle name="40% - Accent1 2 6 2" xfId="20459" xr:uid="{00000000-0005-0000-0000-0000790A0000}"/>
    <cellStyle name="40% - Accent1 2 7" xfId="20460" xr:uid="{00000000-0005-0000-0000-00007A0A0000}"/>
    <cellStyle name="40% - Accent1 2 7 2" xfId="20461" xr:uid="{00000000-0005-0000-0000-00007B0A0000}"/>
    <cellStyle name="40% - Accent1 2 8" xfId="20462" xr:uid="{00000000-0005-0000-0000-00007C0A0000}"/>
    <cellStyle name="40% - Accent1 20" xfId="1038" xr:uid="{00000000-0005-0000-0000-00007D0A0000}"/>
    <cellStyle name="40% - Accent1 20 2" xfId="1039" xr:uid="{00000000-0005-0000-0000-00007E0A0000}"/>
    <cellStyle name="40% - Accent1 20 3" xfId="1040" xr:uid="{00000000-0005-0000-0000-00007F0A0000}"/>
    <cellStyle name="40% - Accent1 21" xfId="1041" xr:uid="{00000000-0005-0000-0000-0000800A0000}"/>
    <cellStyle name="40% - Accent1 21 2" xfId="1042" xr:uid="{00000000-0005-0000-0000-0000810A0000}"/>
    <cellStyle name="40% - Accent1 21 3" xfId="1043" xr:uid="{00000000-0005-0000-0000-0000820A0000}"/>
    <cellStyle name="40% - Accent1 22" xfId="1044" xr:uid="{00000000-0005-0000-0000-0000830A0000}"/>
    <cellStyle name="40% - Accent1 22 2" xfId="1045" xr:uid="{00000000-0005-0000-0000-0000840A0000}"/>
    <cellStyle name="40% - Accent1 22 3" xfId="1046" xr:uid="{00000000-0005-0000-0000-0000850A0000}"/>
    <cellStyle name="40% - Accent1 3" xfId="1047" xr:uid="{00000000-0005-0000-0000-0000860A0000}"/>
    <cellStyle name="40% - Accent1 3 10" xfId="20463" xr:uid="{00000000-0005-0000-0000-0000870A0000}"/>
    <cellStyle name="40% - Accent1 3 2" xfId="1048" xr:uid="{00000000-0005-0000-0000-0000880A0000}"/>
    <cellStyle name="40% - Accent1 3 2 2" xfId="1049" xr:uid="{00000000-0005-0000-0000-0000890A0000}"/>
    <cellStyle name="40% - Accent1 3 2 2 2" xfId="20466" xr:uid="{00000000-0005-0000-0000-00008A0A0000}"/>
    <cellStyle name="40% - Accent1 3 2 2 2 2" xfId="20467" xr:uid="{00000000-0005-0000-0000-00008B0A0000}"/>
    <cellStyle name="40% - Accent1 3 2 2 2 2 2" xfId="38796" xr:uid="{00000000-0005-0000-0000-00008C0A0000}"/>
    <cellStyle name="40% - Accent1 3 2 2 2 3" xfId="20468" xr:uid="{00000000-0005-0000-0000-00008D0A0000}"/>
    <cellStyle name="40% - Accent1 3 2 2 2 4" xfId="38795" xr:uid="{00000000-0005-0000-0000-00008E0A0000}"/>
    <cellStyle name="40% - Accent1 3 2 2 3" xfId="20469" xr:uid="{00000000-0005-0000-0000-00008F0A0000}"/>
    <cellStyle name="40% - Accent1 3 2 2 3 2" xfId="20470" xr:uid="{00000000-0005-0000-0000-0000900A0000}"/>
    <cellStyle name="40% - Accent1 3 2 2 3 3" xfId="38797" xr:uid="{00000000-0005-0000-0000-0000910A0000}"/>
    <cellStyle name="40% - Accent1 3 2 2 4" xfId="20471" xr:uid="{00000000-0005-0000-0000-0000920A0000}"/>
    <cellStyle name="40% - Accent1 3 2 2 5" xfId="38794" xr:uid="{00000000-0005-0000-0000-0000930A0000}"/>
    <cellStyle name="40% - Accent1 3 2 2 6" xfId="20465" xr:uid="{00000000-0005-0000-0000-0000940A0000}"/>
    <cellStyle name="40% - Accent1 3 2 3" xfId="1050" xr:uid="{00000000-0005-0000-0000-0000950A0000}"/>
    <cellStyle name="40% - Accent1 3 2 3 2" xfId="20473" xr:uid="{00000000-0005-0000-0000-0000960A0000}"/>
    <cellStyle name="40% - Accent1 3 2 3 2 2" xfId="38799" xr:uid="{00000000-0005-0000-0000-0000970A0000}"/>
    <cellStyle name="40% - Accent1 3 2 3 3" xfId="20474" xr:uid="{00000000-0005-0000-0000-0000980A0000}"/>
    <cellStyle name="40% - Accent1 3 2 3 4" xfId="38798" xr:uid="{00000000-0005-0000-0000-0000990A0000}"/>
    <cellStyle name="40% - Accent1 3 2 3 5" xfId="20472" xr:uid="{00000000-0005-0000-0000-00009A0A0000}"/>
    <cellStyle name="40% - Accent1 3 2 4" xfId="20475" xr:uid="{00000000-0005-0000-0000-00009B0A0000}"/>
    <cellStyle name="40% - Accent1 3 2 4 2" xfId="20476" xr:uid="{00000000-0005-0000-0000-00009C0A0000}"/>
    <cellStyle name="40% - Accent1 3 2 4 3" xfId="38800" xr:uid="{00000000-0005-0000-0000-00009D0A0000}"/>
    <cellStyle name="40% - Accent1 3 2 5" xfId="20477" xr:uid="{00000000-0005-0000-0000-00009E0A0000}"/>
    <cellStyle name="40% - Accent1 3 2 5 2" xfId="20478" xr:uid="{00000000-0005-0000-0000-00009F0A0000}"/>
    <cellStyle name="40% - Accent1 3 2 6" xfId="20479" xr:uid="{00000000-0005-0000-0000-0000A00A0000}"/>
    <cellStyle name="40% - Accent1 3 2 6 2" xfId="20480" xr:uid="{00000000-0005-0000-0000-0000A10A0000}"/>
    <cellStyle name="40% - Accent1 3 2 7" xfId="20481" xr:uid="{00000000-0005-0000-0000-0000A20A0000}"/>
    <cellStyle name="40% - Accent1 3 2 8" xfId="38793" xr:uid="{00000000-0005-0000-0000-0000A30A0000}"/>
    <cellStyle name="40% - Accent1 3 2 9" xfId="20464" xr:uid="{00000000-0005-0000-0000-0000A40A0000}"/>
    <cellStyle name="40% - Accent1 3 3" xfId="1051" xr:uid="{00000000-0005-0000-0000-0000A50A0000}"/>
    <cellStyle name="40% - Accent1 3 3 2" xfId="1052" xr:uid="{00000000-0005-0000-0000-0000A60A0000}"/>
    <cellStyle name="40% - Accent1 3 3 2 2" xfId="20484" xr:uid="{00000000-0005-0000-0000-0000A70A0000}"/>
    <cellStyle name="40% - Accent1 3 3 2 2 2" xfId="38803" xr:uid="{00000000-0005-0000-0000-0000A80A0000}"/>
    <cellStyle name="40% - Accent1 3 3 2 3" xfId="38802" xr:uid="{00000000-0005-0000-0000-0000A90A0000}"/>
    <cellStyle name="40% - Accent1 3 3 2 4" xfId="20483" xr:uid="{00000000-0005-0000-0000-0000AA0A0000}"/>
    <cellStyle name="40% - Accent1 3 3 3" xfId="1053" xr:uid="{00000000-0005-0000-0000-0000AB0A0000}"/>
    <cellStyle name="40% - Accent1 3 3 3 2" xfId="38804" xr:uid="{00000000-0005-0000-0000-0000AC0A0000}"/>
    <cellStyle name="40% - Accent1 3 3 3 3" xfId="20485" xr:uid="{00000000-0005-0000-0000-0000AD0A0000}"/>
    <cellStyle name="40% - Accent1 3 3 4" xfId="20486" xr:uid="{00000000-0005-0000-0000-0000AE0A0000}"/>
    <cellStyle name="40% - Accent1 3 3 5" xfId="38801" xr:uid="{00000000-0005-0000-0000-0000AF0A0000}"/>
    <cellStyle name="40% - Accent1 3 3 6" xfId="20482" xr:uid="{00000000-0005-0000-0000-0000B00A0000}"/>
    <cellStyle name="40% - Accent1 3 4" xfId="20487" xr:uid="{00000000-0005-0000-0000-0000B10A0000}"/>
    <cellStyle name="40% - Accent1 3 4 2" xfId="20488" xr:uid="{00000000-0005-0000-0000-0000B20A0000}"/>
    <cellStyle name="40% - Accent1 3 4 2 2" xfId="38806" xr:uid="{00000000-0005-0000-0000-0000B30A0000}"/>
    <cellStyle name="40% - Accent1 3 4 3" xfId="20489" xr:uid="{00000000-0005-0000-0000-0000B40A0000}"/>
    <cellStyle name="40% - Accent1 3 4 4" xfId="38805" xr:uid="{00000000-0005-0000-0000-0000B50A0000}"/>
    <cellStyle name="40% - Accent1 3 5" xfId="20490" xr:uid="{00000000-0005-0000-0000-0000B60A0000}"/>
    <cellStyle name="40% - Accent1 3 5 2" xfId="20491" xr:uid="{00000000-0005-0000-0000-0000B70A0000}"/>
    <cellStyle name="40% - Accent1 3 5 3" xfId="38807" xr:uid="{00000000-0005-0000-0000-0000B80A0000}"/>
    <cellStyle name="40% - Accent1 3 6" xfId="20492" xr:uid="{00000000-0005-0000-0000-0000B90A0000}"/>
    <cellStyle name="40% - Accent1 3 6 2" xfId="20493" xr:uid="{00000000-0005-0000-0000-0000BA0A0000}"/>
    <cellStyle name="40% - Accent1 3 6 3" xfId="20494" xr:uid="{00000000-0005-0000-0000-0000BB0A0000}"/>
    <cellStyle name="40% - Accent1 3 7" xfId="20495" xr:uid="{00000000-0005-0000-0000-0000BC0A0000}"/>
    <cellStyle name="40% - Accent1 3 7 2" xfId="20496" xr:uid="{00000000-0005-0000-0000-0000BD0A0000}"/>
    <cellStyle name="40% - Accent1 3 8" xfId="20497" xr:uid="{00000000-0005-0000-0000-0000BE0A0000}"/>
    <cellStyle name="40% - Accent1 3 9" xfId="20498" xr:uid="{00000000-0005-0000-0000-0000BF0A0000}"/>
    <cellStyle name="40% - Accent1 4" xfId="1054" xr:uid="{00000000-0005-0000-0000-0000C00A0000}"/>
    <cellStyle name="40% - Accent1 4 2" xfId="1055" xr:uid="{00000000-0005-0000-0000-0000C10A0000}"/>
    <cellStyle name="40% - Accent1 4 2 2" xfId="1056" xr:uid="{00000000-0005-0000-0000-0000C20A0000}"/>
    <cellStyle name="40% - Accent1 4 2 2 2" xfId="20501" xr:uid="{00000000-0005-0000-0000-0000C30A0000}"/>
    <cellStyle name="40% - Accent1 4 2 2 2 2" xfId="20502" xr:uid="{00000000-0005-0000-0000-0000C40A0000}"/>
    <cellStyle name="40% - Accent1 4 2 2 2 2 2" xfId="38811" xr:uid="{00000000-0005-0000-0000-0000C50A0000}"/>
    <cellStyle name="40% - Accent1 4 2 2 2 3" xfId="20503" xr:uid="{00000000-0005-0000-0000-0000C60A0000}"/>
    <cellStyle name="40% - Accent1 4 2 2 2 4" xfId="38810" xr:uid="{00000000-0005-0000-0000-0000C70A0000}"/>
    <cellStyle name="40% - Accent1 4 2 2 3" xfId="20504" xr:uid="{00000000-0005-0000-0000-0000C80A0000}"/>
    <cellStyle name="40% - Accent1 4 2 2 3 2" xfId="20505" xr:uid="{00000000-0005-0000-0000-0000C90A0000}"/>
    <cellStyle name="40% - Accent1 4 2 2 3 3" xfId="38812" xr:uid="{00000000-0005-0000-0000-0000CA0A0000}"/>
    <cellStyle name="40% - Accent1 4 2 2 4" xfId="20506" xr:uid="{00000000-0005-0000-0000-0000CB0A0000}"/>
    <cellStyle name="40% - Accent1 4 2 2 5" xfId="38809" xr:uid="{00000000-0005-0000-0000-0000CC0A0000}"/>
    <cellStyle name="40% - Accent1 4 2 2 6" xfId="20500" xr:uid="{00000000-0005-0000-0000-0000CD0A0000}"/>
    <cellStyle name="40% - Accent1 4 2 3" xfId="1057" xr:uid="{00000000-0005-0000-0000-0000CE0A0000}"/>
    <cellStyle name="40% - Accent1 4 2 3 2" xfId="20508" xr:uid="{00000000-0005-0000-0000-0000CF0A0000}"/>
    <cellStyle name="40% - Accent1 4 2 3 2 2" xfId="38814" xr:uid="{00000000-0005-0000-0000-0000D00A0000}"/>
    <cellStyle name="40% - Accent1 4 2 3 3" xfId="20509" xr:uid="{00000000-0005-0000-0000-0000D10A0000}"/>
    <cellStyle name="40% - Accent1 4 2 3 4" xfId="38813" xr:uid="{00000000-0005-0000-0000-0000D20A0000}"/>
    <cellStyle name="40% - Accent1 4 2 3 5" xfId="20507" xr:uid="{00000000-0005-0000-0000-0000D30A0000}"/>
    <cellStyle name="40% - Accent1 4 2 4" xfId="20510" xr:uid="{00000000-0005-0000-0000-0000D40A0000}"/>
    <cellStyle name="40% - Accent1 4 2 4 2" xfId="20511" xr:uid="{00000000-0005-0000-0000-0000D50A0000}"/>
    <cellStyle name="40% - Accent1 4 2 4 3" xfId="38815" xr:uid="{00000000-0005-0000-0000-0000D60A0000}"/>
    <cellStyle name="40% - Accent1 4 2 5" xfId="20512" xr:uid="{00000000-0005-0000-0000-0000D70A0000}"/>
    <cellStyle name="40% - Accent1 4 2 5 2" xfId="20513" xr:uid="{00000000-0005-0000-0000-0000D80A0000}"/>
    <cellStyle name="40% - Accent1 4 2 6" xfId="20514" xr:uid="{00000000-0005-0000-0000-0000D90A0000}"/>
    <cellStyle name="40% - Accent1 4 2 6 2" xfId="20515" xr:uid="{00000000-0005-0000-0000-0000DA0A0000}"/>
    <cellStyle name="40% - Accent1 4 2 7" xfId="20516" xr:uid="{00000000-0005-0000-0000-0000DB0A0000}"/>
    <cellStyle name="40% - Accent1 4 2 8" xfId="38808" xr:uid="{00000000-0005-0000-0000-0000DC0A0000}"/>
    <cellStyle name="40% - Accent1 4 2 9" xfId="20499" xr:uid="{00000000-0005-0000-0000-0000DD0A0000}"/>
    <cellStyle name="40% - Accent1 4 3" xfId="1058" xr:uid="{00000000-0005-0000-0000-0000DE0A0000}"/>
    <cellStyle name="40% - Accent1 4 3 2" xfId="1059" xr:uid="{00000000-0005-0000-0000-0000DF0A0000}"/>
    <cellStyle name="40% - Accent1 4 3 2 2" xfId="38817" xr:uid="{00000000-0005-0000-0000-0000E00A0000}"/>
    <cellStyle name="40% - Accent1 4 3 2 3" xfId="20518" xr:uid="{00000000-0005-0000-0000-0000E10A0000}"/>
    <cellStyle name="40% - Accent1 4 3 3" xfId="1060" xr:uid="{00000000-0005-0000-0000-0000E20A0000}"/>
    <cellStyle name="40% - Accent1 4 3 3 2" xfId="38818" xr:uid="{00000000-0005-0000-0000-0000E30A0000}"/>
    <cellStyle name="40% - Accent1 4 3 3 3" xfId="20519" xr:uid="{00000000-0005-0000-0000-0000E40A0000}"/>
    <cellStyle name="40% - Accent1 4 3 4" xfId="20520" xr:uid="{00000000-0005-0000-0000-0000E50A0000}"/>
    <cellStyle name="40% - Accent1 4 3 5" xfId="38816" xr:uid="{00000000-0005-0000-0000-0000E60A0000}"/>
    <cellStyle name="40% - Accent1 4 3 6" xfId="20517" xr:uid="{00000000-0005-0000-0000-0000E70A0000}"/>
    <cellStyle name="40% - Accent1 4 4" xfId="1061" xr:uid="{00000000-0005-0000-0000-0000E80A0000}"/>
    <cellStyle name="40% - Accent1 4 4 2" xfId="1062" xr:uid="{00000000-0005-0000-0000-0000E90A0000}"/>
    <cellStyle name="40% - Accent1 4 4 2 2" xfId="1063" xr:uid="{00000000-0005-0000-0000-0000EA0A0000}"/>
    <cellStyle name="40% - Accent1 4 4 2 2 2" xfId="18989" xr:uid="{00000000-0005-0000-0000-0000EB0A0000}"/>
    <cellStyle name="40% - Accent1 4 4 2 2 3" xfId="38820" xr:uid="{00000000-0005-0000-0000-0000EC0A0000}"/>
    <cellStyle name="40% - Accent1 4 4 2 3" xfId="18471" xr:uid="{00000000-0005-0000-0000-0000ED0A0000}"/>
    <cellStyle name="40% - Accent1 4 4 2 4" xfId="20522" xr:uid="{00000000-0005-0000-0000-0000EE0A0000}"/>
    <cellStyle name="40% - Accent1 4 4 3" xfId="1064" xr:uid="{00000000-0005-0000-0000-0000EF0A0000}"/>
    <cellStyle name="40% - Accent1 4 4 3 2" xfId="18707" xr:uid="{00000000-0005-0000-0000-0000F00A0000}"/>
    <cellStyle name="40% - Accent1 4 4 3 3" xfId="20523" xr:uid="{00000000-0005-0000-0000-0000F10A0000}"/>
    <cellStyle name="40% - Accent1 4 4 4" xfId="18180" xr:uid="{00000000-0005-0000-0000-0000F20A0000}"/>
    <cellStyle name="40% - Accent1 4 4 4 2" xfId="38819" xr:uid="{00000000-0005-0000-0000-0000F30A0000}"/>
    <cellStyle name="40% - Accent1 4 4 5" xfId="20521" xr:uid="{00000000-0005-0000-0000-0000F40A0000}"/>
    <cellStyle name="40% - Accent1 4 5" xfId="1065" xr:uid="{00000000-0005-0000-0000-0000F50A0000}"/>
    <cellStyle name="40% - Accent1 4 5 2" xfId="1066" xr:uid="{00000000-0005-0000-0000-0000F60A0000}"/>
    <cellStyle name="40% - Accent1 4 5 2 2" xfId="18869" xr:uid="{00000000-0005-0000-0000-0000F70A0000}"/>
    <cellStyle name="40% - Accent1 4 5 2 3" xfId="38821" xr:uid="{00000000-0005-0000-0000-0000F80A0000}"/>
    <cellStyle name="40% - Accent1 4 5 3" xfId="18348" xr:uid="{00000000-0005-0000-0000-0000F90A0000}"/>
    <cellStyle name="40% - Accent1 4 5 4" xfId="20524" xr:uid="{00000000-0005-0000-0000-0000FA0A0000}"/>
    <cellStyle name="40% - Accent1 4 6" xfId="1067" xr:uid="{00000000-0005-0000-0000-0000FB0A0000}"/>
    <cellStyle name="40% - Accent1 4 6 2" xfId="18590" xr:uid="{00000000-0005-0000-0000-0000FC0A0000}"/>
    <cellStyle name="40% - Accent1 4 6 2 2" xfId="20526" xr:uid="{00000000-0005-0000-0000-0000FD0A0000}"/>
    <cellStyle name="40% - Accent1 4 6 3" xfId="20525" xr:uid="{00000000-0005-0000-0000-0000FE0A0000}"/>
    <cellStyle name="40% - Accent1 4 7" xfId="18032" xr:uid="{00000000-0005-0000-0000-0000FF0A0000}"/>
    <cellStyle name="40% - Accent1 4 7 2" xfId="20528" xr:uid="{00000000-0005-0000-0000-0000000B0000}"/>
    <cellStyle name="40% - Accent1 4 7 3" xfId="20527" xr:uid="{00000000-0005-0000-0000-0000010B0000}"/>
    <cellStyle name="40% - Accent1 4 8" xfId="20529" xr:uid="{00000000-0005-0000-0000-0000020B0000}"/>
    <cellStyle name="40% - Accent1 4 9" xfId="20530" xr:uid="{00000000-0005-0000-0000-0000030B0000}"/>
    <cellStyle name="40% - Accent1 5" xfId="1068" xr:uid="{00000000-0005-0000-0000-0000040B0000}"/>
    <cellStyle name="40% - Accent1 5 2" xfId="1069" xr:uid="{00000000-0005-0000-0000-0000050B0000}"/>
    <cellStyle name="40% - Accent1 5 2 2" xfId="1070" xr:uid="{00000000-0005-0000-0000-0000060B0000}"/>
    <cellStyle name="40% - Accent1 5 2 2 2" xfId="20534" xr:uid="{00000000-0005-0000-0000-0000070B0000}"/>
    <cellStyle name="40% - Accent1 5 2 2 2 2" xfId="20535" xr:uid="{00000000-0005-0000-0000-0000080B0000}"/>
    <cellStyle name="40% - Accent1 5 2 2 2 2 2" xfId="38825" xr:uid="{00000000-0005-0000-0000-0000090B0000}"/>
    <cellStyle name="40% - Accent1 5 2 2 2 3" xfId="38824" xr:uid="{00000000-0005-0000-0000-00000A0B0000}"/>
    <cellStyle name="40% - Accent1 5 2 2 3" xfId="20536" xr:uid="{00000000-0005-0000-0000-00000B0B0000}"/>
    <cellStyle name="40% - Accent1 5 2 2 3 2" xfId="38826" xr:uid="{00000000-0005-0000-0000-00000C0B0000}"/>
    <cellStyle name="40% - Accent1 5 2 2 4" xfId="38823" xr:uid="{00000000-0005-0000-0000-00000D0B0000}"/>
    <cellStyle name="40% - Accent1 5 2 2 5" xfId="20533" xr:uid="{00000000-0005-0000-0000-00000E0B0000}"/>
    <cellStyle name="40% - Accent1 5 2 3" xfId="1071" xr:uid="{00000000-0005-0000-0000-00000F0B0000}"/>
    <cellStyle name="40% - Accent1 5 2 3 2" xfId="20538" xr:uid="{00000000-0005-0000-0000-0000100B0000}"/>
    <cellStyle name="40% - Accent1 5 2 3 2 2" xfId="38828" xr:uid="{00000000-0005-0000-0000-0000110B0000}"/>
    <cellStyle name="40% - Accent1 5 2 3 3" xfId="38827" xr:uid="{00000000-0005-0000-0000-0000120B0000}"/>
    <cellStyle name="40% - Accent1 5 2 3 4" xfId="20537" xr:uid="{00000000-0005-0000-0000-0000130B0000}"/>
    <cellStyle name="40% - Accent1 5 2 4" xfId="20539" xr:uid="{00000000-0005-0000-0000-0000140B0000}"/>
    <cellStyle name="40% - Accent1 5 2 4 2" xfId="38829" xr:uid="{00000000-0005-0000-0000-0000150B0000}"/>
    <cellStyle name="40% - Accent1 5 2 5" xfId="20540" xr:uid="{00000000-0005-0000-0000-0000160B0000}"/>
    <cellStyle name="40% - Accent1 5 2 6" xfId="38822" xr:uid="{00000000-0005-0000-0000-0000170B0000}"/>
    <cellStyle name="40% - Accent1 5 2 7" xfId="20532" xr:uid="{00000000-0005-0000-0000-0000180B0000}"/>
    <cellStyle name="40% - Accent1 5 3" xfId="1072" xr:uid="{00000000-0005-0000-0000-0000190B0000}"/>
    <cellStyle name="40% - Accent1 5 3 2" xfId="1073" xr:uid="{00000000-0005-0000-0000-00001A0B0000}"/>
    <cellStyle name="40% - Accent1 5 3 2 2" xfId="20542" xr:uid="{00000000-0005-0000-0000-00001B0B0000}"/>
    <cellStyle name="40% - Accent1 5 3 3" xfId="1074" xr:uid="{00000000-0005-0000-0000-00001C0B0000}"/>
    <cellStyle name="40% - Accent1 5 3 3 2" xfId="38830" xr:uid="{00000000-0005-0000-0000-00001D0B0000}"/>
    <cellStyle name="40% - Accent1 5 3 4" xfId="20541" xr:uid="{00000000-0005-0000-0000-00001E0B0000}"/>
    <cellStyle name="40% - Accent1 5 4" xfId="20543" xr:uid="{00000000-0005-0000-0000-00001F0B0000}"/>
    <cellStyle name="40% - Accent1 5 5" xfId="20544" xr:uid="{00000000-0005-0000-0000-0000200B0000}"/>
    <cellStyle name="40% - Accent1 5 6" xfId="20531" xr:uid="{00000000-0005-0000-0000-0000210B0000}"/>
    <cellStyle name="40% - Accent1 6" xfId="1075" xr:uid="{00000000-0005-0000-0000-0000220B0000}"/>
    <cellStyle name="40% - Accent1 6 2" xfId="1076" xr:uid="{00000000-0005-0000-0000-0000230B0000}"/>
    <cellStyle name="40% - Accent1 6 2 2" xfId="1077" xr:uid="{00000000-0005-0000-0000-0000240B0000}"/>
    <cellStyle name="40% - Accent1 6 2 2 2" xfId="38832" xr:uid="{00000000-0005-0000-0000-0000250B0000}"/>
    <cellStyle name="40% - Accent1 6 2 2 3" xfId="20547" xr:uid="{00000000-0005-0000-0000-0000260B0000}"/>
    <cellStyle name="40% - Accent1 6 2 3" xfId="1078" xr:uid="{00000000-0005-0000-0000-0000270B0000}"/>
    <cellStyle name="40% - Accent1 6 2 3 2" xfId="20548" xr:uid="{00000000-0005-0000-0000-0000280B0000}"/>
    <cellStyle name="40% - Accent1 6 2 4" xfId="20549" xr:uid="{00000000-0005-0000-0000-0000290B0000}"/>
    <cellStyle name="40% - Accent1 6 2 5" xfId="20546" xr:uid="{00000000-0005-0000-0000-00002A0B0000}"/>
    <cellStyle name="40% - Accent1 6 3" xfId="1079" xr:uid="{00000000-0005-0000-0000-00002B0B0000}"/>
    <cellStyle name="40% - Accent1 6 3 2" xfId="1080" xr:uid="{00000000-0005-0000-0000-00002C0B0000}"/>
    <cellStyle name="40% - Accent1 6 3 2 2" xfId="20552" xr:uid="{00000000-0005-0000-0000-00002D0B0000}"/>
    <cellStyle name="40% - Accent1 6 3 2 2 2" xfId="38835" xr:uid="{00000000-0005-0000-0000-00002E0B0000}"/>
    <cellStyle name="40% - Accent1 6 3 2 3" xfId="38834" xr:uid="{00000000-0005-0000-0000-00002F0B0000}"/>
    <cellStyle name="40% - Accent1 6 3 2 4" xfId="20551" xr:uid="{00000000-0005-0000-0000-0000300B0000}"/>
    <cellStyle name="40% - Accent1 6 3 3" xfId="1081" xr:uid="{00000000-0005-0000-0000-0000310B0000}"/>
    <cellStyle name="40% - Accent1 6 3 3 2" xfId="38836" xr:uid="{00000000-0005-0000-0000-0000320B0000}"/>
    <cellStyle name="40% - Accent1 6 3 3 3" xfId="20553" xr:uid="{00000000-0005-0000-0000-0000330B0000}"/>
    <cellStyle name="40% - Accent1 6 3 4" xfId="20554" xr:uid="{00000000-0005-0000-0000-0000340B0000}"/>
    <cellStyle name="40% - Accent1 6 3 5" xfId="38833" xr:uid="{00000000-0005-0000-0000-0000350B0000}"/>
    <cellStyle name="40% - Accent1 6 3 6" xfId="20550" xr:uid="{00000000-0005-0000-0000-0000360B0000}"/>
    <cellStyle name="40% - Accent1 6 4" xfId="1082" xr:uid="{00000000-0005-0000-0000-0000370B0000}"/>
    <cellStyle name="40% - Accent1 6 4 2" xfId="18745" xr:uid="{00000000-0005-0000-0000-0000380B0000}"/>
    <cellStyle name="40% - Accent1 6 4 2 2" xfId="38838" xr:uid="{00000000-0005-0000-0000-0000390B0000}"/>
    <cellStyle name="40% - Accent1 6 4 2 3" xfId="20556" xr:uid="{00000000-0005-0000-0000-00003A0B0000}"/>
    <cellStyle name="40% - Accent1 6 4 3" xfId="38837" xr:uid="{00000000-0005-0000-0000-00003B0B0000}"/>
    <cellStyle name="40% - Accent1 6 4 4" xfId="20555" xr:uid="{00000000-0005-0000-0000-00003C0B0000}"/>
    <cellStyle name="40% - Accent1 6 5" xfId="18216" xr:uid="{00000000-0005-0000-0000-00003D0B0000}"/>
    <cellStyle name="40% - Accent1 6 5 2" xfId="38839" xr:uid="{00000000-0005-0000-0000-00003E0B0000}"/>
    <cellStyle name="40% - Accent1 6 5 3" xfId="20557" xr:uid="{00000000-0005-0000-0000-00003F0B0000}"/>
    <cellStyle name="40% - Accent1 6 6" xfId="20558" xr:uid="{00000000-0005-0000-0000-0000400B0000}"/>
    <cellStyle name="40% - Accent1 6 7" xfId="38831" xr:uid="{00000000-0005-0000-0000-0000410B0000}"/>
    <cellStyle name="40% - Accent1 6 8" xfId="20545" xr:uid="{00000000-0005-0000-0000-0000420B0000}"/>
    <cellStyle name="40% - Accent1 7" xfId="1083" xr:uid="{00000000-0005-0000-0000-0000430B0000}"/>
    <cellStyle name="40% - Accent1 7 2" xfId="1084" xr:uid="{00000000-0005-0000-0000-0000440B0000}"/>
    <cellStyle name="40% - Accent1 7 2 2" xfId="1085" xr:uid="{00000000-0005-0000-0000-0000450B0000}"/>
    <cellStyle name="40% - Accent1 7 2 2 2" xfId="20562" xr:uid="{00000000-0005-0000-0000-0000460B0000}"/>
    <cellStyle name="40% - Accent1 7 2 2 2 2" xfId="38843" xr:uid="{00000000-0005-0000-0000-0000470B0000}"/>
    <cellStyle name="40% - Accent1 7 2 2 3" xfId="38842" xr:uid="{00000000-0005-0000-0000-0000480B0000}"/>
    <cellStyle name="40% - Accent1 7 2 2 4" xfId="20561" xr:uid="{00000000-0005-0000-0000-0000490B0000}"/>
    <cellStyle name="40% - Accent1 7 2 3" xfId="1086" xr:uid="{00000000-0005-0000-0000-00004A0B0000}"/>
    <cellStyle name="40% - Accent1 7 2 3 2" xfId="38844" xr:uid="{00000000-0005-0000-0000-00004B0B0000}"/>
    <cellStyle name="40% - Accent1 7 2 3 3" xfId="20563" xr:uid="{00000000-0005-0000-0000-00004C0B0000}"/>
    <cellStyle name="40% - Accent1 7 2 4" xfId="38841" xr:uid="{00000000-0005-0000-0000-00004D0B0000}"/>
    <cellStyle name="40% - Accent1 7 2 5" xfId="20560" xr:uid="{00000000-0005-0000-0000-00004E0B0000}"/>
    <cellStyle name="40% - Accent1 7 3" xfId="1087" xr:uid="{00000000-0005-0000-0000-00004F0B0000}"/>
    <cellStyle name="40% - Accent1 7 3 2" xfId="1088" xr:uid="{00000000-0005-0000-0000-0000500B0000}"/>
    <cellStyle name="40% - Accent1 7 3 2 2" xfId="38846" xr:uid="{00000000-0005-0000-0000-0000510B0000}"/>
    <cellStyle name="40% - Accent1 7 3 2 3" xfId="20565" xr:uid="{00000000-0005-0000-0000-0000520B0000}"/>
    <cellStyle name="40% - Accent1 7 3 3" xfId="1089" xr:uid="{00000000-0005-0000-0000-0000530B0000}"/>
    <cellStyle name="40% - Accent1 7 3 3 2" xfId="38845" xr:uid="{00000000-0005-0000-0000-0000540B0000}"/>
    <cellStyle name="40% - Accent1 7 3 4" xfId="20564" xr:uid="{00000000-0005-0000-0000-0000550B0000}"/>
    <cellStyle name="40% - Accent1 7 4" xfId="20566" xr:uid="{00000000-0005-0000-0000-0000560B0000}"/>
    <cellStyle name="40% - Accent1 7 4 2" xfId="38847" xr:uid="{00000000-0005-0000-0000-0000570B0000}"/>
    <cellStyle name="40% - Accent1 7 5" xfId="20567" xr:uid="{00000000-0005-0000-0000-0000580B0000}"/>
    <cellStyle name="40% - Accent1 7 6" xfId="38840" xr:uid="{00000000-0005-0000-0000-0000590B0000}"/>
    <cellStyle name="40% - Accent1 7 7" xfId="20559" xr:uid="{00000000-0005-0000-0000-00005A0B0000}"/>
    <cellStyle name="40% - Accent1 8" xfId="20568" xr:uid="{00000000-0005-0000-0000-00005B0B0000}"/>
    <cellStyle name="40% - Accent1 8 2" xfId="1090" xr:uid="{00000000-0005-0000-0000-00005C0B0000}"/>
    <cellStyle name="40% - Accent1 8 2 2" xfId="1091" xr:uid="{00000000-0005-0000-0000-00005D0B0000}"/>
    <cellStyle name="40% - Accent1 8 2 3" xfId="1092" xr:uid="{00000000-0005-0000-0000-00005E0B0000}"/>
    <cellStyle name="40% - Accent1 8 2 4" xfId="20569" xr:uid="{00000000-0005-0000-0000-00005F0B0000}"/>
    <cellStyle name="40% - Accent1 8 3" xfId="1093" xr:uid="{00000000-0005-0000-0000-0000600B0000}"/>
    <cellStyle name="40% - Accent1 8 3 2" xfId="1094" xr:uid="{00000000-0005-0000-0000-0000610B0000}"/>
    <cellStyle name="40% - Accent1 8 3 2 2" xfId="38848" xr:uid="{00000000-0005-0000-0000-0000620B0000}"/>
    <cellStyle name="40% - Accent1 8 3 3" xfId="1095" xr:uid="{00000000-0005-0000-0000-0000630B0000}"/>
    <cellStyle name="40% - Accent1 8 3 4" xfId="20570" xr:uid="{00000000-0005-0000-0000-0000640B0000}"/>
    <cellStyle name="40% - Accent1 8 4" xfId="20571" xr:uid="{00000000-0005-0000-0000-0000650B0000}"/>
    <cellStyle name="40% - Accent1 9" xfId="20572" xr:uid="{00000000-0005-0000-0000-0000660B0000}"/>
    <cellStyle name="40% - Accent1 9 2" xfId="1096" xr:uid="{00000000-0005-0000-0000-0000670B0000}"/>
    <cellStyle name="40% - Accent1 9 2 2" xfId="1097" xr:uid="{00000000-0005-0000-0000-0000680B0000}"/>
    <cellStyle name="40% - Accent1 9 2 2 2" xfId="38849" xr:uid="{00000000-0005-0000-0000-0000690B0000}"/>
    <cellStyle name="40% - Accent1 9 2 3" xfId="1098" xr:uid="{00000000-0005-0000-0000-00006A0B0000}"/>
    <cellStyle name="40% - Accent1 9 2 4" xfId="20573" xr:uid="{00000000-0005-0000-0000-00006B0B0000}"/>
    <cellStyle name="40% - Accent1 9 3" xfId="1099" xr:uid="{00000000-0005-0000-0000-00006C0B0000}"/>
    <cellStyle name="40% - Accent1 9 3 2" xfId="1100" xr:uid="{00000000-0005-0000-0000-00006D0B0000}"/>
    <cellStyle name="40% - Accent1 9 3 3" xfId="1101" xr:uid="{00000000-0005-0000-0000-00006E0B0000}"/>
    <cellStyle name="40% - Accent1 9 3 4" xfId="20574" xr:uid="{00000000-0005-0000-0000-00006F0B0000}"/>
    <cellStyle name="40% - Accent2" xfId="44345" builtinId="35" customBuiltin="1"/>
    <cellStyle name="40% - Accent2 10" xfId="20575" xr:uid="{00000000-0005-0000-0000-0000710B0000}"/>
    <cellStyle name="40% - Accent2 10 2" xfId="1102" xr:uid="{00000000-0005-0000-0000-0000720B0000}"/>
    <cellStyle name="40% - Accent2 10 2 2" xfId="1103" xr:uid="{00000000-0005-0000-0000-0000730B0000}"/>
    <cellStyle name="40% - Accent2 10 2 2 2" xfId="38850" xr:uid="{00000000-0005-0000-0000-0000740B0000}"/>
    <cellStyle name="40% - Accent2 10 2 3" xfId="1104" xr:uid="{00000000-0005-0000-0000-0000750B0000}"/>
    <cellStyle name="40% - Accent2 10 2 4" xfId="20576" xr:uid="{00000000-0005-0000-0000-0000760B0000}"/>
    <cellStyle name="40% - Accent2 10 3" xfId="1105" xr:uid="{00000000-0005-0000-0000-0000770B0000}"/>
    <cellStyle name="40% - Accent2 10 3 2" xfId="1106" xr:uid="{00000000-0005-0000-0000-0000780B0000}"/>
    <cellStyle name="40% - Accent2 10 3 3" xfId="1107" xr:uid="{00000000-0005-0000-0000-0000790B0000}"/>
    <cellStyle name="40% - Accent2 10 3 4" xfId="20577" xr:uid="{00000000-0005-0000-0000-00007A0B0000}"/>
    <cellStyle name="40% - Accent2 11" xfId="20578" xr:uid="{00000000-0005-0000-0000-00007B0B0000}"/>
    <cellStyle name="40% - Accent2 11 2" xfId="1108" xr:uid="{00000000-0005-0000-0000-00007C0B0000}"/>
    <cellStyle name="40% - Accent2 11 2 2" xfId="1109" xr:uid="{00000000-0005-0000-0000-00007D0B0000}"/>
    <cellStyle name="40% - Accent2 11 2 3" xfId="1110" xr:uid="{00000000-0005-0000-0000-00007E0B0000}"/>
    <cellStyle name="40% - Accent2 11 3" xfId="1111" xr:uid="{00000000-0005-0000-0000-00007F0B0000}"/>
    <cellStyle name="40% - Accent2 11 3 2" xfId="1112" xr:uid="{00000000-0005-0000-0000-0000800B0000}"/>
    <cellStyle name="40% - Accent2 11 3 3" xfId="1113" xr:uid="{00000000-0005-0000-0000-0000810B0000}"/>
    <cellStyle name="40% - Accent2 12" xfId="20579" xr:uid="{00000000-0005-0000-0000-0000820B0000}"/>
    <cellStyle name="40% - Accent2 12 2" xfId="1114" xr:uid="{00000000-0005-0000-0000-0000830B0000}"/>
    <cellStyle name="40% - Accent2 12 2 2" xfId="1115" xr:uid="{00000000-0005-0000-0000-0000840B0000}"/>
    <cellStyle name="40% - Accent2 12 2 3" xfId="1116" xr:uid="{00000000-0005-0000-0000-0000850B0000}"/>
    <cellStyle name="40% - Accent2 12 3" xfId="1117" xr:uid="{00000000-0005-0000-0000-0000860B0000}"/>
    <cellStyle name="40% - Accent2 12 3 2" xfId="1118" xr:uid="{00000000-0005-0000-0000-0000870B0000}"/>
    <cellStyle name="40% - Accent2 12 3 3" xfId="1119" xr:uid="{00000000-0005-0000-0000-0000880B0000}"/>
    <cellStyle name="40% - Accent2 13 2" xfId="1120" xr:uid="{00000000-0005-0000-0000-0000890B0000}"/>
    <cellStyle name="40% - Accent2 13 2 2" xfId="1121" xr:uid="{00000000-0005-0000-0000-00008A0B0000}"/>
    <cellStyle name="40% - Accent2 13 2 3" xfId="1122" xr:uid="{00000000-0005-0000-0000-00008B0B0000}"/>
    <cellStyle name="40% - Accent2 13 3" xfId="1123" xr:uid="{00000000-0005-0000-0000-00008C0B0000}"/>
    <cellStyle name="40% - Accent2 13 3 2" xfId="1124" xr:uid="{00000000-0005-0000-0000-00008D0B0000}"/>
    <cellStyle name="40% - Accent2 13 3 3" xfId="1125" xr:uid="{00000000-0005-0000-0000-00008E0B0000}"/>
    <cellStyle name="40% - Accent2 14 2" xfId="1126" xr:uid="{00000000-0005-0000-0000-00008F0B0000}"/>
    <cellStyle name="40% - Accent2 14 2 2" xfId="1127" xr:uid="{00000000-0005-0000-0000-0000900B0000}"/>
    <cellStyle name="40% - Accent2 14 2 3" xfId="1128" xr:uid="{00000000-0005-0000-0000-0000910B0000}"/>
    <cellStyle name="40% - Accent2 14 3" xfId="1129" xr:uid="{00000000-0005-0000-0000-0000920B0000}"/>
    <cellStyle name="40% - Accent2 14 3 2" xfId="1130" xr:uid="{00000000-0005-0000-0000-0000930B0000}"/>
    <cellStyle name="40% - Accent2 14 3 3" xfId="1131" xr:uid="{00000000-0005-0000-0000-0000940B0000}"/>
    <cellStyle name="40% - Accent2 15" xfId="1132" xr:uid="{00000000-0005-0000-0000-0000950B0000}"/>
    <cellStyle name="40% - Accent2 15 2" xfId="1133" xr:uid="{00000000-0005-0000-0000-0000960B0000}"/>
    <cellStyle name="40% - Accent2 15 2 2" xfId="1134" xr:uid="{00000000-0005-0000-0000-0000970B0000}"/>
    <cellStyle name="40% - Accent2 15 2 3" xfId="1135" xr:uid="{00000000-0005-0000-0000-0000980B0000}"/>
    <cellStyle name="40% - Accent2 15 3" xfId="1136" xr:uid="{00000000-0005-0000-0000-0000990B0000}"/>
    <cellStyle name="40% - Accent2 15 3 2" xfId="1137" xr:uid="{00000000-0005-0000-0000-00009A0B0000}"/>
    <cellStyle name="40% - Accent2 15 3 3" xfId="1138" xr:uid="{00000000-0005-0000-0000-00009B0B0000}"/>
    <cellStyle name="40% - Accent2 15 4" xfId="1139" xr:uid="{00000000-0005-0000-0000-00009C0B0000}"/>
    <cellStyle name="40% - Accent2 15 4 2" xfId="1140" xr:uid="{00000000-0005-0000-0000-00009D0B0000}"/>
    <cellStyle name="40% - Accent2 15 4 3" xfId="1141" xr:uid="{00000000-0005-0000-0000-00009E0B0000}"/>
    <cellStyle name="40% - Accent2 15 5" xfId="1142" xr:uid="{00000000-0005-0000-0000-00009F0B0000}"/>
    <cellStyle name="40% - Accent2 15 5 2" xfId="1143" xr:uid="{00000000-0005-0000-0000-0000A00B0000}"/>
    <cellStyle name="40% - Accent2 15 5 3" xfId="1144" xr:uid="{00000000-0005-0000-0000-0000A10B0000}"/>
    <cellStyle name="40% - Accent2 15 6" xfId="1145" xr:uid="{00000000-0005-0000-0000-0000A20B0000}"/>
    <cellStyle name="40% - Accent2 15 6 2" xfId="1146" xr:uid="{00000000-0005-0000-0000-0000A30B0000}"/>
    <cellStyle name="40% - Accent2 15 6 3" xfId="1147" xr:uid="{00000000-0005-0000-0000-0000A40B0000}"/>
    <cellStyle name="40% - Accent2 15 7" xfId="1148" xr:uid="{00000000-0005-0000-0000-0000A50B0000}"/>
    <cellStyle name="40% - Accent2 15 7 2" xfId="1149" xr:uid="{00000000-0005-0000-0000-0000A60B0000}"/>
    <cellStyle name="40% - Accent2 15 7 3" xfId="1150" xr:uid="{00000000-0005-0000-0000-0000A70B0000}"/>
    <cellStyle name="40% - Accent2 15 8" xfId="1151" xr:uid="{00000000-0005-0000-0000-0000A80B0000}"/>
    <cellStyle name="40% - Accent2 15 9" xfId="1152" xr:uid="{00000000-0005-0000-0000-0000A90B0000}"/>
    <cellStyle name="40% - Accent2 16" xfId="1153" xr:uid="{00000000-0005-0000-0000-0000AA0B0000}"/>
    <cellStyle name="40% - Accent2 16 2" xfId="1154" xr:uid="{00000000-0005-0000-0000-0000AB0B0000}"/>
    <cellStyle name="40% - Accent2 16 3" xfId="1155" xr:uid="{00000000-0005-0000-0000-0000AC0B0000}"/>
    <cellStyle name="40% - Accent2 17" xfId="1156" xr:uid="{00000000-0005-0000-0000-0000AD0B0000}"/>
    <cellStyle name="40% - Accent2 17 2" xfId="1157" xr:uid="{00000000-0005-0000-0000-0000AE0B0000}"/>
    <cellStyle name="40% - Accent2 17 3" xfId="1158" xr:uid="{00000000-0005-0000-0000-0000AF0B0000}"/>
    <cellStyle name="40% - Accent2 18" xfId="1159" xr:uid="{00000000-0005-0000-0000-0000B00B0000}"/>
    <cellStyle name="40% - Accent2 18 2" xfId="1160" xr:uid="{00000000-0005-0000-0000-0000B10B0000}"/>
    <cellStyle name="40% - Accent2 18 3" xfId="1161" xr:uid="{00000000-0005-0000-0000-0000B20B0000}"/>
    <cellStyle name="40% - Accent2 19" xfId="1162" xr:uid="{00000000-0005-0000-0000-0000B30B0000}"/>
    <cellStyle name="40% - Accent2 19 2" xfId="1163" xr:uid="{00000000-0005-0000-0000-0000B40B0000}"/>
    <cellStyle name="40% - Accent2 19 3" xfId="1164" xr:uid="{00000000-0005-0000-0000-0000B50B0000}"/>
    <cellStyle name="40% - Accent2 2" xfId="1165" xr:uid="{00000000-0005-0000-0000-0000B60B0000}"/>
    <cellStyle name="40% - Accent2 2 2" xfId="1166" xr:uid="{00000000-0005-0000-0000-0000B70B0000}"/>
    <cellStyle name="40% - Accent2 2 2 2" xfId="1167" xr:uid="{00000000-0005-0000-0000-0000B80B0000}"/>
    <cellStyle name="40% - Accent2 2 2 2 2" xfId="20582" xr:uid="{00000000-0005-0000-0000-0000B90B0000}"/>
    <cellStyle name="40% - Accent2 2 2 2 3" xfId="20583" xr:uid="{00000000-0005-0000-0000-0000BA0B0000}"/>
    <cellStyle name="40% - Accent2 2 2 2 4" xfId="20584" xr:uid="{00000000-0005-0000-0000-0000BB0B0000}"/>
    <cellStyle name="40% - Accent2 2 2 2 5" xfId="20581" xr:uid="{00000000-0005-0000-0000-0000BC0B0000}"/>
    <cellStyle name="40% - Accent2 2 2 3" xfId="1168" xr:uid="{00000000-0005-0000-0000-0000BD0B0000}"/>
    <cellStyle name="40% - Accent2 2 2 3 2" xfId="20586" xr:uid="{00000000-0005-0000-0000-0000BE0B0000}"/>
    <cellStyle name="40% - Accent2 2 2 3 2 2" xfId="20587" xr:uid="{00000000-0005-0000-0000-0000BF0B0000}"/>
    <cellStyle name="40% - Accent2 2 2 3 2 2 2" xfId="38854" xr:uid="{00000000-0005-0000-0000-0000C00B0000}"/>
    <cellStyle name="40% - Accent2 2 2 3 2 3" xfId="38853" xr:uid="{00000000-0005-0000-0000-0000C10B0000}"/>
    <cellStyle name="40% - Accent2 2 2 3 3" xfId="20588" xr:uid="{00000000-0005-0000-0000-0000C20B0000}"/>
    <cellStyle name="40% - Accent2 2 2 3 3 2" xfId="38855" xr:uid="{00000000-0005-0000-0000-0000C30B0000}"/>
    <cellStyle name="40% - Accent2 2 2 3 4" xfId="20589" xr:uid="{00000000-0005-0000-0000-0000C40B0000}"/>
    <cellStyle name="40% - Accent2 2 2 3 5" xfId="38852" xr:uid="{00000000-0005-0000-0000-0000C50B0000}"/>
    <cellStyle name="40% - Accent2 2 2 3 6" xfId="20585" xr:uid="{00000000-0005-0000-0000-0000C60B0000}"/>
    <cellStyle name="40% - Accent2 2 2 4" xfId="20590" xr:uid="{00000000-0005-0000-0000-0000C70B0000}"/>
    <cellStyle name="40% - Accent2 2 2 4 2" xfId="20591" xr:uid="{00000000-0005-0000-0000-0000C80B0000}"/>
    <cellStyle name="40% - Accent2 2 2 4 2 2" xfId="38857" xr:uid="{00000000-0005-0000-0000-0000C90B0000}"/>
    <cellStyle name="40% - Accent2 2 2 4 3" xfId="20592" xr:uid="{00000000-0005-0000-0000-0000CA0B0000}"/>
    <cellStyle name="40% - Accent2 2 2 4 4" xfId="38856" xr:uid="{00000000-0005-0000-0000-0000CB0B0000}"/>
    <cellStyle name="40% - Accent2 2 2 5" xfId="20593" xr:uid="{00000000-0005-0000-0000-0000CC0B0000}"/>
    <cellStyle name="40% - Accent2 2 2 5 2" xfId="20594" xr:uid="{00000000-0005-0000-0000-0000CD0B0000}"/>
    <cellStyle name="40% - Accent2 2 2 5 3" xfId="38858" xr:uid="{00000000-0005-0000-0000-0000CE0B0000}"/>
    <cellStyle name="40% - Accent2 2 2 6" xfId="20595" xr:uid="{00000000-0005-0000-0000-0000CF0B0000}"/>
    <cellStyle name="40% - Accent2 2 2 6 2" xfId="20596" xr:uid="{00000000-0005-0000-0000-0000D00B0000}"/>
    <cellStyle name="40% - Accent2 2 2 7" xfId="20597" xr:uid="{00000000-0005-0000-0000-0000D10B0000}"/>
    <cellStyle name="40% - Accent2 2 2 8" xfId="38851" xr:uid="{00000000-0005-0000-0000-0000D20B0000}"/>
    <cellStyle name="40% - Accent2 2 2 9" xfId="20580" xr:uid="{00000000-0005-0000-0000-0000D30B0000}"/>
    <cellStyle name="40% - Accent2 2 3" xfId="1169" xr:uid="{00000000-0005-0000-0000-0000D40B0000}"/>
    <cellStyle name="40% - Accent2 2 3 2" xfId="1170" xr:uid="{00000000-0005-0000-0000-0000D50B0000}"/>
    <cellStyle name="40% - Accent2 2 3 2 2" xfId="20600" xr:uid="{00000000-0005-0000-0000-0000D60B0000}"/>
    <cellStyle name="40% - Accent2 2 3 2 3" xfId="20601" xr:uid="{00000000-0005-0000-0000-0000D70B0000}"/>
    <cellStyle name="40% - Accent2 2 3 2 4" xfId="20599" xr:uid="{00000000-0005-0000-0000-0000D80B0000}"/>
    <cellStyle name="40% - Accent2 2 3 3" xfId="1171" xr:uid="{00000000-0005-0000-0000-0000D90B0000}"/>
    <cellStyle name="40% - Accent2 2 3 3 2" xfId="20602" xr:uid="{00000000-0005-0000-0000-0000DA0B0000}"/>
    <cellStyle name="40% - Accent2 2 3 4" xfId="20603" xr:uid="{00000000-0005-0000-0000-0000DB0B0000}"/>
    <cellStyle name="40% - Accent2 2 3 5" xfId="20604" xr:uid="{00000000-0005-0000-0000-0000DC0B0000}"/>
    <cellStyle name="40% - Accent2 2 3 6" xfId="20598" xr:uid="{00000000-0005-0000-0000-0000DD0B0000}"/>
    <cellStyle name="40% - Accent2 2 4" xfId="20605" xr:uid="{00000000-0005-0000-0000-0000DE0B0000}"/>
    <cellStyle name="40% - Accent2 2 4 2" xfId="20606" xr:uid="{00000000-0005-0000-0000-0000DF0B0000}"/>
    <cellStyle name="40% - Accent2 2 5" xfId="20607" xr:uid="{00000000-0005-0000-0000-0000E00B0000}"/>
    <cellStyle name="40% - Accent2 2 5 2" xfId="20608" xr:uid="{00000000-0005-0000-0000-0000E10B0000}"/>
    <cellStyle name="40% - Accent2 2 6" xfId="20609" xr:uid="{00000000-0005-0000-0000-0000E20B0000}"/>
    <cellStyle name="40% - Accent2 2 7" xfId="20610" xr:uid="{00000000-0005-0000-0000-0000E30B0000}"/>
    <cellStyle name="40% - Accent2 2 8" xfId="20611" xr:uid="{00000000-0005-0000-0000-0000E40B0000}"/>
    <cellStyle name="40% - Accent2 20" xfId="1172" xr:uid="{00000000-0005-0000-0000-0000E50B0000}"/>
    <cellStyle name="40% - Accent2 20 2" xfId="1173" xr:uid="{00000000-0005-0000-0000-0000E60B0000}"/>
    <cellStyle name="40% - Accent2 20 3" xfId="1174" xr:uid="{00000000-0005-0000-0000-0000E70B0000}"/>
    <cellStyle name="40% - Accent2 21" xfId="1175" xr:uid="{00000000-0005-0000-0000-0000E80B0000}"/>
    <cellStyle name="40% - Accent2 21 2" xfId="1176" xr:uid="{00000000-0005-0000-0000-0000E90B0000}"/>
    <cellStyle name="40% - Accent2 21 3" xfId="1177" xr:uid="{00000000-0005-0000-0000-0000EA0B0000}"/>
    <cellStyle name="40% - Accent2 22" xfId="1178" xr:uid="{00000000-0005-0000-0000-0000EB0B0000}"/>
    <cellStyle name="40% - Accent2 22 2" xfId="1179" xr:uid="{00000000-0005-0000-0000-0000EC0B0000}"/>
    <cellStyle name="40% - Accent2 22 3" xfId="1180" xr:uid="{00000000-0005-0000-0000-0000ED0B0000}"/>
    <cellStyle name="40% - Accent2 3" xfId="1181" xr:uid="{00000000-0005-0000-0000-0000EE0B0000}"/>
    <cellStyle name="40% - Accent2 3 10" xfId="20612" xr:uid="{00000000-0005-0000-0000-0000EF0B0000}"/>
    <cellStyle name="40% - Accent2 3 2" xfId="1182" xr:uid="{00000000-0005-0000-0000-0000F00B0000}"/>
    <cellStyle name="40% - Accent2 3 2 2" xfId="1183" xr:uid="{00000000-0005-0000-0000-0000F10B0000}"/>
    <cellStyle name="40% - Accent2 3 2 2 2" xfId="20615" xr:uid="{00000000-0005-0000-0000-0000F20B0000}"/>
    <cellStyle name="40% - Accent2 3 2 2 2 2" xfId="20616" xr:uid="{00000000-0005-0000-0000-0000F30B0000}"/>
    <cellStyle name="40% - Accent2 3 2 2 2 2 2" xfId="38862" xr:uid="{00000000-0005-0000-0000-0000F40B0000}"/>
    <cellStyle name="40% - Accent2 3 2 2 2 3" xfId="20617" xr:uid="{00000000-0005-0000-0000-0000F50B0000}"/>
    <cellStyle name="40% - Accent2 3 2 2 2 4" xfId="38861" xr:uid="{00000000-0005-0000-0000-0000F60B0000}"/>
    <cellStyle name="40% - Accent2 3 2 2 3" xfId="20618" xr:uid="{00000000-0005-0000-0000-0000F70B0000}"/>
    <cellStyle name="40% - Accent2 3 2 2 3 2" xfId="20619" xr:uid="{00000000-0005-0000-0000-0000F80B0000}"/>
    <cellStyle name="40% - Accent2 3 2 2 3 3" xfId="38863" xr:uid="{00000000-0005-0000-0000-0000F90B0000}"/>
    <cellStyle name="40% - Accent2 3 2 2 4" xfId="20620" xr:uid="{00000000-0005-0000-0000-0000FA0B0000}"/>
    <cellStyle name="40% - Accent2 3 2 2 5" xfId="38860" xr:uid="{00000000-0005-0000-0000-0000FB0B0000}"/>
    <cellStyle name="40% - Accent2 3 2 2 6" xfId="20614" xr:uid="{00000000-0005-0000-0000-0000FC0B0000}"/>
    <cellStyle name="40% - Accent2 3 2 3" xfId="1184" xr:uid="{00000000-0005-0000-0000-0000FD0B0000}"/>
    <cellStyle name="40% - Accent2 3 2 3 2" xfId="20622" xr:uid="{00000000-0005-0000-0000-0000FE0B0000}"/>
    <cellStyle name="40% - Accent2 3 2 3 2 2" xfId="38865" xr:uid="{00000000-0005-0000-0000-0000FF0B0000}"/>
    <cellStyle name="40% - Accent2 3 2 3 3" xfId="20623" xr:uid="{00000000-0005-0000-0000-0000000C0000}"/>
    <cellStyle name="40% - Accent2 3 2 3 4" xfId="38864" xr:uid="{00000000-0005-0000-0000-0000010C0000}"/>
    <cellStyle name="40% - Accent2 3 2 3 5" xfId="20621" xr:uid="{00000000-0005-0000-0000-0000020C0000}"/>
    <cellStyle name="40% - Accent2 3 2 4" xfId="20624" xr:uid="{00000000-0005-0000-0000-0000030C0000}"/>
    <cellStyle name="40% - Accent2 3 2 4 2" xfId="20625" xr:uid="{00000000-0005-0000-0000-0000040C0000}"/>
    <cellStyle name="40% - Accent2 3 2 4 3" xfId="38866" xr:uid="{00000000-0005-0000-0000-0000050C0000}"/>
    <cellStyle name="40% - Accent2 3 2 5" xfId="20626" xr:uid="{00000000-0005-0000-0000-0000060C0000}"/>
    <cellStyle name="40% - Accent2 3 2 5 2" xfId="20627" xr:uid="{00000000-0005-0000-0000-0000070C0000}"/>
    <cellStyle name="40% - Accent2 3 2 6" xfId="20628" xr:uid="{00000000-0005-0000-0000-0000080C0000}"/>
    <cellStyle name="40% - Accent2 3 2 6 2" xfId="20629" xr:uid="{00000000-0005-0000-0000-0000090C0000}"/>
    <cellStyle name="40% - Accent2 3 2 7" xfId="20630" xr:uid="{00000000-0005-0000-0000-00000A0C0000}"/>
    <cellStyle name="40% - Accent2 3 2 8" xfId="38859" xr:uid="{00000000-0005-0000-0000-00000B0C0000}"/>
    <cellStyle name="40% - Accent2 3 2 9" xfId="20613" xr:uid="{00000000-0005-0000-0000-00000C0C0000}"/>
    <cellStyle name="40% - Accent2 3 3" xfId="1185" xr:uid="{00000000-0005-0000-0000-00000D0C0000}"/>
    <cellStyle name="40% - Accent2 3 3 2" xfId="1186" xr:uid="{00000000-0005-0000-0000-00000E0C0000}"/>
    <cellStyle name="40% - Accent2 3 3 2 2" xfId="20633" xr:uid="{00000000-0005-0000-0000-00000F0C0000}"/>
    <cellStyle name="40% - Accent2 3 3 2 2 2" xfId="38869" xr:uid="{00000000-0005-0000-0000-0000100C0000}"/>
    <cellStyle name="40% - Accent2 3 3 2 3" xfId="38868" xr:uid="{00000000-0005-0000-0000-0000110C0000}"/>
    <cellStyle name="40% - Accent2 3 3 2 4" xfId="20632" xr:uid="{00000000-0005-0000-0000-0000120C0000}"/>
    <cellStyle name="40% - Accent2 3 3 3" xfId="1187" xr:uid="{00000000-0005-0000-0000-0000130C0000}"/>
    <cellStyle name="40% - Accent2 3 3 3 2" xfId="38870" xr:uid="{00000000-0005-0000-0000-0000140C0000}"/>
    <cellStyle name="40% - Accent2 3 3 3 3" xfId="20634" xr:uid="{00000000-0005-0000-0000-0000150C0000}"/>
    <cellStyle name="40% - Accent2 3 3 4" xfId="20635" xr:uid="{00000000-0005-0000-0000-0000160C0000}"/>
    <cellStyle name="40% - Accent2 3 3 5" xfId="38867" xr:uid="{00000000-0005-0000-0000-0000170C0000}"/>
    <cellStyle name="40% - Accent2 3 3 6" xfId="20631" xr:uid="{00000000-0005-0000-0000-0000180C0000}"/>
    <cellStyle name="40% - Accent2 3 4" xfId="1188" xr:uid="{00000000-0005-0000-0000-0000190C0000}"/>
    <cellStyle name="40% - Accent2 3 4 2" xfId="1189" xr:uid="{00000000-0005-0000-0000-00001A0C0000}"/>
    <cellStyle name="40% - Accent2 3 4 2 2" xfId="1190" xr:uid="{00000000-0005-0000-0000-00001B0C0000}"/>
    <cellStyle name="40% - Accent2 3 4 2 2 2" xfId="18991" xr:uid="{00000000-0005-0000-0000-00001C0C0000}"/>
    <cellStyle name="40% - Accent2 3 4 2 2 3" xfId="38872" xr:uid="{00000000-0005-0000-0000-00001D0C0000}"/>
    <cellStyle name="40% - Accent2 3 4 2 3" xfId="18473" xr:uid="{00000000-0005-0000-0000-00001E0C0000}"/>
    <cellStyle name="40% - Accent2 3 4 2 4" xfId="20637" xr:uid="{00000000-0005-0000-0000-00001F0C0000}"/>
    <cellStyle name="40% - Accent2 3 4 3" xfId="1191" xr:uid="{00000000-0005-0000-0000-0000200C0000}"/>
    <cellStyle name="40% - Accent2 3 4 3 2" xfId="18709" xr:uid="{00000000-0005-0000-0000-0000210C0000}"/>
    <cellStyle name="40% - Accent2 3 4 3 3" xfId="20638" xr:uid="{00000000-0005-0000-0000-0000220C0000}"/>
    <cellStyle name="40% - Accent2 3 4 4" xfId="18182" xr:uid="{00000000-0005-0000-0000-0000230C0000}"/>
    <cellStyle name="40% - Accent2 3 4 4 2" xfId="38871" xr:uid="{00000000-0005-0000-0000-0000240C0000}"/>
    <cellStyle name="40% - Accent2 3 4 5" xfId="20636" xr:uid="{00000000-0005-0000-0000-0000250C0000}"/>
    <cellStyle name="40% - Accent2 3 5" xfId="1192" xr:uid="{00000000-0005-0000-0000-0000260C0000}"/>
    <cellStyle name="40% - Accent2 3 5 2" xfId="1193" xr:uid="{00000000-0005-0000-0000-0000270C0000}"/>
    <cellStyle name="40% - Accent2 3 5 2 2" xfId="18871" xr:uid="{00000000-0005-0000-0000-0000280C0000}"/>
    <cellStyle name="40% - Accent2 3 5 2 3" xfId="20640" xr:uid="{00000000-0005-0000-0000-0000290C0000}"/>
    <cellStyle name="40% - Accent2 3 5 3" xfId="18350" xr:uid="{00000000-0005-0000-0000-00002A0C0000}"/>
    <cellStyle name="40% - Accent2 3 5 3 2" xfId="38873" xr:uid="{00000000-0005-0000-0000-00002B0C0000}"/>
    <cellStyle name="40% - Accent2 3 5 4" xfId="20639" xr:uid="{00000000-0005-0000-0000-00002C0C0000}"/>
    <cellStyle name="40% - Accent2 3 6" xfId="1194" xr:uid="{00000000-0005-0000-0000-00002D0C0000}"/>
    <cellStyle name="40% - Accent2 3 6 2" xfId="18592" xr:uid="{00000000-0005-0000-0000-00002E0C0000}"/>
    <cellStyle name="40% - Accent2 3 6 2 2" xfId="20642" xr:uid="{00000000-0005-0000-0000-00002F0C0000}"/>
    <cellStyle name="40% - Accent2 3 6 3" xfId="20643" xr:uid="{00000000-0005-0000-0000-0000300C0000}"/>
    <cellStyle name="40% - Accent2 3 6 4" xfId="20641" xr:uid="{00000000-0005-0000-0000-0000310C0000}"/>
    <cellStyle name="40% - Accent2 3 7" xfId="18034" xr:uid="{00000000-0005-0000-0000-0000320C0000}"/>
    <cellStyle name="40% - Accent2 3 7 2" xfId="20645" xr:uid="{00000000-0005-0000-0000-0000330C0000}"/>
    <cellStyle name="40% - Accent2 3 7 3" xfId="20644" xr:uid="{00000000-0005-0000-0000-0000340C0000}"/>
    <cellStyle name="40% - Accent2 3 8" xfId="20646" xr:uid="{00000000-0005-0000-0000-0000350C0000}"/>
    <cellStyle name="40% - Accent2 3 9" xfId="20647" xr:uid="{00000000-0005-0000-0000-0000360C0000}"/>
    <cellStyle name="40% - Accent2 4" xfId="1195" xr:uid="{00000000-0005-0000-0000-0000370C0000}"/>
    <cellStyle name="40% - Accent2 4 2" xfId="1196" xr:uid="{00000000-0005-0000-0000-0000380C0000}"/>
    <cellStyle name="40% - Accent2 4 2 2" xfId="1197" xr:uid="{00000000-0005-0000-0000-0000390C0000}"/>
    <cellStyle name="40% - Accent2 4 2 2 2" xfId="20650" xr:uid="{00000000-0005-0000-0000-00003A0C0000}"/>
    <cellStyle name="40% - Accent2 4 2 2 2 2" xfId="20651" xr:uid="{00000000-0005-0000-0000-00003B0C0000}"/>
    <cellStyle name="40% - Accent2 4 2 2 2 2 2" xfId="38877" xr:uid="{00000000-0005-0000-0000-00003C0C0000}"/>
    <cellStyle name="40% - Accent2 4 2 2 2 3" xfId="20652" xr:uid="{00000000-0005-0000-0000-00003D0C0000}"/>
    <cellStyle name="40% - Accent2 4 2 2 2 4" xfId="38876" xr:uid="{00000000-0005-0000-0000-00003E0C0000}"/>
    <cellStyle name="40% - Accent2 4 2 2 3" xfId="20653" xr:uid="{00000000-0005-0000-0000-00003F0C0000}"/>
    <cellStyle name="40% - Accent2 4 2 2 3 2" xfId="20654" xr:uid="{00000000-0005-0000-0000-0000400C0000}"/>
    <cellStyle name="40% - Accent2 4 2 2 3 3" xfId="38878" xr:uid="{00000000-0005-0000-0000-0000410C0000}"/>
    <cellStyle name="40% - Accent2 4 2 2 4" xfId="20655" xr:uid="{00000000-0005-0000-0000-0000420C0000}"/>
    <cellStyle name="40% - Accent2 4 2 2 5" xfId="38875" xr:uid="{00000000-0005-0000-0000-0000430C0000}"/>
    <cellStyle name="40% - Accent2 4 2 2 6" xfId="20649" xr:uid="{00000000-0005-0000-0000-0000440C0000}"/>
    <cellStyle name="40% - Accent2 4 2 3" xfId="1198" xr:uid="{00000000-0005-0000-0000-0000450C0000}"/>
    <cellStyle name="40% - Accent2 4 2 3 2" xfId="20657" xr:uid="{00000000-0005-0000-0000-0000460C0000}"/>
    <cellStyle name="40% - Accent2 4 2 3 2 2" xfId="38880" xr:uid="{00000000-0005-0000-0000-0000470C0000}"/>
    <cellStyle name="40% - Accent2 4 2 3 3" xfId="20658" xr:uid="{00000000-0005-0000-0000-0000480C0000}"/>
    <cellStyle name="40% - Accent2 4 2 3 4" xfId="38879" xr:uid="{00000000-0005-0000-0000-0000490C0000}"/>
    <cellStyle name="40% - Accent2 4 2 3 5" xfId="20656" xr:uid="{00000000-0005-0000-0000-00004A0C0000}"/>
    <cellStyle name="40% - Accent2 4 2 4" xfId="20659" xr:uid="{00000000-0005-0000-0000-00004B0C0000}"/>
    <cellStyle name="40% - Accent2 4 2 4 2" xfId="20660" xr:uid="{00000000-0005-0000-0000-00004C0C0000}"/>
    <cellStyle name="40% - Accent2 4 2 4 3" xfId="38881" xr:uid="{00000000-0005-0000-0000-00004D0C0000}"/>
    <cellStyle name="40% - Accent2 4 2 5" xfId="20661" xr:uid="{00000000-0005-0000-0000-00004E0C0000}"/>
    <cellStyle name="40% - Accent2 4 2 5 2" xfId="20662" xr:uid="{00000000-0005-0000-0000-00004F0C0000}"/>
    <cellStyle name="40% - Accent2 4 2 6" xfId="20663" xr:uid="{00000000-0005-0000-0000-0000500C0000}"/>
    <cellStyle name="40% - Accent2 4 2 6 2" xfId="20664" xr:uid="{00000000-0005-0000-0000-0000510C0000}"/>
    <cellStyle name="40% - Accent2 4 2 7" xfId="20665" xr:uid="{00000000-0005-0000-0000-0000520C0000}"/>
    <cellStyle name="40% - Accent2 4 2 8" xfId="38874" xr:uid="{00000000-0005-0000-0000-0000530C0000}"/>
    <cellStyle name="40% - Accent2 4 2 9" xfId="20648" xr:uid="{00000000-0005-0000-0000-0000540C0000}"/>
    <cellStyle name="40% - Accent2 4 3" xfId="1199" xr:uid="{00000000-0005-0000-0000-0000550C0000}"/>
    <cellStyle name="40% - Accent2 4 3 2" xfId="1200" xr:uid="{00000000-0005-0000-0000-0000560C0000}"/>
    <cellStyle name="40% - Accent2 4 3 2 2" xfId="38883" xr:uid="{00000000-0005-0000-0000-0000570C0000}"/>
    <cellStyle name="40% - Accent2 4 3 2 3" xfId="20667" xr:uid="{00000000-0005-0000-0000-0000580C0000}"/>
    <cellStyle name="40% - Accent2 4 3 3" xfId="1201" xr:uid="{00000000-0005-0000-0000-0000590C0000}"/>
    <cellStyle name="40% - Accent2 4 3 3 2" xfId="38884" xr:uid="{00000000-0005-0000-0000-00005A0C0000}"/>
    <cellStyle name="40% - Accent2 4 3 3 3" xfId="20668" xr:uid="{00000000-0005-0000-0000-00005B0C0000}"/>
    <cellStyle name="40% - Accent2 4 3 4" xfId="20669" xr:uid="{00000000-0005-0000-0000-00005C0C0000}"/>
    <cellStyle name="40% - Accent2 4 3 5" xfId="38882" xr:uid="{00000000-0005-0000-0000-00005D0C0000}"/>
    <cellStyle name="40% - Accent2 4 3 6" xfId="20666" xr:uid="{00000000-0005-0000-0000-00005E0C0000}"/>
    <cellStyle name="40% - Accent2 4 4" xfId="20670" xr:uid="{00000000-0005-0000-0000-00005F0C0000}"/>
    <cellStyle name="40% - Accent2 4 4 2" xfId="20671" xr:uid="{00000000-0005-0000-0000-0000600C0000}"/>
    <cellStyle name="40% - Accent2 4 4 2 2" xfId="38886" xr:uid="{00000000-0005-0000-0000-0000610C0000}"/>
    <cellStyle name="40% - Accent2 4 4 3" xfId="20672" xr:uid="{00000000-0005-0000-0000-0000620C0000}"/>
    <cellStyle name="40% - Accent2 4 4 4" xfId="38885" xr:uid="{00000000-0005-0000-0000-0000630C0000}"/>
    <cellStyle name="40% - Accent2 4 5" xfId="20673" xr:uid="{00000000-0005-0000-0000-0000640C0000}"/>
    <cellStyle name="40% - Accent2 4 5 2" xfId="38887" xr:uid="{00000000-0005-0000-0000-0000650C0000}"/>
    <cellStyle name="40% - Accent2 4 6" xfId="20674" xr:uid="{00000000-0005-0000-0000-0000660C0000}"/>
    <cellStyle name="40% - Accent2 4 6 2" xfId="20675" xr:uid="{00000000-0005-0000-0000-0000670C0000}"/>
    <cellStyle name="40% - Accent2 4 7" xfId="20676" xr:uid="{00000000-0005-0000-0000-0000680C0000}"/>
    <cellStyle name="40% - Accent2 4 7 2" xfId="20677" xr:uid="{00000000-0005-0000-0000-0000690C0000}"/>
    <cellStyle name="40% - Accent2 4 8" xfId="20678" xr:uid="{00000000-0005-0000-0000-00006A0C0000}"/>
    <cellStyle name="40% - Accent2 4 9" xfId="20679" xr:uid="{00000000-0005-0000-0000-00006B0C0000}"/>
    <cellStyle name="40% - Accent2 5" xfId="1202" xr:uid="{00000000-0005-0000-0000-00006C0C0000}"/>
    <cellStyle name="40% - Accent2 5 2" xfId="1203" xr:uid="{00000000-0005-0000-0000-00006D0C0000}"/>
    <cellStyle name="40% - Accent2 5 2 2" xfId="1204" xr:uid="{00000000-0005-0000-0000-00006E0C0000}"/>
    <cellStyle name="40% - Accent2 5 2 2 2" xfId="38889" xr:uid="{00000000-0005-0000-0000-00006F0C0000}"/>
    <cellStyle name="40% - Accent2 5 2 2 3" xfId="20681" xr:uid="{00000000-0005-0000-0000-0000700C0000}"/>
    <cellStyle name="40% - Accent2 5 2 3" xfId="1205" xr:uid="{00000000-0005-0000-0000-0000710C0000}"/>
    <cellStyle name="40% - Accent2 5 2 3 2" xfId="38890" xr:uid="{00000000-0005-0000-0000-0000720C0000}"/>
    <cellStyle name="40% - Accent2 5 2 3 3" xfId="20682" xr:uid="{00000000-0005-0000-0000-0000730C0000}"/>
    <cellStyle name="40% - Accent2 5 2 4" xfId="20683" xr:uid="{00000000-0005-0000-0000-0000740C0000}"/>
    <cellStyle name="40% - Accent2 5 2 5" xfId="20684" xr:uid="{00000000-0005-0000-0000-0000750C0000}"/>
    <cellStyle name="40% - Accent2 5 3" xfId="1206" xr:uid="{00000000-0005-0000-0000-0000760C0000}"/>
    <cellStyle name="40% - Accent2 5 3 2" xfId="1207" xr:uid="{00000000-0005-0000-0000-0000770C0000}"/>
    <cellStyle name="40% - Accent2 5 3 2 2" xfId="20687" xr:uid="{00000000-0005-0000-0000-0000780C0000}"/>
    <cellStyle name="40% - Accent2 5 3 2 2 2" xfId="38893" xr:uid="{00000000-0005-0000-0000-0000790C0000}"/>
    <cellStyle name="40% - Accent2 5 3 2 3" xfId="38892" xr:uid="{00000000-0005-0000-0000-00007A0C0000}"/>
    <cellStyle name="40% - Accent2 5 3 2 4" xfId="20686" xr:uid="{00000000-0005-0000-0000-00007B0C0000}"/>
    <cellStyle name="40% - Accent2 5 3 3" xfId="1208" xr:uid="{00000000-0005-0000-0000-00007C0C0000}"/>
    <cellStyle name="40% - Accent2 5 3 3 2" xfId="38894" xr:uid="{00000000-0005-0000-0000-00007D0C0000}"/>
    <cellStyle name="40% - Accent2 5 3 3 3" xfId="20688" xr:uid="{00000000-0005-0000-0000-00007E0C0000}"/>
    <cellStyle name="40% - Accent2 5 3 4" xfId="20689" xr:uid="{00000000-0005-0000-0000-00007F0C0000}"/>
    <cellStyle name="40% - Accent2 5 3 5" xfId="38891" xr:uid="{00000000-0005-0000-0000-0000800C0000}"/>
    <cellStyle name="40% - Accent2 5 3 6" xfId="20685" xr:uid="{00000000-0005-0000-0000-0000810C0000}"/>
    <cellStyle name="40% - Accent2 5 4" xfId="1209" xr:uid="{00000000-0005-0000-0000-0000820C0000}"/>
    <cellStyle name="40% - Accent2 5 4 2" xfId="18747" xr:uid="{00000000-0005-0000-0000-0000830C0000}"/>
    <cellStyle name="40% - Accent2 5 4 2 2" xfId="38896" xr:uid="{00000000-0005-0000-0000-0000840C0000}"/>
    <cellStyle name="40% - Accent2 5 4 2 3" xfId="20691" xr:uid="{00000000-0005-0000-0000-0000850C0000}"/>
    <cellStyle name="40% - Accent2 5 4 3" xfId="38895" xr:uid="{00000000-0005-0000-0000-0000860C0000}"/>
    <cellStyle name="40% - Accent2 5 4 4" xfId="20690" xr:uid="{00000000-0005-0000-0000-0000870C0000}"/>
    <cellStyle name="40% - Accent2 5 5" xfId="18218" xr:uid="{00000000-0005-0000-0000-0000880C0000}"/>
    <cellStyle name="40% - Accent2 5 5 2" xfId="38897" xr:uid="{00000000-0005-0000-0000-0000890C0000}"/>
    <cellStyle name="40% - Accent2 5 5 3" xfId="20692" xr:uid="{00000000-0005-0000-0000-00008A0C0000}"/>
    <cellStyle name="40% - Accent2 5 6" xfId="20693" xr:uid="{00000000-0005-0000-0000-00008B0C0000}"/>
    <cellStyle name="40% - Accent2 5 7" xfId="38888" xr:uid="{00000000-0005-0000-0000-00008C0C0000}"/>
    <cellStyle name="40% - Accent2 5 8" xfId="20680" xr:uid="{00000000-0005-0000-0000-00008D0C0000}"/>
    <cellStyle name="40% - Accent2 6" xfId="1210" xr:uid="{00000000-0005-0000-0000-00008E0C0000}"/>
    <cellStyle name="40% - Accent2 6 2" xfId="1211" xr:uid="{00000000-0005-0000-0000-00008F0C0000}"/>
    <cellStyle name="40% - Accent2 6 2 2" xfId="1212" xr:uid="{00000000-0005-0000-0000-0000900C0000}"/>
    <cellStyle name="40% - Accent2 6 2 2 2" xfId="20697" xr:uid="{00000000-0005-0000-0000-0000910C0000}"/>
    <cellStyle name="40% - Accent2 6 2 2 2 2" xfId="38901" xr:uid="{00000000-0005-0000-0000-0000920C0000}"/>
    <cellStyle name="40% - Accent2 6 2 2 3" xfId="38900" xr:uid="{00000000-0005-0000-0000-0000930C0000}"/>
    <cellStyle name="40% - Accent2 6 2 2 4" xfId="20696" xr:uid="{00000000-0005-0000-0000-0000940C0000}"/>
    <cellStyle name="40% - Accent2 6 2 3" xfId="1213" xr:uid="{00000000-0005-0000-0000-0000950C0000}"/>
    <cellStyle name="40% - Accent2 6 2 3 2" xfId="38902" xr:uid="{00000000-0005-0000-0000-0000960C0000}"/>
    <cellStyle name="40% - Accent2 6 2 3 3" xfId="20698" xr:uid="{00000000-0005-0000-0000-0000970C0000}"/>
    <cellStyle name="40% - Accent2 6 2 4" xfId="20699" xr:uid="{00000000-0005-0000-0000-0000980C0000}"/>
    <cellStyle name="40% - Accent2 6 2 5" xfId="38899" xr:uid="{00000000-0005-0000-0000-0000990C0000}"/>
    <cellStyle name="40% - Accent2 6 2 6" xfId="20695" xr:uid="{00000000-0005-0000-0000-00009A0C0000}"/>
    <cellStyle name="40% - Accent2 6 3" xfId="1214" xr:uid="{00000000-0005-0000-0000-00009B0C0000}"/>
    <cellStyle name="40% - Accent2 6 3 2" xfId="1215" xr:uid="{00000000-0005-0000-0000-00009C0C0000}"/>
    <cellStyle name="40% - Accent2 6 3 2 2" xfId="38904" xr:uid="{00000000-0005-0000-0000-00009D0C0000}"/>
    <cellStyle name="40% - Accent2 6 3 2 3" xfId="20701" xr:uid="{00000000-0005-0000-0000-00009E0C0000}"/>
    <cellStyle name="40% - Accent2 6 3 3" xfId="1216" xr:uid="{00000000-0005-0000-0000-00009F0C0000}"/>
    <cellStyle name="40% - Accent2 6 3 3 2" xfId="20702" xr:uid="{00000000-0005-0000-0000-0000A00C0000}"/>
    <cellStyle name="40% - Accent2 6 3 4" xfId="38903" xr:uid="{00000000-0005-0000-0000-0000A10C0000}"/>
    <cellStyle name="40% - Accent2 6 3 5" xfId="20700" xr:uid="{00000000-0005-0000-0000-0000A20C0000}"/>
    <cellStyle name="40% - Accent2 6 4" xfId="20703" xr:uid="{00000000-0005-0000-0000-0000A30C0000}"/>
    <cellStyle name="40% - Accent2 6 4 2" xfId="38905" xr:uid="{00000000-0005-0000-0000-0000A40C0000}"/>
    <cellStyle name="40% - Accent2 6 5" xfId="20704" xr:uid="{00000000-0005-0000-0000-0000A50C0000}"/>
    <cellStyle name="40% - Accent2 6 6" xfId="38898" xr:uid="{00000000-0005-0000-0000-0000A60C0000}"/>
    <cellStyle name="40% - Accent2 6 7" xfId="20694" xr:uid="{00000000-0005-0000-0000-0000A70C0000}"/>
    <cellStyle name="40% - Accent2 7" xfId="20705" xr:uid="{00000000-0005-0000-0000-0000A80C0000}"/>
    <cellStyle name="40% - Accent2 7 2" xfId="1217" xr:uid="{00000000-0005-0000-0000-0000A90C0000}"/>
    <cellStyle name="40% - Accent2 7 2 2" xfId="1218" xr:uid="{00000000-0005-0000-0000-0000AA0C0000}"/>
    <cellStyle name="40% - Accent2 7 2 2 2" xfId="20708" xr:uid="{00000000-0005-0000-0000-0000AB0C0000}"/>
    <cellStyle name="40% - Accent2 7 2 2 2 2" xfId="38909" xr:uid="{00000000-0005-0000-0000-0000AC0C0000}"/>
    <cellStyle name="40% - Accent2 7 2 2 3" xfId="38908" xr:uid="{00000000-0005-0000-0000-0000AD0C0000}"/>
    <cellStyle name="40% - Accent2 7 2 2 4" xfId="20707" xr:uid="{00000000-0005-0000-0000-0000AE0C0000}"/>
    <cellStyle name="40% - Accent2 7 2 3" xfId="1219" xr:uid="{00000000-0005-0000-0000-0000AF0C0000}"/>
    <cellStyle name="40% - Accent2 7 2 3 2" xfId="38910" xr:uid="{00000000-0005-0000-0000-0000B00C0000}"/>
    <cellStyle name="40% - Accent2 7 2 3 3" xfId="20709" xr:uid="{00000000-0005-0000-0000-0000B10C0000}"/>
    <cellStyle name="40% - Accent2 7 2 4" xfId="38907" xr:uid="{00000000-0005-0000-0000-0000B20C0000}"/>
    <cellStyle name="40% - Accent2 7 2 5" xfId="20706" xr:uid="{00000000-0005-0000-0000-0000B30C0000}"/>
    <cellStyle name="40% - Accent2 7 3" xfId="1220" xr:uid="{00000000-0005-0000-0000-0000B40C0000}"/>
    <cellStyle name="40% - Accent2 7 3 2" xfId="1221" xr:uid="{00000000-0005-0000-0000-0000B50C0000}"/>
    <cellStyle name="40% - Accent2 7 3 2 2" xfId="38912" xr:uid="{00000000-0005-0000-0000-0000B60C0000}"/>
    <cellStyle name="40% - Accent2 7 3 2 3" xfId="20711" xr:uid="{00000000-0005-0000-0000-0000B70C0000}"/>
    <cellStyle name="40% - Accent2 7 3 3" xfId="1222" xr:uid="{00000000-0005-0000-0000-0000B80C0000}"/>
    <cellStyle name="40% - Accent2 7 3 3 2" xfId="38911" xr:uid="{00000000-0005-0000-0000-0000B90C0000}"/>
    <cellStyle name="40% - Accent2 7 3 4" xfId="20710" xr:uid="{00000000-0005-0000-0000-0000BA0C0000}"/>
    <cellStyle name="40% - Accent2 7 4" xfId="20712" xr:uid="{00000000-0005-0000-0000-0000BB0C0000}"/>
    <cellStyle name="40% - Accent2 7 4 2" xfId="38913" xr:uid="{00000000-0005-0000-0000-0000BC0C0000}"/>
    <cellStyle name="40% - Accent2 7 5" xfId="20713" xr:uid="{00000000-0005-0000-0000-0000BD0C0000}"/>
    <cellStyle name="40% - Accent2 7 6" xfId="38906" xr:uid="{00000000-0005-0000-0000-0000BE0C0000}"/>
    <cellStyle name="40% - Accent2 8" xfId="20714" xr:uid="{00000000-0005-0000-0000-0000BF0C0000}"/>
    <cellStyle name="40% - Accent2 8 2" xfId="1223" xr:uid="{00000000-0005-0000-0000-0000C00C0000}"/>
    <cellStyle name="40% - Accent2 8 2 2" xfId="1224" xr:uid="{00000000-0005-0000-0000-0000C10C0000}"/>
    <cellStyle name="40% - Accent2 8 2 3" xfId="1225" xr:uid="{00000000-0005-0000-0000-0000C20C0000}"/>
    <cellStyle name="40% - Accent2 8 2 4" xfId="20715" xr:uid="{00000000-0005-0000-0000-0000C30C0000}"/>
    <cellStyle name="40% - Accent2 8 3" xfId="1226" xr:uid="{00000000-0005-0000-0000-0000C40C0000}"/>
    <cellStyle name="40% - Accent2 8 3 2" xfId="1227" xr:uid="{00000000-0005-0000-0000-0000C50C0000}"/>
    <cellStyle name="40% - Accent2 8 3 2 2" xfId="38914" xr:uid="{00000000-0005-0000-0000-0000C60C0000}"/>
    <cellStyle name="40% - Accent2 8 3 3" xfId="1228" xr:uid="{00000000-0005-0000-0000-0000C70C0000}"/>
    <cellStyle name="40% - Accent2 8 3 4" xfId="20716" xr:uid="{00000000-0005-0000-0000-0000C80C0000}"/>
    <cellStyle name="40% - Accent2 8 4" xfId="20717" xr:uid="{00000000-0005-0000-0000-0000C90C0000}"/>
    <cellStyle name="40% - Accent2 9" xfId="20718" xr:uid="{00000000-0005-0000-0000-0000CA0C0000}"/>
    <cellStyle name="40% - Accent2 9 2" xfId="1229" xr:uid="{00000000-0005-0000-0000-0000CB0C0000}"/>
    <cellStyle name="40% - Accent2 9 2 2" xfId="1230" xr:uid="{00000000-0005-0000-0000-0000CC0C0000}"/>
    <cellStyle name="40% - Accent2 9 2 2 2" xfId="38915" xr:uid="{00000000-0005-0000-0000-0000CD0C0000}"/>
    <cellStyle name="40% - Accent2 9 2 3" xfId="1231" xr:uid="{00000000-0005-0000-0000-0000CE0C0000}"/>
    <cellStyle name="40% - Accent2 9 2 4" xfId="20719" xr:uid="{00000000-0005-0000-0000-0000CF0C0000}"/>
    <cellStyle name="40% - Accent2 9 3" xfId="1232" xr:uid="{00000000-0005-0000-0000-0000D00C0000}"/>
    <cellStyle name="40% - Accent2 9 3 2" xfId="1233" xr:uid="{00000000-0005-0000-0000-0000D10C0000}"/>
    <cellStyle name="40% - Accent2 9 3 3" xfId="1234" xr:uid="{00000000-0005-0000-0000-0000D20C0000}"/>
    <cellStyle name="40% - Accent2 9 3 4" xfId="20720" xr:uid="{00000000-0005-0000-0000-0000D30C0000}"/>
    <cellStyle name="40% - Accent3" xfId="44349" builtinId="39" customBuiltin="1"/>
    <cellStyle name="40% - Accent3 10" xfId="20721" xr:uid="{00000000-0005-0000-0000-0000D50C0000}"/>
    <cellStyle name="40% - Accent3 10 2" xfId="1235" xr:uid="{00000000-0005-0000-0000-0000D60C0000}"/>
    <cellStyle name="40% - Accent3 10 2 2" xfId="1236" xr:uid="{00000000-0005-0000-0000-0000D70C0000}"/>
    <cellStyle name="40% - Accent3 10 2 2 2" xfId="38916" xr:uid="{00000000-0005-0000-0000-0000D80C0000}"/>
    <cellStyle name="40% - Accent3 10 2 3" xfId="1237" xr:uid="{00000000-0005-0000-0000-0000D90C0000}"/>
    <cellStyle name="40% - Accent3 10 2 4" xfId="20722" xr:uid="{00000000-0005-0000-0000-0000DA0C0000}"/>
    <cellStyle name="40% - Accent3 10 3" xfId="1238" xr:uid="{00000000-0005-0000-0000-0000DB0C0000}"/>
    <cellStyle name="40% - Accent3 10 3 2" xfId="1239" xr:uid="{00000000-0005-0000-0000-0000DC0C0000}"/>
    <cellStyle name="40% - Accent3 10 3 3" xfId="1240" xr:uid="{00000000-0005-0000-0000-0000DD0C0000}"/>
    <cellStyle name="40% - Accent3 10 3 4" xfId="20723" xr:uid="{00000000-0005-0000-0000-0000DE0C0000}"/>
    <cellStyle name="40% - Accent3 11" xfId="20724" xr:uid="{00000000-0005-0000-0000-0000DF0C0000}"/>
    <cellStyle name="40% - Accent3 11 2" xfId="1241" xr:uid="{00000000-0005-0000-0000-0000E00C0000}"/>
    <cellStyle name="40% - Accent3 11 2 2" xfId="1242" xr:uid="{00000000-0005-0000-0000-0000E10C0000}"/>
    <cellStyle name="40% - Accent3 11 2 3" xfId="1243" xr:uid="{00000000-0005-0000-0000-0000E20C0000}"/>
    <cellStyle name="40% - Accent3 11 3" xfId="1244" xr:uid="{00000000-0005-0000-0000-0000E30C0000}"/>
    <cellStyle name="40% - Accent3 11 3 2" xfId="1245" xr:uid="{00000000-0005-0000-0000-0000E40C0000}"/>
    <cellStyle name="40% - Accent3 11 3 3" xfId="1246" xr:uid="{00000000-0005-0000-0000-0000E50C0000}"/>
    <cellStyle name="40% - Accent3 12" xfId="20725" xr:uid="{00000000-0005-0000-0000-0000E60C0000}"/>
    <cellStyle name="40% - Accent3 12 2" xfId="1247" xr:uid="{00000000-0005-0000-0000-0000E70C0000}"/>
    <cellStyle name="40% - Accent3 12 2 2" xfId="1248" xr:uid="{00000000-0005-0000-0000-0000E80C0000}"/>
    <cellStyle name="40% - Accent3 12 2 3" xfId="1249" xr:uid="{00000000-0005-0000-0000-0000E90C0000}"/>
    <cellStyle name="40% - Accent3 12 3" xfId="1250" xr:uid="{00000000-0005-0000-0000-0000EA0C0000}"/>
    <cellStyle name="40% - Accent3 12 3 2" xfId="1251" xr:uid="{00000000-0005-0000-0000-0000EB0C0000}"/>
    <cellStyle name="40% - Accent3 12 3 3" xfId="1252" xr:uid="{00000000-0005-0000-0000-0000EC0C0000}"/>
    <cellStyle name="40% - Accent3 13 2" xfId="1253" xr:uid="{00000000-0005-0000-0000-0000ED0C0000}"/>
    <cellStyle name="40% - Accent3 13 2 2" xfId="1254" xr:uid="{00000000-0005-0000-0000-0000EE0C0000}"/>
    <cellStyle name="40% - Accent3 13 2 3" xfId="1255" xr:uid="{00000000-0005-0000-0000-0000EF0C0000}"/>
    <cellStyle name="40% - Accent3 13 3" xfId="1256" xr:uid="{00000000-0005-0000-0000-0000F00C0000}"/>
    <cellStyle name="40% - Accent3 13 3 2" xfId="1257" xr:uid="{00000000-0005-0000-0000-0000F10C0000}"/>
    <cellStyle name="40% - Accent3 13 3 3" xfId="1258" xr:uid="{00000000-0005-0000-0000-0000F20C0000}"/>
    <cellStyle name="40% - Accent3 14 2" xfId="1259" xr:uid="{00000000-0005-0000-0000-0000F30C0000}"/>
    <cellStyle name="40% - Accent3 14 2 2" xfId="1260" xr:uid="{00000000-0005-0000-0000-0000F40C0000}"/>
    <cellStyle name="40% - Accent3 14 2 3" xfId="1261" xr:uid="{00000000-0005-0000-0000-0000F50C0000}"/>
    <cellStyle name="40% - Accent3 14 3" xfId="1262" xr:uid="{00000000-0005-0000-0000-0000F60C0000}"/>
    <cellStyle name="40% - Accent3 14 3 2" xfId="1263" xr:uid="{00000000-0005-0000-0000-0000F70C0000}"/>
    <cellStyle name="40% - Accent3 14 3 3" xfId="1264" xr:uid="{00000000-0005-0000-0000-0000F80C0000}"/>
    <cellStyle name="40% - Accent3 15" xfId="1265" xr:uid="{00000000-0005-0000-0000-0000F90C0000}"/>
    <cellStyle name="40% - Accent3 15 2" xfId="1266" xr:uid="{00000000-0005-0000-0000-0000FA0C0000}"/>
    <cellStyle name="40% - Accent3 15 2 2" xfId="1267" xr:uid="{00000000-0005-0000-0000-0000FB0C0000}"/>
    <cellStyle name="40% - Accent3 15 2 3" xfId="1268" xr:uid="{00000000-0005-0000-0000-0000FC0C0000}"/>
    <cellStyle name="40% - Accent3 15 3" xfId="1269" xr:uid="{00000000-0005-0000-0000-0000FD0C0000}"/>
    <cellStyle name="40% - Accent3 15 3 2" xfId="1270" xr:uid="{00000000-0005-0000-0000-0000FE0C0000}"/>
    <cellStyle name="40% - Accent3 15 3 3" xfId="1271" xr:uid="{00000000-0005-0000-0000-0000FF0C0000}"/>
    <cellStyle name="40% - Accent3 15 4" xfId="1272" xr:uid="{00000000-0005-0000-0000-0000000D0000}"/>
    <cellStyle name="40% - Accent3 15 4 2" xfId="1273" xr:uid="{00000000-0005-0000-0000-0000010D0000}"/>
    <cellStyle name="40% - Accent3 15 4 3" xfId="1274" xr:uid="{00000000-0005-0000-0000-0000020D0000}"/>
    <cellStyle name="40% - Accent3 15 5" xfId="1275" xr:uid="{00000000-0005-0000-0000-0000030D0000}"/>
    <cellStyle name="40% - Accent3 15 5 2" xfId="1276" xr:uid="{00000000-0005-0000-0000-0000040D0000}"/>
    <cellStyle name="40% - Accent3 15 5 3" xfId="1277" xr:uid="{00000000-0005-0000-0000-0000050D0000}"/>
    <cellStyle name="40% - Accent3 15 6" xfId="1278" xr:uid="{00000000-0005-0000-0000-0000060D0000}"/>
    <cellStyle name="40% - Accent3 15 6 2" xfId="1279" xr:uid="{00000000-0005-0000-0000-0000070D0000}"/>
    <cellStyle name="40% - Accent3 15 6 3" xfId="1280" xr:uid="{00000000-0005-0000-0000-0000080D0000}"/>
    <cellStyle name="40% - Accent3 15 7" xfId="1281" xr:uid="{00000000-0005-0000-0000-0000090D0000}"/>
    <cellStyle name="40% - Accent3 15 7 2" xfId="1282" xr:uid="{00000000-0005-0000-0000-00000A0D0000}"/>
    <cellStyle name="40% - Accent3 15 7 3" xfId="1283" xr:uid="{00000000-0005-0000-0000-00000B0D0000}"/>
    <cellStyle name="40% - Accent3 15 8" xfId="1284" xr:uid="{00000000-0005-0000-0000-00000C0D0000}"/>
    <cellStyle name="40% - Accent3 15 9" xfId="1285" xr:uid="{00000000-0005-0000-0000-00000D0D0000}"/>
    <cellStyle name="40% - Accent3 16" xfId="1286" xr:uid="{00000000-0005-0000-0000-00000E0D0000}"/>
    <cellStyle name="40% - Accent3 16 2" xfId="1287" xr:uid="{00000000-0005-0000-0000-00000F0D0000}"/>
    <cellStyle name="40% - Accent3 16 3" xfId="1288" xr:uid="{00000000-0005-0000-0000-0000100D0000}"/>
    <cellStyle name="40% - Accent3 17" xfId="1289" xr:uid="{00000000-0005-0000-0000-0000110D0000}"/>
    <cellStyle name="40% - Accent3 17 2" xfId="1290" xr:uid="{00000000-0005-0000-0000-0000120D0000}"/>
    <cellStyle name="40% - Accent3 17 3" xfId="1291" xr:uid="{00000000-0005-0000-0000-0000130D0000}"/>
    <cellStyle name="40% - Accent3 18" xfId="1292" xr:uid="{00000000-0005-0000-0000-0000140D0000}"/>
    <cellStyle name="40% - Accent3 18 2" xfId="1293" xr:uid="{00000000-0005-0000-0000-0000150D0000}"/>
    <cellStyle name="40% - Accent3 18 3" xfId="1294" xr:uid="{00000000-0005-0000-0000-0000160D0000}"/>
    <cellStyle name="40% - Accent3 19" xfId="1295" xr:uid="{00000000-0005-0000-0000-0000170D0000}"/>
    <cellStyle name="40% - Accent3 19 2" xfId="1296" xr:uid="{00000000-0005-0000-0000-0000180D0000}"/>
    <cellStyle name="40% - Accent3 19 3" xfId="1297" xr:uid="{00000000-0005-0000-0000-0000190D0000}"/>
    <cellStyle name="40% - Accent3 2" xfId="1298" xr:uid="{00000000-0005-0000-0000-00001A0D0000}"/>
    <cellStyle name="40% - Accent3 2 2" xfId="1299" xr:uid="{00000000-0005-0000-0000-00001B0D0000}"/>
    <cellStyle name="40% - Accent3 2 2 2" xfId="1300" xr:uid="{00000000-0005-0000-0000-00001C0D0000}"/>
    <cellStyle name="40% - Accent3 2 2 2 2" xfId="20728" xr:uid="{00000000-0005-0000-0000-00001D0D0000}"/>
    <cellStyle name="40% - Accent3 2 2 2 3" xfId="20729" xr:uid="{00000000-0005-0000-0000-00001E0D0000}"/>
    <cellStyle name="40% - Accent3 2 2 2 4" xfId="20730" xr:uid="{00000000-0005-0000-0000-00001F0D0000}"/>
    <cellStyle name="40% - Accent3 2 2 2 5" xfId="20727" xr:uid="{00000000-0005-0000-0000-0000200D0000}"/>
    <cellStyle name="40% - Accent3 2 2 3" xfId="1301" xr:uid="{00000000-0005-0000-0000-0000210D0000}"/>
    <cellStyle name="40% - Accent3 2 2 3 2" xfId="20732" xr:uid="{00000000-0005-0000-0000-0000220D0000}"/>
    <cellStyle name="40% - Accent3 2 2 3 2 2" xfId="20733" xr:uid="{00000000-0005-0000-0000-0000230D0000}"/>
    <cellStyle name="40% - Accent3 2 2 3 2 2 2" xfId="38920" xr:uid="{00000000-0005-0000-0000-0000240D0000}"/>
    <cellStyle name="40% - Accent3 2 2 3 2 3" xfId="38919" xr:uid="{00000000-0005-0000-0000-0000250D0000}"/>
    <cellStyle name="40% - Accent3 2 2 3 3" xfId="20734" xr:uid="{00000000-0005-0000-0000-0000260D0000}"/>
    <cellStyle name="40% - Accent3 2 2 3 3 2" xfId="38921" xr:uid="{00000000-0005-0000-0000-0000270D0000}"/>
    <cellStyle name="40% - Accent3 2 2 3 4" xfId="20735" xr:uid="{00000000-0005-0000-0000-0000280D0000}"/>
    <cellStyle name="40% - Accent3 2 2 3 5" xfId="38918" xr:uid="{00000000-0005-0000-0000-0000290D0000}"/>
    <cellStyle name="40% - Accent3 2 2 3 6" xfId="20731" xr:uid="{00000000-0005-0000-0000-00002A0D0000}"/>
    <cellStyle name="40% - Accent3 2 2 4" xfId="20736" xr:uid="{00000000-0005-0000-0000-00002B0D0000}"/>
    <cellStyle name="40% - Accent3 2 2 4 2" xfId="20737" xr:uid="{00000000-0005-0000-0000-00002C0D0000}"/>
    <cellStyle name="40% - Accent3 2 2 4 2 2" xfId="38923" xr:uid="{00000000-0005-0000-0000-00002D0D0000}"/>
    <cellStyle name="40% - Accent3 2 2 4 3" xfId="20738" xr:uid="{00000000-0005-0000-0000-00002E0D0000}"/>
    <cellStyle name="40% - Accent3 2 2 4 4" xfId="38922" xr:uid="{00000000-0005-0000-0000-00002F0D0000}"/>
    <cellStyle name="40% - Accent3 2 2 5" xfId="20739" xr:uid="{00000000-0005-0000-0000-0000300D0000}"/>
    <cellStyle name="40% - Accent3 2 2 5 2" xfId="20740" xr:uid="{00000000-0005-0000-0000-0000310D0000}"/>
    <cellStyle name="40% - Accent3 2 2 5 3" xfId="38924" xr:uid="{00000000-0005-0000-0000-0000320D0000}"/>
    <cellStyle name="40% - Accent3 2 2 6" xfId="20741" xr:uid="{00000000-0005-0000-0000-0000330D0000}"/>
    <cellStyle name="40% - Accent3 2 2 6 2" xfId="20742" xr:uid="{00000000-0005-0000-0000-0000340D0000}"/>
    <cellStyle name="40% - Accent3 2 2 7" xfId="20743" xr:uid="{00000000-0005-0000-0000-0000350D0000}"/>
    <cellStyle name="40% - Accent3 2 2 8" xfId="38917" xr:uid="{00000000-0005-0000-0000-0000360D0000}"/>
    <cellStyle name="40% - Accent3 2 2 9" xfId="20726" xr:uid="{00000000-0005-0000-0000-0000370D0000}"/>
    <cellStyle name="40% - Accent3 2 3" xfId="1302" xr:uid="{00000000-0005-0000-0000-0000380D0000}"/>
    <cellStyle name="40% - Accent3 2 3 2" xfId="1303" xr:uid="{00000000-0005-0000-0000-0000390D0000}"/>
    <cellStyle name="40% - Accent3 2 3 2 2" xfId="20746" xr:uid="{00000000-0005-0000-0000-00003A0D0000}"/>
    <cellStyle name="40% - Accent3 2 3 2 3" xfId="20747" xr:uid="{00000000-0005-0000-0000-00003B0D0000}"/>
    <cellStyle name="40% - Accent3 2 3 2 4" xfId="20748" xr:uid="{00000000-0005-0000-0000-00003C0D0000}"/>
    <cellStyle name="40% - Accent3 2 3 2 5" xfId="38925" xr:uid="{00000000-0005-0000-0000-00003D0D0000}"/>
    <cellStyle name="40% - Accent3 2 3 2 6" xfId="20745" xr:uid="{00000000-0005-0000-0000-00003E0D0000}"/>
    <cellStyle name="40% - Accent3 2 3 3" xfId="1304" xr:uid="{00000000-0005-0000-0000-00003F0D0000}"/>
    <cellStyle name="40% - Accent3 2 3 3 2" xfId="20749" xr:uid="{00000000-0005-0000-0000-0000400D0000}"/>
    <cellStyle name="40% - Accent3 2 3 4" xfId="20750" xr:uid="{00000000-0005-0000-0000-0000410D0000}"/>
    <cellStyle name="40% - Accent3 2 3 5" xfId="20751" xr:uid="{00000000-0005-0000-0000-0000420D0000}"/>
    <cellStyle name="40% - Accent3 2 3 6" xfId="20744" xr:uid="{00000000-0005-0000-0000-0000430D0000}"/>
    <cellStyle name="40% - Accent3 2 4" xfId="20752" xr:uid="{00000000-0005-0000-0000-0000440D0000}"/>
    <cellStyle name="40% - Accent3 2 4 2" xfId="20753" xr:uid="{00000000-0005-0000-0000-0000450D0000}"/>
    <cellStyle name="40% - Accent3 2 5" xfId="20754" xr:uid="{00000000-0005-0000-0000-0000460D0000}"/>
    <cellStyle name="40% - Accent3 2 5 2" xfId="20755" xr:uid="{00000000-0005-0000-0000-0000470D0000}"/>
    <cellStyle name="40% - Accent3 2 5 3" xfId="20756" xr:uid="{00000000-0005-0000-0000-0000480D0000}"/>
    <cellStyle name="40% - Accent3 2 6" xfId="20757" xr:uid="{00000000-0005-0000-0000-0000490D0000}"/>
    <cellStyle name="40% - Accent3 2 6 2" xfId="20758" xr:uid="{00000000-0005-0000-0000-00004A0D0000}"/>
    <cellStyle name="40% - Accent3 2 7" xfId="20759" xr:uid="{00000000-0005-0000-0000-00004B0D0000}"/>
    <cellStyle name="40% - Accent3 2 7 2" xfId="20760" xr:uid="{00000000-0005-0000-0000-00004C0D0000}"/>
    <cellStyle name="40% - Accent3 2 8" xfId="20761" xr:uid="{00000000-0005-0000-0000-00004D0D0000}"/>
    <cellStyle name="40% - Accent3 20" xfId="1305" xr:uid="{00000000-0005-0000-0000-00004E0D0000}"/>
    <cellStyle name="40% - Accent3 20 2" xfId="1306" xr:uid="{00000000-0005-0000-0000-00004F0D0000}"/>
    <cellStyle name="40% - Accent3 20 3" xfId="1307" xr:uid="{00000000-0005-0000-0000-0000500D0000}"/>
    <cellStyle name="40% - Accent3 21" xfId="1308" xr:uid="{00000000-0005-0000-0000-0000510D0000}"/>
    <cellStyle name="40% - Accent3 21 2" xfId="1309" xr:uid="{00000000-0005-0000-0000-0000520D0000}"/>
    <cellStyle name="40% - Accent3 21 3" xfId="1310" xr:uid="{00000000-0005-0000-0000-0000530D0000}"/>
    <cellStyle name="40% - Accent3 22" xfId="1311" xr:uid="{00000000-0005-0000-0000-0000540D0000}"/>
    <cellStyle name="40% - Accent3 22 2" xfId="1312" xr:uid="{00000000-0005-0000-0000-0000550D0000}"/>
    <cellStyle name="40% - Accent3 22 3" xfId="1313" xr:uid="{00000000-0005-0000-0000-0000560D0000}"/>
    <cellStyle name="40% - Accent3 3" xfId="1314" xr:uid="{00000000-0005-0000-0000-0000570D0000}"/>
    <cellStyle name="40% - Accent3 3 10" xfId="20762" xr:uid="{00000000-0005-0000-0000-0000580D0000}"/>
    <cellStyle name="40% - Accent3 3 2" xfId="1315" xr:uid="{00000000-0005-0000-0000-0000590D0000}"/>
    <cellStyle name="40% - Accent3 3 2 2" xfId="1316" xr:uid="{00000000-0005-0000-0000-00005A0D0000}"/>
    <cellStyle name="40% - Accent3 3 2 2 2" xfId="20765" xr:uid="{00000000-0005-0000-0000-00005B0D0000}"/>
    <cellStyle name="40% - Accent3 3 2 2 2 2" xfId="20766" xr:uid="{00000000-0005-0000-0000-00005C0D0000}"/>
    <cellStyle name="40% - Accent3 3 2 2 2 2 2" xfId="38929" xr:uid="{00000000-0005-0000-0000-00005D0D0000}"/>
    <cellStyle name="40% - Accent3 3 2 2 2 3" xfId="20767" xr:uid="{00000000-0005-0000-0000-00005E0D0000}"/>
    <cellStyle name="40% - Accent3 3 2 2 2 4" xfId="38928" xr:uid="{00000000-0005-0000-0000-00005F0D0000}"/>
    <cellStyle name="40% - Accent3 3 2 2 3" xfId="20768" xr:uid="{00000000-0005-0000-0000-0000600D0000}"/>
    <cellStyle name="40% - Accent3 3 2 2 3 2" xfId="20769" xr:uid="{00000000-0005-0000-0000-0000610D0000}"/>
    <cellStyle name="40% - Accent3 3 2 2 3 3" xfId="38930" xr:uid="{00000000-0005-0000-0000-0000620D0000}"/>
    <cellStyle name="40% - Accent3 3 2 2 4" xfId="20770" xr:uid="{00000000-0005-0000-0000-0000630D0000}"/>
    <cellStyle name="40% - Accent3 3 2 2 5" xfId="38927" xr:uid="{00000000-0005-0000-0000-0000640D0000}"/>
    <cellStyle name="40% - Accent3 3 2 2 6" xfId="20764" xr:uid="{00000000-0005-0000-0000-0000650D0000}"/>
    <cellStyle name="40% - Accent3 3 2 3" xfId="1317" xr:uid="{00000000-0005-0000-0000-0000660D0000}"/>
    <cellStyle name="40% - Accent3 3 2 3 2" xfId="20772" xr:uid="{00000000-0005-0000-0000-0000670D0000}"/>
    <cellStyle name="40% - Accent3 3 2 3 2 2" xfId="38932" xr:uid="{00000000-0005-0000-0000-0000680D0000}"/>
    <cellStyle name="40% - Accent3 3 2 3 3" xfId="20773" xr:uid="{00000000-0005-0000-0000-0000690D0000}"/>
    <cellStyle name="40% - Accent3 3 2 3 4" xfId="38931" xr:uid="{00000000-0005-0000-0000-00006A0D0000}"/>
    <cellStyle name="40% - Accent3 3 2 3 5" xfId="20771" xr:uid="{00000000-0005-0000-0000-00006B0D0000}"/>
    <cellStyle name="40% - Accent3 3 2 4" xfId="20774" xr:uid="{00000000-0005-0000-0000-00006C0D0000}"/>
    <cellStyle name="40% - Accent3 3 2 4 2" xfId="20775" xr:uid="{00000000-0005-0000-0000-00006D0D0000}"/>
    <cellStyle name="40% - Accent3 3 2 4 3" xfId="38933" xr:uid="{00000000-0005-0000-0000-00006E0D0000}"/>
    <cellStyle name="40% - Accent3 3 2 5" xfId="20776" xr:uid="{00000000-0005-0000-0000-00006F0D0000}"/>
    <cellStyle name="40% - Accent3 3 2 5 2" xfId="20777" xr:uid="{00000000-0005-0000-0000-0000700D0000}"/>
    <cellStyle name="40% - Accent3 3 2 6" xfId="20778" xr:uid="{00000000-0005-0000-0000-0000710D0000}"/>
    <cellStyle name="40% - Accent3 3 2 6 2" xfId="20779" xr:uid="{00000000-0005-0000-0000-0000720D0000}"/>
    <cellStyle name="40% - Accent3 3 2 7" xfId="20780" xr:uid="{00000000-0005-0000-0000-0000730D0000}"/>
    <cellStyle name="40% - Accent3 3 2 8" xfId="38926" xr:uid="{00000000-0005-0000-0000-0000740D0000}"/>
    <cellStyle name="40% - Accent3 3 2 9" xfId="20763" xr:uid="{00000000-0005-0000-0000-0000750D0000}"/>
    <cellStyle name="40% - Accent3 3 3" xfId="1318" xr:uid="{00000000-0005-0000-0000-0000760D0000}"/>
    <cellStyle name="40% - Accent3 3 3 2" xfId="1319" xr:uid="{00000000-0005-0000-0000-0000770D0000}"/>
    <cellStyle name="40% - Accent3 3 3 2 2" xfId="20783" xr:uid="{00000000-0005-0000-0000-0000780D0000}"/>
    <cellStyle name="40% - Accent3 3 3 2 2 2" xfId="38936" xr:uid="{00000000-0005-0000-0000-0000790D0000}"/>
    <cellStyle name="40% - Accent3 3 3 2 3" xfId="38935" xr:uid="{00000000-0005-0000-0000-00007A0D0000}"/>
    <cellStyle name="40% - Accent3 3 3 2 4" xfId="20782" xr:uid="{00000000-0005-0000-0000-00007B0D0000}"/>
    <cellStyle name="40% - Accent3 3 3 3" xfId="1320" xr:uid="{00000000-0005-0000-0000-00007C0D0000}"/>
    <cellStyle name="40% - Accent3 3 3 3 2" xfId="38937" xr:uid="{00000000-0005-0000-0000-00007D0D0000}"/>
    <cellStyle name="40% - Accent3 3 3 3 3" xfId="20784" xr:uid="{00000000-0005-0000-0000-00007E0D0000}"/>
    <cellStyle name="40% - Accent3 3 3 4" xfId="20785" xr:uid="{00000000-0005-0000-0000-00007F0D0000}"/>
    <cellStyle name="40% - Accent3 3 3 5" xfId="38934" xr:uid="{00000000-0005-0000-0000-0000800D0000}"/>
    <cellStyle name="40% - Accent3 3 3 6" xfId="20781" xr:uid="{00000000-0005-0000-0000-0000810D0000}"/>
    <cellStyle name="40% - Accent3 3 4" xfId="20786" xr:uid="{00000000-0005-0000-0000-0000820D0000}"/>
    <cellStyle name="40% - Accent3 3 4 2" xfId="20787" xr:uid="{00000000-0005-0000-0000-0000830D0000}"/>
    <cellStyle name="40% - Accent3 3 4 2 2" xfId="38939" xr:uid="{00000000-0005-0000-0000-0000840D0000}"/>
    <cellStyle name="40% - Accent3 3 4 3" xfId="20788" xr:uid="{00000000-0005-0000-0000-0000850D0000}"/>
    <cellStyle name="40% - Accent3 3 4 4" xfId="38938" xr:uid="{00000000-0005-0000-0000-0000860D0000}"/>
    <cellStyle name="40% - Accent3 3 5" xfId="20789" xr:uid="{00000000-0005-0000-0000-0000870D0000}"/>
    <cellStyle name="40% - Accent3 3 5 2" xfId="20790" xr:uid="{00000000-0005-0000-0000-0000880D0000}"/>
    <cellStyle name="40% - Accent3 3 5 3" xfId="38940" xr:uid="{00000000-0005-0000-0000-0000890D0000}"/>
    <cellStyle name="40% - Accent3 3 6" xfId="20791" xr:uid="{00000000-0005-0000-0000-00008A0D0000}"/>
    <cellStyle name="40% - Accent3 3 6 2" xfId="20792" xr:uid="{00000000-0005-0000-0000-00008B0D0000}"/>
    <cellStyle name="40% - Accent3 3 6 3" xfId="20793" xr:uid="{00000000-0005-0000-0000-00008C0D0000}"/>
    <cellStyle name="40% - Accent3 3 7" xfId="20794" xr:uid="{00000000-0005-0000-0000-00008D0D0000}"/>
    <cellStyle name="40% - Accent3 3 7 2" xfId="20795" xr:uid="{00000000-0005-0000-0000-00008E0D0000}"/>
    <cellStyle name="40% - Accent3 3 8" xfId="20796" xr:uid="{00000000-0005-0000-0000-00008F0D0000}"/>
    <cellStyle name="40% - Accent3 3 9" xfId="20797" xr:uid="{00000000-0005-0000-0000-0000900D0000}"/>
    <cellStyle name="40% - Accent3 4" xfId="1321" xr:uid="{00000000-0005-0000-0000-0000910D0000}"/>
    <cellStyle name="40% - Accent3 4 2" xfId="1322" xr:uid="{00000000-0005-0000-0000-0000920D0000}"/>
    <cellStyle name="40% - Accent3 4 2 2" xfId="1323" xr:uid="{00000000-0005-0000-0000-0000930D0000}"/>
    <cellStyle name="40% - Accent3 4 2 2 2" xfId="20800" xr:uid="{00000000-0005-0000-0000-0000940D0000}"/>
    <cellStyle name="40% - Accent3 4 2 2 2 2" xfId="20801" xr:uid="{00000000-0005-0000-0000-0000950D0000}"/>
    <cellStyle name="40% - Accent3 4 2 2 2 2 2" xfId="38944" xr:uid="{00000000-0005-0000-0000-0000960D0000}"/>
    <cellStyle name="40% - Accent3 4 2 2 2 3" xfId="20802" xr:uid="{00000000-0005-0000-0000-0000970D0000}"/>
    <cellStyle name="40% - Accent3 4 2 2 2 4" xfId="38943" xr:uid="{00000000-0005-0000-0000-0000980D0000}"/>
    <cellStyle name="40% - Accent3 4 2 2 3" xfId="20803" xr:uid="{00000000-0005-0000-0000-0000990D0000}"/>
    <cellStyle name="40% - Accent3 4 2 2 3 2" xfId="20804" xr:uid="{00000000-0005-0000-0000-00009A0D0000}"/>
    <cellStyle name="40% - Accent3 4 2 2 3 3" xfId="38945" xr:uid="{00000000-0005-0000-0000-00009B0D0000}"/>
    <cellStyle name="40% - Accent3 4 2 2 4" xfId="20805" xr:uid="{00000000-0005-0000-0000-00009C0D0000}"/>
    <cellStyle name="40% - Accent3 4 2 2 5" xfId="38942" xr:uid="{00000000-0005-0000-0000-00009D0D0000}"/>
    <cellStyle name="40% - Accent3 4 2 2 6" xfId="20799" xr:uid="{00000000-0005-0000-0000-00009E0D0000}"/>
    <cellStyle name="40% - Accent3 4 2 3" xfId="1324" xr:uid="{00000000-0005-0000-0000-00009F0D0000}"/>
    <cellStyle name="40% - Accent3 4 2 3 2" xfId="20807" xr:uid="{00000000-0005-0000-0000-0000A00D0000}"/>
    <cellStyle name="40% - Accent3 4 2 3 2 2" xfId="38947" xr:uid="{00000000-0005-0000-0000-0000A10D0000}"/>
    <cellStyle name="40% - Accent3 4 2 3 3" xfId="20808" xr:uid="{00000000-0005-0000-0000-0000A20D0000}"/>
    <cellStyle name="40% - Accent3 4 2 3 4" xfId="38946" xr:uid="{00000000-0005-0000-0000-0000A30D0000}"/>
    <cellStyle name="40% - Accent3 4 2 3 5" xfId="20806" xr:uid="{00000000-0005-0000-0000-0000A40D0000}"/>
    <cellStyle name="40% - Accent3 4 2 4" xfId="20809" xr:uid="{00000000-0005-0000-0000-0000A50D0000}"/>
    <cellStyle name="40% - Accent3 4 2 4 2" xfId="20810" xr:uid="{00000000-0005-0000-0000-0000A60D0000}"/>
    <cellStyle name="40% - Accent3 4 2 4 3" xfId="38948" xr:uid="{00000000-0005-0000-0000-0000A70D0000}"/>
    <cellStyle name="40% - Accent3 4 2 5" xfId="20811" xr:uid="{00000000-0005-0000-0000-0000A80D0000}"/>
    <cellStyle name="40% - Accent3 4 2 5 2" xfId="20812" xr:uid="{00000000-0005-0000-0000-0000A90D0000}"/>
    <cellStyle name="40% - Accent3 4 2 6" xfId="20813" xr:uid="{00000000-0005-0000-0000-0000AA0D0000}"/>
    <cellStyle name="40% - Accent3 4 2 6 2" xfId="20814" xr:uid="{00000000-0005-0000-0000-0000AB0D0000}"/>
    <cellStyle name="40% - Accent3 4 2 7" xfId="20815" xr:uid="{00000000-0005-0000-0000-0000AC0D0000}"/>
    <cellStyle name="40% - Accent3 4 2 8" xfId="38941" xr:uid="{00000000-0005-0000-0000-0000AD0D0000}"/>
    <cellStyle name="40% - Accent3 4 2 9" xfId="20798" xr:uid="{00000000-0005-0000-0000-0000AE0D0000}"/>
    <cellStyle name="40% - Accent3 4 3" xfId="1325" xr:uid="{00000000-0005-0000-0000-0000AF0D0000}"/>
    <cellStyle name="40% - Accent3 4 3 2" xfId="1326" xr:uid="{00000000-0005-0000-0000-0000B00D0000}"/>
    <cellStyle name="40% - Accent3 4 3 2 2" xfId="38950" xr:uid="{00000000-0005-0000-0000-0000B10D0000}"/>
    <cellStyle name="40% - Accent3 4 3 2 3" xfId="20817" xr:uid="{00000000-0005-0000-0000-0000B20D0000}"/>
    <cellStyle name="40% - Accent3 4 3 3" xfId="1327" xr:uid="{00000000-0005-0000-0000-0000B30D0000}"/>
    <cellStyle name="40% - Accent3 4 3 3 2" xfId="38951" xr:uid="{00000000-0005-0000-0000-0000B40D0000}"/>
    <cellStyle name="40% - Accent3 4 3 3 3" xfId="20818" xr:uid="{00000000-0005-0000-0000-0000B50D0000}"/>
    <cellStyle name="40% - Accent3 4 3 4" xfId="20819" xr:uid="{00000000-0005-0000-0000-0000B60D0000}"/>
    <cellStyle name="40% - Accent3 4 3 5" xfId="38949" xr:uid="{00000000-0005-0000-0000-0000B70D0000}"/>
    <cellStyle name="40% - Accent3 4 3 6" xfId="20816" xr:uid="{00000000-0005-0000-0000-0000B80D0000}"/>
    <cellStyle name="40% - Accent3 4 4" xfId="1328" xr:uid="{00000000-0005-0000-0000-0000B90D0000}"/>
    <cellStyle name="40% - Accent3 4 4 2" xfId="1329" xr:uid="{00000000-0005-0000-0000-0000BA0D0000}"/>
    <cellStyle name="40% - Accent3 4 4 2 2" xfId="1330" xr:uid="{00000000-0005-0000-0000-0000BB0D0000}"/>
    <cellStyle name="40% - Accent3 4 4 2 2 2" xfId="18993" xr:uid="{00000000-0005-0000-0000-0000BC0D0000}"/>
    <cellStyle name="40% - Accent3 4 4 2 2 3" xfId="38953" xr:uid="{00000000-0005-0000-0000-0000BD0D0000}"/>
    <cellStyle name="40% - Accent3 4 4 2 3" xfId="18475" xr:uid="{00000000-0005-0000-0000-0000BE0D0000}"/>
    <cellStyle name="40% - Accent3 4 4 2 4" xfId="20821" xr:uid="{00000000-0005-0000-0000-0000BF0D0000}"/>
    <cellStyle name="40% - Accent3 4 4 3" xfId="1331" xr:uid="{00000000-0005-0000-0000-0000C00D0000}"/>
    <cellStyle name="40% - Accent3 4 4 3 2" xfId="18711" xr:uid="{00000000-0005-0000-0000-0000C10D0000}"/>
    <cellStyle name="40% - Accent3 4 4 3 3" xfId="20822" xr:uid="{00000000-0005-0000-0000-0000C20D0000}"/>
    <cellStyle name="40% - Accent3 4 4 4" xfId="18184" xr:uid="{00000000-0005-0000-0000-0000C30D0000}"/>
    <cellStyle name="40% - Accent3 4 4 4 2" xfId="38952" xr:uid="{00000000-0005-0000-0000-0000C40D0000}"/>
    <cellStyle name="40% - Accent3 4 4 5" xfId="20820" xr:uid="{00000000-0005-0000-0000-0000C50D0000}"/>
    <cellStyle name="40% - Accent3 4 5" xfId="1332" xr:uid="{00000000-0005-0000-0000-0000C60D0000}"/>
    <cellStyle name="40% - Accent3 4 5 2" xfId="1333" xr:uid="{00000000-0005-0000-0000-0000C70D0000}"/>
    <cellStyle name="40% - Accent3 4 5 2 2" xfId="18873" xr:uid="{00000000-0005-0000-0000-0000C80D0000}"/>
    <cellStyle name="40% - Accent3 4 5 2 3" xfId="38954" xr:uid="{00000000-0005-0000-0000-0000C90D0000}"/>
    <cellStyle name="40% - Accent3 4 5 3" xfId="18352" xr:uid="{00000000-0005-0000-0000-0000CA0D0000}"/>
    <cellStyle name="40% - Accent3 4 5 4" xfId="20823" xr:uid="{00000000-0005-0000-0000-0000CB0D0000}"/>
    <cellStyle name="40% - Accent3 4 6" xfId="1334" xr:uid="{00000000-0005-0000-0000-0000CC0D0000}"/>
    <cellStyle name="40% - Accent3 4 6 2" xfId="18594" xr:uid="{00000000-0005-0000-0000-0000CD0D0000}"/>
    <cellStyle name="40% - Accent3 4 6 2 2" xfId="20825" xr:uid="{00000000-0005-0000-0000-0000CE0D0000}"/>
    <cellStyle name="40% - Accent3 4 6 3" xfId="20824" xr:uid="{00000000-0005-0000-0000-0000CF0D0000}"/>
    <cellStyle name="40% - Accent3 4 7" xfId="18036" xr:uid="{00000000-0005-0000-0000-0000D00D0000}"/>
    <cellStyle name="40% - Accent3 4 7 2" xfId="20827" xr:uid="{00000000-0005-0000-0000-0000D10D0000}"/>
    <cellStyle name="40% - Accent3 4 7 3" xfId="20826" xr:uid="{00000000-0005-0000-0000-0000D20D0000}"/>
    <cellStyle name="40% - Accent3 4 8" xfId="20828" xr:uid="{00000000-0005-0000-0000-0000D30D0000}"/>
    <cellStyle name="40% - Accent3 4 9" xfId="20829" xr:uid="{00000000-0005-0000-0000-0000D40D0000}"/>
    <cellStyle name="40% - Accent3 5" xfId="1335" xr:uid="{00000000-0005-0000-0000-0000D50D0000}"/>
    <cellStyle name="40% - Accent3 5 2" xfId="1336" xr:uid="{00000000-0005-0000-0000-0000D60D0000}"/>
    <cellStyle name="40% - Accent3 5 2 2" xfId="1337" xr:uid="{00000000-0005-0000-0000-0000D70D0000}"/>
    <cellStyle name="40% - Accent3 5 2 2 2" xfId="20833" xr:uid="{00000000-0005-0000-0000-0000D80D0000}"/>
    <cellStyle name="40% - Accent3 5 2 2 2 2" xfId="20834" xr:uid="{00000000-0005-0000-0000-0000D90D0000}"/>
    <cellStyle name="40% - Accent3 5 2 2 2 2 2" xfId="38958" xr:uid="{00000000-0005-0000-0000-0000DA0D0000}"/>
    <cellStyle name="40% - Accent3 5 2 2 2 3" xfId="38957" xr:uid="{00000000-0005-0000-0000-0000DB0D0000}"/>
    <cellStyle name="40% - Accent3 5 2 2 3" xfId="20835" xr:uid="{00000000-0005-0000-0000-0000DC0D0000}"/>
    <cellStyle name="40% - Accent3 5 2 2 3 2" xfId="38959" xr:uid="{00000000-0005-0000-0000-0000DD0D0000}"/>
    <cellStyle name="40% - Accent3 5 2 2 4" xfId="38956" xr:uid="{00000000-0005-0000-0000-0000DE0D0000}"/>
    <cellStyle name="40% - Accent3 5 2 2 5" xfId="20832" xr:uid="{00000000-0005-0000-0000-0000DF0D0000}"/>
    <cellStyle name="40% - Accent3 5 2 3" xfId="1338" xr:uid="{00000000-0005-0000-0000-0000E00D0000}"/>
    <cellStyle name="40% - Accent3 5 2 3 2" xfId="20837" xr:uid="{00000000-0005-0000-0000-0000E10D0000}"/>
    <cellStyle name="40% - Accent3 5 2 3 2 2" xfId="38961" xr:uid="{00000000-0005-0000-0000-0000E20D0000}"/>
    <cellStyle name="40% - Accent3 5 2 3 3" xfId="38960" xr:uid="{00000000-0005-0000-0000-0000E30D0000}"/>
    <cellStyle name="40% - Accent3 5 2 3 4" xfId="20836" xr:uid="{00000000-0005-0000-0000-0000E40D0000}"/>
    <cellStyle name="40% - Accent3 5 2 4" xfId="20838" xr:uid="{00000000-0005-0000-0000-0000E50D0000}"/>
    <cellStyle name="40% - Accent3 5 2 4 2" xfId="38962" xr:uid="{00000000-0005-0000-0000-0000E60D0000}"/>
    <cellStyle name="40% - Accent3 5 2 5" xfId="20839" xr:uid="{00000000-0005-0000-0000-0000E70D0000}"/>
    <cellStyle name="40% - Accent3 5 2 6" xfId="38955" xr:uid="{00000000-0005-0000-0000-0000E80D0000}"/>
    <cellStyle name="40% - Accent3 5 2 7" xfId="20831" xr:uid="{00000000-0005-0000-0000-0000E90D0000}"/>
    <cellStyle name="40% - Accent3 5 3" xfId="1339" xr:uid="{00000000-0005-0000-0000-0000EA0D0000}"/>
    <cellStyle name="40% - Accent3 5 3 2" xfId="1340" xr:uid="{00000000-0005-0000-0000-0000EB0D0000}"/>
    <cellStyle name="40% - Accent3 5 3 2 2" xfId="20841" xr:uid="{00000000-0005-0000-0000-0000EC0D0000}"/>
    <cellStyle name="40% - Accent3 5 3 3" xfId="1341" xr:uid="{00000000-0005-0000-0000-0000ED0D0000}"/>
    <cellStyle name="40% - Accent3 5 3 3 2" xfId="38963" xr:uid="{00000000-0005-0000-0000-0000EE0D0000}"/>
    <cellStyle name="40% - Accent3 5 3 4" xfId="20840" xr:uid="{00000000-0005-0000-0000-0000EF0D0000}"/>
    <cellStyle name="40% - Accent3 5 4" xfId="20842" xr:uid="{00000000-0005-0000-0000-0000F00D0000}"/>
    <cellStyle name="40% - Accent3 5 5" xfId="20843" xr:uid="{00000000-0005-0000-0000-0000F10D0000}"/>
    <cellStyle name="40% - Accent3 5 6" xfId="20830" xr:uid="{00000000-0005-0000-0000-0000F20D0000}"/>
    <cellStyle name="40% - Accent3 6" xfId="1342" xr:uid="{00000000-0005-0000-0000-0000F30D0000}"/>
    <cellStyle name="40% - Accent3 6 2" xfId="1343" xr:uid="{00000000-0005-0000-0000-0000F40D0000}"/>
    <cellStyle name="40% - Accent3 6 2 2" xfId="1344" xr:uid="{00000000-0005-0000-0000-0000F50D0000}"/>
    <cellStyle name="40% - Accent3 6 2 2 2" xfId="38965" xr:uid="{00000000-0005-0000-0000-0000F60D0000}"/>
    <cellStyle name="40% - Accent3 6 2 2 3" xfId="20846" xr:uid="{00000000-0005-0000-0000-0000F70D0000}"/>
    <cellStyle name="40% - Accent3 6 2 3" xfId="1345" xr:uid="{00000000-0005-0000-0000-0000F80D0000}"/>
    <cellStyle name="40% - Accent3 6 2 3 2" xfId="20847" xr:uid="{00000000-0005-0000-0000-0000F90D0000}"/>
    <cellStyle name="40% - Accent3 6 2 4" xfId="20848" xr:uid="{00000000-0005-0000-0000-0000FA0D0000}"/>
    <cellStyle name="40% - Accent3 6 2 5" xfId="20845" xr:uid="{00000000-0005-0000-0000-0000FB0D0000}"/>
    <cellStyle name="40% - Accent3 6 3" xfId="1346" xr:uid="{00000000-0005-0000-0000-0000FC0D0000}"/>
    <cellStyle name="40% - Accent3 6 3 2" xfId="1347" xr:uid="{00000000-0005-0000-0000-0000FD0D0000}"/>
    <cellStyle name="40% - Accent3 6 3 2 2" xfId="20851" xr:uid="{00000000-0005-0000-0000-0000FE0D0000}"/>
    <cellStyle name="40% - Accent3 6 3 2 2 2" xfId="38968" xr:uid="{00000000-0005-0000-0000-0000FF0D0000}"/>
    <cellStyle name="40% - Accent3 6 3 2 3" xfId="38967" xr:uid="{00000000-0005-0000-0000-0000000E0000}"/>
    <cellStyle name="40% - Accent3 6 3 2 4" xfId="20850" xr:uid="{00000000-0005-0000-0000-0000010E0000}"/>
    <cellStyle name="40% - Accent3 6 3 3" xfId="1348" xr:uid="{00000000-0005-0000-0000-0000020E0000}"/>
    <cellStyle name="40% - Accent3 6 3 3 2" xfId="38969" xr:uid="{00000000-0005-0000-0000-0000030E0000}"/>
    <cellStyle name="40% - Accent3 6 3 3 3" xfId="20852" xr:uid="{00000000-0005-0000-0000-0000040E0000}"/>
    <cellStyle name="40% - Accent3 6 3 4" xfId="20853" xr:uid="{00000000-0005-0000-0000-0000050E0000}"/>
    <cellStyle name="40% - Accent3 6 3 5" xfId="38966" xr:uid="{00000000-0005-0000-0000-0000060E0000}"/>
    <cellStyle name="40% - Accent3 6 3 6" xfId="20849" xr:uid="{00000000-0005-0000-0000-0000070E0000}"/>
    <cellStyle name="40% - Accent3 6 4" xfId="1349" xr:uid="{00000000-0005-0000-0000-0000080E0000}"/>
    <cellStyle name="40% - Accent3 6 4 2" xfId="18749" xr:uid="{00000000-0005-0000-0000-0000090E0000}"/>
    <cellStyle name="40% - Accent3 6 4 2 2" xfId="38971" xr:uid="{00000000-0005-0000-0000-00000A0E0000}"/>
    <cellStyle name="40% - Accent3 6 4 2 3" xfId="20855" xr:uid="{00000000-0005-0000-0000-00000B0E0000}"/>
    <cellStyle name="40% - Accent3 6 4 3" xfId="38970" xr:uid="{00000000-0005-0000-0000-00000C0E0000}"/>
    <cellStyle name="40% - Accent3 6 4 4" xfId="20854" xr:uid="{00000000-0005-0000-0000-00000D0E0000}"/>
    <cellStyle name="40% - Accent3 6 5" xfId="18220" xr:uid="{00000000-0005-0000-0000-00000E0E0000}"/>
    <cellStyle name="40% - Accent3 6 5 2" xfId="38972" xr:uid="{00000000-0005-0000-0000-00000F0E0000}"/>
    <cellStyle name="40% - Accent3 6 5 3" xfId="20856" xr:uid="{00000000-0005-0000-0000-0000100E0000}"/>
    <cellStyle name="40% - Accent3 6 6" xfId="20857" xr:uid="{00000000-0005-0000-0000-0000110E0000}"/>
    <cellStyle name="40% - Accent3 6 7" xfId="38964" xr:uid="{00000000-0005-0000-0000-0000120E0000}"/>
    <cellStyle name="40% - Accent3 6 8" xfId="20844" xr:uid="{00000000-0005-0000-0000-0000130E0000}"/>
    <cellStyle name="40% - Accent3 7" xfId="1350" xr:uid="{00000000-0005-0000-0000-0000140E0000}"/>
    <cellStyle name="40% - Accent3 7 2" xfId="1351" xr:uid="{00000000-0005-0000-0000-0000150E0000}"/>
    <cellStyle name="40% - Accent3 7 2 2" xfId="1352" xr:uid="{00000000-0005-0000-0000-0000160E0000}"/>
    <cellStyle name="40% - Accent3 7 2 2 2" xfId="20861" xr:uid="{00000000-0005-0000-0000-0000170E0000}"/>
    <cellStyle name="40% - Accent3 7 2 2 2 2" xfId="38976" xr:uid="{00000000-0005-0000-0000-0000180E0000}"/>
    <cellStyle name="40% - Accent3 7 2 2 3" xfId="38975" xr:uid="{00000000-0005-0000-0000-0000190E0000}"/>
    <cellStyle name="40% - Accent3 7 2 2 4" xfId="20860" xr:uid="{00000000-0005-0000-0000-00001A0E0000}"/>
    <cellStyle name="40% - Accent3 7 2 3" xfId="1353" xr:uid="{00000000-0005-0000-0000-00001B0E0000}"/>
    <cellStyle name="40% - Accent3 7 2 3 2" xfId="38977" xr:uid="{00000000-0005-0000-0000-00001C0E0000}"/>
    <cellStyle name="40% - Accent3 7 2 3 3" xfId="20862" xr:uid="{00000000-0005-0000-0000-00001D0E0000}"/>
    <cellStyle name="40% - Accent3 7 2 4" xfId="38974" xr:uid="{00000000-0005-0000-0000-00001E0E0000}"/>
    <cellStyle name="40% - Accent3 7 2 5" xfId="20859" xr:uid="{00000000-0005-0000-0000-00001F0E0000}"/>
    <cellStyle name="40% - Accent3 7 3" xfId="1354" xr:uid="{00000000-0005-0000-0000-0000200E0000}"/>
    <cellStyle name="40% - Accent3 7 3 2" xfId="1355" xr:uid="{00000000-0005-0000-0000-0000210E0000}"/>
    <cellStyle name="40% - Accent3 7 3 2 2" xfId="38979" xr:uid="{00000000-0005-0000-0000-0000220E0000}"/>
    <cellStyle name="40% - Accent3 7 3 2 3" xfId="20864" xr:uid="{00000000-0005-0000-0000-0000230E0000}"/>
    <cellStyle name="40% - Accent3 7 3 3" xfId="1356" xr:uid="{00000000-0005-0000-0000-0000240E0000}"/>
    <cellStyle name="40% - Accent3 7 3 3 2" xfId="38978" xr:uid="{00000000-0005-0000-0000-0000250E0000}"/>
    <cellStyle name="40% - Accent3 7 3 4" xfId="20863" xr:uid="{00000000-0005-0000-0000-0000260E0000}"/>
    <cellStyle name="40% - Accent3 7 4" xfId="20865" xr:uid="{00000000-0005-0000-0000-0000270E0000}"/>
    <cellStyle name="40% - Accent3 7 4 2" xfId="38980" xr:uid="{00000000-0005-0000-0000-0000280E0000}"/>
    <cellStyle name="40% - Accent3 7 5" xfId="20866" xr:uid="{00000000-0005-0000-0000-0000290E0000}"/>
    <cellStyle name="40% - Accent3 7 6" xfId="38973" xr:uid="{00000000-0005-0000-0000-00002A0E0000}"/>
    <cellStyle name="40% - Accent3 7 7" xfId="20858" xr:uid="{00000000-0005-0000-0000-00002B0E0000}"/>
    <cellStyle name="40% - Accent3 8" xfId="20867" xr:uid="{00000000-0005-0000-0000-00002C0E0000}"/>
    <cellStyle name="40% - Accent3 8 2" xfId="1357" xr:uid="{00000000-0005-0000-0000-00002D0E0000}"/>
    <cellStyle name="40% - Accent3 8 2 2" xfId="1358" xr:uid="{00000000-0005-0000-0000-00002E0E0000}"/>
    <cellStyle name="40% - Accent3 8 2 3" xfId="1359" xr:uid="{00000000-0005-0000-0000-00002F0E0000}"/>
    <cellStyle name="40% - Accent3 8 2 4" xfId="20868" xr:uid="{00000000-0005-0000-0000-0000300E0000}"/>
    <cellStyle name="40% - Accent3 8 3" xfId="1360" xr:uid="{00000000-0005-0000-0000-0000310E0000}"/>
    <cellStyle name="40% - Accent3 8 3 2" xfId="1361" xr:uid="{00000000-0005-0000-0000-0000320E0000}"/>
    <cellStyle name="40% - Accent3 8 3 2 2" xfId="38981" xr:uid="{00000000-0005-0000-0000-0000330E0000}"/>
    <cellStyle name="40% - Accent3 8 3 3" xfId="1362" xr:uid="{00000000-0005-0000-0000-0000340E0000}"/>
    <cellStyle name="40% - Accent3 8 3 4" xfId="20869" xr:uid="{00000000-0005-0000-0000-0000350E0000}"/>
    <cellStyle name="40% - Accent3 8 4" xfId="20870" xr:uid="{00000000-0005-0000-0000-0000360E0000}"/>
    <cellStyle name="40% - Accent3 9" xfId="20871" xr:uid="{00000000-0005-0000-0000-0000370E0000}"/>
    <cellStyle name="40% - Accent3 9 2" xfId="1363" xr:uid="{00000000-0005-0000-0000-0000380E0000}"/>
    <cellStyle name="40% - Accent3 9 2 2" xfId="1364" xr:uid="{00000000-0005-0000-0000-0000390E0000}"/>
    <cellStyle name="40% - Accent3 9 2 2 2" xfId="38982" xr:uid="{00000000-0005-0000-0000-00003A0E0000}"/>
    <cellStyle name="40% - Accent3 9 2 3" xfId="1365" xr:uid="{00000000-0005-0000-0000-00003B0E0000}"/>
    <cellStyle name="40% - Accent3 9 2 4" xfId="20872" xr:uid="{00000000-0005-0000-0000-00003C0E0000}"/>
    <cellStyle name="40% - Accent3 9 3" xfId="1366" xr:uid="{00000000-0005-0000-0000-00003D0E0000}"/>
    <cellStyle name="40% - Accent3 9 3 2" xfId="1367" xr:uid="{00000000-0005-0000-0000-00003E0E0000}"/>
    <cellStyle name="40% - Accent3 9 3 3" xfId="1368" xr:uid="{00000000-0005-0000-0000-00003F0E0000}"/>
    <cellStyle name="40% - Accent3 9 3 4" xfId="20873" xr:uid="{00000000-0005-0000-0000-0000400E0000}"/>
    <cellStyle name="40% - Accent4" xfId="44353" builtinId="43" customBuiltin="1"/>
    <cellStyle name="40% - Accent4 10" xfId="20874" xr:uid="{00000000-0005-0000-0000-0000420E0000}"/>
    <cellStyle name="40% - Accent4 10 2" xfId="1369" xr:uid="{00000000-0005-0000-0000-0000430E0000}"/>
    <cellStyle name="40% - Accent4 10 2 2" xfId="1370" xr:uid="{00000000-0005-0000-0000-0000440E0000}"/>
    <cellStyle name="40% - Accent4 10 2 2 2" xfId="38983" xr:uid="{00000000-0005-0000-0000-0000450E0000}"/>
    <cellStyle name="40% - Accent4 10 2 3" xfId="1371" xr:uid="{00000000-0005-0000-0000-0000460E0000}"/>
    <cellStyle name="40% - Accent4 10 2 4" xfId="20875" xr:uid="{00000000-0005-0000-0000-0000470E0000}"/>
    <cellStyle name="40% - Accent4 10 3" xfId="1372" xr:uid="{00000000-0005-0000-0000-0000480E0000}"/>
    <cellStyle name="40% - Accent4 10 3 2" xfId="1373" xr:uid="{00000000-0005-0000-0000-0000490E0000}"/>
    <cellStyle name="40% - Accent4 10 3 3" xfId="1374" xr:uid="{00000000-0005-0000-0000-00004A0E0000}"/>
    <cellStyle name="40% - Accent4 10 3 4" xfId="20876" xr:uid="{00000000-0005-0000-0000-00004B0E0000}"/>
    <cellStyle name="40% - Accent4 11" xfId="20877" xr:uid="{00000000-0005-0000-0000-00004C0E0000}"/>
    <cellStyle name="40% - Accent4 11 2" xfId="1375" xr:uid="{00000000-0005-0000-0000-00004D0E0000}"/>
    <cellStyle name="40% - Accent4 11 2 2" xfId="1376" xr:uid="{00000000-0005-0000-0000-00004E0E0000}"/>
    <cellStyle name="40% - Accent4 11 2 3" xfId="1377" xr:uid="{00000000-0005-0000-0000-00004F0E0000}"/>
    <cellStyle name="40% - Accent4 11 3" xfId="1378" xr:uid="{00000000-0005-0000-0000-0000500E0000}"/>
    <cellStyle name="40% - Accent4 11 3 2" xfId="1379" xr:uid="{00000000-0005-0000-0000-0000510E0000}"/>
    <cellStyle name="40% - Accent4 11 3 3" xfId="1380" xr:uid="{00000000-0005-0000-0000-0000520E0000}"/>
    <cellStyle name="40% - Accent4 12" xfId="20878" xr:uid="{00000000-0005-0000-0000-0000530E0000}"/>
    <cellStyle name="40% - Accent4 12 2" xfId="1381" xr:uid="{00000000-0005-0000-0000-0000540E0000}"/>
    <cellStyle name="40% - Accent4 12 2 2" xfId="1382" xr:uid="{00000000-0005-0000-0000-0000550E0000}"/>
    <cellStyle name="40% - Accent4 12 2 3" xfId="1383" xr:uid="{00000000-0005-0000-0000-0000560E0000}"/>
    <cellStyle name="40% - Accent4 12 3" xfId="1384" xr:uid="{00000000-0005-0000-0000-0000570E0000}"/>
    <cellStyle name="40% - Accent4 12 3 2" xfId="1385" xr:uid="{00000000-0005-0000-0000-0000580E0000}"/>
    <cellStyle name="40% - Accent4 12 3 3" xfId="1386" xr:uid="{00000000-0005-0000-0000-0000590E0000}"/>
    <cellStyle name="40% - Accent4 13 2" xfId="1387" xr:uid="{00000000-0005-0000-0000-00005A0E0000}"/>
    <cellStyle name="40% - Accent4 13 2 2" xfId="1388" xr:uid="{00000000-0005-0000-0000-00005B0E0000}"/>
    <cellStyle name="40% - Accent4 13 2 3" xfId="1389" xr:uid="{00000000-0005-0000-0000-00005C0E0000}"/>
    <cellStyle name="40% - Accent4 13 3" xfId="1390" xr:uid="{00000000-0005-0000-0000-00005D0E0000}"/>
    <cellStyle name="40% - Accent4 13 3 2" xfId="1391" xr:uid="{00000000-0005-0000-0000-00005E0E0000}"/>
    <cellStyle name="40% - Accent4 13 3 3" xfId="1392" xr:uid="{00000000-0005-0000-0000-00005F0E0000}"/>
    <cellStyle name="40% - Accent4 14 2" xfId="1393" xr:uid="{00000000-0005-0000-0000-0000600E0000}"/>
    <cellStyle name="40% - Accent4 14 2 2" xfId="1394" xr:uid="{00000000-0005-0000-0000-0000610E0000}"/>
    <cellStyle name="40% - Accent4 14 2 3" xfId="1395" xr:uid="{00000000-0005-0000-0000-0000620E0000}"/>
    <cellStyle name="40% - Accent4 14 3" xfId="1396" xr:uid="{00000000-0005-0000-0000-0000630E0000}"/>
    <cellStyle name="40% - Accent4 14 3 2" xfId="1397" xr:uid="{00000000-0005-0000-0000-0000640E0000}"/>
    <cellStyle name="40% - Accent4 14 3 3" xfId="1398" xr:uid="{00000000-0005-0000-0000-0000650E0000}"/>
    <cellStyle name="40% - Accent4 15" xfId="1399" xr:uid="{00000000-0005-0000-0000-0000660E0000}"/>
    <cellStyle name="40% - Accent4 15 2" xfId="1400" xr:uid="{00000000-0005-0000-0000-0000670E0000}"/>
    <cellStyle name="40% - Accent4 15 2 2" xfId="1401" xr:uid="{00000000-0005-0000-0000-0000680E0000}"/>
    <cellStyle name="40% - Accent4 15 2 3" xfId="1402" xr:uid="{00000000-0005-0000-0000-0000690E0000}"/>
    <cellStyle name="40% - Accent4 15 3" xfId="1403" xr:uid="{00000000-0005-0000-0000-00006A0E0000}"/>
    <cellStyle name="40% - Accent4 15 3 2" xfId="1404" xr:uid="{00000000-0005-0000-0000-00006B0E0000}"/>
    <cellStyle name="40% - Accent4 15 3 3" xfId="1405" xr:uid="{00000000-0005-0000-0000-00006C0E0000}"/>
    <cellStyle name="40% - Accent4 15 4" xfId="1406" xr:uid="{00000000-0005-0000-0000-00006D0E0000}"/>
    <cellStyle name="40% - Accent4 15 4 2" xfId="1407" xr:uid="{00000000-0005-0000-0000-00006E0E0000}"/>
    <cellStyle name="40% - Accent4 15 4 3" xfId="1408" xr:uid="{00000000-0005-0000-0000-00006F0E0000}"/>
    <cellStyle name="40% - Accent4 15 5" xfId="1409" xr:uid="{00000000-0005-0000-0000-0000700E0000}"/>
    <cellStyle name="40% - Accent4 15 5 2" xfId="1410" xr:uid="{00000000-0005-0000-0000-0000710E0000}"/>
    <cellStyle name="40% - Accent4 15 5 3" xfId="1411" xr:uid="{00000000-0005-0000-0000-0000720E0000}"/>
    <cellStyle name="40% - Accent4 15 6" xfId="1412" xr:uid="{00000000-0005-0000-0000-0000730E0000}"/>
    <cellStyle name="40% - Accent4 15 6 2" xfId="1413" xr:uid="{00000000-0005-0000-0000-0000740E0000}"/>
    <cellStyle name="40% - Accent4 15 6 3" xfId="1414" xr:uid="{00000000-0005-0000-0000-0000750E0000}"/>
    <cellStyle name="40% - Accent4 15 7" xfId="1415" xr:uid="{00000000-0005-0000-0000-0000760E0000}"/>
    <cellStyle name="40% - Accent4 15 7 2" xfId="1416" xr:uid="{00000000-0005-0000-0000-0000770E0000}"/>
    <cellStyle name="40% - Accent4 15 7 3" xfId="1417" xr:uid="{00000000-0005-0000-0000-0000780E0000}"/>
    <cellStyle name="40% - Accent4 15 8" xfId="1418" xr:uid="{00000000-0005-0000-0000-0000790E0000}"/>
    <cellStyle name="40% - Accent4 15 9" xfId="1419" xr:uid="{00000000-0005-0000-0000-00007A0E0000}"/>
    <cellStyle name="40% - Accent4 16" xfId="1420" xr:uid="{00000000-0005-0000-0000-00007B0E0000}"/>
    <cellStyle name="40% - Accent4 16 2" xfId="1421" xr:uid="{00000000-0005-0000-0000-00007C0E0000}"/>
    <cellStyle name="40% - Accent4 16 3" xfId="1422" xr:uid="{00000000-0005-0000-0000-00007D0E0000}"/>
    <cellStyle name="40% - Accent4 17" xfId="1423" xr:uid="{00000000-0005-0000-0000-00007E0E0000}"/>
    <cellStyle name="40% - Accent4 17 2" xfId="1424" xr:uid="{00000000-0005-0000-0000-00007F0E0000}"/>
    <cellStyle name="40% - Accent4 17 3" xfId="1425" xr:uid="{00000000-0005-0000-0000-0000800E0000}"/>
    <cellStyle name="40% - Accent4 18" xfId="1426" xr:uid="{00000000-0005-0000-0000-0000810E0000}"/>
    <cellStyle name="40% - Accent4 18 2" xfId="1427" xr:uid="{00000000-0005-0000-0000-0000820E0000}"/>
    <cellStyle name="40% - Accent4 18 3" xfId="1428" xr:uid="{00000000-0005-0000-0000-0000830E0000}"/>
    <cellStyle name="40% - Accent4 19" xfId="1429" xr:uid="{00000000-0005-0000-0000-0000840E0000}"/>
    <cellStyle name="40% - Accent4 19 2" xfId="1430" xr:uid="{00000000-0005-0000-0000-0000850E0000}"/>
    <cellStyle name="40% - Accent4 19 3" xfId="1431" xr:uid="{00000000-0005-0000-0000-0000860E0000}"/>
    <cellStyle name="40% - Accent4 2" xfId="1432" xr:uid="{00000000-0005-0000-0000-0000870E0000}"/>
    <cellStyle name="40% - Accent4 2 2" xfId="1433" xr:uid="{00000000-0005-0000-0000-0000880E0000}"/>
    <cellStyle name="40% - Accent4 2 2 2" xfId="1434" xr:uid="{00000000-0005-0000-0000-0000890E0000}"/>
    <cellStyle name="40% - Accent4 2 2 2 2" xfId="20881" xr:uid="{00000000-0005-0000-0000-00008A0E0000}"/>
    <cellStyle name="40% - Accent4 2 2 2 3" xfId="20882" xr:uid="{00000000-0005-0000-0000-00008B0E0000}"/>
    <cellStyle name="40% - Accent4 2 2 2 4" xfId="20883" xr:uid="{00000000-0005-0000-0000-00008C0E0000}"/>
    <cellStyle name="40% - Accent4 2 2 2 5" xfId="20880" xr:uid="{00000000-0005-0000-0000-00008D0E0000}"/>
    <cellStyle name="40% - Accent4 2 2 3" xfId="1435" xr:uid="{00000000-0005-0000-0000-00008E0E0000}"/>
    <cellStyle name="40% - Accent4 2 2 3 2" xfId="20885" xr:uid="{00000000-0005-0000-0000-00008F0E0000}"/>
    <cellStyle name="40% - Accent4 2 2 3 2 2" xfId="20886" xr:uid="{00000000-0005-0000-0000-0000900E0000}"/>
    <cellStyle name="40% - Accent4 2 2 3 2 2 2" xfId="38987" xr:uid="{00000000-0005-0000-0000-0000910E0000}"/>
    <cellStyle name="40% - Accent4 2 2 3 2 3" xfId="38986" xr:uid="{00000000-0005-0000-0000-0000920E0000}"/>
    <cellStyle name="40% - Accent4 2 2 3 3" xfId="20887" xr:uid="{00000000-0005-0000-0000-0000930E0000}"/>
    <cellStyle name="40% - Accent4 2 2 3 3 2" xfId="38988" xr:uid="{00000000-0005-0000-0000-0000940E0000}"/>
    <cellStyle name="40% - Accent4 2 2 3 4" xfId="20888" xr:uid="{00000000-0005-0000-0000-0000950E0000}"/>
    <cellStyle name="40% - Accent4 2 2 3 5" xfId="38985" xr:uid="{00000000-0005-0000-0000-0000960E0000}"/>
    <cellStyle name="40% - Accent4 2 2 3 6" xfId="20884" xr:uid="{00000000-0005-0000-0000-0000970E0000}"/>
    <cellStyle name="40% - Accent4 2 2 4" xfId="20889" xr:uid="{00000000-0005-0000-0000-0000980E0000}"/>
    <cellStyle name="40% - Accent4 2 2 4 2" xfId="20890" xr:uid="{00000000-0005-0000-0000-0000990E0000}"/>
    <cellStyle name="40% - Accent4 2 2 4 2 2" xfId="38990" xr:uid="{00000000-0005-0000-0000-00009A0E0000}"/>
    <cellStyle name="40% - Accent4 2 2 4 3" xfId="20891" xr:uid="{00000000-0005-0000-0000-00009B0E0000}"/>
    <cellStyle name="40% - Accent4 2 2 4 4" xfId="38989" xr:uid="{00000000-0005-0000-0000-00009C0E0000}"/>
    <cellStyle name="40% - Accent4 2 2 5" xfId="20892" xr:uid="{00000000-0005-0000-0000-00009D0E0000}"/>
    <cellStyle name="40% - Accent4 2 2 5 2" xfId="20893" xr:uid="{00000000-0005-0000-0000-00009E0E0000}"/>
    <cellStyle name="40% - Accent4 2 2 5 3" xfId="38991" xr:uid="{00000000-0005-0000-0000-00009F0E0000}"/>
    <cellStyle name="40% - Accent4 2 2 6" xfId="20894" xr:uid="{00000000-0005-0000-0000-0000A00E0000}"/>
    <cellStyle name="40% - Accent4 2 2 6 2" xfId="20895" xr:uid="{00000000-0005-0000-0000-0000A10E0000}"/>
    <cellStyle name="40% - Accent4 2 2 7" xfId="20896" xr:uid="{00000000-0005-0000-0000-0000A20E0000}"/>
    <cellStyle name="40% - Accent4 2 2 8" xfId="38984" xr:uid="{00000000-0005-0000-0000-0000A30E0000}"/>
    <cellStyle name="40% - Accent4 2 2 9" xfId="20879" xr:uid="{00000000-0005-0000-0000-0000A40E0000}"/>
    <cellStyle name="40% - Accent4 2 3" xfId="1436" xr:uid="{00000000-0005-0000-0000-0000A50E0000}"/>
    <cellStyle name="40% - Accent4 2 3 2" xfId="1437" xr:uid="{00000000-0005-0000-0000-0000A60E0000}"/>
    <cellStyle name="40% - Accent4 2 3 2 2" xfId="20899" xr:uid="{00000000-0005-0000-0000-0000A70E0000}"/>
    <cellStyle name="40% - Accent4 2 3 2 3" xfId="20900" xr:uid="{00000000-0005-0000-0000-0000A80E0000}"/>
    <cellStyle name="40% - Accent4 2 3 2 4" xfId="20901" xr:uid="{00000000-0005-0000-0000-0000A90E0000}"/>
    <cellStyle name="40% - Accent4 2 3 2 5" xfId="38992" xr:uid="{00000000-0005-0000-0000-0000AA0E0000}"/>
    <cellStyle name="40% - Accent4 2 3 2 6" xfId="20898" xr:uid="{00000000-0005-0000-0000-0000AB0E0000}"/>
    <cellStyle name="40% - Accent4 2 3 3" xfId="1438" xr:uid="{00000000-0005-0000-0000-0000AC0E0000}"/>
    <cellStyle name="40% - Accent4 2 3 3 2" xfId="20902" xr:uid="{00000000-0005-0000-0000-0000AD0E0000}"/>
    <cellStyle name="40% - Accent4 2 3 4" xfId="20903" xr:uid="{00000000-0005-0000-0000-0000AE0E0000}"/>
    <cellStyle name="40% - Accent4 2 3 5" xfId="20904" xr:uid="{00000000-0005-0000-0000-0000AF0E0000}"/>
    <cellStyle name="40% - Accent4 2 3 6" xfId="20897" xr:uid="{00000000-0005-0000-0000-0000B00E0000}"/>
    <cellStyle name="40% - Accent4 2 4" xfId="20905" xr:uid="{00000000-0005-0000-0000-0000B10E0000}"/>
    <cellStyle name="40% - Accent4 2 4 2" xfId="20906" xr:uid="{00000000-0005-0000-0000-0000B20E0000}"/>
    <cellStyle name="40% - Accent4 2 5" xfId="20907" xr:uid="{00000000-0005-0000-0000-0000B30E0000}"/>
    <cellStyle name="40% - Accent4 2 5 2" xfId="20908" xr:uid="{00000000-0005-0000-0000-0000B40E0000}"/>
    <cellStyle name="40% - Accent4 2 5 3" xfId="20909" xr:uid="{00000000-0005-0000-0000-0000B50E0000}"/>
    <cellStyle name="40% - Accent4 2 6" xfId="20910" xr:uid="{00000000-0005-0000-0000-0000B60E0000}"/>
    <cellStyle name="40% - Accent4 2 6 2" xfId="20911" xr:uid="{00000000-0005-0000-0000-0000B70E0000}"/>
    <cellStyle name="40% - Accent4 2 7" xfId="20912" xr:uid="{00000000-0005-0000-0000-0000B80E0000}"/>
    <cellStyle name="40% - Accent4 2 7 2" xfId="20913" xr:uid="{00000000-0005-0000-0000-0000B90E0000}"/>
    <cellStyle name="40% - Accent4 2 8" xfId="20914" xr:uid="{00000000-0005-0000-0000-0000BA0E0000}"/>
    <cellStyle name="40% - Accent4 20" xfId="1439" xr:uid="{00000000-0005-0000-0000-0000BB0E0000}"/>
    <cellStyle name="40% - Accent4 20 2" xfId="1440" xr:uid="{00000000-0005-0000-0000-0000BC0E0000}"/>
    <cellStyle name="40% - Accent4 20 3" xfId="1441" xr:uid="{00000000-0005-0000-0000-0000BD0E0000}"/>
    <cellStyle name="40% - Accent4 21" xfId="1442" xr:uid="{00000000-0005-0000-0000-0000BE0E0000}"/>
    <cellStyle name="40% - Accent4 21 2" xfId="1443" xr:uid="{00000000-0005-0000-0000-0000BF0E0000}"/>
    <cellStyle name="40% - Accent4 21 3" xfId="1444" xr:uid="{00000000-0005-0000-0000-0000C00E0000}"/>
    <cellStyle name="40% - Accent4 22" xfId="1445" xr:uid="{00000000-0005-0000-0000-0000C10E0000}"/>
    <cellStyle name="40% - Accent4 22 2" xfId="1446" xr:uid="{00000000-0005-0000-0000-0000C20E0000}"/>
    <cellStyle name="40% - Accent4 22 3" xfId="1447" xr:uid="{00000000-0005-0000-0000-0000C30E0000}"/>
    <cellStyle name="40% - Accent4 3" xfId="1448" xr:uid="{00000000-0005-0000-0000-0000C40E0000}"/>
    <cellStyle name="40% - Accent4 3 10" xfId="20915" xr:uid="{00000000-0005-0000-0000-0000C50E0000}"/>
    <cellStyle name="40% - Accent4 3 2" xfId="1449" xr:uid="{00000000-0005-0000-0000-0000C60E0000}"/>
    <cellStyle name="40% - Accent4 3 2 2" xfId="1450" xr:uid="{00000000-0005-0000-0000-0000C70E0000}"/>
    <cellStyle name="40% - Accent4 3 2 2 2" xfId="20918" xr:uid="{00000000-0005-0000-0000-0000C80E0000}"/>
    <cellStyle name="40% - Accent4 3 2 2 2 2" xfId="20919" xr:uid="{00000000-0005-0000-0000-0000C90E0000}"/>
    <cellStyle name="40% - Accent4 3 2 2 2 2 2" xfId="38996" xr:uid="{00000000-0005-0000-0000-0000CA0E0000}"/>
    <cellStyle name="40% - Accent4 3 2 2 2 3" xfId="20920" xr:uid="{00000000-0005-0000-0000-0000CB0E0000}"/>
    <cellStyle name="40% - Accent4 3 2 2 2 4" xfId="38995" xr:uid="{00000000-0005-0000-0000-0000CC0E0000}"/>
    <cellStyle name="40% - Accent4 3 2 2 3" xfId="20921" xr:uid="{00000000-0005-0000-0000-0000CD0E0000}"/>
    <cellStyle name="40% - Accent4 3 2 2 3 2" xfId="20922" xr:uid="{00000000-0005-0000-0000-0000CE0E0000}"/>
    <cellStyle name="40% - Accent4 3 2 2 3 3" xfId="38997" xr:uid="{00000000-0005-0000-0000-0000CF0E0000}"/>
    <cellStyle name="40% - Accent4 3 2 2 4" xfId="20923" xr:uid="{00000000-0005-0000-0000-0000D00E0000}"/>
    <cellStyle name="40% - Accent4 3 2 2 5" xfId="38994" xr:uid="{00000000-0005-0000-0000-0000D10E0000}"/>
    <cellStyle name="40% - Accent4 3 2 2 6" xfId="20917" xr:uid="{00000000-0005-0000-0000-0000D20E0000}"/>
    <cellStyle name="40% - Accent4 3 2 3" xfId="1451" xr:uid="{00000000-0005-0000-0000-0000D30E0000}"/>
    <cellStyle name="40% - Accent4 3 2 3 2" xfId="20925" xr:uid="{00000000-0005-0000-0000-0000D40E0000}"/>
    <cellStyle name="40% - Accent4 3 2 3 2 2" xfId="38999" xr:uid="{00000000-0005-0000-0000-0000D50E0000}"/>
    <cellStyle name="40% - Accent4 3 2 3 3" xfId="20926" xr:uid="{00000000-0005-0000-0000-0000D60E0000}"/>
    <cellStyle name="40% - Accent4 3 2 3 4" xfId="38998" xr:uid="{00000000-0005-0000-0000-0000D70E0000}"/>
    <cellStyle name="40% - Accent4 3 2 3 5" xfId="20924" xr:uid="{00000000-0005-0000-0000-0000D80E0000}"/>
    <cellStyle name="40% - Accent4 3 2 4" xfId="20927" xr:uid="{00000000-0005-0000-0000-0000D90E0000}"/>
    <cellStyle name="40% - Accent4 3 2 4 2" xfId="20928" xr:uid="{00000000-0005-0000-0000-0000DA0E0000}"/>
    <cellStyle name="40% - Accent4 3 2 4 3" xfId="39000" xr:uid="{00000000-0005-0000-0000-0000DB0E0000}"/>
    <cellStyle name="40% - Accent4 3 2 5" xfId="20929" xr:uid="{00000000-0005-0000-0000-0000DC0E0000}"/>
    <cellStyle name="40% - Accent4 3 2 5 2" xfId="20930" xr:uid="{00000000-0005-0000-0000-0000DD0E0000}"/>
    <cellStyle name="40% - Accent4 3 2 6" xfId="20931" xr:uid="{00000000-0005-0000-0000-0000DE0E0000}"/>
    <cellStyle name="40% - Accent4 3 2 6 2" xfId="20932" xr:uid="{00000000-0005-0000-0000-0000DF0E0000}"/>
    <cellStyle name="40% - Accent4 3 2 7" xfId="20933" xr:uid="{00000000-0005-0000-0000-0000E00E0000}"/>
    <cellStyle name="40% - Accent4 3 2 8" xfId="38993" xr:uid="{00000000-0005-0000-0000-0000E10E0000}"/>
    <cellStyle name="40% - Accent4 3 2 9" xfId="20916" xr:uid="{00000000-0005-0000-0000-0000E20E0000}"/>
    <cellStyle name="40% - Accent4 3 3" xfId="1452" xr:uid="{00000000-0005-0000-0000-0000E30E0000}"/>
    <cellStyle name="40% - Accent4 3 3 2" xfId="1453" xr:uid="{00000000-0005-0000-0000-0000E40E0000}"/>
    <cellStyle name="40% - Accent4 3 3 2 2" xfId="20936" xr:uid="{00000000-0005-0000-0000-0000E50E0000}"/>
    <cellStyle name="40% - Accent4 3 3 2 2 2" xfId="39003" xr:uid="{00000000-0005-0000-0000-0000E60E0000}"/>
    <cellStyle name="40% - Accent4 3 3 2 3" xfId="39002" xr:uid="{00000000-0005-0000-0000-0000E70E0000}"/>
    <cellStyle name="40% - Accent4 3 3 2 4" xfId="20935" xr:uid="{00000000-0005-0000-0000-0000E80E0000}"/>
    <cellStyle name="40% - Accent4 3 3 3" xfId="1454" xr:uid="{00000000-0005-0000-0000-0000E90E0000}"/>
    <cellStyle name="40% - Accent4 3 3 3 2" xfId="39004" xr:uid="{00000000-0005-0000-0000-0000EA0E0000}"/>
    <cellStyle name="40% - Accent4 3 3 3 3" xfId="20937" xr:uid="{00000000-0005-0000-0000-0000EB0E0000}"/>
    <cellStyle name="40% - Accent4 3 3 4" xfId="20938" xr:uid="{00000000-0005-0000-0000-0000EC0E0000}"/>
    <cellStyle name="40% - Accent4 3 3 5" xfId="39001" xr:uid="{00000000-0005-0000-0000-0000ED0E0000}"/>
    <cellStyle name="40% - Accent4 3 3 6" xfId="20934" xr:uid="{00000000-0005-0000-0000-0000EE0E0000}"/>
    <cellStyle name="40% - Accent4 3 4" xfId="20939" xr:uid="{00000000-0005-0000-0000-0000EF0E0000}"/>
    <cellStyle name="40% - Accent4 3 4 2" xfId="20940" xr:uid="{00000000-0005-0000-0000-0000F00E0000}"/>
    <cellStyle name="40% - Accent4 3 4 2 2" xfId="39006" xr:uid="{00000000-0005-0000-0000-0000F10E0000}"/>
    <cellStyle name="40% - Accent4 3 4 3" xfId="20941" xr:uid="{00000000-0005-0000-0000-0000F20E0000}"/>
    <cellStyle name="40% - Accent4 3 4 4" xfId="39005" xr:uid="{00000000-0005-0000-0000-0000F30E0000}"/>
    <cellStyle name="40% - Accent4 3 5" xfId="20942" xr:uid="{00000000-0005-0000-0000-0000F40E0000}"/>
    <cellStyle name="40% - Accent4 3 5 2" xfId="20943" xr:uid="{00000000-0005-0000-0000-0000F50E0000}"/>
    <cellStyle name="40% - Accent4 3 5 3" xfId="39007" xr:uid="{00000000-0005-0000-0000-0000F60E0000}"/>
    <cellStyle name="40% - Accent4 3 6" xfId="20944" xr:uid="{00000000-0005-0000-0000-0000F70E0000}"/>
    <cellStyle name="40% - Accent4 3 6 2" xfId="20945" xr:uid="{00000000-0005-0000-0000-0000F80E0000}"/>
    <cellStyle name="40% - Accent4 3 6 3" xfId="20946" xr:uid="{00000000-0005-0000-0000-0000F90E0000}"/>
    <cellStyle name="40% - Accent4 3 7" xfId="20947" xr:uid="{00000000-0005-0000-0000-0000FA0E0000}"/>
    <cellStyle name="40% - Accent4 3 7 2" xfId="20948" xr:uid="{00000000-0005-0000-0000-0000FB0E0000}"/>
    <cellStyle name="40% - Accent4 3 8" xfId="20949" xr:uid="{00000000-0005-0000-0000-0000FC0E0000}"/>
    <cellStyle name="40% - Accent4 3 9" xfId="20950" xr:uid="{00000000-0005-0000-0000-0000FD0E0000}"/>
    <cellStyle name="40% - Accent4 4" xfId="1455" xr:uid="{00000000-0005-0000-0000-0000FE0E0000}"/>
    <cellStyle name="40% - Accent4 4 2" xfId="1456" xr:uid="{00000000-0005-0000-0000-0000FF0E0000}"/>
    <cellStyle name="40% - Accent4 4 2 2" xfId="1457" xr:uid="{00000000-0005-0000-0000-0000000F0000}"/>
    <cellStyle name="40% - Accent4 4 2 2 2" xfId="20953" xr:uid="{00000000-0005-0000-0000-0000010F0000}"/>
    <cellStyle name="40% - Accent4 4 2 2 2 2" xfId="20954" xr:uid="{00000000-0005-0000-0000-0000020F0000}"/>
    <cellStyle name="40% - Accent4 4 2 2 2 2 2" xfId="39011" xr:uid="{00000000-0005-0000-0000-0000030F0000}"/>
    <cellStyle name="40% - Accent4 4 2 2 2 3" xfId="20955" xr:uid="{00000000-0005-0000-0000-0000040F0000}"/>
    <cellStyle name="40% - Accent4 4 2 2 2 4" xfId="39010" xr:uid="{00000000-0005-0000-0000-0000050F0000}"/>
    <cellStyle name="40% - Accent4 4 2 2 3" xfId="20956" xr:uid="{00000000-0005-0000-0000-0000060F0000}"/>
    <cellStyle name="40% - Accent4 4 2 2 3 2" xfId="20957" xr:uid="{00000000-0005-0000-0000-0000070F0000}"/>
    <cellStyle name="40% - Accent4 4 2 2 3 3" xfId="39012" xr:uid="{00000000-0005-0000-0000-0000080F0000}"/>
    <cellStyle name="40% - Accent4 4 2 2 4" xfId="20958" xr:uid="{00000000-0005-0000-0000-0000090F0000}"/>
    <cellStyle name="40% - Accent4 4 2 2 5" xfId="39009" xr:uid="{00000000-0005-0000-0000-00000A0F0000}"/>
    <cellStyle name="40% - Accent4 4 2 2 6" xfId="20952" xr:uid="{00000000-0005-0000-0000-00000B0F0000}"/>
    <cellStyle name="40% - Accent4 4 2 3" xfId="1458" xr:uid="{00000000-0005-0000-0000-00000C0F0000}"/>
    <cellStyle name="40% - Accent4 4 2 3 2" xfId="20960" xr:uid="{00000000-0005-0000-0000-00000D0F0000}"/>
    <cellStyle name="40% - Accent4 4 2 3 2 2" xfId="39014" xr:uid="{00000000-0005-0000-0000-00000E0F0000}"/>
    <cellStyle name="40% - Accent4 4 2 3 3" xfId="20961" xr:uid="{00000000-0005-0000-0000-00000F0F0000}"/>
    <cellStyle name="40% - Accent4 4 2 3 4" xfId="39013" xr:uid="{00000000-0005-0000-0000-0000100F0000}"/>
    <cellStyle name="40% - Accent4 4 2 3 5" xfId="20959" xr:uid="{00000000-0005-0000-0000-0000110F0000}"/>
    <cellStyle name="40% - Accent4 4 2 4" xfId="20962" xr:uid="{00000000-0005-0000-0000-0000120F0000}"/>
    <cellStyle name="40% - Accent4 4 2 4 2" xfId="20963" xr:uid="{00000000-0005-0000-0000-0000130F0000}"/>
    <cellStyle name="40% - Accent4 4 2 4 3" xfId="39015" xr:uid="{00000000-0005-0000-0000-0000140F0000}"/>
    <cellStyle name="40% - Accent4 4 2 5" xfId="20964" xr:uid="{00000000-0005-0000-0000-0000150F0000}"/>
    <cellStyle name="40% - Accent4 4 2 5 2" xfId="20965" xr:uid="{00000000-0005-0000-0000-0000160F0000}"/>
    <cellStyle name="40% - Accent4 4 2 6" xfId="20966" xr:uid="{00000000-0005-0000-0000-0000170F0000}"/>
    <cellStyle name="40% - Accent4 4 2 6 2" xfId="20967" xr:uid="{00000000-0005-0000-0000-0000180F0000}"/>
    <cellStyle name="40% - Accent4 4 2 7" xfId="20968" xr:uid="{00000000-0005-0000-0000-0000190F0000}"/>
    <cellStyle name="40% - Accent4 4 2 8" xfId="39008" xr:uid="{00000000-0005-0000-0000-00001A0F0000}"/>
    <cellStyle name="40% - Accent4 4 2 9" xfId="20951" xr:uid="{00000000-0005-0000-0000-00001B0F0000}"/>
    <cellStyle name="40% - Accent4 4 3" xfId="1459" xr:uid="{00000000-0005-0000-0000-00001C0F0000}"/>
    <cellStyle name="40% - Accent4 4 3 2" xfId="1460" xr:uid="{00000000-0005-0000-0000-00001D0F0000}"/>
    <cellStyle name="40% - Accent4 4 3 2 2" xfId="39017" xr:uid="{00000000-0005-0000-0000-00001E0F0000}"/>
    <cellStyle name="40% - Accent4 4 3 2 3" xfId="20970" xr:uid="{00000000-0005-0000-0000-00001F0F0000}"/>
    <cellStyle name="40% - Accent4 4 3 3" xfId="1461" xr:uid="{00000000-0005-0000-0000-0000200F0000}"/>
    <cellStyle name="40% - Accent4 4 3 3 2" xfId="39018" xr:uid="{00000000-0005-0000-0000-0000210F0000}"/>
    <cellStyle name="40% - Accent4 4 3 3 3" xfId="20971" xr:uid="{00000000-0005-0000-0000-0000220F0000}"/>
    <cellStyle name="40% - Accent4 4 3 4" xfId="20972" xr:uid="{00000000-0005-0000-0000-0000230F0000}"/>
    <cellStyle name="40% - Accent4 4 3 5" xfId="39016" xr:uid="{00000000-0005-0000-0000-0000240F0000}"/>
    <cellStyle name="40% - Accent4 4 3 6" xfId="20969" xr:uid="{00000000-0005-0000-0000-0000250F0000}"/>
    <cellStyle name="40% - Accent4 4 4" xfId="1462" xr:uid="{00000000-0005-0000-0000-0000260F0000}"/>
    <cellStyle name="40% - Accent4 4 4 2" xfId="1463" xr:uid="{00000000-0005-0000-0000-0000270F0000}"/>
    <cellStyle name="40% - Accent4 4 4 2 2" xfId="1464" xr:uid="{00000000-0005-0000-0000-0000280F0000}"/>
    <cellStyle name="40% - Accent4 4 4 2 2 2" xfId="18995" xr:uid="{00000000-0005-0000-0000-0000290F0000}"/>
    <cellStyle name="40% - Accent4 4 4 2 2 3" xfId="39020" xr:uid="{00000000-0005-0000-0000-00002A0F0000}"/>
    <cellStyle name="40% - Accent4 4 4 2 3" xfId="18477" xr:uid="{00000000-0005-0000-0000-00002B0F0000}"/>
    <cellStyle name="40% - Accent4 4 4 2 4" xfId="20974" xr:uid="{00000000-0005-0000-0000-00002C0F0000}"/>
    <cellStyle name="40% - Accent4 4 4 3" xfId="1465" xr:uid="{00000000-0005-0000-0000-00002D0F0000}"/>
    <cellStyle name="40% - Accent4 4 4 3 2" xfId="18713" xr:uid="{00000000-0005-0000-0000-00002E0F0000}"/>
    <cellStyle name="40% - Accent4 4 4 3 3" xfId="20975" xr:uid="{00000000-0005-0000-0000-00002F0F0000}"/>
    <cellStyle name="40% - Accent4 4 4 4" xfId="18186" xr:uid="{00000000-0005-0000-0000-0000300F0000}"/>
    <cellStyle name="40% - Accent4 4 4 4 2" xfId="39019" xr:uid="{00000000-0005-0000-0000-0000310F0000}"/>
    <cellStyle name="40% - Accent4 4 4 5" xfId="20973" xr:uid="{00000000-0005-0000-0000-0000320F0000}"/>
    <cellStyle name="40% - Accent4 4 5" xfId="1466" xr:uid="{00000000-0005-0000-0000-0000330F0000}"/>
    <cellStyle name="40% - Accent4 4 5 2" xfId="1467" xr:uid="{00000000-0005-0000-0000-0000340F0000}"/>
    <cellStyle name="40% - Accent4 4 5 2 2" xfId="18875" xr:uid="{00000000-0005-0000-0000-0000350F0000}"/>
    <cellStyle name="40% - Accent4 4 5 2 3" xfId="39021" xr:uid="{00000000-0005-0000-0000-0000360F0000}"/>
    <cellStyle name="40% - Accent4 4 5 3" xfId="18354" xr:uid="{00000000-0005-0000-0000-0000370F0000}"/>
    <cellStyle name="40% - Accent4 4 5 4" xfId="20976" xr:uid="{00000000-0005-0000-0000-0000380F0000}"/>
    <cellStyle name="40% - Accent4 4 6" xfId="1468" xr:uid="{00000000-0005-0000-0000-0000390F0000}"/>
    <cellStyle name="40% - Accent4 4 6 2" xfId="18596" xr:uid="{00000000-0005-0000-0000-00003A0F0000}"/>
    <cellStyle name="40% - Accent4 4 6 2 2" xfId="20978" xr:uid="{00000000-0005-0000-0000-00003B0F0000}"/>
    <cellStyle name="40% - Accent4 4 6 3" xfId="20977" xr:uid="{00000000-0005-0000-0000-00003C0F0000}"/>
    <cellStyle name="40% - Accent4 4 7" xfId="18038" xr:uid="{00000000-0005-0000-0000-00003D0F0000}"/>
    <cellStyle name="40% - Accent4 4 7 2" xfId="20980" xr:uid="{00000000-0005-0000-0000-00003E0F0000}"/>
    <cellStyle name="40% - Accent4 4 7 3" xfId="20979" xr:uid="{00000000-0005-0000-0000-00003F0F0000}"/>
    <cellStyle name="40% - Accent4 4 8" xfId="20981" xr:uid="{00000000-0005-0000-0000-0000400F0000}"/>
    <cellStyle name="40% - Accent4 4 9" xfId="20982" xr:uid="{00000000-0005-0000-0000-0000410F0000}"/>
    <cellStyle name="40% - Accent4 5" xfId="1469" xr:uid="{00000000-0005-0000-0000-0000420F0000}"/>
    <cellStyle name="40% - Accent4 5 2" xfId="1470" xr:uid="{00000000-0005-0000-0000-0000430F0000}"/>
    <cellStyle name="40% - Accent4 5 2 2" xfId="1471" xr:uid="{00000000-0005-0000-0000-0000440F0000}"/>
    <cellStyle name="40% - Accent4 5 2 2 2" xfId="20986" xr:uid="{00000000-0005-0000-0000-0000450F0000}"/>
    <cellStyle name="40% - Accent4 5 2 2 2 2" xfId="20987" xr:uid="{00000000-0005-0000-0000-0000460F0000}"/>
    <cellStyle name="40% - Accent4 5 2 2 2 2 2" xfId="39025" xr:uid="{00000000-0005-0000-0000-0000470F0000}"/>
    <cellStyle name="40% - Accent4 5 2 2 2 3" xfId="39024" xr:uid="{00000000-0005-0000-0000-0000480F0000}"/>
    <cellStyle name="40% - Accent4 5 2 2 3" xfId="20988" xr:uid="{00000000-0005-0000-0000-0000490F0000}"/>
    <cellStyle name="40% - Accent4 5 2 2 3 2" xfId="39026" xr:uid="{00000000-0005-0000-0000-00004A0F0000}"/>
    <cellStyle name="40% - Accent4 5 2 2 4" xfId="39023" xr:uid="{00000000-0005-0000-0000-00004B0F0000}"/>
    <cellStyle name="40% - Accent4 5 2 2 5" xfId="20985" xr:uid="{00000000-0005-0000-0000-00004C0F0000}"/>
    <cellStyle name="40% - Accent4 5 2 3" xfId="1472" xr:uid="{00000000-0005-0000-0000-00004D0F0000}"/>
    <cellStyle name="40% - Accent4 5 2 3 2" xfId="20990" xr:uid="{00000000-0005-0000-0000-00004E0F0000}"/>
    <cellStyle name="40% - Accent4 5 2 3 2 2" xfId="39028" xr:uid="{00000000-0005-0000-0000-00004F0F0000}"/>
    <cellStyle name="40% - Accent4 5 2 3 3" xfId="39027" xr:uid="{00000000-0005-0000-0000-0000500F0000}"/>
    <cellStyle name="40% - Accent4 5 2 3 4" xfId="20989" xr:uid="{00000000-0005-0000-0000-0000510F0000}"/>
    <cellStyle name="40% - Accent4 5 2 4" xfId="20991" xr:uid="{00000000-0005-0000-0000-0000520F0000}"/>
    <cellStyle name="40% - Accent4 5 2 4 2" xfId="39029" xr:uid="{00000000-0005-0000-0000-0000530F0000}"/>
    <cellStyle name="40% - Accent4 5 2 5" xfId="20992" xr:uid="{00000000-0005-0000-0000-0000540F0000}"/>
    <cellStyle name="40% - Accent4 5 2 6" xfId="39022" xr:uid="{00000000-0005-0000-0000-0000550F0000}"/>
    <cellStyle name="40% - Accent4 5 2 7" xfId="20984" xr:uid="{00000000-0005-0000-0000-0000560F0000}"/>
    <cellStyle name="40% - Accent4 5 3" xfId="1473" xr:uid="{00000000-0005-0000-0000-0000570F0000}"/>
    <cellStyle name="40% - Accent4 5 3 2" xfId="1474" xr:uid="{00000000-0005-0000-0000-0000580F0000}"/>
    <cellStyle name="40% - Accent4 5 3 2 2" xfId="20994" xr:uid="{00000000-0005-0000-0000-0000590F0000}"/>
    <cellStyle name="40% - Accent4 5 3 3" xfId="1475" xr:uid="{00000000-0005-0000-0000-00005A0F0000}"/>
    <cellStyle name="40% - Accent4 5 3 3 2" xfId="39030" xr:uid="{00000000-0005-0000-0000-00005B0F0000}"/>
    <cellStyle name="40% - Accent4 5 3 4" xfId="20993" xr:uid="{00000000-0005-0000-0000-00005C0F0000}"/>
    <cellStyle name="40% - Accent4 5 4" xfId="20995" xr:uid="{00000000-0005-0000-0000-00005D0F0000}"/>
    <cellStyle name="40% - Accent4 5 5" xfId="20996" xr:uid="{00000000-0005-0000-0000-00005E0F0000}"/>
    <cellStyle name="40% - Accent4 5 6" xfId="20983" xr:uid="{00000000-0005-0000-0000-00005F0F0000}"/>
    <cellStyle name="40% - Accent4 6" xfId="1476" xr:uid="{00000000-0005-0000-0000-0000600F0000}"/>
    <cellStyle name="40% - Accent4 6 2" xfId="1477" xr:uid="{00000000-0005-0000-0000-0000610F0000}"/>
    <cellStyle name="40% - Accent4 6 2 2" xfId="1478" xr:uid="{00000000-0005-0000-0000-0000620F0000}"/>
    <cellStyle name="40% - Accent4 6 2 2 2" xfId="39032" xr:uid="{00000000-0005-0000-0000-0000630F0000}"/>
    <cellStyle name="40% - Accent4 6 2 2 3" xfId="20999" xr:uid="{00000000-0005-0000-0000-0000640F0000}"/>
    <cellStyle name="40% - Accent4 6 2 3" xfId="1479" xr:uid="{00000000-0005-0000-0000-0000650F0000}"/>
    <cellStyle name="40% - Accent4 6 2 3 2" xfId="21000" xr:uid="{00000000-0005-0000-0000-0000660F0000}"/>
    <cellStyle name="40% - Accent4 6 2 4" xfId="21001" xr:uid="{00000000-0005-0000-0000-0000670F0000}"/>
    <cellStyle name="40% - Accent4 6 2 5" xfId="20998" xr:uid="{00000000-0005-0000-0000-0000680F0000}"/>
    <cellStyle name="40% - Accent4 6 3" xfId="1480" xr:uid="{00000000-0005-0000-0000-0000690F0000}"/>
    <cellStyle name="40% - Accent4 6 3 2" xfId="1481" xr:uid="{00000000-0005-0000-0000-00006A0F0000}"/>
    <cellStyle name="40% - Accent4 6 3 2 2" xfId="21004" xr:uid="{00000000-0005-0000-0000-00006B0F0000}"/>
    <cellStyle name="40% - Accent4 6 3 2 2 2" xfId="39035" xr:uid="{00000000-0005-0000-0000-00006C0F0000}"/>
    <cellStyle name="40% - Accent4 6 3 2 3" xfId="39034" xr:uid="{00000000-0005-0000-0000-00006D0F0000}"/>
    <cellStyle name="40% - Accent4 6 3 2 4" xfId="21003" xr:uid="{00000000-0005-0000-0000-00006E0F0000}"/>
    <cellStyle name="40% - Accent4 6 3 3" xfId="1482" xr:uid="{00000000-0005-0000-0000-00006F0F0000}"/>
    <cellStyle name="40% - Accent4 6 3 3 2" xfId="39036" xr:uid="{00000000-0005-0000-0000-0000700F0000}"/>
    <cellStyle name="40% - Accent4 6 3 3 3" xfId="21005" xr:uid="{00000000-0005-0000-0000-0000710F0000}"/>
    <cellStyle name="40% - Accent4 6 3 4" xfId="21006" xr:uid="{00000000-0005-0000-0000-0000720F0000}"/>
    <cellStyle name="40% - Accent4 6 3 5" xfId="39033" xr:uid="{00000000-0005-0000-0000-0000730F0000}"/>
    <cellStyle name="40% - Accent4 6 3 6" xfId="21002" xr:uid="{00000000-0005-0000-0000-0000740F0000}"/>
    <cellStyle name="40% - Accent4 6 4" xfId="1483" xr:uid="{00000000-0005-0000-0000-0000750F0000}"/>
    <cellStyle name="40% - Accent4 6 4 2" xfId="18751" xr:uid="{00000000-0005-0000-0000-0000760F0000}"/>
    <cellStyle name="40% - Accent4 6 4 2 2" xfId="39038" xr:uid="{00000000-0005-0000-0000-0000770F0000}"/>
    <cellStyle name="40% - Accent4 6 4 2 3" xfId="21008" xr:uid="{00000000-0005-0000-0000-0000780F0000}"/>
    <cellStyle name="40% - Accent4 6 4 3" xfId="39037" xr:uid="{00000000-0005-0000-0000-0000790F0000}"/>
    <cellStyle name="40% - Accent4 6 4 4" xfId="21007" xr:uid="{00000000-0005-0000-0000-00007A0F0000}"/>
    <cellStyle name="40% - Accent4 6 5" xfId="18222" xr:uid="{00000000-0005-0000-0000-00007B0F0000}"/>
    <cellStyle name="40% - Accent4 6 5 2" xfId="39039" xr:uid="{00000000-0005-0000-0000-00007C0F0000}"/>
    <cellStyle name="40% - Accent4 6 5 3" xfId="21009" xr:uid="{00000000-0005-0000-0000-00007D0F0000}"/>
    <cellStyle name="40% - Accent4 6 6" xfId="21010" xr:uid="{00000000-0005-0000-0000-00007E0F0000}"/>
    <cellStyle name="40% - Accent4 6 7" xfId="39031" xr:uid="{00000000-0005-0000-0000-00007F0F0000}"/>
    <cellStyle name="40% - Accent4 6 8" xfId="20997" xr:uid="{00000000-0005-0000-0000-0000800F0000}"/>
    <cellStyle name="40% - Accent4 7" xfId="1484" xr:uid="{00000000-0005-0000-0000-0000810F0000}"/>
    <cellStyle name="40% - Accent4 7 2" xfId="1485" xr:uid="{00000000-0005-0000-0000-0000820F0000}"/>
    <cellStyle name="40% - Accent4 7 2 2" xfId="1486" xr:uid="{00000000-0005-0000-0000-0000830F0000}"/>
    <cellStyle name="40% - Accent4 7 2 2 2" xfId="21014" xr:uid="{00000000-0005-0000-0000-0000840F0000}"/>
    <cellStyle name="40% - Accent4 7 2 2 2 2" xfId="39043" xr:uid="{00000000-0005-0000-0000-0000850F0000}"/>
    <cellStyle name="40% - Accent4 7 2 2 3" xfId="39042" xr:uid="{00000000-0005-0000-0000-0000860F0000}"/>
    <cellStyle name="40% - Accent4 7 2 2 4" xfId="21013" xr:uid="{00000000-0005-0000-0000-0000870F0000}"/>
    <cellStyle name="40% - Accent4 7 2 3" xfId="1487" xr:uid="{00000000-0005-0000-0000-0000880F0000}"/>
    <cellStyle name="40% - Accent4 7 2 3 2" xfId="39044" xr:uid="{00000000-0005-0000-0000-0000890F0000}"/>
    <cellStyle name="40% - Accent4 7 2 3 3" xfId="21015" xr:uid="{00000000-0005-0000-0000-00008A0F0000}"/>
    <cellStyle name="40% - Accent4 7 2 4" xfId="39041" xr:uid="{00000000-0005-0000-0000-00008B0F0000}"/>
    <cellStyle name="40% - Accent4 7 2 5" xfId="21012" xr:uid="{00000000-0005-0000-0000-00008C0F0000}"/>
    <cellStyle name="40% - Accent4 7 3" xfId="1488" xr:uid="{00000000-0005-0000-0000-00008D0F0000}"/>
    <cellStyle name="40% - Accent4 7 3 2" xfId="1489" xr:uid="{00000000-0005-0000-0000-00008E0F0000}"/>
    <cellStyle name="40% - Accent4 7 3 2 2" xfId="39046" xr:uid="{00000000-0005-0000-0000-00008F0F0000}"/>
    <cellStyle name="40% - Accent4 7 3 2 3" xfId="21017" xr:uid="{00000000-0005-0000-0000-0000900F0000}"/>
    <cellStyle name="40% - Accent4 7 3 3" xfId="1490" xr:uid="{00000000-0005-0000-0000-0000910F0000}"/>
    <cellStyle name="40% - Accent4 7 3 3 2" xfId="39045" xr:uid="{00000000-0005-0000-0000-0000920F0000}"/>
    <cellStyle name="40% - Accent4 7 3 4" xfId="21016" xr:uid="{00000000-0005-0000-0000-0000930F0000}"/>
    <cellStyle name="40% - Accent4 7 4" xfId="21018" xr:uid="{00000000-0005-0000-0000-0000940F0000}"/>
    <cellStyle name="40% - Accent4 7 4 2" xfId="39047" xr:uid="{00000000-0005-0000-0000-0000950F0000}"/>
    <cellStyle name="40% - Accent4 7 5" xfId="21019" xr:uid="{00000000-0005-0000-0000-0000960F0000}"/>
    <cellStyle name="40% - Accent4 7 6" xfId="39040" xr:uid="{00000000-0005-0000-0000-0000970F0000}"/>
    <cellStyle name="40% - Accent4 7 7" xfId="21011" xr:uid="{00000000-0005-0000-0000-0000980F0000}"/>
    <cellStyle name="40% - Accent4 8" xfId="21020" xr:uid="{00000000-0005-0000-0000-0000990F0000}"/>
    <cellStyle name="40% - Accent4 8 2" xfId="1491" xr:uid="{00000000-0005-0000-0000-00009A0F0000}"/>
    <cellStyle name="40% - Accent4 8 2 2" xfId="1492" xr:uid="{00000000-0005-0000-0000-00009B0F0000}"/>
    <cellStyle name="40% - Accent4 8 2 3" xfId="1493" xr:uid="{00000000-0005-0000-0000-00009C0F0000}"/>
    <cellStyle name="40% - Accent4 8 2 4" xfId="21021" xr:uid="{00000000-0005-0000-0000-00009D0F0000}"/>
    <cellStyle name="40% - Accent4 8 3" xfId="1494" xr:uid="{00000000-0005-0000-0000-00009E0F0000}"/>
    <cellStyle name="40% - Accent4 8 3 2" xfId="1495" xr:uid="{00000000-0005-0000-0000-00009F0F0000}"/>
    <cellStyle name="40% - Accent4 8 3 2 2" xfId="39048" xr:uid="{00000000-0005-0000-0000-0000A00F0000}"/>
    <cellStyle name="40% - Accent4 8 3 3" xfId="1496" xr:uid="{00000000-0005-0000-0000-0000A10F0000}"/>
    <cellStyle name="40% - Accent4 8 3 4" xfId="21022" xr:uid="{00000000-0005-0000-0000-0000A20F0000}"/>
    <cellStyle name="40% - Accent4 8 4" xfId="21023" xr:uid="{00000000-0005-0000-0000-0000A30F0000}"/>
    <cellStyle name="40% - Accent4 9" xfId="21024" xr:uid="{00000000-0005-0000-0000-0000A40F0000}"/>
    <cellStyle name="40% - Accent4 9 2" xfId="1497" xr:uid="{00000000-0005-0000-0000-0000A50F0000}"/>
    <cellStyle name="40% - Accent4 9 2 2" xfId="1498" xr:uid="{00000000-0005-0000-0000-0000A60F0000}"/>
    <cellStyle name="40% - Accent4 9 2 2 2" xfId="39049" xr:uid="{00000000-0005-0000-0000-0000A70F0000}"/>
    <cellStyle name="40% - Accent4 9 2 3" xfId="1499" xr:uid="{00000000-0005-0000-0000-0000A80F0000}"/>
    <cellStyle name="40% - Accent4 9 2 4" xfId="21025" xr:uid="{00000000-0005-0000-0000-0000A90F0000}"/>
    <cellStyle name="40% - Accent4 9 3" xfId="1500" xr:uid="{00000000-0005-0000-0000-0000AA0F0000}"/>
    <cellStyle name="40% - Accent4 9 3 2" xfId="1501" xr:uid="{00000000-0005-0000-0000-0000AB0F0000}"/>
    <cellStyle name="40% - Accent4 9 3 3" xfId="1502" xr:uid="{00000000-0005-0000-0000-0000AC0F0000}"/>
    <cellStyle name="40% - Accent4 9 3 4" xfId="21026" xr:uid="{00000000-0005-0000-0000-0000AD0F0000}"/>
    <cellStyle name="40% - Accent5" xfId="44357" builtinId="47" customBuiltin="1"/>
    <cellStyle name="40% - Accent5 10" xfId="21027" xr:uid="{00000000-0005-0000-0000-0000AF0F0000}"/>
    <cellStyle name="40% - Accent5 10 2" xfId="1503" xr:uid="{00000000-0005-0000-0000-0000B00F0000}"/>
    <cellStyle name="40% - Accent5 10 2 2" xfId="1504" xr:uid="{00000000-0005-0000-0000-0000B10F0000}"/>
    <cellStyle name="40% - Accent5 10 2 2 2" xfId="39050" xr:uid="{00000000-0005-0000-0000-0000B20F0000}"/>
    <cellStyle name="40% - Accent5 10 2 3" xfId="1505" xr:uid="{00000000-0005-0000-0000-0000B30F0000}"/>
    <cellStyle name="40% - Accent5 10 2 4" xfId="21028" xr:uid="{00000000-0005-0000-0000-0000B40F0000}"/>
    <cellStyle name="40% - Accent5 10 3" xfId="1506" xr:uid="{00000000-0005-0000-0000-0000B50F0000}"/>
    <cellStyle name="40% - Accent5 10 3 2" xfId="1507" xr:uid="{00000000-0005-0000-0000-0000B60F0000}"/>
    <cellStyle name="40% - Accent5 10 3 3" xfId="1508" xr:uid="{00000000-0005-0000-0000-0000B70F0000}"/>
    <cellStyle name="40% - Accent5 10 3 4" xfId="21029" xr:uid="{00000000-0005-0000-0000-0000B80F0000}"/>
    <cellStyle name="40% - Accent5 11" xfId="21030" xr:uid="{00000000-0005-0000-0000-0000B90F0000}"/>
    <cellStyle name="40% - Accent5 11 2" xfId="1509" xr:uid="{00000000-0005-0000-0000-0000BA0F0000}"/>
    <cellStyle name="40% - Accent5 11 2 2" xfId="1510" xr:uid="{00000000-0005-0000-0000-0000BB0F0000}"/>
    <cellStyle name="40% - Accent5 11 2 3" xfId="1511" xr:uid="{00000000-0005-0000-0000-0000BC0F0000}"/>
    <cellStyle name="40% - Accent5 11 3" xfId="1512" xr:uid="{00000000-0005-0000-0000-0000BD0F0000}"/>
    <cellStyle name="40% - Accent5 11 3 2" xfId="1513" xr:uid="{00000000-0005-0000-0000-0000BE0F0000}"/>
    <cellStyle name="40% - Accent5 11 3 3" xfId="1514" xr:uid="{00000000-0005-0000-0000-0000BF0F0000}"/>
    <cellStyle name="40% - Accent5 12" xfId="21031" xr:uid="{00000000-0005-0000-0000-0000C00F0000}"/>
    <cellStyle name="40% - Accent5 12 2" xfId="1515" xr:uid="{00000000-0005-0000-0000-0000C10F0000}"/>
    <cellStyle name="40% - Accent5 12 2 2" xfId="1516" xr:uid="{00000000-0005-0000-0000-0000C20F0000}"/>
    <cellStyle name="40% - Accent5 12 2 3" xfId="1517" xr:uid="{00000000-0005-0000-0000-0000C30F0000}"/>
    <cellStyle name="40% - Accent5 12 3" xfId="1518" xr:uid="{00000000-0005-0000-0000-0000C40F0000}"/>
    <cellStyle name="40% - Accent5 12 3 2" xfId="1519" xr:uid="{00000000-0005-0000-0000-0000C50F0000}"/>
    <cellStyle name="40% - Accent5 12 3 3" xfId="1520" xr:uid="{00000000-0005-0000-0000-0000C60F0000}"/>
    <cellStyle name="40% - Accent5 13 2" xfId="1521" xr:uid="{00000000-0005-0000-0000-0000C70F0000}"/>
    <cellStyle name="40% - Accent5 13 2 2" xfId="1522" xr:uid="{00000000-0005-0000-0000-0000C80F0000}"/>
    <cellStyle name="40% - Accent5 13 2 3" xfId="1523" xr:uid="{00000000-0005-0000-0000-0000C90F0000}"/>
    <cellStyle name="40% - Accent5 13 3" xfId="1524" xr:uid="{00000000-0005-0000-0000-0000CA0F0000}"/>
    <cellStyle name="40% - Accent5 13 3 2" xfId="1525" xr:uid="{00000000-0005-0000-0000-0000CB0F0000}"/>
    <cellStyle name="40% - Accent5 13 3 3" xfId="1526" xr:uid="{00000000-0005-0000-0000-0000CC0F0000}"/>
    <cellStyle name="40% - Accent5 14 2" xfId="1527" xr:uid="{00000000-0005-0000-0000-0000CD0F0000}"/>
    <cellStyle name="40% - Accent5 14 2 2" xfId="1528" xr:uid="{00000000-0005-0000-0000-0000CE0F0000}"/>
    <cellStyle name="40% - Accent5 14 2 3" xfId="1529" xr:uid="{00000000-0005-0000-0000-0000CF0F0000}"/>
    <cellStyle name="40% - Accent5 14 3" xfId="1530" xr:uid="{00000000-0005-0000-0000-0000D00F0000}"/>
    <cellStyle name="40% - Accent5 14 3 2" xfId="1531" xr:uid="{00000000-0005-0000-0000-0000D10F0000}"/>
    <cellStyle name="40% - Accent5 14 3 3" xfId="1532" xr:uid="{00000000-0005-0000-0000-0000D20F0000}"/>
    <cellStyle name="40% - Accent5 15" xfId="1533" xr:uid="{00000000-0005-0000-0000-0000D30F0000}"/>
    <cellStyle name="40% - Accent5 15 2" xfId="1534" xr:uid="{00000000-0005-0000-0000-0000D40F0000}"/>
    <cellStyle name="40% - Accent5 15 2 2" xfId="1535" xr:uid="{00000000-0005-0000-0000-0000D50F0000}"/>
    <cellStyle name="40% - Accent5 15 2 3" xfId="1536" xr:uid="{00000000-0005-0000-0000-0000D60F0000}"/>
    <cellStyle name="40% - Accent5 15 3" xfId="1537" xr:uid="{00000000-0005-0000-0000-0000D70F0000}"/>
    <cellStyle name="40% - Accent5 15 3 2" xfId="1538" xr:uid="{00000000-0005-0000-0000-0000D80F0000}"/>
    <cellStyle name="40% - Accent5 15 3 3" xfId="1539" xr:uid="{00000000-0005-0000-0000-0000D90F0000}"/>
    <cellStyle name="40% - Accent5 15 4" xfId="1540" xr:uid="{00000000-0005-0000-0000-0000DA0F0000}"/>
    <cellStyle name="40% - Accent5 15 4 2" xfId="1541" xr:uid="{00000000-0005-0000-0000-0000DB0F0000}"/>
    <cellStyle name="40% - Accent5 15 4 3" xfId="1542" xr:uid="{00000000-0005-0000-0000-0000DC0F0000}"/>
    <cellStyle name="40% - Accent5 15 5" xfId="1543" xr:uid="{00000000-0005-0000-0000-0000DD0F0000}"/>
    <cellStyle name="40% - Accent5 15 5 2" xfId="1544" xr:uid="{00000000-0005-0000-0000-0000DE0F0000}"/>
    <cellStyle name="40% - Accent5 15 5 3" xfId="1545" xr:uid="{00000000-0005-0000-0000-0000DF0F0000}"/>
    <cellStyle name="40% - Accent5 15 6" xfId="1546" xr:uid="{00000000-0005-0000-0000-0000E00F0000}"/>
    <cellStyle name="40% - Accent5 15 6 2" xfId="1547" xr:uid="{00000000-0005-0000-0000-0000E10F0000}"/>
    <cellStyle name="40% - Accent5 15 6 3" xfId="1548" xr:uid="{00000000-0005-0000-0000-0000E20F0000}"/>
    <cellStyle name="40% - Accent5 15 7" xfId="1549" xr:uid="{00000000-0005-0000-0000-0000E30F0000}"/>
    <cellStyle name="40% - Accent5 15 7 2" xfId="1550" xr:uid="{00000000-0005-0000-0000-0000E40F0000}"/>
    <cellStyle name="40% - Accent5 15 7 3" xfId="1551" xr:uid="{00000000-0005-0000-0000-0000E50F0000}"/>
    <cellStyle name="40% - Accent5 15 8" xfId="1552" xr:uid="{00000000-0005-0000-0000-0000E60F0000}"/>
    <cellStyle name="40% - Accent5 15 9" xfId="1553" xr:uid="{00000000-0005-0000-0000-0000E70F0000}"/>
    <cellStyle name="40% - Accent5 16" xfId="1554" xr:uid="{00000000-0005-0000-0000-0000E80F0000}"/>
    <cellStyle name="40% - Accent5 16 2" xfId="1555" xr:uid="{00000000-0005-0000-0000-0000E90F0000}"/>
    <cellStyle name="40% - Accent5 16 3" xfId="1556" xr:uid="{00000000-0005-0000-0000-0000EA0F0000}"/>
    <cellStyle name="40% - Accent5 17" xfId="1557" xr:uid="{00000000-0005-0000-0000-0000EB0F0000}"/>
    <cellStyle name="40% - Accent5 17 2" xfId="1558" xr:uid="{00000000-0005-0000-0000-0000EC0F0000}"/>
    <cellStyle name="40% - Accent5 17 3" xfId="1559" xr:uid="{00000000-0005-0000-0000-0000ED0F0000}"/>
    <cellStyle name="40% - Accent5 18" xfId="1560" xr:uid="{00000000-0005-0000-0000-0000EE0F0000}"/>
    <cellStyle name="40% - Accent5 18 2" xfId="1561" xr:uid="{00000000-0005-0000-0000-0000EF0F0000}"/>
    <cellStyle name="40% - Accent5 18 3" xfId="1562" xr:uid="{00000000-0005-0000-0000-0000F00F0000}"/>
    <cellStyle name="40% - Accent5 19" xfId="1563" xr:uid="{00000000-0005-0000-0000-0000F10F0000}"/>
    <cellStyle name="40% - Accent5 19 2" xfId="1564" xr:uid="{00000000-0005-0000-0000-0000F20F0000}"/>
    <cellStyle name="40% - Accent5 19 3" xfId="1565" xr:uid="{00000000-0005-0000-0000-0000F30F0000}"/>
    <cellStyle name="40% - Accent5 2" xfId="1566" xr:uid="{00000000-0005-0000-0000-0000F40F0000}"/>
    <cellStyle name="40% - Accent5 2 2" xfId="1567" xr:uid="{00000000-0005-0000-0000-0000F50F0000}"/>
    <cellStyle name="40% - Accent5 2 2 2" xfId="1568" xr:uid="{00000000-0005-0000-0000-0000F60F0000}"/>
    <cellStyle name="40% - Accent5 2 2 2 2" xfId="21034" xr:uid="{00000000-0005-0000-0000-0000F70F0000}"/>
    <cellStyle name="40% - Accent5 2 2 2 3" xfId="21035" xr:uid="{00000000-0005-0000-0000-0000F80F0000}"/>
    <cellStyle name="40% - Accent5 2 2 2 4" xfId="21036" xr:uid="{00000000-0005-0000-0000-0000F90F0000}"/>
    <cellStyle name="40% - Accent5 2 2 2 5" xfId="21033" xr:uid="{00000000-0005-0000-0000-0000FA0F0000}"/>
    <cellStyle name="40% - Accent5 2 2 3" xfId="1569" xr:uid="{00000000-0005-0000-0000-0000FB0F0000}"/>
    <cellStyle name="40% - Accent5 2 2 3 2" xfId="21038" xr:uid="{00000000-0005-0000-0000-0000FC0F0000}"/>
    <cellStyle name="40% - Accent5 2 2 3 2 2" xfId="21039" xr:uid="{00000000-0005-0000-0000-0000FD0F0000}"/>
    <cellStyle name="40% - Accent5 2 2 3 2 2 2" xfId="39054" xr:uid="{00000000-0005-0000-0000-0000FE0F0000}"/>
    <cellStyle name="40% - Accent5 2 2 3 2 3" xfId="39053" xr:uid="{00000000-0005-0000-0000-0000FF0F0000}"/>
    <cellStyle name="40% - Accent5 2 2 3 3" xfId="21040" xr:uid="{00000000-0005-0000-0000-000000100000}"/>
    <cellStyle name="40% - Accent5 2 2 3 3 2" xfId="39055" xr:uid="{00000000-0005-0000-0000-000001100000}"/>
    <cellStyle name="40% - Accent5 2 2 3 4" xfId="21041" xr:uid="{00000000-0005-0000-0000-000002100000}"/>
    <cellStyle name="40% - Accent5 2 2 3 5" xfId="39052" xr:uid="{00000000-0005-0000-0000-000003100000}"/>
    <cellStyle name="40% - Accent5 2 2 3 6" xfId="21037" xr:uid="{00000000-0005-0000-0000-000004100000}"/>
    <cellStyle name="40% - Accent5 2 2 4" xfId="21042" xr:uid="{00000000-0005-0000-0000-000005100000}"/>
    <cellStyle name="40% - Accent5 2 2 4 2" xfId="21043" xr:uid="{00000000-0005-0000-0000-000006100000}"/>
    <cellStyle name="40% - Accent5 2 2 4 2 2" xfId="39057" xr:uid="{00000000-0005-0000-0000-000007100000}"/>
    <cellStyle name="40% - Accent5 2 2 4 3" xfId="21044" xr:uid="{00000000-0005-0000-0000-000008100000}"/>
    <cellStyle name="40% - Accent5 2 2 4 4" xfId="39056" xr:uid="{00000000-0005-0000-0000-000009100000}"/>
    <cellStyle name="40% - Accent5 2 2 5" xfId="21045" xr:uid="{00000000-0005-0000-0000-00000A100000}"/>
    <cellStyle name="40% - Accent5 2 2 5 2" xfId="21046" xr:uid="{00000000-0005-0000-0000-00000B100000}"/>
    <cellStyle name="40% - Accent5 2 2 5 3" xfId="39058" xr:uid="{00000000-0005-0000-0000-00000C100000}"/>
    <cellStyle name="40% - Accent5 2 2 6" xfId="21047" xr:uid="{00000000-0005-0000-0000-00000D100000}"/>
    <cellStyle name="40% - Accent5 2 2 6 2" xfId="21048" xr:uid="{00000000-0005-0000-0000-00000E100000}"/>
    <cellStyle name="40% - Accent5 2 2 7" xfId="21049" xr:uid="{00000000-0005-0000-0000-00000F100000}"/>
    <cellStyle name="40% - Accent5 2 2 8" xfId="39051" xr:uid="{00000000-0005-0000-0000-000010100000}"/>
    <cellStyle name="40% - Accent5 2 2 9" xfId="21032" xr:uid="{00000000-0005-0000-0000-000011100000}"/>
    <cellStyle name="40% - Accent5 2 3" xfId="1570" xr:uid="{00000000-0005-0000-0000-000012100000}"/>
    <cellStyle name="40% - Accent5 2 3 2" xfId="1571" xr:uid="{00000000-0005-0000-0000-000013100000}"/>
    <cellStyle name="40% - Accent5 2 3 2 2" xfId="21052" xr:uid="{00000000-0005-0000-0000-000014100000}"/>
    <cellStyle name="40% - Accent5 2 3 2 3" xfId="21053" xr:uid="{00000000-0005-0000-0000-000015100000}"/>
    <cellStyle name="40% - Accent5 2 3 2 4" xfId="21051" xr:uid="{00000000-0005-0000-0000-000016100000}"/>
    <cellStyle name="40% - Accent5 2 3 3" xfId="1572" xr:uid="{00000000-0005-0000-0000-000017100000}"/>
    <cellStyle name="40% - Accent5 2 3 3 2" xfId="21054" xr:uid="{00000000-0005-0000-0000-000018100000}"/>
    <cellStyle name="40% - Accent5 2 3 4" xfId="21055" xr:uid="{00000000-0005-0000-0000-000019100000}"/>
    <cellStyle name="40% - Accent5 2 3 5" xfId="21056" xr:uid="{00000000-0005-0000-0000-00001A100000}"/>
    <cellStyle name="40% - Accent5 2 3 6" xfId="21050" xr:uid="{00000000-0005-0000-0000-00001B100000}"/>
    <cellStyle name="40% - Accent5 2 4" xfId="21057" xr:uid="{00000000-0005-0000-0000-00001C100000}"/>
    <cellStyle name="40% - Accent5 2 4 2" xfId="21058" xr:uid="{00000000-0005-0000-0000-00001D100000}"/>
    <cellStyle name="40% - Accent5 2 5" xfId="21059" xr:uid="{00000000-0005-0000-0000-00001E100000}"/>
    <cellStyle name="40% - Accent5 2 5 2" xfId="21060" xr:uid="{00000000-0005-0000-0000-00001F100000}"/>
    <cellStyle name="40% - Accent5 2 6" xfId="21061" xr:uid="{00000000-0005-0000-0000-000020100000}"/>
    <cellStyle name="40% - Accent5 2 7" xfId="21062" xr:uid="{00000000-0005-0000-0000-000021100000}"/>
    <cellStyle name="40% - Accent5 2 8" xfId="21063" xr:uid="{00000000-0005-0000-0000-000022100000}"/>
    <cellStyle name="40% - Accent5 20" xfId="1573" xr:uid="{00000000-0005-0000-0000-000023100000}"/>
    <cellStyle name="40% - Accent5 20 2" xfId="1574" xr:uid="{00000000-0005-0000-0000-000024100000}"/>
    <cellStyle name="40% - Accent5 20 3" xfId="1575" xr:uid="{00000000-0005-0000-0000-000025100000}"/>
    <cellStyle name="40% - Accent5 21" xfId="1576" xr:uid="{00000000-0005-0000-0000-000026100000}"/>
    <cellStyle name="40% - Accent5 21 2" xfId="1577" xr:uid="{00000000-0005-0000-0000-000027100000}"/>
    <cellStyle name="40% - Accent5 21 3" xfId="1578" xr:uid="{00000000-0005-0000-0000-000028100000}"/>
    <cellStyle name="40% - Accent5 22" xfId="1579" xr:uid="{00000000-0005-0000-0000-000029100000}"/>
    <cellStyle name="40% - Accent5 22 2" xfId="1580" xr:uid="{00000000-0005-0000-0000-00002A100000}"/>
    <cellStyle name="40% - Accent5 22 3" xfId="1581" xr:uid="{00000000-0005-0000-0000-00002B100000}"/>
    <cellStyle name="40% - Accent5 3" xfId="1582" xr:uid="{00000000-0005-0000-0000-00002C100000}"/>
    <cellStyle name="40% - Accent5 3 10" xfId="21064" xr:uid="{00000000-0005-0000-0000-00002D100000}"/>
    <cellStyle name="40% - Accent5 3 2" xfId="1583" xr:uid="{00000000-0005-0000-0000-00002E100000}"/>
    <cellStyle name="40% - Accent5 3 2 2" xfId="1584" xr:uid="{00000000-0005-0000-0000-00002F100000}"/>
    <cellStyle name="40% - Accent5 3 2 2 2" xfId="21067" xr:uid="{00000000-0005-0000-0000-000030100000}"/>
    <cellStyle name="40% - Accent5 3 2 2 2 2" xfId="21068" xr:uid="{00000000-0005-0000-0000-000031100000}"/>
    <cellStyle name="40% - Accent5 3 2 2 2 2 2" xfId="39062" xr:uid="{00000000-0005-0000-0000-000032100000}"/>
    <cellStyle name="40% - Accent5 3 2 2 2 3" xfId="21069" xr:uid="{00000000-0005-0000-0000-000033100000}"/>
    <cellStyle name="40% - Accent5 3 2 2 2 4" xfId="39061" xr:uid="{00000000-0005-0000-0000-000034100000}"/>
    <cellStyle name="40% - Accent5 3 2 2 3" xfId="21070" xr:uid="{00000000-0005-0000-0000-000035100000}"/>
    <cellStyle name="40% - Accent5 3 2 2 3 2" xfId="21071" xr:uid="{00000000-0005-0000-0000-000036100000}"/>
    <cellStyle name="40% - Accent5 3 2 2 3 3" xfId="39063" xr:uid="{00000000-0005-0000-0000-000037100000}"/>
    <cellStyle name="40% - Accent5 3 2 2 4" xfId="21072" xr:uid="{00000000-0005-0000-0000-000038100000}"/>
    <cellStyle name="40% - Accent5 3 2 2 5" xfId="39060" xr:uid="{00000000-0005-0000-0000-000039100000}"/>
    <cellStyle name="40% - Accent5 3 2 2 6" xfId="21066" xr:uid="{00000000-0005-0000-0000-00003A100000}"/>
    <cellStyle name="40% - Accent5 3 2 3" xfId="1585" xr:uid="{00000000-0005-0000-0000-00003B100000}"/>
    <cellStyle name="40% - Accent5 3 2 3 2" xfId="21074" xr:uid="{00000000-0005-0000-0000-00003C100000}"/>
    <cellStyle name="40% - Accent5 3 2 3 2 2" xfId="39065" xr:uid="{00000000-0005-0000-0000-00003D100000}"/>
    <cellStyle name="40% - Accent5 3 2 3 3" xfId="21075" xr:uid="{00000000-0005-0000-0000-00003E100000}"/>
    <cellStyle name="40% - Accent5 3 2 3 4" xfId="39064" xr:uid="{00000000-0005-0000-0000-00003F100000}"/>
    <cellStyle name="40% - Accent5 3 2 3 5" xfId="21073" xr:uid="{00000000-0005-0000-0000-000040100000}"/>
    <cellStyle name="40% - Accent5 3 2 4" xfId="21076" xr:uid="{00000000-0005-0000-0000-000041100000}"/>
    <cellStyle name="40% - Accent5 3 2 4 2" xfId="21077" xr:uid="{00000000-0005-0000-0000-000042100000}"/>
    <cellStyle name="40% - Accent5 3 2 4 3" xfId="39066" xr:uid="{00000000-0005-0000-0000-000043100000}"/>
    <cellStyle name="40% - Accent5 3 2 5" xfId="21078" xr:uid="{00000000-0005-0000-0000-000044100000}"/>
    <cellStyle name="40% - Accent5 3 2 5 2" xfId="21079" xr:uid="{00000000-0005-0000-0000-000045100000}"/>
    <cellStyle name="40% - Accent5 3 2 6" xfId="21080" xr:uid="{00000000-0005-0000-0000-000046100000}"/>
    <cellStyle name="40% - Accent5 3 2 6 2" xfId="21081" xr:uid="{00000000-0005-0000-0000-000047100000}"/>
    <cellStyle name="40% - Accent5 3 2 7" xfId="21082" xr:uid="{00000000-0005-0000-0000-000048100000}"/>
    <cellStyle name="40% - Accent5 3 2 8" xfId="39059" xr:uid="{00000000-0005-0000-0000-000049100000}"/>
    <cellStyle name="40% - Accent5 3 2 9" xfId="21065" xr:uid="{00000000-0005-0000-0000-00004A100000}"/>
    <cellStyle name="40% - Accent5 3 3" xfId="1586" xr:uid="{00000000-0005-0000-0000-00004B100000}"/>
    <cellStyle name="40% - Accent5 3 3 2" xfId="1587" xr:uid="{00000000-0005-0000-0000-00004C100000}"/>
    <cellStyle name="40% - Accent5 3 3 2 2" xfId="21085" xr:uid="{00000000-0005-0000-0000-00004D100000}"/>
    <cellStyle name="40% - Accent5 3 3 2 2 2" xfId="39069" xr:uid="{00000000-0005-0000-0000-00004E100000}"/>
    <cellStyle name="40% - Accent5 3 3 2 3" xfId="39068" xr:uid="{00000000-0005-0000-0000-00004F100000}"/>
    <cellStyle name="40% - Accent5 3 3 2 4" xfId="21084" xr:uid="{00000000-0005-0000-0000-000050100000}"/>
    <cellStyle name="40% - Accent5 3 3 3" xfId="1588" xr:uid="{00000000-0005-0000-0000-000051100000}"/>
    <cellStyle name="40% - Accent5 3 3 3 2" xfId="39070" xr:uid="{00000000-0005-0000-0000-000052100000}"/>
    <cellStyle name="40% - Accent5 3 3 3 3" xfId="21086" xr:uid="{00000000-0005-0000-0000-000053100000}"/>
    <cellStyle name="40% - Accent5 3 3 4" xfId="21087" xr:uid="{00000000-0005-0000-0000-000054100000}"/>
    <cellStyle name="40% - Accent5 3 3 5" xfId="39067" xr:uid="{00000000-0005-0000-0000-000055100000}"/>
    <cellStyle name="40% - Accent5 3 3 6" xfId="21083" xr:uid="{00000000-0005-0000-0000-000056100000}"/>
    <cellStyle name="40% - Accent5 3 4" xfId="1589" xr:uid="{00000000-0005-0000-0000-000057100000}"/>
    <cellStyle name="40% - Accent5 3 4 2" xfId="1590" xr:uid="{00000000-0005-0000-0000-000058100000}"/>
    <cellStyle name="40% - Accent5 3 4 2 2" xfId="1591" xr:uid="{00000000-0005-0000-0000-000059100000}"/>
    <cellStyle name="40% - Accent5 3 4 2 2 2" xfId="18997" xr:uid="{00000000-0005-0000-0000-00005A100000}"/>
    <cellStyle name="40% - Accent5 3 4 2 2 3" xfId="39072" xr:uid="{00000000-0005-0000-0000-00005B100000}"/>
    <cellStyle name="40% - Accent5 3 4 2 3" xfId="18479" xr:uid="{00000000-0005-0000-0000-00005C100000}"/>
    <cellStyle name="40% - Accent5 3 4 2 4" xfId="21089" xr:uid="{00000000-0005-0000-0000-00005D100000}"/>
    <cellStyle name="40% - Accent5 3 4 3" xfId="1592" xr:uid="{00000000-0005-0000-0000-00005E100000}"/>
    <cellStyle name="40% - Accent5 3 4 3 2" xfId="18715" xr:uid="{00000000-0005-0000-0000-00005F100000}"/>
    <cellStyle name="40% - Accent5 3 4 3 3" xfId="21090" xr:uid="{00000000-0005-0000-0000-000060100000}"/>
    <cellStyle name="40% - Accent5 3 4 4" xfId="18188" xr:uid="{00000000-0005-0000-0000-000061100000}"/>
    <cellStyle name="40% - Accent5 3 4 4 2" xfId="39071" xr:uid="{00000000-0005-0000-0000-000062100000}"/>
    <cellStyle name="40% - Accent5 3 4 5" xfId="21088" xr:uid="{00000000-0005-0000-0000-000063100000}"/>
    <cellStyle name="40% - Accent5 3 5" xfId="1593" xr:uid="{00000000-0005-0000-0000-000064100000}"/>
    <cellStyle name="40% - Accent5 3 5 2" xfId="1594" xr:uid="{00000000-0005-0000-0000-000065100000}"/>
    <cellStyle name="40% - Accent5 3 5 2 2" xfId="18877" xr:uid="{00000000-0005-0000-0000-000066100000}"/>
    <cellStyle name="40% - Accent5 3 5 2 3" xfId="21092" xr:uid="{00000000-0005-0000-0000-000067100000}"/>
    <cellStyle name="40% - Accent5 3 5 3" xfId="18356" xr:uid="{00000000-0005-0000-0000-000068100000}"/>
    <cellStyle name="40% - Accent5 3 5 3 2" xfId="39073" xr:uid="{00000000-0005-0000-0000-000069100000}"/>
    <cellStyle name="40% - Accent5 3 5 4" xfId="21091" xr:uid="{00000000-0005-0000-0000-00006A100000}"/>
    <cellStyle name="40% - Accent5 3 6" xfId="1595" xr:uid="{00000000-0005-0000-0000-00006B100000}"/>
    <cellStyle name="40% - Accent5 3 6 2" xfId="18598" xr:uid="{00000000-0005-0000-0000-00006C100000}"/>
    <cellStyle name="40% - Accent5 3 6 2 2" xfId="21094" xr:uid="{00000000-0005-0000-0000-00006D100000}"/>
    <cellStyle name="40% - Accent5 3 6 3" xfId="21095" xr:uid="{00000000-0005-0000-0000-00006E100000}"/>
    <cellStyle name="40% - Accent5 3 6 4" xfId="21093" xr:uid="{00000000-0005-0000-0000-00006F100000}"/>
    <cellStyle name="40% - Accent5 3 7" xfId="18040" xr:uid="{00000000-0005-0000-0000-000070100000}"/>
    <cellStyle name="40% - Accent5 3 7 2" xfId="21097" xr:uid="{00000000-0005-0000-0000-000071100000}"/>
    <cellStyle name="40% - Accent5 3 7 3" xfId="21096" xr:uid="{00000000-0005-0000-0000-000072100000}"/>
    <cellStyle name="40% - Accent5 3 8" xfId="21098" xr:uid="{00000000-0005-0000-0000-000073100000}"/>
    <cellStyle name="40% - Accent5 3 9" xfId="21099" xr:uid="{00000000-0005-0000-0000-000074100000}"/>
    <cellStyle name="40% - Accent5 4" xfId="1596" xr:uid="{00000000-0005-0000-0000-000075100000}"/>
    <cellStyle name="40% - Accent5 4 2" xfId="1597" xr:uid="{00000000-0005-0000-0000-000076100000}"/>
    <cellStyle name="40% - Accent5 4 2 2" xfId="1598" xr:uid="{00000000-0005-0000-0000-000077100000}"/>
    <cellStyle name="40% - Accent5 4 2 2 2" xfId="21102" xr:uid="{00000000-0005-0000-0000-000078100000}"/>
    <cellStyle name="40% - Accent5 4 2 2 2 2" xfId="21103" xr:uid="{00000000-0005-0000-0000-000079100000}"/>
    <cellStyle name="40% - Accent5 4 2 2 2 2 2" xfId="39077" xr:uid="{00000000-0005-0000-0000-00007A100000}"/>
    <cellStyle name="40% - Accent5 4 2 2 2 3" xfId="21104" xr:uid="{00000000-0005-0000-0000-00007B100000}"/>
    <cellStyle name="40% - Accent5 4 2 2 2 4" xfId="39076" xr:uid="{00000000-0005-0000-0000-00007C100000}"/>
    <cellStyle name="40% - Accent5 4 2 2 3" xfId="21105" xr:uid="{00000000-0005-0000-0000-00007D100000}"/>
    <cellStyle name="40% - Accent5 4 2 2 3 2" xfId="21106" xr:uid="{00000000-0005-0000-0000-00007E100000}"/>
    <cellStyle name="40% - Accent5 4 2 2 3 3" xfId="39078" xr:uid="{00000000-0005-0000-0000-00007F100000}"/>
    <cellStyle name="40% - Accent5 4 2 2 4" xfId="21107" xr:uid="{00000000-0005-0000-0000-000080100000}"/>
    <cellStyle name="40% - Accent5 4 2 2 5" xfId="39075" xr:uid="{00000000-0005-0000-0000-000081100000}"/>
    <cellStyle name="40% - Accent5 4 2 2 6" xfId="21101" xr:uid="{00000000-0005-0000-0000-000082100000}"/>
    <cellStyle name="40% - Accent5 4 2 3" xfId="1599" xr:uid="{00000000-0005-0000-0000-000083100000}"/>
    <cellStyle name="40% - Accent5 4 2 3 2" xfId="21109" xr:uid="{00000000-0005-0000-0000-000084100000}"/>
    <cellStyle name="40% - Accent5 4 2 3 2 2" xfId="39080" xr:uid="{00000000-0005-0000-0000-000085100000}"/>
    <cellStyle name="40% - Accent5 4 2 3 3" xfId="21110" xr:uid="{00000000-0005-0000-0000-000086100000}"/>
    <cellStyle name="40% - Accent5 4 2 3 4" xfId="39079" xr:uid="{00000000-0005-0000-0000-000087100000}"/>
    <cellStyle name="40% - Accent5 4 2 3 5" xfId="21108" xr:uid="{00000000-0005-0000-0000-000088100000}"/>
    <cellStyle name="40% - Accent5 4 2 4" xfId="21111" xr:uid="{00000000-0005-0000-0000-000089100000}"/>
    <cellStyle name="40% - Accent5 4 2 4 2" xfId="21112" xr:uid="{00000000-0005-0000-0000-00008A100000}"/>
    <cellStyle name="40% - Accent5 4 2 4 3" xfId="39081" xr:uid="{00000000-0005-0000-0000-00008B100000}"/>
    <cellStyle name="40% - Accent5 4 2 5" xfId="21113" xr:uid="{00000000-0005-0000-0000-00008C100000}"/>
    <cellStyle name="40% - Accent5 4 2 5 2" xfId="21114" xr:uid="{00000000-0005-0000-0000-00008D100000}"/>
    <cellStyle name="40% - Accent5 4 2 6" xfId="21115" xr:uid="{00000000-0005-0000-0000-00008E100000}"/>
    <cellStyle name="40% - Accent5 4 2 6 2" xfId="21116" xr:uid="{00000000-0005-0000-0000-00008F100000}"/>
    <cellStyle name="40% - Accent5 4 2 7" xfId="21117" xr:uid="{00000000-0005-0000-0000-000090100000}"/>
    <cellStyle name="40% - Accent5 4 2 8" xfId="39074" xr:uid="{00000000-0005-0000-0000-000091100000}"/>
    <cellStyle name="40% - Accent5 4 2 9" xfId="21100" xr:uid="{00000000-0005-0000-0000-000092100000}"/>
    <cellStyle name="40% - Accent5 4 3" xfId="1600" xr:uid="{00000000-0005-0000-0000-000093100000}"/>
    <cellStyle name="40% - Accent5 4 3 2" xfId="1601" xr:uid="{00000000-0005-0000-0000-000094100000}"/>
    <cellStyle name="40% - Accent5 4 3 2 2" xfId="39083" xr:uid="{00000000-0005-0000-0000-000095100000}"/>
    <cellStyle name="40% - Accent5 4 3 2 3" xfId="21119" xr:uid="{00000000-0005-0000-0000-000096100000}"/>
    <cellStyle name="40% - Accent5 4 3 3" xfId="1602" xr:uid="{00000000-0005-0000-0000-000097100000}"/>
    <cellStyle name="40% - Accent5 4 3 3 2" xfId="39084" xr:uid="{00000000-0005-0000-0000-000098100000}"/>
    <cellStyle name="40% - Accent5 4 3 3 3" xfId="21120" xr:uid="{00000000-0005-0000-0000-000099100000}"/>
    <cellStyle name="40% - Accent5 4 3 4" xfId="21121" xr:uid="{00000000-0005-0000-0000-00009A100000}"/>
    <cellStyle name="40% - Accent5 4 3 5" xfId="39082" xr:uid="{00000000-0005-0000-0000-00009B100000}"/>
    <cellStyle name="40% - Accent5 4 3 6" xfId="21118" xr:uid="{00000000-0005-0000-0000-00009C100000}"/>
    <cellStyle name="40% - Accent5 4 4" xfId="21122" xr:uid="{00000000-0005-0000-0000-00009D100000}"/>
    <cellStyle name="40% - Accent5 4 4 2" xfId="21123" xr:uid="{00000000-0005-0000-0000-00009E100000}"/>
    <cellStyle name="40% - Accent5 4 4 2 2" xfId="39086" xr:uid="{00000000-0005-0000-0000-00009F100000}"/>
    <cellStyle name="40% - Accent5 4 4 3" xfId="21124" xr:uid="{00000000-0005-0000-0000-0000A0100000}"/>
    <cellStyle name="40% - Accent5 4 4 4" xfId="39085" xr:uid="{00000000-0005-0000-0000-0000A1100000}"/>
    <cellStyle name="40% - Accent5 4 5" xfId="21125" xr:uid="{00000000-0005-0000-0000-0000A2100000}"/>
    <cellStyle name="40% - Accent5 4 5 2" xfId="39087" xr:uid="{00000000-0005-0000-0000-0000A3100000}"/>
    <cellStyle name="40% - Accent5 4 6" xfId="21126" xr:uid="{00000000-0005-0000-0000-0000A4100000}"/>
    <cellStyle name="40% - Accent5 4 6 2" xfId="21127" xr:uid="{00000000-0005-0000-0000-0000A5100000}"/>
    <cellStyle name="40% - Accent5 4 7" xfId="21128" xr:uid="{00000000-0005-0000-0000-0000A6100000}"/>
    <cellStyle name="40% - Accent5 4 7 2" xfId="21129" xr:uid="{00000000-0005-0000-0000-0000A7100000}"/>
    <cellStyle name="40% - Accent5 4 8" xfId="21130" xr:uid="{00000000-0005-0000-0000-0000A8100000}"/>
    <cellStyle name="40% - Accent5 4 9" xfId="21131" xr:uid="{00000000-0005-0000-0000-0000A9100000}"/>
    <cellStyle name="40% - Accent5 5" xfId="1603" xr:uid="{00000000-0005-0000-0000-0000AA100000}"/>
    <cellStyle name="40% - Accent5 5 2" xfId="1604" xr:uid="{00000000-0005-0000-0000-0000AB100000}"/>
    <cellStyle name="40% - Accent5 5 2 2" xfId="1605" xr:uid="{00000000-0005-0000-0000-0000AC100000}"/>
    <cellStyle name="40% - Accent5 5 2 2 2" xfId="39089" xr:uid="{00000000-0005-0000-0000-0000AD100000}"/>
    <cellStyle name="40% - Accent5 5 2 2 3" xfId="21133" xr:uid="{00000000-0005-0000-0000-0000AE100000}"/>
    <cellStyle name="40% - Accent5 5 2 3" xfId="1606" xr:uid="{00000000-0005-0000-0000-0000AF100000}"/>
    <cellStyle name="40% - Accent5 5 2 3 2" xfId="39090" xr:uid="{00000000-0005-0000-0000-0000B0100000}"/>
    <cellStyle name="40% - Accent5 5 2 3 3" xfId="21134" xr:uid="{00000000-0005-0000-0000-0000B1100000}"/>
    <cellStyle name="40% - Accent5 5 2 4" xfId="21135" xr:uid="{00000000-0005-0000-0000-0000B2100000}"/>
    <cellStyle name="40% - Accent5 5 2 5" xfId="21136" xr:uid="{00000000-0005-0000-0000-0000B3100000}"/>
    <cellStyle name="40% - Accent5 5 3" xfId="1607" xr:uid="{00000000-0005-0000-0000-0000B4100000}"/>
    <cellStyle name="40% - Accent5 5 3 2" xfId="1608" xr:uid="{00000000-0005-0000-0000-0000B5100000}"/>
    <cellStyle name="40% - Accent5 5 3 2 2" xfId="21139" xr:uid="{00000000-0005-0000-0000-0000B6100000}"/>
    <cellStyle name="40% - Accent5 5 3 2 2 2" xfId="39093" xr:uid="{00000000-0005-0000-0000-0000B7100000}"/>
    <cellStyle name="40% - Accent5 5 3 2 3" xfId="39092" xr:uid="{00000000-0005-0000-0000-0000B8100000}"/>
    <cellStyle name="40% - Accent5 5 3 2 4" xfId="21138" xr:uid="{00000000-0005-0000-0000-0000B9100000}"/>
    <cellStyle name="40% - Accent5 5 3 3" xfId="1609" xr:uid="{00000000-0005-0000-0000-0000BA100000}"/>
    <cellStyle name="40% - Accent5 5 3 3 2" xfId="39094" xr:uid="{00000000-0005-0000-0000-0000BB100000}"/>
    <cellStyle name="40% - Accent5 5 3 3 3" xfId="21140" xr:uid="{00000000-0005-0000-0000-0000BC100000}"/>
    <cellStyle name="40% - Accent5 5 3 4" xfId="21141" xr:uid="{00000000-0005-0000-0000-0000BD100000}"/>
    <cellStyle name="40% - Accent5 5 3 5" xfId="39091" xr:uid="{00000000-0005-0000-0000-0000BE100000}"/>
    <cellStyle name="40% - Accent5 5 3 6" xfId="21137" xr:uid="{00000000-0005-0000-0000-0000BF100000}"/>
    <cellStyle name="40% - Accent5 5 4" xfId="1610" xr:uid="{00000000-0005-0000-0000-0000C0100000}"/>
    <cellStyle name="40% - Accent5 5 4 2" xfId="18753" xr:uid="{00000000-0005-0000-0000-0000C1100000}"/>
    <cellStyle name="40% - Accent5 5 4 2 2" xfId="39096" xr:uid="{00000000-0005-0000-0000-0000C2100000}"/>
    <cellStyle name="40% - Accent5 5 4 2 3" xfId="21143" xr:uid="{00000000-0005-0000-0000-0000C3100000}"/>
    <cellStyle name="40% - Accent5 5 4 3" xfId="39095" xr:uid="{00000000-0005-0000-0000-0000C4100000}"/>
    <cellStyle name="40% - Accent5 5 4 4" xfId="21142" xr:uid="{00000000-0005-0000-0000-0000C5100000}"/>
    <cellStyle name="40% - Accent5 5 5" xfId="18224" xr:uid="{00000000-0005-0000-0000-0000C6100000}"/>
    <cellStyle name="40% - Accent5 5 5 2" xfId="39097" xr:uid="{00000000-0005-0000-0000-0000C7100000}"/>
    <cellStyle name="40% - Accent5 5 5 3" xfId="21144" xr:uid="{00000000-0005-0000-0000-0000C8100000}"/>
    <cellStyle name="40% - Accent5 5 6" xfId="21145" xr:uid="{00000000-0005-0000-0000-0000C9100000}"/>
    <cellStyle name="40% - Accent5 5 7" xfId="39088" xr:uid="{00000000-0005-0000-0000-0000CA100000}"/>
    <cellStyle name="40% - Accent5 5 8" xfId="21132" xr:uid="{00000000-0005-0000-0000-0000CB100000}"/>
    <cellStyle name="40% - Accent5 6" xfId="1611" xr:uid="{00000000-0005-0000-0000-0000CC100000}"/>
    <cellStyle name="40% - Accent5 6 2" xfId="1612" xr:uid="{00000000-0005-0000-0000-0000CD100000}"/>
    <cellStyle name="40% - Accent5 6 2 2" xfId="1613" xr:uid="{00000000-0005-0000-0000-0000CE100000}"/>
    <cellStyle name="40% - Accent5 6 2 2 2" xfId="21149" xr:uid="{00000000-0005-0000-0000-0000CF100000}"/>
    <cellStyle name="40% - Accent5 6 2 2 2 2" xfId="39101" xr:uid="{00000000-0005-0000-0000-0000D0100000}"/>
    <cellStyle name="40% - Accent5 6 2 2 3" xfId="39100" xr:uid="{00000000-0005-0000-0000-0000D1100000}"/>
    <cellStyle name="40% - Accent5 6 2 2 4" xfId="21148" xr:uid="{00000000-0005-0000-0000-0000D2100000}"/>
    <cellStyle name="40% - Accent5 6 2 3" xfId="1614" xr:uid="{00000000-0005-0000-0000-0000D3100000}"/>
    <cellStyle name="40% - Accent5 6 2 3 2" xfId="39102" xr:uid="{00000000-0005-0000-0000-0000D4100000}"/>
    <cellStyle name="40% - Accent5 6 2 3 3" xfId="21150" xr:uid="{00000000-0005-0000-0000-0000D5100000}"/>
    <cellStyle name="40% - Accent5 6 2 4" xfId="21151" xr:uid="{00000000-0005-0000-0000-0000D6100000}"/>
    <cellStyle name="40% - Accent5 6 2 5" xfId="39099" xr:uid="{00000000-0005-0000-0000-0000D7100000}"/>
    <cellStyle name="40% - Accent5 6 2 6" xfId="21147" xr:uid="{00000000-0005-0000-0000-0000D8100000}"/>
    <cellStyle name="40% - Accent5 6 3" xfId="1615" xr:uid="{00000000-0005-0000-0000-0000D9100000}"/>
    <cellStyle name="40% - Accent5 6 3 2" xfId="1616" xr:uid="{00000000-0005-0000-0000-0000DA100000}"/>
    <cellStyle name="40% - Accent5 6 3 2 2" xfId="39104" xr:uid="{00000000-0005-0000-0000-0000DB100000}"/>
    <cellStyle name="40% - Accent5 6 3 2 3" xfId="21153" xr:uid="{00000000-0005-0000-0000-0000DC100000}"/>
    <cellStyle name="40% - Accent5 6 3 3" xfId="1617" xr:uid="{00000000-0005-0000-0000-0000DD100000}"/>
    <cellStyle name="40% - Accent5 6 3 3 2" xfId="21154" xr:uid="{00000000-0005-0000-0000-0000DE100000}"/>
    <cellStyle name="40% - Accent5 6 3 4" xfId="39103" xr:uid="{00000000-0005-0000-0000-0000DF100000}"/>
    <cellStyle name="40% - Accent5 6 3 5" xfId="21152" xr:uid="{00000000-0005-0000-0000-0000E0100000}"/>
    <cellStyle name="40% - Accent5 6 4" xfId="21155" xr:uid="{00000000-0005-0000-0000-0000E1100000}"/>
    <cellStyle name="40% - Accent5 6 4 2" xfId="39105" xr:uid="{00000000-0005-0000-0000-0000E2100000}"/>
    <cellStyle name="40% - Accent5 6 5" xfId="21156" xr:uid="{00000000-0005-0000-0000-0000E3100000}"/>
    <cellStyle name="40% - Accent5 6 6" xfId="39098" xr:uid="{00000000-0005-0000-0000-0000E4100000}"/>
    <cellStyle name="40% - Accent5 6 7" xfId="21146" xr:uid="{00000000-0005-0000-0000-0000E5100000}"/>
    <cellStyle name="40% - Accent5 7" xfId="21157" xr:uid="{00000000-0005-0000-0000-0000E6100000}"/>
    <cellStyle name="40% - Accent5 7 2" xfId="1618" xr:uid="{00000000-0005-0000-0000-0000E7100000}"/>
    <cellStyle name="40% - Accent5 7 2 2" xfId="1619" xr:uid="{00000000-0005-0000-0000-0000E8100000}"/>
    <cellStyle name="40% - Accent5 7 2 2 2" xfId="21160" xr:uid="{00000000-0005-0000-0000-0000E9100000}"/>
    <cellStyle name="40% - Accent5 7 2 2 2 2" xfId="39109" xr:uid="{00000000-0005-0000-0000-0000EA100000}"/>
    <cellStyle name="40% - Accent5 7 2 2 3" xfId="39108" xr:uid="{00000000-0005-0000-0000-0000EB100000}"/>
    <cellStyle name="40% - Accent5 7 2 2 4" xfId="21159" xr:uid="{00000000-0005-0000-0000-0000EC100000}"/>
    <cellStyle name="40% - Accent5 7 2 3" xfId="1620" xr:uid="{00000000-0005-0000-0000-0000ED100000}"/>
    <cellStyle name="40% - Accent5 7 2 3 2" xfId="39110" xr:uid="{00000000-0005-0000-0000-0000EE100000}"/>
    <cellStyle name="40% - Accent5 7 2 3 3" xfId="21161" xr:uid="{00000000-0005-0000-0000-0000EF100000}"/>
    <cellStyle name="40% - Accent5 7 2 4" xfId="39107" xr:uid="{00000000-0005-0000-0000-0000F0100000}"/>
    <cellStyle name="40% - Accent5 7 2 5" xfId="21158" xr:uid="{00000000-0005-0000-0000-0000F1100000}"/>
    <cellStyle name="40% - Accent5 7 3" xfId="1621" xr:uid="{00000000-0005-0000-0000-0000F2100000}"/>
    <cellStyle name="40% - Accent5 7 3 2" xfId="1622" xr:uid="{00000000-0005-0000-0000-0000F3100000}"/>
    <cellStyle name="40% - Accent5 7 3 2 2" xfId="39112" xr:uid="{00000000-0005-0000-0000-0000F4100000}"/>
    <cellStyle name="40% - Accent5 7 3 2 3" xfId="21163" xr:uid="{00000000-0005-0000-0000-0000F5100000}"/>
    <cellStyle name="40% - Accent5 7 3 3" xfId="1623" xr:uid="{00000000-0005-0000-0000-0000F6100000}"/>
    <cellStyle name="40% - Accent5 7 3 3 2" xfId="39111" xr:uid="{00000000-0005-0000-0000-0000F7100000}"/>
    <cellStyle name="40% - Accent5 7 3 4" xfId="21162" xr:uid="{00000000-0005-0000-0000-0000F8100000}"/>
    <cellStyle name="40% - Accent5 7 4" xfId="21164" xr:uid="{00000000-0005-0000-0000-0000F9100000}"/>
    <cellStyle name="40% - Accent5 7 4 2" xfId="39113" xr:uid="{00000000-0005-0000-0000-0000FA100000}"/>
    <cellStyle name="40% - Accent5 7 5" xfId="21165" xr:uid="{00000000-0005-0000-0000-0000FB100000}"/>
    <cellStyle name="40% - Accent5 7 6" xfId="39106" xr:uid="{00000000-0005-0000-0000-0000FC100000}"/>
    <cellStyle name="40% - Accent5 8" xfId="21166" xr:uid="{00000000-0005-0000-0000-0000FD100000}"/>
    <cellStyle name="40% - Accent5 8 2" xfId="1624" xr:uid="{00000000-0005-0000-0000-0000FE100000}"/>
    <cellStyle name="40% - Accent5 8 2 2" xfId="1625" xr:uid="{00000000-0005-0000-0000-0000FF100000}"/>
    <cellStyle name="40% - Accent5 8 2 3" xfId="1626" xr:uid="{00000000-0005-0000-0000-000000110000}"/>
    <cellStyle name="40% - Accent5 8 2 4" xfId="21167" xr:uid="{00000000-0005-0000-0000-000001110000}"/>
    <cellStyle name="40% - Accent5 8 3" xfId="1627" xr:uid="{00000000-0005-0000-0000-000002110000}"/>
    <cellStyle name="40% - Accent5 8 3 2" xfId="1628" xr:uid="{00000000-0005-0000-0000-000003110000}"/>
    <cellStyle name="40% - Accent5 8 3 2 2" xfId="39114" xr:uid="{00000000-0005-0000-0000-000004110000}"/>
    <cellStyle name="40% - Accent5 8 3 3" xfId="1629" xr:uid="{00000000-0005-0000-0000-000005110000}"/>
    <cellStyle name="40% - Accent5 8 3 4" xfId="21168" xr:uid="{00000000-0005-0000-0000-000006110000}"/>
    <cellStyle name="40% - Accent5 8 4" xfId="21169" xr:uid="{00000000-0005-0000-0000-000007110000}"/>
    <cellStyle name="40% - Accent5 9" xfId="21170" xr:uid="{00000000-0005-0000-0000-000008110000}"/>
    <cellStyle name="40% - Accent5 9 2" xfId="1630" xr:uid="{00000000-0005-0000-0000-000009110000}"/>
    <cellStyle name="40% - Accent5 9 2 2" xfId="1631" xr:uid="{00000000-0005-0000-0000-00000A110000}"/>
    <cellStyle name="40% - Accent5 9 2 2 2" xfId="39115" xr:uid="{00000000-0005-0000-0000-00000B110000}"/>
    <cellStyle name="40% - Accent5 9 2 3" xfId="1632" xr:uid="{00000000-0005-0000-0000-00000C110000}"/>
    <cellStyle name="40% - Accent5 9 2 4" xfId="21171" xr:uid="{00000000-0005-0000-0000-00000D110000}"/>
    <cellStyle name="40% - Accent5 9 3" xfId="1633" xr:uid="{00000000-0005-0000-0000-00000E110000}"/>
    <cellStyle name="40% - Accent5 9 3 2" xfId="1634" xr:uid="{00000000-0005-0000-0000-00000F110000}"/>
    <cellStyle name="40% - Accent5 9 3 3" xfId="1635" xr:uid="{00000000-0005-0000-0000-000010110000}"/>
    <cellStyle name="40% - Accent5 9 3 4" xfId="21172" xr:uid="{00000000-0005-0000-0000-000011110000}"/>
    <cellStyle name="40% - Accent6" xfId="44361" builtinId="51" customBuiltin="1"/>
    <cellStyle name="40% - Accent6 10" xfId="21173" xr:uid="{00000000-0005-0000-0000-000013110000}"/>
    <cellStyle name="40% - Accent6 10 2" xfId="1636" xr:uid="{00000000-0005-0000-0000-000014110000}"/>
    <cellStyle name="40% - Accent6 10 2 2" xfId="1637" xr:uid="{00000000-0005-0000-0000-000015110000}"/>
    <cellStyle name="40% - Accent6 10 2 2 2" xfId="39116" xr:uid="{00000000-0005-0000-0000-000016110000}"/>
    <cellStyle name="40% - Accent6 10 2 3" xfId="1638" xr:uid="{00000000-0005-0000-0000-000017110000}"/>
    <cellStyle name="40% - Accent6 10 2 4" xfId="21174" xr:uid="{00000000-0005-0000-0000-000018110000}"/>
    <cellStyle name="40% - Accent6 10 3" xfId="1639" xr:uid="{00000000-0005-0000-0000-000019110000}"/>
    <cellStyle name="40% - Accent6 10 3 2" xfId="1640" xr:uid="{00000000-0005-0000-0000-00001A110000}"/>
    <cellStyle name="40% - Accent6 10 3 3" xfId="1641" xr:uid="{00000000-0005-0000-0000-00001B110000}"/>
    <cellStyle name="40% - Accent6 10 3 4" xfId="21175" xr:uid="{00000000-0005-0000-0000-00001C110000}"/>
    <cellStyle name="40% - Accent6 11" xfId="21176" xr:uid="{00000000-0005-0000-0000-00001D110000}"/>
    <cellStyle name="40% - Accent6 11 2" xfId="1642" xr:uid="{00000000-0005-0000-0000-00001E110000}"/>
    <cellStyle name="40% - Accent6 11 2 2" xfId="1643" xr:uid="{00000000-0005-0000-0000-00001F110000}"/>
    <cellStyle name="40% - Accent6 11 2 3" xfId="1644" xr:uid="{00000000-0005-0000-0000-000020110000}"/>
    <cellStyle name="40% - Accent6 11 3" xfId="1645" xr:uid="{00000000-0005-0000-0000-000021110000}"/>
    <cellStyle name="40% - Accent6 11 3 2" xfId="1646" xr:uid="{00000000-0005-0000-0000-000022110000}"/>
    <cellStyle name="40% - Accent6 11 3 3" xfId="1647" xr:uid="{00000000-0005-0000-0000-000023110000}"/>
    <cellStyle name="40% - Accent6 12" xfId="21177" xr:uid="{00000000-0005-0000-0000-000024110000}"/>
    <cellStyle name="40% - Accent6 12 2" xfId="1648" xr:uid="{00000000-0005-0000-0000-000025110000}"/>
    <cellStyle name="40% - Accent6 12 2 2" xfId="1649" xr:uid="{00000000-0005-0000-0000-000026110000}"/>
    <cellStyle name="40% - Accent6 12 2 3" xfId="1650" xr:uid="{00000000-0005-0000-0000-000027110000}"/>
    <cellStyle name="40% - Accent6 12 3" xfId="1651" xr:uid="{00000000-0005-0000-0000-000028110000}"/>
    <cellStyle name="40% - Accent6 12 3 2" xfId="1652" xr:uid="{00000000-0005-0000-0000-000029110000}"/>
    <cellStyle name="40% - Accent6 12 3 3" xfId="1653" xr:uid="{00000000-0005-0000-0000-00002A110000}"/>
    <cellStyle name="40% - Accent6 13 2" xfId="1654" xr:uid="{00000000-0005-0000-0000-00002B110000}"/>
    <cellStyle name="40% - Accent6 13 2 2" xfId="1655" xr:uid="{00000000-0005-0000-0000-00002C110000}"/>
    <cellStyle name="40% - Accent6 13 2 3" xfId="1656" xr:uid="{00000000-0005-0000-0000-00002D110000}"/>
    <cellStyle name="40% - Accent6 13 3" xfId="1657" xr:uid="{00000000-0005-0000-0000-00002E110000}"/>
    <cellStyle name="40% - Accent6 13 3 2" xfId="1658" xr:uid="{00000000-0005-0000-0000-00002F110000}"/>
    <cellStyle name="40% - Accent6 13 3 3" xfId="1659" xr:uid="{00000000-0005-0000-0000-000030110000}"/>
    <cellStyle name="40% - Accent6 14 2" xfId="1660" xr:uid="{00000000-0005-0000-0000-000031110000}"/>
    <cellStyle name="40% - Accent6 14 2 2" xfId="1661" xr:uid="{00000000-0005-0000-0000-000032110000}"/>
    <cellStyle name="40% - Accent6 14 2 3" xfId="1662" xr:uid="{00000000-0005-0000-0000-000033110000}"/>
    <cellStyle name="40% - Accent6 14 3" xfId="1663" xr:uid="{00000000-0005-0000-0000-000034110000}"/>
    <cellStyle name="40% - Accent6 14 3 2" xfId="1664" xr:uid="{00000000-0005-0000-0000-000035110000}"/>
    <cellStyle name="40% - Accent6 14 3 3" xfId="1665" xr:uid="{00000000-0005-0000-0000-000036110000}"/>
    <cellStyle name="40% - Accent6 15" xfId="1666" xr:uid="{00000000-0005-0000-0000-000037110000}"/>
    <cellStyle name="40% - Accent6 15 2" xfId="1667" xr:uid="{00000000-0005-0000-0000-000038110000}"/>
    <cellStyle name="40% - Accent6 15 2 2" xfId="1668" xr:uid="{00000000-0005-0000-0000-000039110000}"/>
    <cellStyle name="40% - Accent6 15 2 3" xfId="1669" xr:uid="{00000000-0005-0000-0000-00003A110000}"/>
    <cellStyle name="40% - Accent6 15 3" xfId="1670" xr:uid="{00000000-0005-0000-0000-00003B110000}"/>
    <cellStyle name="40% - Accent6 15 3 2" xfId="1671" xr:uid="{00000000-0005-0000-0000-00003C110000}"/>
    <cellStyle name="40% - Accent6 15 3 3" xfId="1672" xr:uid="{00000000-0005-0000-0000-00003D110000}"/>
    <cellStyle name="40% - Accent6 15 4" xfId="1673" xr:uid="{00000000-0005-0000-0000-00003E110000}"/>
    <cellStyle name="40% - Accent6 15 4 2" xfId="1674" xr:uid="{00000000-0005-0000-0000-00003F110000}"/>
    <cellStyle name="40% - Accent6 15 4 3" xfId="1675" xr:uid="{00000000-0005-0000-0000-000040110000}"/>
    <cellStyle name="40% - Accent6 15 5" xfId="1676" xr:uid="{00000000-0005-0000-0000-000041110000}"/>
    <cellStyle name="40% - Accent6 15 5 2" xfId="1677" xr:uid="{00000000-0005-0000-0000-000042110000}"/>
    <cellStyle name="40% - Accent6 15 5 3" xfId="1678" xr:uid="{00000000-0005-0000-0000-000043110000}"/>
    <cellStyle name="40% - Accent6 15 6" xfId="1679" xr:uid="{00000000-0005-0000-0000-000044110000}"/>
    <cellStyle name="40% - Accent6 15 6 2" xfId="1680" xr:uid="{00000000-0005-0000-0000-000045110000}"/>
    <cellStyle name="40% - Accent6 15 6 3" xfId="1681" xr:uid="{00000000-0005-0000-0000-000046110000}"/>
    <cellStyle name="40% - Accent6 15 7" xfId="1682" xr:uid="{00000000-0005-0000-0000-000047110000}"/>
    <cellStyle name="40% - Accent6 15 7 2" xfId="1683" xr:uid="{00000000-0005-0000-0000-000048110000}"/>
    <cellStyle name="40% - Accent6 15 7 3" xfId="1684" xr:uid="{00000000-0005-0000-0000-000049110000}"/>
    <cellStyle name="40% - Accent6 15 8" xfId="1685" xr:uid="{00000000-0005-0000-0000-00004A110000}"/>
    <cellStyle name="40% - Accent6 15 9" xfId="1686" xr:uid="{00000000-0005-0000-0000-00004B110000}"/>
    <cellStyle name="40% - Accent6 16" xfId="1687" xr:uid="{00000000-0005-0000-0000-00004C110000}"/>
    <cellStyle name="40% - Accent6 16 2" xfId="1688" xr:uid="{00000000-0005-0000-0000-00004D110000}"/>
    <cellStyle name="40% - Accent6 16 3" xfId="1689" xr:uid="{00000000-0005-0000-0000-00004E110000}"/>
    <cellStyle name="40% - Accent6 17" xfId="1690" xr:uid="{00000000-0005-0000-0000-00004F110000}"/>
    <cellStyle name="40% - Accent6 17 2" xfId="1691" xr:uid="{00000000-0005-0000-0000-000050110000}"/>
    <cellStyle name="40% - Accent6 17 3" xfId="1692" xr:uid="{00000000-0005-0000-0000-000051110000}"/>
    <cellStyle name="40% - Accent6 18" xfId="1693" xr:uid="{00000000-0005-0000-0000-000052110000}"/>
    <cellStyle name="40% - Accent6 18 2" xfId="1694" xr:uid="{00000000-0005-0000-0000-000053110000}"/>
    <cellStyle name="40% - Accent6 18 3" xfId="1695" xr:uid="{00000000-0005-0000-0000-000054110000}"/>
    <cellStyle name="40% - Accent6 19" xfId="1696" xr:uid="{00000000-0005-0000-0000-000055110000}"/>
    <cellStyle name="40% - Accent6 19 2" xfId="1697" xr:uid="{00000000-0005-0000-0000-000056110000}"/>
    <cellStyle name="40% - Accent6 19 3" xfId="1698" xr:uid="{00000000-0005-0000-0000-000057110000}"/>
    <cellStyle name="40% - Accent6 2" xfId="1699" xr:uid="{00000000-0005-0000-0000-000058110000}"/>
    <cellStyle name="40% - Accent6 2 2" xfId="1700" xr:uid="{00000000-0005-0000-0000-000059110000}"/>
    <cellStyle name="40% - Accent6 2 2 2" xfId="1701" xr:uid="{00000000-0005-0000-0000-00005A110000}"/>
    <cellStyle name="40% - Accent6 2 2 2 2" xfId="21180" xr:uid="{00000000-0005-0000-0000-00005B110000}"/>
    <cellStyle name="40% - Accent6 2 2 2 3" xfId="21181" xr:uid="{00000000-0005-0000-0000-00005C110000}"/>
    <cellStyle name="40% - Accent6 2 2 2 4" xfId="21182" xr:uid="{00000000-0005-0000-0000-00005D110000}"/>
    <cellStyle name="40% - Accent6 2 2 2 5" xfId="21179" xr:uid="{00000000-0005-0000-0000-00005E110000}"/>
    <cellStyle name="40% - Accent6 2 2 3" xfId="1702" xr:uid="{00000000-0005-0000-0000-00005F110000}"/>
    <cellStyle name="40% - Accent6 2 2 3 2" xfId="21184" xr:uid="{00000000-0005-0000-0000-000060110000}"/>
    <cellStyle name="40% - Accent6 2 2 3 2 2" xfId="21185" xr:uid="{00000000-0005-0000-0000-000061110000}"/>
    <cellStyle name="40% - Accent6 2 2 3 2 2 2" xfId="39120" xr:uid="{00000000-0005-0000-0000-000062110000}"/>
    <cellStyle name="40% - Accent6 2 2 3 2 3" xfId="39119" xr:uid="{00000000-0005-0000-0000-000063110000}"/>
    <cellStyle name="40% - Accent6 2 2 3 3" xfId="21186" xr:uid="{00000000-0005-0000-0000-000064110000}"/>
    <cellStyle name="40% - Accent6 2 2 3 3 2" xfId="39121" xr:uid="{00000000-0005-0000-0000-000065110000}"/>
    <cellStyle name="40% - Accent6 2 2 3 4" xfId="21187" xr:uid="{00000000-0005-0000-0000-000066110000}"/>
    <cellStyle name="40% - Accent6 2 2 3 5" xfId="39118" xr:uid="{00000000-0005-0000-0000-000067110000}"/>
    <cellStyle name="40% - Accent6 2 2 3 6" xfId="21183" xr:uid="{00000000-0005-0000-0000-000068110000}"/>
    <cellStyle name="40% - Accent6 2 2 4" xfId="21188" xr:uid="{00000000-0005-0000-0000-000069110000}"/>
    <cellStyle name="40% - Accent6 2 2 4 2" xfId="21189" xr:uid="{00000000-0005-0000-0000-00006A110000}"/>
    <cellStyle name="40% - Accent6 2 2 4 2 2" xfId="39123" xr:uid="{00000000-0005-0000-0000-00006B110000}"/>
    <cellStyle name="40% - Accent6 2 2 4 3" xfId="21190" xr:uid="{00000000-0005-0000-0000-00006C110000}"/>
    <cellStyle name="40% - Accent6 2 2 4 4" xfId="39122" xr:uid="{00000000-0005-0000-0000-00006D110000}"/>
    <cellStyle name="40% - Accent6 2 2 5" xfId="21191" xr:uid="{00000000-0005-0000-0000-00006E110000}"/>
    <cellStyle name="40% - Accent6 2 2 5 2" xfId="21192" xr:uid="{00000000-0005-0000-0000-00006F110000}"/>
    <cellStyle name="40% - Accent6 2 2 5 3" xfId="39124" xr:uid="{00000000-0005-0000-0000-000070110000}"/>
    <cellStyle name="40% - Accent6 2 2 6" xfId="21193" xr:uid="{00000000-0005-0000-0000-000071110000}"/>
    <cellStyle name="40% - Accent6 2 2 6 2" xfId="21194" xr:uid="{00000000-0005-0000-0000-000072110000}"/>
    <cellStyle name="40% - Accent6 2 2 7" xfId="21195" xr:uid="{00000000-0005-0000-0000-000073110000}"/>
    <cellStyle name="40% - Accent6 2 2 8" xfId="39117" xr:uid="{00000000-0005-0000-0000-000074110000}"/>
    <cellStyle name="40% - Accent6 2 2 9" xfId="21178" xr:uid="{00000000-0005-0000-0000-000075110000}"/>
    <cellStyle name="40% - Accent6 2 3" xfId="1703" xr:uid="{00000000-0005-0000-0000-000076110000}"/>
    <cellStyle name="40% - Accent6 2 3 2" xfId="1704" xr:uid="{00000000-0005-0000-0000-000077110000}"/>
    <cellStyle name="40% - Accent6 2 3 2 2" xfId="21198" xr:uid="{00000000-0005-0000-0000-000078110000}"/>
    <cellStyle name="40% - Accent6 2 3 2 3" xfId="21199" xr:uid="{00000000-0005-0000-0000-000079110000}"/>
    <cellStyle name="40% - Accent6 2 3 2 4" xfId="21200" xr:uid="{00000000-0005-0000-0000-00007A110000}"/>
    <cellStyle name="40% - Accent6 2 3 2 5" xfId="39125" xr:uid="{00000000-0005-0000-0000-00007B110000}"/>
    <cellStyle name="40% - Accent6 2 3 2 6" xfId="21197" xr:uid="{00000000-0005-0000-0000-00007C110000}"/>
    <cellStyle name="40% - Accent6 2 3 3" xfId="1705" xr:uid="{00000000-0005-0000-0000-00007D110000}"/>
    <cellStyle name="40% - Accent6 2 3 3 2" xfId="21201" xr:uid="{00000000-0005-0000-0000-00007E110000}"/>
    <cellStyle name="40% - Accent6 2 3 4" xfId="21202" xr:uid="{00000000-0005-0000-0000-00007F110000}"/>
    <cellStyle name="40% - Accent6 2 3 5" xfId="21203" xr:uid="{00000000-0005-0000-0000-000080110000}"/>
    <cellStyle name="40% - Accent6 2 3 6" xfId="21196" xr:uid="{00000000-0005-0000-0000-000081110000}"/>
    <cellStyle name="40% - Accent6 2 4" xfId="21204" xr:uid="{00000000-0005-0000-0000-000082110000}"/>
    <cellStyle name="40% - Accent6 2 4 2" xfId="21205" xr:uid="{00000000-0005-0000-0000-000083110000}"/>
    <cellStyle name="40% - Accent6 2 5" xfId="21206" xr:uid="{00000000-0005-0000-0000-000084110000}"/>
    <cellStyle name="40% - Accent6 2 5 2" xfId="21207" xr:uid="{00000000-0005-0000-0000-000085110000}"/>
    <cellStyle name="40% - Accent6 2 5 3" xfId="21208" xr:uid="{00000000-0005-0000-0000-000086110000}"/>
    <cellStyle name="40% - Accent6 2 6" xfId="21209" xr:uid="{00000000-0005-0000-0000-000087110000}"/>
    <cellStyle name="40% - Accent6 2 6 2" xfId="21210" xr:uid="{00000000-0005-0000-0000-000088110000}"/>
    <cellStyle name="40% - Accent6 2 7" xfId="21211" xr:uid="{00000000-0005-0000-0000-000089110000}"/>
    <cellStyle name="40% - Accent6 2 7 2" xfId="21212" xr:uid="{00000000-0005-0000-0000-00008A110000}"/>
    <cellStyle name="40% - Accent6 2 8" xfId="21213" xr:uid="{00000000-0005-0000-0000-00008B110000}"/>
    <cellStyle name="40% - Accent6 20" xfId="1706" xr:uid="{00000000-0005-0000-0000-00008C110000}"/>
    <cellStyle name="40% - Accent6 20 2" xfId="1707" xr:uid="{00000000-0005-0000-0000-00008D110000}"/>
    <cellStyle name="40% - Accent6 20 3" xfId="1708" xr:uid="{00000000-0005-0000-0000-00008E110000}"/>
    <cellStyle name="40% - Accent6 21" xfId="1709" xr:uid="{00000000-0005-0000-0000-00008F110000}"/>
    <cellStyle name="40% - Accent6 21 2" xfId="1710" xr:uid="{00000000-0005-0000-0000-000090110000}"/>
    <cellStyle name="40% - Accent6 21 3" xfId="1711" xr:uid="{00000000-0005-0000-0000-000091110000}"/>
    <cellStyle name="40% - Accent6 22" xfId="1712" xr:uid="{00000000-0005-0000-0000-000092110000}"/>
    <cellStyle name="40% - Accent6 22 2" xfId="1713" xr:uid="{00000000-0005-0000-0000-000093110000}"/>
    <cellStyle name="40% - Accent6 22 3" xfId="1714" xr:uid="{00000000-0005-0000-0000-000094110000}"/>
    <cellStyle name="40% - Accent6 3" xfId="1715" xr:uid="{00000000-0005-0000-0000-000095110000}"/>
    <cellStyle name="40% - Accent6 3 10" xfId="21214" xr:uid="{00000000-0005-0000-0000-000096110000}"/>
    <cellStyle name="40% - Accent6 3 2" xfId="1716" xr:uid="{00000000-0005-0000-0000-000097110000}"/>
    <cellStyle name="40% - Accent6 3 2 2" xfId="1717" xr:uid="{00000000-0005-0000-0000-000098110000}"/>
    <cellStyle name="40% - Accent6 3 2 2 2" xfId="21217" xr:uid="{00000000-0005-0000-0000-000099110000}"/>
    <cellStyle name="40% - Accent6 3 2 2 2 2" xfId="21218" xr:uid="{00000000-0005-0000-0000-00009A110000}"/>
    <cellStyle name="40% - Accent6 3 2 2 2 2 2" xfId="39129" xr:uid="{00000000-0005-0000-0000-00009B110000}"/>
    <cellStyle name="40% - Accent6 3 2 2 2 3" xfId="21219" xr:uid="{00000000-0005-0000-0000-00009C110000}"/>
    <cellStyle name="40% - Accent6 3 2 2 2 4" xfId="39128" xr:uid="{00000000-0005-0000-0000-00009D110000}"/>
    <cellStyle name="40% - Accent6 3 2 2 3" xfId="21220" xr:uid="{00000000-0005-0000-0000-00009E110000}"/>
    <cellStyle name="40% - Accent6 3 2 2 3 2" xfId="21221" xr:uid="{00000000-0005-0000-0000-00009F110000}"/>
    <cellStyle name="40% - Accent6 3 2 2 3 3" xfId="39130" xr:uid="{00000000-0005-0000-0000-0000A0110000}"/>
    <cellStyle name="40% - Accent6 3 2 2 4" xfId="21222" xr:uid="{00000000-0005-0000-0000-0000A1110000}"/>
    <cellStyle name="40% - Accent6 3 2 2 5" xfId="39127" xr:uid="{00000000-0005-0000-0000-0000A2110000}"/>
    <cellStyle name="40% - Accent6 3 2 2 6" xfId="21216" xr:uid="{00000000-0005-0000-0000-0000A3110000}"/>
    <cellStyle name="40% - Accent6 3 2 3" xfId="1718" xr:uid="{00000000-0005-0000-0000-0000A4110000}"/>
    <cellStyle name="40% - Accent6 3 2 3 2" xfId="21224" xr:uid="{00000000-0005-0000-0000-0000A5110000}"/>
    <cellStyle name="40% - Accent6 3 2 3 2 2" xfId="39132" xr:uid="{00000000-0005-0000-0000-0000A6110000}"/>
    <cellStyle name="40% - Accent6 3 2 3 3" xfId="21225" xr:uid="{00000000-0005-0000-0000-0000A7110000}"/>
    <cellStyle name="40% - Accent6 3 2 3 4" xfId="39131" xr:uid="{00000000-0005-0000-0000-0000A8110000}"/>
    <cellStyle name="40% - Accent6 3 2 3 5" xfId="21223" xr:uid="{00000000-0005-0000-0000-0000A9110000}"/>
    <cellStyle name="40% - Accent6 3 2 4" xfId="21226" xr:uid="{00000000-0005-0000-0000-0000AA110000}"/>
    <cellStyle name="40% - Accent6 3 2 4 2" xfId="21227" xr:uid="{00000000-0005-0000-0000-0000AB110000}"/>
    <cellStyle name="40% - Accent6 3 2 4 3" xfId="39133" xr:uid="{00000000-0005-0000-0000-0000AC110000}"/>
    <cellStyle name="40% - Accent6 3 2 5" xfId="21228" xr:uid="{00000000-0005-0000-0000-0000AD110000}"/>
    <cellStyle name="40% - Accent6 3 2 5 2" xfId="21229" xr:uid="{00000000-0005-0000-0000-0000AE110000}"/>
    <cellStyle name="40% - Accent6 3 2 6" xfId="21230" xr:uid="{00000000-0005-0000-0000-0000AF110000}"/>
    <cellStyle name="40% - Accent6 3 2 6 2" xfId="21231" xr:uid="{00000000-0005-0000-0000-0000B0110000}"/>
    <cellStyle name="40% - Accent6 3 2 7" xfId="21232" xr:uid="{00000000-0005-0000-0000-0000B1110000}"/>
    <cellStyle name="40% - Accent6 3 2 8" xfId="39126" xr:uid="{00000000-0005-0000-0000-0000B2110000}"/>
    <cellStyle name="40% - Accent6 3 2 9" xfId="21215" xr:uid="{00000000-0005-0000-0000-0000B3110000}"/>
    <cellStyle name="40% - Accent6 3 3" xfId="1719" xr:uid="{00000000-0005-0000-0000-0000B4110000}"/>
    <cellStyle name="40% - Accent6 3 3 2" xfId="1720" xr:uid="{00000000-0005-0000-0000-0000B5110000}"/>
    <cellStyle name="40% - Accent6 3 3 2 2" xfId="21235" xr:uid="{00000000-0005-0000-0000-0000B6110000}"/>
    <cellStyle name="40% - Accent6 3 3 2 2 2" xfId="39136" xr:uid="{00000000-0005-0000-0000-0000B7110000}"/>
    <cellStyle name="40% - Accent6 3 3 2 3" xfId="39135" xr:uid="{00000000-0005-0000-0000-0000B8110000}"/>
    <cellStyle name="40% - Accent6 3 3 2 4" xfId="21234" xr:uid="{00000000-0005-0000-0000-0000B9110000}"/>
    <cellStyle name="40% - Accent6 3 3 3" xfId="1721" xr:uid="{00000000-0005-0000-0000-0000BA110000}"/>
    <cellStyle name="40% - Accent6 3 3 3 2" xfId="39137" xr:uid="{00000000-0005-0000-0000-0000BB110000}"/>
    <cellStyle name="40% - Accent6 3 3 3 3" xfId="21236" xr:uid="{00000000-0005-0000-0000-0000BC110000}"/>
    <cellStyle name="40% - Accent6 3 3 4" xfId="21237" xr:uid="{00000000-0005-0000-0000-0000BD110000}"/>
    <cellStyle name="40% - Accent6 3 3 5" xfId="39134" xr:uid="{00000000-0005-0000-0000-0000BE110000}"/>
    <cellStyle name="40% - Accent6 3 3 6" xfId="21233" xr:uid="{00000000-0005-0000-0000-0000BF110000}"/>
    <cellStyle name="40% - Accent6 3 4" xfId="21238" xr:uid="{00000000-0005-0000-0000-0000C0110000}"/>
    <cellStyle name="40% - Accent6 3 4 2" xfId="21239" xr:uid="{00000000-0005-0000-0000-0000C1110000}"/>
    <cellStyle name="40% - Accent6 3 4 2 2" xfId="39139" xr:uid="{00000000-0005-0000-0000-0000C2110000}"/>
    <cellStyle name="40% - Accent6 3 4 3" xfId="21240" xr:uid="{00000000-0005-0000-0000-0000C3110000}"/>
    <cellStyle name="40% - Accent6 3 4 4" xfId="39138" xr:uid="{00000000-0005-0000-0000-0000C4110000}"/>
    <cellStyle name="40% - Accent6 3 5" xfId="21241" xr:uid="{00000000-0005-0000-0000-0000C5110000}"/>
    <cellStyle name="40% - Accent6 3 5 2" xfId="21242" xr:uid="{00000000-0005-0000-0000-0000C6110000}"/>
    <cellStyle name="40% - Accent6 3 5 3" xfId="39140" xr:uid="{00000000-0005-0000-0000-0000C7110000}"/>
    <cellStyle name="40% - Accent6 3 6" xfId="21243" xr:uid="{00000000-0005-0000-0000-0000C8110000}"/>
    <cellStyle name="40% - Accent6 3 6 2" xfId="21244" xr:uid="{00000000-0005-0000-0000-0000C9110000}"/>
    <cellStyle name="40% - Accent6 3 6 3" xfId="21245" xr:uid="{00000000-0005-0000-0000-0000CA110000}"/>
    <cellStyle name="40% - Accent6 3 7" xfId="21246" xr:uid="{00000000-0005-0000-0000-0000CB110000}"/>
    <cellStyle name="40% - Accent6 3 7 2" xfId="21247" xr:uid="{00000000-0005-0000-0000-0000CC110000}"/>
    <cellStyle name="40% - Accent6 3 8" xfId="21248" xr:uid="{00000000-0005-0000-0000-0000CD110000}"/>
    <cellStyle name="40% - Accent6 3 9" xfId="21249" xr:uid="{00000000-0005-0000-0000-0000CE110000}"/>
    <cellStyle name="40% - Accent6 4" xfId="1722" xr:uid="{00000000-0005-0000-0000-0000CF110000}"/>
    <cellStyle name="40% - Accent6 4 2" xfId="1723" xr:uid="{00000000-0005-0000-0000-0000D0110000}"/>
    <cellStyle name="40% - Accent6 4 2 2" xfId="1724" xr:uid="{00000000-0005-0000-0000-0000D1110000}"/>
    <cellStyle name="40% - Accent6 4 2 2 2" xfId="21252" xr:uid="{00000000-0005-0000-0000-0000D2110000}"/>
    <cellStyle name="40% - Accent6 4 2 2 2 2" xfId="21253" xr:uid="{00000000-0005-0000-0000-0000D3110000}"/>
    <cellStyle name="40% - Accent6 4 2 2 2 2 2" xfId="39144" xr:uid="{00000000-0005-0000-0000-0000D4110000}"/>
    <cellStyle name="40% - Accent6 4 2 2 2 3" xfId="21254" xr:uid="{00000000-0005-0000-0000-0000D5110000}"/>
    <cellStyle name="40% - Accent6 4 2 2 2 4" xfId="39143" xr:uid="{00000000-0005-0000-0000-0000D6110000}"/>
    <cellStyle name="40% - Accent6 4 2 2 3" xfId="21255" xr:uid="{00000000-0005-0000-0000-0000D7110000}"/>
    <cellStyle name="40% - Accent6 4 2 2 3 2" xfId="21256" xr:uid="{00000000-0005-0000-0000-0000D8110000}"/>
    <cellStyle name="40% - Accent6 4 2 2 3 3" xfId="39145" xr:uid="{00000000-0005-0000-0000-0000D9110000}"/>
    <cellStyle name="40% - Accent6 4 2 2 4" xfId="21257" xr:uid="{00000000-0005-0000-0000-0000DA110000}"/>
    <cellStyle name="40% - Accent6 4 2 2 5" xfId="39142" xr:uid="{00000000-0005-0000-0000-0000DB110000}"/>
    <cellStyle name="40% - Accent6 4 2 2 6" xfId="21251" xr:uid="{00000000-0005-0000-0000-0000DC110000}"/>
    <cellStyle name="40% - Accent6 4 2 3" xfId="1725" xr:uid="{00000000-0005-0000-0000-0000DD110000}"/>
    <cellStyle name="40% - Accent6 4 2 3 2" xfId="21259" xr:uid="{00000000-0005-0000-0000-0000DE110000}"/>
    <cellStyle name="40% - Accent6 4 2 3 2 2" xfId="39147" xr:uid="{00000000-0005-0000-0000-0000DF110000}"/>
    <cellStyle name="40% - Accent6 4 2 3 3" xfId="21260" xr:uid="{00000000-0005-0000-0000-0000E0110000}"/>
    <cellStyle name="40% - Accent6 4 2 3 4" xfId="39146" xr:uid="{00000000-0005-0000-0000-0000E1110000}"/>
    <cellStyle name="40% - Accent6 4 2 3 5" xfId="21258" xr:uid="{00000000-0005-0000-0000-0000E2110000}"/>
    <cellStyle name="40% - Accent6 4 2 4" xfId="21261" xr:uid="{00000000-0005-0000-0000-0000E3110000}"/>
    <cellStyle name="40% - Accent6 4 2 4 2" xfId="21262" xr:uid="{00000000-0005-0000-0000-0000E4110000}"/>
    <cellStyle name="40% - Accent6 4 2 4 3" xfId="39148" xr:uid="{00000000-0005-0000-0000-0000E5110000}"/>
    <cellStyle name="40% - Accent6 4 2 5" xfId="21263" xr:uid="{00000000-0005-0000-0000-0000E6110000}"/>
    <cellStyle name="40% - Accent6 4 2 5 2" xfId="21264" xr:uid="{00000000-0005-0000-0000-0000E7110000}"/>
    <cellStyle name="40% - Accent6 4 2 6" xfId="21265" xr:uid="{00000000-0005-0000-0000-0000E8110000}"/>
    <cellStyle name="40% - Accent6 4 2 6 2" xfId="21266" xr:uid="{00000000-0005-0000-0000-0000E9110000}"/>
    <cellStyle name="40% - Accent6 4 2 7" xfId="21267" xr:uid="{00000000-0005-0000-0000-0000EA110000}"/>
    <cellStyle name="40% - Accent6 4 2 8" xfId="39141" xr:uid="{00000000-0005-0000-0000-0000EB110000}"/>
    <cellStyle name="40% - Accent6 4 2 9" xfId="21250" xr:uid="{00000000-0005-0000-0000-0000EC110000}"/>
    <cellStyle name="40% - Accent6 4 3" xfId="1726" xr:uid="{00000000-0005-0000-0000-0000ED110000}"/>
    <cellStyle name="40% - Accent6 4 3 2" xfId="1727" xr:uid="{00000000-0005-0000-0000-0000EE110000}"/>
    <cellStyle name="40% - Accent6 4 3 2 2" xfId="39150" xr:uid="{00000000-0005-0000-0000-0000EF110000}"/>
    <cellStyle name="40% - Accent6 4 3 2 3" xfId="21269" xr:uid="{00000000-0005-0000-0000-0000F0110000}"/>
    <cellStyle name="40% - Accent6 4 3 3" xfId="1728" xr:uid="{00000000-0005-0000-0000-0000F1110000}"/>
    <cellStyle name="40% - Accent6 4 3 3 2" xfId="39151" xr:uid="{00000000-0005-0000-0000-0000F2110000}"/>
    <cellStyle name="40% - Accent6 4 3 3 3" xfId="21270" xr:uid="{00000000-0005-0000-0000-0000F3110000}"/>
    <cellStyle name="40% - Accent6 4 3 4" xfId="21271" xr:uid="{00000000-0005-0000-0000-0000F4110000}"/>
    <cellStyle name="40% - Accent6 4 3 5" xfId="39149" xr:uid="{00000000-0005-0000-0000-0000F5110000}"/>
    <cellStyle name="40% - Accent6 4 3 6" xfId="21268" xr:uid="{00000000-0005-0000-0000-0000F6110000}"/>
    <cellStyle name="40% - Accent6 4 4" xfId="1729" xr:uid="{00000000-0005-0000-0000-0000F7110000}"/>
    <cellStyle name="40% - Accent6 4 4 2" xfId="1730" xr:uid="{00000000-0005-0000-0000-0000F8110000}"/>
    <cellStyle name="40% - Accent6 4 4 2 2" xfId="1731" xr:uid="{00000000-0005-0000-0000-0000F9110000}"/>
    <cellStyle name="40% - Accent6 4 4 2 2 2" xfId="18999" xr:uid="{00000000-0005-0000-0000-0000FA110000}"/>
    <cellStyle name="40% - Accent6 4 4 2 2 3" xfId="39153" xr:uid="{00000000-0005-0000-0000-0000FB110000}"/>
    <cellStyle name="40% - Accent6 4 4 2 3" xfId="18481" xr:uid="{00000000-0005-0000-0000-0000FC110000}"/>
    <cellStyle name="40% - Accent6 4 4 2 4" xfId="21273" xr:uid="{00000000-0005-0000-0000-0000FD110000}"/>
    <cellStyle name="40% - Accent6 4 4 3" xfId="1732" xr:uid="{00000000-0005-0000-0000-0000FE110000}"/>
    <cellStyle name="40% - Accent6 4 4 3 2" xfId="18717" xr:uid="{00000000-0005-0000-0000-0000FF110000}"/>
    <cellStyle name="40% - Accent6 4 4 3 3" xfId="21274" xr:uid="{00000000-0005-0000-0000-000000120000}"/>
    <cellStyle name="40% - Accent6 4 4 4" xfId="18190" xr:uid="{00000000-0005-0000-0000-000001120000}"/>
    <cellStyle name="40% - Accent6 4 4 4 2" xfId="39152" xr:uid="{00000000-0005-0000-0000-000002120000}"/>
    <cellStyle name="40% - Accent6 4 4 5" xfId="21272" xr:uid="{00000000-0005-0000-0000-000003120000}"/>
    <cellStyle name="40% - Accent6 4 5" xfId="1733" xr:uid="{00000000-0005-0000-0000-000004120000}"/>
    <cellStyle name="40% - Accent6 4 5 2" xfId="1734" xr:uid="{00000000-0005-0000-0000-000005120000}"/>
    <cellStyle name="40% - Accent6 4 5 2 2" xfId="18879" xr:uid="{00000000-0005-0000-0000-000006120000}"/>
    <cellStyle name="40% - Accent6 4 5 2 3" xfId="39154" xr:uid="{00000000-0005-0000-0000-000007120000}"/>
    <cellStyle name="40% - Accent6 4 5 3" xfId="18358" xr:uid="{00000000-0005-0000-0000-000008120000}"/>
    <cellStyle name="40% - Accent6 4 5 4" xfId="21275" xr:uid="{00000000-0005-0000-0000-000009120000}"/>
    <cellStyle name="40% - Accent6 4 6" xfId="1735" xr:uid="{00000000-0005-0000-0000-00000A120000}"/>
    <cellStyle name="40% - Accent6 4 6 2" xfId="18600" xr:uid="{00000000-0005-0000-0000-00000B120000}"/>
    <cellStyle name="40% - Accent6 4 6 2 2" xfId="21277" xr:uid="{00000000-0005-0000-0000-00000C120000}"/>
    <cellStyle name="40% - Accent6 4 6 3" xfId="21276" xr:uid="{00000000-0005-0000-0000-00000D120000}"/>
    <cellStyle name="40% - Accent6 4 7" xfId="18042" xr:uid="{00000000-0005-0000-0000-00000E120000}"/>
    <cellStyle name="40% - Accent6 4 7 2" xfId="21279" xr:uid="{00000000-0005-0000-0000-00000F120000}"/>
    <cellStyle name="40% - Accent6 4 7 3" xfId="21278" xr:uid="{00000000-0005-0000-0000-000010120000}"/>
    <cellStyle name="40% - Accent6 4 8" xfId="21280" xr:uid="{00000000-0005-0000-0000-000011120000}"/>
    <cellStyle name="40% - Accent6 4 9" xfId="21281" xr:uid="{00000000-0005-0000-0000-000012120000}"/>
    <cellStyle name="40% - Accent6 5" xfId="1736" xr:uid="{00000000-0005-0000-0000-000013120000}"/>
    <cellStyle name="40% - Accent6 5 2" xfId="1737" xr:uid="{00000000-0005-0000-0000-000014120000}"/>
    <cellStyle name="40% - Accent6 5 2 2" xfId="1738" xr:uid="{00000000-0005-0000-0000-000015120000}"/>
    <cellStyle name="40% - Accent6 5 2 2 2" xfId="21285" xr:uid="{00000000-0005-0000-0000-000016120000}"/>
    <cellStyle name="40% - Accent6 5 2 2 2 2" xfId="21286" xr:uid="{00000000-0005-0000-0000-000017120000}"/>
    <cellStyle name="40% - Accent6 5 2 2 2 2 2" xfId="39158" xr:uid="{00000000-0005-0000-0000-000018120000}"/>
    <cellStyle name="40% - Accent6 5 2 2 2 3" xfId="39157" xr:uid="{00000000-0005-0000-0000-000019120000}"/>
    <cellStyle name="40% - Accent6 5 2 2 3" xfId="21287" xr:uid="{00000000-0005-0000-0000-00001A120000}"/>
    <cellStyle name="40% - Accent6 5 2 2 3 2" xfId="39159" xr:uid="{00000000-0005-0000-0000-00001B120000}"/>
    <cellStyle name="40% - Accent6 5 2 2 4" xfId="39156" xr:uid="{00000000-0005-0000-0000-00001C120000}"/>
    <cellStyle name="40% - Accent6 5 2 2 5" xfId="21284" xr:uid="{00000000-0005-0000-0000-00001D120000}"/>
    <cellStyle name="40% - Accent6 5 2 3" xfId="1739" xr:uid="{00000000-0005-0000-0000-00001E120000}"/>
    <cellStyle name="40% - Accent6 5 2 3 2" xfId="21289" xr:uid="{00000000-0005-0000-0000-00001F120000}"/>
    <cellStyle name="40% - Accent6 5 2 3 2 2" xfId="39161" xr:uid="{00000000-0005-0000-0000-000020120000}"/>
    <cellStyle name="40% - Accent6 5 2 3 3" xfId="39160" xr:uid="{00000000-0005-0000-0000-000021120000}"/>
    <cellStyle name="40% - Accent6 5 2 3 4" xfId="21288" xr:uid="{00000000-0005-0000-0000-000022120000}"/>
    <cellStyle name="40% - Accent6 5 2 4" xfId="21290" xr:uid="{00000000-0005-0000-0000-000023120000}"/>
    <cellStyle name="40% - Accent6 5 2 4 2" xfId="39162" xr:uid="{00000000-0005-0000-0000-000024120000}"/>
    <cellStyle name="40% - Accent6 5 2 5" xfId="21291" xr:uid="{00000000-0005-0000-0000-000025120000}"/>
    <cellStyle name="40% - Accent6 5 2 6" xfId="39155" xr:uid="{00000000-0005-0000-0000-000026120000}"/>
    <cellStyle name="40% - Accent6 5 2 7" xfId="21283" xr:uid="{00000000-0005-0000-0000-000027120000}"/>
    <cellStyle name="40% - Accent6 5 3" xfId="1740" xr:uid="{00000000-0005-0000-0000-000028120000}"/>
    <cellStyle name="40% - Accent6 5 3 2" xfId="1741" xr:uid="{00000000-0005-0000-0000-000029120000}"/>
    <cellStyle name="40% - Accent6 5 3 2 2" xfId="21293" xr:uid="{00000000-0005-0000-0000-00002A120000}"/>
    <cellStyle name="40% - Accent6 5 3 3" xfId="1742" xr:uid="{00000000-0005-0000-0000-00002B120000}"/>
    <cellStyle name="40% - Accent6 5 3 3 2" xfId="39163" xr:uid="{00000000-0005-0000-0000-00002C120000}"/>
    <cellStyle name="40% - Accent6 5 3 4" xfId="21292" xr:uid="{00000000-0005-0000-0000-00002D120000}"/>
    <cellStyle name="40% - Accent6 5 4" xfId="21294" xr:uid="{00000000-0005-0000-0000-00002E120000}"/>
    <cellStyle name="40% - Accent6 5 5" xfId="21295" xr:uid="{00000000-0005-0000-0000-00002F120000}"/>
    <cellStyle name="40% - Accent6 5 6" xfId="21282" xr:uid="{00000000-0005-0000-0000-000030120000}"/>
    <cellStyle name="40% - Accent6 6" xfId="1743" xr:uid="{00000000-0005-0000-0000-000031120000}"/>
    <cellStyle name="40% - Accent6 6 2" xfId="1744" xr:uid="{00000000-0005-0000-0000-000032120000}"/>
    <cellStyle name="40% - Accent6 6 2 2" xfId="1745" xr:uid="{00000000-0005-0000-0000-000033120000}"/>
    <cellStyle name="40% - Accent6 6 2 2 2" xfId="39165" xr:uid="{00000000-0005-0000-0000-000034120000}"/>
    <cellStyle name="40% - Accent6 6 2 2 3" xfId="21298" xr:uid="{00000000-0005-0000-0000-000035120000}"/>
    <cellStyle name="40% - Accent6 6 2 3" xfId="1746" xr:uid="{00000000-0005-0000-0000-000036120000}"/>
    <cellStyle name="40% - Accent6 6 2 3 2" xfId="21299" xr:uid="{00000000-0005-0000-0000-000037120000}"/>
    <cellStyle name="40% - Accent6 6 2 4" xfId="21300" xr:uid="{00000000-0005-0000-0000-000038120000}"/>
    <cellStyle name="40% - Accent6 6 2 5" xfId="21297" xr:uid="{00000000-0005-0000-0000-000039120000}"/>
    <cellStyle name="40% - Accent6 6 3" xfId="1747" xr:uid="{00000000-0005-0000-0000-00003A120000}"/>
    <cellStyle name="40% - Accent6 6 3 2" xfId="1748" xr:uid="{00000000-0005-0000-0000-00003B120000}"/>
    <cellStyle name="40% - Accent6 6 3 2 2" xfId="21303" xr:uid="{00000000-0005-0000-0000-00003C120000}"/>
    <cellStyle name="40% - Accent6 6 3 2 2 2" xfId="39168" xr:uid="{00000000-0005-0000-0000-00003D120000}"/>
    <cellStyle name="40% - Accent6 6 3 2 3" xfId="39167" xr:uid="{00000000-0005-0000-0000-00003E120000}"/>
    <cellStyle name="40% - Accent6 6 3 2 4" xfId="21302" xr:uid="{00000000-0005-0000-0000-00003F120000}"/>
    <cellStyle name="40% - Accent6 6 3 3" xfId="1749" xr:uid="{00000000-0005-0000-0000-000040120000}"/>
    <cellStyle name="40% - Accent6 6 3 3 2" xfId="39169" xr:uid="{00000000-0005-0000-0000-000041120000}"/>
    <cellStyle name="40% - Accent6 6 3 3 3" xfId="21304" xr:uid="{00000000-0005-0000-0000-000042120000}"/>
    <cellStyle name="40% - Accent6 6 3 4" xfId="21305" xr:uid="{00000000-0005-0000-0000-000043120000}"/>
    <cellStyle name="40% - Accent6 6 3 5" xfId="39166" xr:uid="{00000000-0005-0000-0000-000044120000}"/>
    <cellStyle name="40% - Accent6 6 3 6" xfId="21301" xr:uid="{00000000-0005-0000-0000-000045120000}"/>
    <cellStyle name="40% - Accent6 6 4" xfId="1750" xr:uid="{00000000-0005-0000-0000-000046120000}"/>
    <cellStyle name="40% - Accent6 6 4 2" xfId="18755" xr:uid="{00000000-0005-0000-0000-000047120000}"/>
    <cellStyle name="40% - Accent6 6 4 2 2" xfId="39171" xr:uid="{00000000-0005-0000-0000-000048120000}"/>
    <cellStyle name="40% - Accent6 6 4 2 3" xfId="21307" xr:uid="{00000000-0005-0000-0000-000049120000}"/>
    <cellStyle name="40% - Accent6 6 4 3" xfId="39170" xr:uid="{00000000-0005-0000-0000-00004A120000}"/>
    <cellStyle name="40% - Accent6 6 4 4" xfId="21306" xr:uid="{00000000-0005-0000-0000-00004B120000}"/>
    <cellStyle name="40% - Accent6 6 5" xfId="18226" xr:uid="{00000000-0005-0000-0000-00004C120000}"/>
    <cellStyle name="40% - Accent6 6 5 2" xfId="39172" xr:uid="{00000000-0005-0000-0000-00004D120000}"/>
    <cellStyle name="40% - Accent6 6 5 3" xfId="21308" xr:uid="{00000000-0005-0000-0000-00004E120000}"/>
    <cellStyle name="40% - Accent6 6 6" xfId="21309" xr:uid="{00000000-0005-0000-0000-00004F120000}"/>
    <cellStyle name="40% - Accent6 6 7" xfId="39164" xr:uid="{00000000-0005-0000-0000-000050120000}"/>
    <cellStyle name="40% - Accent6 6 8" xfId="21296" xr:uid="{00000000-0005-0000-0000-000051120000}"/>
    <cellStyle name="40% - Accent6 7" xfId="1751" xr:uid="{00000000-0005-0000-0000-000052120000}"/>
    <cellStyle name="40% - Accent6 7 2" xfId="1752" xr:uid="{00000000-0005-0000-0000-000053120000}"/>
    <cellStyle name="40% - Accent6 7 2 2" xfId="1753" xr:uid="{00000000-0005-0000-0000-000054120000}"/>
    <cellStyle name="40% - Accent6 7 2 2 2" xfId="21313" xr:uid="{00000000-0005-0000-0000-000055120000}"/>
    <cellStyle name="40% - Accent6 7 2 2 2 2" xfId="39176" xr:uid="{00000000-0005-0000-0000-000056120000}"/>
    <cellStyle name="40% - Accent6 7 2 2 3" xfId="39175" xr:uid="{00000000-0005-0000-0000-000057120000}"/>
    <cellStyle name="40% - Accent6 7 2 2 4" xfId="21312" xr:uid="{00000000-0005-0000-0000-000058120000}"/>
    <cellStyle name="40% - Accent6 7 2 3" xfId="1754" xr:uid="{00000000-0005-0000-0000-000059120000}"/>
    <cellStyle name="40% - Accent6 7 2 3 2" xfId="39177" xr:uid="{00000000-0005-0000-0000-00005A120000}"/>
    <cellStyle name="40% - Accent6 7 2 3 3" xfId="21314" xr:uid="{00000000-0005-0000-0000-00005B120000}"/>
    <cellStyle name="40% - Accent6 7 2 4" xfId="39174" xr:uid="{00000000-0005-0000-0000-00005C120000}"/>
    <cellStyle name="40% - Accent6 7 2 5" xfId="21311" xr:uid="{00000000-0005-0000-0000-00005D120000}"/>
    <cellStyle name="40% - Accent6 7 3" xfId="1755" xr:uid="{00000000-0005-0000-0000-00005E120000}"/>
    <cellStyle name="40% - Accent6 7 3 2" xfId="1756" xr:uid="{00000000-0005-0000-0000-00005F120000}"/>
    <cellStyle name="40% - Accent6 7 3 2 2" xfId="39179" xr:uid="{00000000-0005-0000-0000-000060120000}"/>
    <cellStyle name="40% - Accent6 7 3 2 3" xfId="21316" xr:uid="{00000000-0005-0000-0000-000061120000}"/>
    <cellStyle name="40% - Accent6 7 3 3" xfId="1757" xr:uid="{00000000-0005-0000-0000-000062120000}"/>
    <cellStyle name="40% - Accent6 7 3 3 2" xfId="39178" xr:uid="{00000000-0005-0000-0000-000063120000}"/>
    <cellStyle name="40% - Accent6 7 3 4" xfId="21315" xr:uid="{00000000-0005-0000-0000-000064120000}"/>
    <cellStyle name="40% - Accent6 7 4" xfId="21317" xr:uid="{00000000-0005-0000-0000-000065120000}"/>
    <cellStyle name="40% - Accent6 7 4 2" xfId="39180" xr:uid="{00000000-0005-0000-0000-000066120000}"/>
    <cellStyle name="40% - Accent6 7 5" xfId="21318" xr:uid="{00000000-0005-0000-0000-000067120000}"/>
    <cellStyle name="40% - Accent6 7 6" xfId="39173" xr:uid="{00000000-0005-0000-0000-000068120000}"/>
    <cellStyle name="40% - Accent6 7 7" xfId="21310" xr:uid="{00000000-0005-0000-0000-000069120000}"/>
    <cellStyle name="40% - Accent6 8" xfId="21319" xr:uid="{00000000-0005-0000-0000-00006A120000}"/>
    <cellStyle name="40% - Accent6 8 2" xfId="1758" xr:uid="{00000000-0005-0000-0000-00006B120000}"/>
    <cellStyle name="40% - Accent6 8 2 2" xfId="1759" xr:uid="{00000000-0005-0000-0000-00006C120000}"/>
    <cellStyle name="40% - Accent6 8 2 3" xfId="1760" xr:uid="{00000000-0005-0000-0000-00006D120000}"/>
    <cellStyle name="40% - Accent6 8 2 4" xfId="21320" xr:uid="{00000000-0005-0000-0000-00006E120000}"/>
    <cellStyle name="40% - Accent6 8 3" xfId="1761" xr:uid="{00000000-0005-0000-0000-00006F120000}"/>
    <cellStyle name="40% - Accent6 8 3 2" xfId="1762" xr:uid="{00000000-0005-0000-0000-000070120000}"/>
    <cellStyle name="40% - Accent6 8 3 2 2" xfId="39181" xr:uid="{00000000-0005-0000-0000-000071120000}"/>
    <cellStyle name="40% - Accent6 8 3 3" xfId="1763" xr:uid="{00000000-0005-0000-0000-000072120000}"/>
    <cellStyle name="40% - Accent6 8 3 4" xfId="21321" xr:uid="{00000000-0005-0000-0000-000073120000}"/>
    <cellStyle name="40% - Accent6 8 4" xfId="21322" xr:uid="{00000000-0005-0000-0000-000074120000}"/>
    <cellStyle name="40% - Accent6 9" xfId="21323" xr:uid="{00000000-0005-0000-0000-000075120000}"/>
    <cellStyle name="40% - Accent6 9 2" xfId="1764" xr:uid="{00000000-0005-0000-0000-000076120000}"/>
    <cellStyle name="40% - Accent6 9 2 2" xfId="1765" xr:uid="{00000000-0005-0000-0000-000077120000}"/>
    <cellStyle name="40% - Accent6 9 2 2 2" xfId="39182" xr:uid="{00000000-0005-0000-0000-000078120000}"/>
    <cellStyle name="40% - Accent6 9 2 3" xfId="1766" xr:uid="{00000000-0005-0000-0000-000079120000}"/>
    <cellStyle name="40% - Accent6 9 2 4" xfId="21324" xr:uid="{00000000-0005-0000-0000-00007A120000}"/>
    <cellStyle name="40% - Accent6 9 3" xfId="1767" xr:uid="{00000000-0005-0000-0000-00007B120000}"/>
    <cellStyle name="40% - Accent6 9 3 2" xfId="1768" xr:uid="{00000000-0005-0000-0000-00007C120000}"/>
    <cellStyle name="40% - Accent6 9 3 3" xfId="1769" xr:uid="{00000000-0005-0000-0000-00007D120000}"/>
    <cellStyle name="40% - Accent6 9 3 4" xfId="21325" xr:uid="{00000000-0005-0000-0000-00007E120000}"/>
    <cellStyle name="⁴㉛湝琀" xfId="21326" xr:uid="{00000000-0005-0000-0000-00007F120000}"/>
    <cellStyle name="⁴〮渰琀" xfId="21327" xr:uid="{00000000-0005-0000-0000-000080120000}"/>
    <cellStyle name="60% - Accent1" xfId="44342" builtinId="32" customBuiltin="1"/>
    <cellStyle name="60% - Accent1 10" xfId="21328" xr:uid="{00000000-0005-0000-0000-000082120000}"/>
    <cellStyle name="60% - Accent1 10 2" xfId="1770" xr:uid="{00000000-0005-0000-0000-000083120000}"/>
    <cellStyle name="60% - Accent1 10 3" xfId="1771" xr:uid="{00000000-0005-0000-0000-000084120000}"/>
    <cellStyle name="60% - Accent1 11" xfId="21329" xr:uid="{00000000-0005-0000-0000-000085120000}"/>
    <cellStyle name="60% - Accent1 11 2" xfId="1772" xr:uid="{00000000-0005-0000-0000-000086120000}"/>
    <cellStyle name="60% - Accent1 11 3" xfId="1773" xr:uid="{00000000-0005-0000-0000-000087120000}"/>
    <cellStyle name="60% - Accent1 12 2" xfId="1774" xr:uid="{00000000-0005-0000-0000-000088120000}"/>
    <cellStyle name="60% - Accent1 12 3" xfId="1775" xr:uid="{00000000-0005-0000-0000-000089120000}"/>
    <cellStyle name="60% - Accent1 13 2" xfId="1776" xr:uid="{00000000-0005-0000-0000-00008A120000}"/>
    <cellStyle name="60% - Accent1 13 3" xfId="1777" xr:uid="{00000000-0005-0000-0000-00008B120000}"/>
    <cellStyle name="60% - Accent1 14 2" xfId="1778" xr:uid="{00000000-0005-0000-0000-00008C120000}"/>
    <cellStyle name="60% - Accent1 14 3" xfId="1779" xr:uid="{00000000-0005-0000-0000-00008D120000}"/>
    <cellStyle name="60% - Accent1 15" xfId="1780" xr:uid="{00000000-0005-0000-0000-00008E120000}"/>
    <cellStyle name="60% - Accent1 15 2" xfId="1781" xr:uid="{00000000-0005-0000-0000-00008F120000}"/>
    <cellStyle name="60% - Accent1 15 3" xfId="1782" xr:uid="{00000000-0005-0000-0000-000090120000}"/>
    <cellStyle name="60% - Accent1 15 4" xfId="1783" xr:uid="{00000000-0005-0000-0000-000091120000}"/>
    <cellStyle name="60% - Accent1 15 5" xfId="1784" xr:uid="{00000000-0005-0000-0000-000092120000}"/>
    <cellStyle name="60% - Accent1 15 6" xfId="1785" xr:uid="{00000000-0005-0000-0000-000093120000}"/>
    <cellStyle name="60% - Accent1 15 7" xfId="1786" xr:uid="{00000000-0005-0000-0000-000094120000}"/>
    <cellStyle name="60% - Accent1 16" xfId="1787" xr:uid="{00000000-0005-0000-0000-000095120000}"/>
    <cellStyle name="60% - Accent1 17" xfId="1788" xr:uid="{00000000-0005-0000-0000-000096120000}"/>
    <cellStyle name="60% - Accent1 18" xfId="1789" xr:uid="{00000000-0005-0000-0000-000097120000}"/>
    <cellStyle name="60% - Accent1 19" xfId="1790" xr:uid="{00000000-0005-0000-0000-000098120000}"/>
    <cellStyle name="60% - Accent1 2" xfId="1791" xr:uid="{00000000-0005-0000-0000-000099120000}"/>
    <cellStyle name="60% - Accent1 2 2" xfId="1792" xr:uid="{00000000-0005-0000-0000-00009A120000}"/>
    <cellStyle name="60% - Accent1 2 2 2" xfId="21331" xr:uid="{00000000-0005-0000-0000-00009B120000}"/>
    <cellStyle name="60% - Accent1 2 2 3" xfId="21332" xr:uid="{00000000-0005-0000-0000-00009C120000}"/>
    <cellStyle name="60% - Accent1 2 2 4" xfId="21330" xr:uid="{00000000-0005-0000-0000-00009D120000}"/>
    <cellStyle name="60% - Accent1 2 3" xfId="1793" xr:uid="{00000000-0005-0000-0000-00009E120000}"/>
    <cellStyle name="60% - Accent1 2 3 2" xfId="21334" xr:uid="{00000000-0005-0000-0000-00009F120000}"/>
    <cellStyle name="60% - Accent1 2 3 3" xfId="21333" xr:uid="{00000000-0005-0000-0000-0000A0120000}"/>
    <cellStyle name="60% - Accent1 2 4" xfId="1794" xr:uid="{00000000-0005-0000-0000-0000A1120000}"/>
    <cellStyle name="60% - Accent1 2 4 2" xfId="21335" xr:uid="{00000000-0005-0000-0000-0000A2120000}"/>
    <cellStyle name="60% - Accent1 2 5" xfId="8079" xr:uid="{00000000-0005-0000-0000-0000A3120000}"/>
    <cellStyle name="60% - Accent1 2 5 2" xfId="21336" xr:uid="{00000000-0005-0000-0000-0000A4120000}"/>
    <cellStyle name="60% - Accent1 2 6" xfId="21337" xr:uid="{00000000-0005-0000-0000-0000A5120000}"/>
    <cellStyle name="60% - Accent1 20" xfId="1795" xr:uid="{00000000-0005-0000-0000-0000A6120000}"/>
    <cellStyle name="60% - Accent1 21" xfId="1796" xr:uid="{00000000-0005-0000-0000-0000A7120000}"/>
    <cellStyle name="60% - Accent1 22" xfId="1797" xr:uid="{00000000-0005-0000-0000-0000A8120000}"/>
    <cellStyle name="60% - Accent1 3" xfId="1798" xr:uid="{00000000-0005-0000-0000-0000A9120000}"/>
    <cellStyle name="60% - Accent1 3 2" xfId="1799" xr:uid="{00000000-0005-0000-0000-0000AA120000}"/>
    <cellStyle name="60% - Accent1 3 2 2" xfId="21339" xr:uid="{00000000-0005-0000-0000-0000AB120000}"/>
    <cellStyle name="60% - Accent1 3 3" xfId="1800" xr:uid="{00000000-0005-0000-0000-0000AC120000}"/>
    <cellStyle name="60% - Accent1 3 3 2" xfId="21340" xr:uid="{00000000-0005-0000-0000-0000AD120000}"/>
    <cellStyle name="60% - Accent1 3 4" xfId="21341" xr:uid="{00000000-0005-0000-0000-0000AE120000}"/>
    <cellStyle name="60% - Accent1 3 5" xfId="21338" xr:uid="{00000000-0005-0000-0000-0000AF120000}"/>
    <cellStyle name="60% - Accent1 4" xfId="1801" xr:uid="{00000000-0005-0000-0000-0000B0120000}"/>
    <cellStyle name="60% - Accent1 4 2" xfId="1802" xr:uid="{00000000-0005-0000-0000-0000B1120000}"/>
    <cellStyle name="60% - Accent1 4 2 2" xfId="21344" xr:uid="{00000000-0005-0000-0000-0000B2120000}"/>
    <cellStyle name="60% - Accent1 4 2 3" xfId="21343" xr:uid="{00000000-0005-0000-0000-0000B3120000}"/>
    <cellStyle name="60% - Accent1 4 3" xfId="1803" xr:uid="{00000000-0005-0000-0000-0000B4120000}"/>
    <cellStyle name="60% - Accent1 4 4" xfId="21342" xr:uid="{00000000-0005-0000-0000-0000B5120000}"/>
    <cellStyle name="60% - Accent1 5" xfId="1804" xr:uid="{00000000-0005-0000-0000-0000B6120000}"/>
    <cellStyle name="60% - Accent1 5 2" xfId="1805" xr:uid="{00000000-0005-0000-0000-0000B7120000}"/>
    <cellStyle name="60% - Accent1 5 2 2" xfId="21346" xr:uid="{00000000-0005-0000-0000-0000B8120000}"/>
    <cellStyle name="60% - Accent1 5 3" xfId="1806" xr:uid="{00000000-0005-0000-0000-0000B9120000}"/>
    <cellStyle name="60% - Accent1 5 3 2" xfId="21347" xr:uid="{00000000-0005-0000-0000-0000BA120000}"/>
    <cellStyle name="60% - Accent1 5 4" xfId="21345" xr:uid="{00000000-0005-0000-0000-0000BB120000}"/>
    <cellStyle name="60% - Accent1 6" xfId="21348" xr:uid="{00000000-0005-0000-0000-0000BC120000}"/>
    <cellStyle name="60% - Accent1 6 2" xfId="1807" xr:uid="{00000000-0005-0000-0000-0000BD120000}"/>
    <cellStyle name="60% - Accent1 6 3" xfId="1808" xr:uid="{00000000-0005-0000-0000-0000BE120000}"/>
    <cellStyle name="60% - Accent1 7" xfId="21349" xr:uid="{00000000-0005-0000-0000-0000BF120000}"/>
    <cellStyle name="60% - Accent1 7 2" xfId="1809" xr:uid="{00000000-0005-0000-0000-0000C0120000}"/>
    <cellStyle name="60% - Accent1 7 3" xfId="1810" xr:uid="{00000000-0005-0000-0000-0000C1120000}"/>
    <cellStyle name="60% - Accent1 8" xfId="21350" xr:uid="{00000000-0005-0000-0000-0000C2120000}"/>
    <cellStyle name="60% - Accent1 8 2" xfId="1811" xr:uid="{00000000-0005-0000-0000-0000C3120000}"/>
    <cellStyle name="60% - Accent1 8 3" xfId="1812" xr:uid="{00000000-0005-0000-0000-0000C4120000}"/>
    <cellStyle name="60% - Accent1 9" xfId="21351" xr:uid="{00000000-0005-0000-0000-0000C5120000}"/>
    <cellStyle name="60% - Accent1 9 2" xfId="1813" xr:uid="{00000000-0005-0000-0000-0000C6120000}"/>
    <cellStyle name="60% - Accent1 9 3" xfId="1814" xr:uid="{00000000-0005-0000-0000-0000C7120000}"/>
    <cellStyle name="60% - Accent2" xfId="44346" builtinId="36" customBuiltin="1"/>
    <cellStyle name="60% - Accent2 10" xfId="21352" xr:uid="{00000000-0005-0000-0000-0000C9120000}"/>
    <cellStyle name="60% - Accent2 10 2" xfId="1815" xr:uid="{00000000-0005-0000-0000-0000CA120000}"/>
    <cellStyle name="60% - Accent2 10 3" xfId="1816" xr:uid="{00000000-0005-0000-0000-0000CB120000}"/>
    <cellStyle name="60% - Accent2 11" xfId="21353" xr:uid="{00000000-0005-0000-0000-0000CC120000}"/>
    <cellStyle name="60% - Accent2 11 2" xfId="1817" xr:uid="{00000000-0005-0000-0000-0000CD120000}"/>
    <cellStyle name="60% - Accent2 11 3" xfId="1818" xr:uid="{00000000-0005-0000-0000-0000CE120000}"/>
    <cellStyle name="60% - Accent2 12 2" xfId="1819" xr:uid="{00000000-0005-0000-0000-0000CF120000}"/>
    <cellStyle name="60% - Accent2 12 3" xfId="1820" xr:uid="{00000000-0005-0000-0000-0000D0120000}"/>
    <cellStyle name="60% - Accent2 13 2" xfId="1821" xr:uid="{00000000-0005-0000-0000-0000D1120000}"/>
    <cellStyle name="60% - Accent2 13 3" xfId="1822" xr:uid="{00000000-0005-0000-0000-0000D2120000}"/>
    <cellStyle name="60% - Accent2 14 2" xfId="1823" xr:uid="{00000000-0005-0000-0000-0000D3120000}"/>
    <cellStyle name="60% - Accent2 14 3" xfId="1824" xr:uid="{00000000-0005-0000-0000-0000D4120000}"/>
    <cellStyle name="60% - Accent2 15" xfId="1825" xr:uid="{00000000-0005-0000-0000-0000D5120000}"/>
    <cellStyle name="60% - Accent2 15 2" xfId="1826" xr:uid="{00000000-0005-0000-0000-0000D6120000}"/>
    <cellStyle name="60% - Accent2 15 3" xfId="1827" xr:uid="{00000000-0005-0000-0000-0000D7120000}"/>
    <cellStyle name="60% - Accent2 15 4" xfId="1828" xr:uid="{00000000-0005-0000-0000-0000D8120000}"/>
    <cellStyle name="60% - Accent2 15 5" xfId="1829" xr:uid="{00000000-0005-0000-0000-0000D9120000}"/>
    <cellStyle name="60% - Accent2 15 6" xfId="1830" xr:uid="{00000000-0005-0000-0000-0000DA120000}"/>
    <cellStyle name="60% - Accent2 15 7" xfId="1831" xr:uid="{00000000-0005-0000-0000-0000DB120000}"/>
    <cellStyle name="60% - Accent2 16" xfId="1832" xr:uid="{00000000-0005-0000-0000-0000DC120000}"/>
    <cellStyle name="60% - Accent2 17" xfId="1833" xr:uid="{00000000-0005-0000-0000-0000DD120000}"/>
    <cellStyle name="60% - Accent2 18" xfId="1834" xr:uid="{00000000-0005-0000-0000-0000DE120000}"/>
    <cellStyle name="60% - Accent2 19" xfId="1835" xr:uid="{00000000-0005-0000-0000-0000DF120000}"/>
    <cellStyle name="60% - Accent2 2" xfId="1836" xr:uid="{00000000-0005-0000-0000-0000E0120000}"/>
    <cellStyle name="60% - Accent2 2 2" xfId="1837" xr:uid="{00000000-0005-0000-0000-0000E1120000}"/>
    <cellStyle name="60% - Accent2 2 2 2" xfId="21355" xr:uid="{00000000-0005-0000-0000-0000E2120000}"/>
    <cellStyle name="60% - Accent2 2 2 3" xfId="21356" xr:uid="{00000000-0005-0000-0000-0000E3120000}"/>
    <cellStyle name="60% - Accent2 2 2 4" xfId="21354" xr:uid="{00000000-0005-0000-0000-0000E4120000}"/>
    <cellStyle name="60% - Accent2 2 3" xfId="1838" xr:uid="{00000000-0005-0000-0000-0000E5120000}"/>
    <cellStyle name="60% - Accent2 2 3 2" xfId="21357" xr:uid="{00000000-0005-0000-0000-0000E6120000}"/>
    <cellStyle name="60% - Accent2 2 4" xfId="21358" xr:uid="{00000000-0005-0000-0000-0000E7120000}"/>
    <cellStyle name="60% - Accent2 2 5" xfId="21359" xr:uid="{00000000-0005-0000-0000-0000E8120000}"/>
    <cellStyle name="60% - Accent2 2 6" xfId="21360" xr:uid="{00000000-0005-0000-0000-0000E9120000}"/>
    <cellStyle name="60% - Accent2 20" xfId="1839" xr:uid="{00000000-0005-0000-0000-0000EA120000}"/>
    <cellStyle name="60% - Accent2 21" xfId="1840" xr:uid="{00000000-0005-0000-0000-0000EB120000}"/>
    <cellStyle name="60% - Accent2 22" xfId="1841" xr:uid="{00000000-0005-0000-0000-0000EC120000}"/>
    <cellStyle name="60% - Accent2 3" xfId="1842" xr:uid="{00000000-0005-0000-0000-0000ED120000}"/>
    <cellStyle name="60% - Accent2 3 2" xfId="1843" xr:uid="{00000000-0005-0000-0000-0000EE120000}"/>
    <cellStyle name="60% - Accent2 3 2 2" xfId="21362" xr:uid="{00000000-0005-0000-0000-0000EF120000}"/>
    <cellStyle name="60% - Accent2 3 2 3" xfId="21361" xr:uid="{00000000-0005-0000-0000-0000F0120000}"/>
    <cellStyle name="60% - Accent2 3 3" xfId="1844" xr:uid="{00000000-0005-0000-0000-0000F1120000}"/>
    <cellStyle name="60% - Accent2 4" xfId="1845" xr:uid="{00000000-0005-0000-0000-0000F2120000}"/>
    <cellStyle name="60% - Accent2 4 2" xfId="1846" xr:uid="{00000000-0005-0000-0000-0000F3120000}"/>
    <cellStyle name="60% - Accent2 4 2 2" xfId="21364" xr:uid="{00000000-0005-0000-0000-0000F4120000}"/>
    <cellStyle name="60% - Accent2 4 3" xfId="1847" xr:uid="{00000000-0005-0000-0000-0000F5120000}"/>
    <cellStyle name="60% - Accent2 4 4" xfId="21363" xr:uid="{00000000-0005-0000-0000-0000F6120000}"/>
    <cellStyle name="60% - Accent2 5" xfId="1848" xr:uid="{00000000-0005-0000-0000-0000F7120000}"/>
    <cellStyle name="60% - Accent2 5 2" xfId="1849" xr:uid="{00000000-0005-0000-0000-0000F8120000}"/>
    <cellStyle name="60% - Accent2 5 2 2" xfId="21366" xr:uid="{00000000-0005-0000-0000-0000F9120000}"/>
    <cellStyle name="60% - Accent2 5 3" xfId="1850" xr:uid="{00000000-0005-0000-0000-0000FA120000}"/>
    <cellStyle name="60% - Accent2 5 4" xfId="21365" xr:uid="{00000000-0005-0000-0000-0000FB120000}"/>
    <cellStyle name="60% - Accent2 6" xfId="21367" xr:uid="{00000000-0005-0000-0000-0000FC120000}"/>
    <cellStyle name="60% - Accent2 6 2" xfId="1851" xr:uid="{00000000-0005-0000-0000-0000FD120000}"/>
    <cellStyle name="60% - Accent2 6 3" xfId="1852" xr:uid="{00000000-0005-0000-0000-0000FE120000}"/>
    <cellStyle name="60% - Accent2 7" xfId="21368" xr:uid="{00000000-0005-0000-0000-0000FF120000}"/>
    <cellStyle name="60% - Accent2 7 2" xfId="1853" xr:uid="{00000000-0005-0000-0000-000000130000}"/>
    <cellStyle name="60% - Accent2 7 3" xfId="1854" xr:uid="{00000000-0005-0000-0000-000001130000}"/>
    <cellStyle name="60% - Accent2 8" xfId="21369" xr:uid="{00000000-0005-0000-0000-000002130000}"/>
    <cellStyle name="60% - Accent2 8 2" xfId="1855" xr:uid="{00000000-0005-0000-0000-000003130000}"/>
    <cellStyle name="60% - Accent2 8 3" xfId="1856" xr:uid="{00000000-0005-0000-0000-000004130000}"/>
    <cellStyle name="60% - Accent2 9" xfId="21370" xr:uid="{00000000-0005-0000-0000-000005130000}"/>
    <cellStyle name="60% - Accent2 9 2" xfId="1857" xr:uid="{00000000-0005-0000-0000-000006130000}"/>
    <cellStyle name="60% - Accent2 9 3" xfId="1858" xr:uid="{00000000-0005-0000-0000-000007130000}"/>
    <cellStyle name="60% - Accent3" xfId="44350" builtinId="40" customBuiltin="1"/>
    <cellStyle name="60% - Accent3 10" xfId="21371" xr:uid="{00000000-0005-0000-0000-000009130000}"/>
    <cellStyle name="60% - Accent3 10 2" xfId="1859" xr:uid="{00000000-0005-0000-0000-00000A130000}"/>
    <cellStyle name="60% - Accent3 10 3" xfId="1860" xr:uid="{00000000-0005-0000-0000-00000B130000}"/>
    <cellStyle name="60% - Accent3 11" xfId="21372" xr:uid="{00000000-0005-0000-0000-00000C130000}"/>
    <cellStyle name="60% - Accent3 11 2" xfId="1861" xr:uid="{00000000-0005-0000-0000-00000D130000}"/>
    <cellStyle name="60% - Accent3 11 3" xfId="1862" xr:uid="{00000000-0005-0000-0000-00000E130000}"/>
    <cellStyle name="60% - Accent3 12 2" xfId="1863" xr:uid="{00000000-0005-0000-0000-00000F130000}"/>
    <cellStyle name="60% - Accent3 12 3" xfId="1864" xr:uid="{00000000-0005-0000-0000-000010130000}"/>
    <cellStyle name="60% - Accent3 13 2" xfId="1865" xr:uid="{00000000-0005-0000-0000-000011130000}"/>
    <cellStyle name="60% - Accent3 13 3" xfId="1866" xr:uid="{00000000-0005-0000-0000-000012130000}"/>
    <cellStyle name="60% - Accent3 14 2" xfId="1867" xr:uid="{00000000-0005-0000-0000-000013130000}"/>
    <cellStyle name="60% - Accent3 14 3" xfId="1868" xr:uid="{00000000-0005-0000-0000-000014130000}"/>
    <cellStyle name="60% - Accent3 15" xfId="1869" xr:uid="{00000000-0005-0000-0000-000015130000}"/>
    <cellStyle name="60% - Accent3 15 2" xfId="1870" xr:uid="{00000000-0005-0000-0000-000016130000}"/>
    <cellStyle name="60% - Accent3 15 3" xfId="1871" xr:uid="{00000000-0005-0000-0000-000017130000}"/>
    <cellStyle name="60% - Accent3 15 4" xfId="1872" xr:uid="{00000000-0005-0000-0000-000018130000}"/>
    <cellStyle name="60% - Accent3 15 5" xfId="1873" xr:uid="{00000000-0005-0000-0000-000019130000}"/>
    <cellStyle name="60% - Accent3 15 6" xfId="1874" xr:uid="{00000000-0005-0000-0000-00001A130000}"/>
    <cellStyle name="60% - Accent3 15 7" xfId="1875" xr:uid="{00000000-0005-0000-0000-00001B130000}"/>
    <cellStyle name="60% - Accent3 16" xfId="1876" xr:uid="{00000000-0005-0000-0000-00001C130000}"/>
    <cellStyle name="60% - Accent3 17" xfId="1877" xr:uid="{00000000-0005-0000-0000-00001D130000}"/>
    <cellStyle name="60% - Accent3 18" xfId="1878" xr:uid="{00000000-0005-0000-0000-00001E130000}"/>
    <cellStyle name="60% - Accent3 19" xfId="1879" xr:uid="{00000000-0005-0000-0000-00001F130000}"/>
    <cellStyle name="60% - Accent3 2" xfId="1880" xr:uid="{00000000-0005-0000-0000-000020130000}"/>
    <cellStyle name="60% - Accent3 2 2" xfId="1881" xr:uid="{00000000-0005-0000-0000-000021130000}"/>
    <cellStyle name="60% - Accent3 2 2 2" xfId="21374" xr:uid="{00000000-0005-0000-0000-000022130000}"/>
    <cellStyle name="60% - Accent3 2 2 3" xfId="21375" xr:uid="{00000000-0005-0000-0000-000023130000}"/>
    <cellStyle name="60% - Accent3 2 2 4" xfId="21373" xr:uid="{00000000-0005-0000-0000-000024130000}"/>
    <cellStyle name="60% - Accent3 2 3" xfId="1882" xr:uid="{00000000-0005-0000-0000-000025130000}"/>
    <cellStyle name="60% - Accent3 2 3 2" xfId="21377" xr:uid="{00000000-0005-0000-0000-000026130000}"/>
    <cellStyle name="60% - Accent3 2 3 3" xfId="21376" xr:uid="{00000000-0005-0000-0000-000027130000}"/>
    <cellStyle name="60% - Accent3 2 4" xfId="1883" xr:uid="{00000000-0005-0000-0000-000028130000}"/>
    <cellStyle name="60% - Accent3 2 4 2" xfId="21378" xr:uid="{00000000-0005-0000-0000-000029130000}"/>
    <cellStyle name="60% - Accent3 2 5" xfId="8080" xr:uid="{00000000-0005-0000-0000-00002A130000}"/>
    <cellStyle name="60% - Accent3 2 5 2" xfId="21379" xr:uid="{00000000-0005-0000-0000-00002B130000}"/>
    <cellStyle name="60% - Accent3 2 6" xfId="21380" xr:uid="{00000000-0005-0000-0000-00002C130000}"/>
    <cellStyle name="60% - Accent3 20" xfId="1884" xr:uid="{00000000-0005-0000-0000-00002D130000}"/>
    <cellStyle name="60% - Accent3 21" xfId="1885" xr:uid="{00000000-0005-0000-0000-00002E130000}"/>
    <cellStyle name="60% - Accent3 22" xfId="1886" xr:uid="{00000000-0005-0000-0000-00002F130000}"/>
    <cellStyle name="60% - Accent3 3" xfId="1887" xr:uid="{00000000-0005-0000-0000-000030130000}"/>
    <cellStyle name="60% - Accent3 3 2" xfId="1888" xr:uid="{00000000-0005-0000-0000-000031130000}"/>
    <cellStyle name="60% - Accent3 3 2 2" xfId="21382" xr:uid="{00000000-0005-0000-0000-000032130000}"/>
    <cellStyle name="60% - Accent3 3 3" xfId="1889" xr:uid="{00000000-0005-0000-0000-000033130000}"/>
    <cellStyle name="60% - Accent3 3 3 2" xfId="21383" xr:uid="{00000000-0005-0000-0000-000034130000}"/>
    <cellStyle name="60% - Accent3 3 4" xfId="21384" xr:uid="{00000000-0005-0000-0000-000035130000}"/>
    <cellStyle name="60% - Accent3 3 5" xfId="21381" xr:uid="{00000000-0005-0000-0000-000036130000}"/>
    <cellStyle name="60% - Accent3 4" xfId="1890" xr:uid="{00000000-0005-0000-0000-000037130000}"/>
    <cellStyle name="60% - Accent3 4 2" xfId="1891" xr:uid="{00000000-0005-0000-0000-000038130000}"/>
    <cellStyle name="60% - Accent3 4 2 2" xfId="21387" xr:uid="{00000000-0005-0000-0000-000039130000}"/>
    <cellStyle name="60% - Accent3 4 2 3" xfId="21386" xr:uid="{00000000-0005-0000-0000-00003A130000}"/>
    <cellStyle name="60% - Accent3 4 3" xfId="1892" xr:uid="{00000000-0005-0000-0000-00003B130000}"/>
    <cellStyle name="60% - Accent3 4 4" xfId="21385" xr:uid="{00000000-0005-0000-0000-00003C130000}"/>
    <cellStyle name="60% - Accent3 5" xfId="1893" xr:uid="{00000000-0005-0000-0000-00003D130000}"/>
    <cellStyle name="60% - Accent3 5 2" xfId="1894" xr:uid="{00000000-0005-0000-0000-00003E130000}"/>
    <cellStyle name="60% - Accent3 5 2 2" xfId="21389" xr:uid="{00000000-0005-0000-0000-00003F130000}"/>
    <cellStyle name="60% - Accent3 5 3" xfId="1895" xr:uid="{00000000-0005-0000-0000-000040130000}"/>
    <cellStyle name="60% - Accent3 5 3 2" xfId="21390" xr:uid="{00000000-0005-0000-0000-000041130000}"/>
    <cellStyle name="60% - Accent3 5 4" xfId="21388" xr:uid="{00000000-0005-0000-0000-000042130000}"/>
    <cellStyle name="60% - Accent3 6" xfId="21391" xr:uid="{00000000-0005-0000-0000-000043130000}"/>
    <cellStyle name="60% - Accent3 6 2" xfId="1896" xr:uid="{00000000-0005-0000-0000-000044130000}"/>
    <cellStyle name="60% - Accent3 6 3" xfId="1897" xr:uid="{00000000-0005-0000-0000-000045130000}"/>
    <cellStyle name="60% - Accent3 7" xfId="21392" xr:uid="{00000000-0005-0000-0000-000046130000}"/>
    <cellStyle name="60% - Accent3 7 2" xfId="1898" xr:uid="{00000000-0005-0000-0000-000047130000}"/>
    <cellStyle name="60% - Accent3 7 3" xfId="1899" xr:uid="{00000000-0005-0000-0000-000048130000}"/>
    <cellStyle name="60% - Accent3 8" xfId="21393" xr:uid="{00000000-0005-0000-0000-000049130000}"/>
    <cellStyle name="60% - Accent3 8 2" xfId="1900" xr:uid="{00000000-0005-0000-0000-00004A130000}"/>
    <cellStyle name="60% - Accent3 8 3" xfId="1901" xr:uid="{00000000-0005-0000-0000-00004B130000}"/>
    <cellStyle name="60% - Accent3 9" xfId="21394" xr:uid="{00000000-0005-0000-0000-00004C130000}"/>
    <cellStyle name="60% - Accent3 9 2" xfId="1902" xr:uid="{00000000-0005-0000-0000-00004D130000}"/>
    <cellStyle name="60% - Accent3 9 3" xfId="1903" xr:uid="{00000000-0005-0000-0000-00004E130000}"/>
    <cellStyle name="60% - Accent4" xfId="44354" builtinId="44" customBuiltin="1"/>
    <cellStyle name="60% - Accent4 10" xfId="21395" xr:uid="{00000000-0005-0000-0000-000050130000}"/>
    <cellStyle name="60% - Accent4 10 2" xfId="1904" xr:uid="{00000000-0005-0000-0000-000051130000}"/>
    <cellStyle name="60% - Accent4 10 3" xfId="1905" xr:uid="{00000000-0005-0000-0000-000052130000}"/>
    <cellStyle name="60% - Accent4 11" xfId="21396" xr:uid="{00000000-0005-0000-0000-000053130000}"/>
    <cellStyle name="60% - Accent4 11 2" xfId="1906" xr:uid="{00000000-0005-0000-0000-000054130000}"/>
    <cellStyle name="60% - Accent4 11 3" xfId="1907" xr:uid="{00000000-0005-0000-0000-000055130000}"/>
    <cellStyle name="60% - Accent4 12 2" xfId="1908" xr:uid="{00000000-0005-0000-0000-000056130000}"/>
    <cellStyle name="60% - Accent4 12 3" xfId="1909" xr:uid="{00000000-0005-0000-0000-000057130000}"/>
    <cellStyle name="60% - Accent4 13 2" xfId="1910" xr:uid="{00000000-0005-0000-0000-000058130000}"/>
    <cellStyle name="60% - Accent4 13 3" xfId="1911" xr:uid="{00000000-0005-0000-0000-000059130000}"/>
    <cellStyle name="60% - Accent4 14 2" xfId="1912" xr:uid="{00000000-0005-0000-0000-00005A130000}"/>
    <cellStyle name="60% - Accent4 14 3" xfId="1913" xr:uid="{00000000-0005-0000-0000-00005B130000}"/>
    <cellStyle name="60% - Accent4 15" xfId="1914" xr:uid="{00000000-0005-0000-0000-00005C130000}"/>
    <cellStyle name="60% - Accent4 15 2" xfId="1915" xr:uid="{00000000-0005-0000-0000-00005D130000}"/>
    <cellStyle name="60% - Accent4 15 3" xfId="1916" xr:uid="{00000000-0005-0000-0000-00005E130000}"/>
    <cellStyle name="60% - Accent4 15 4" xfId="1917" xr:uid="{00000000-0005-0000-0000-00005F130000}"/>
    <cellStyle name="60% - Accent4 15 5" xfId="1918" xr:uid="{00000000-0005-0000-0000-000060130000}"/>
    <cellStyle name="60% - Accent4 15 6" xfId="1919" xr:uid="{00000000-0005-0000-0000-000061130000}"/>
    <cellStyle name="60% - Accent4 15 7" xfId="1920" xr:uid="{00000000-0005-0000-0000-000062130000}"/>
    <cellStyle name="60% - Accent4 16" xfId="1921" xr:uid="{00000000-0005-0000-0000-000063130000}"/>
    <cellStyle name="60% - Accent4 17" xfId="1922" xr:uid="{00000000-0005-0000-0000-000064130000}"/>
    <cellStyle name="60% - Accent4 18" xfId="1923" xr:uid="{00000000-0005-0000-0000-000065130000}"/>
    <cellStyle name="60% - Accent4 19" xfId="1924" xr:uid="{00000000-0005-0000-0000-000066130000}"/>
    <cellStyle name="60% - Accent4 2" xfId="1925" xr:uid="{00000000-0005-0000-0000-000067130000}"/>
    <cellStyle name="60% - Accent4 2 2" xfId="1926" xr:uid="{00000000-0005-0000-0000-000068130000}"/>
    <cellStyle name="60% - Accent4 2 2 2" xfId="21398" xr:uid="{00000000-0005-0000-0000-000069130000}"/>
    <cellStyle name="60% - Accent4 2 2 3" xfId="21399" xr:uid="{00000000-0005-0000-0000-00006A130000}"/>
    <cellStyle name="60% - Accent4 2 2 4" xfId="21397" xr:uid="{00000000-0005-0000-0000-00006B130000}"/>
    <cellStyle name="60% - Accent4 2 3" xfId="1927" xr:uid="{00000000-0005-0000-0000-00006C130000}"/>
    <cellStyle name="60% - Accent4 2 3 2" xfId="21401" xr:uid="{00000000-0005-0000-0000-00006D130000}"/>
    <cellStyle name="60% - Accent4 2 3 3" xfId="21400" xr:uid="{00000000-0005-0000-0000-00006E130000}"/>
    <cellStyle name="60% - Accent4 2 4" xfId="1928" xr:uid="{00000000-0005-0000-0000-00006F130000}"/>
    <cellStyle name="60% - Accent4 2 4 2" xfId="21402" xr:uid="{00000000-0005-0000-0000-000070130000}"/>
    <cellStyle name="60% - Accent4 2 5" xfId="8081" xr:uid="{00000000-0005-0000-0000-000071130000}"/>
    <cellStyle name="60% - Accent4 2 5 2" xfId="21403" xr:uid="{00000000-0005-0000-0000-000072130000}"/>
    <cellStyle name="60% - Accent4 2 6" xfId="21404" xr:uid="{00000000-0005-0000-0000-000073130000}"/>
    <cellStyle name="60% - Accent4 20" xfId="1929" xr:uid="{00000000-0005-0000-0000-000074130000}"/>
    <cellStyle name="60% - Accent4 21" xfId="1930" xr:uid="{00000000-0005-0000-0000-000075130000}"/>
    <cellStyle name="60% - Accent4 22" xfId="1931" xr:uid="{00000000-0005-0000-0000-000076130000}"/>
    <cellStyle name="60% - Accent4 3" xfId="1932" xr:uid="{00000000-0005-0000-0000-000077130000}"/>
    <cellStyle name="60% - Accent4 3 2" xfId="1933" xr:uid="{00000000-0005-0000-0000-000078130000}"/>
    <cellStyle name="60% - Accent4 3 2 2" xfId="21406" xr:uid="{00000000-0005-0000-0000-000079130000}"/>
    <cellStyle name="60% - Accent4 3 3" xfId="1934" xr:uid="{00000000-0005-0000-0000-00007A130000}"/>
    <cellStyle name="60% - Accent4 3 3 2" xfId="21407" xr:uid="{00000000-0005-0000-0000-00007B130000}"/>
    <cellStyle name="60% - Accent4 3 4" xfId="21408" xr:uid="{00000000-0005-0000-0000-00007C130000}"/>
    <cellStyle name="60% - Accent4 3 5" xfId="21405" xr:uid="{00000000-0005-0000-0000-00007D130000}"/>
    <cellStyle name="60% - Accent4 4" xfId="1935" xr:uid="{00000000-0005-0000-0000-00007E130000}"/>
    <cellStyle name="60% - Accent4 4 2" xfId="1936" xr:uid="{00000000-0005-0000-0000-00007F130000}"/>
    <cellStyle name="60% - Accent4 4 2 2" xfId="21411" xr:uid="{00000000-0005-0000-0000-000080130000}"/>
    <cellStyle name="60% - Accent4 4 2 3" xfId="21410" xr:uid="{00000000-0005-0000-0000-000081130000}"/>
    <cellStyle name="60% - Accent4 4 3" xfId="1937" xr:uid="{00000000-0005-0000-0000-000082130000}"/>
    <cellStyle name="60% - Accent4 4 4" xfId="21409" xr:uid="{00000000-0005-0000-0000-000083130000}"/>
    <cellStyle name="60% - Accent4 5" xfId="1938" xr:uid="{00000000-0005-0000-0000-000084130000}"/>
    <cellStyle name="60% - Accent4 5 2" xfId="1939" xr:uid="{00000000-0005-0000-0000-000085130000}"/>
    <cellStyle name="60% - Accent4 5 2 2" xfId="21413" xr:uid="{00000000-0005-0000-0000-000086130000}"/>
    <cellStyle name="60% - Accent4 5 3" xfId="1940" xr:uid="{00000000-0005-0000-0000-000087130000}"/>
    <cellStyle name="60% - Accent4 5 3 2" xfId="21414" xr:uid="{00000000-0005-0000-0000-000088130000}"/>
    <cellStyle name="60% - Accent4 5 4" xfId="21412" xr:uid="{00000000-0005-0000-0000-000089130000}"/>
    <cellStyle name="60% - Accent4 6" xfId="21415" xr:uid="{00000000-0005-0000-0000-00008A130000}"/>
    <cellStyle name="60% - Accent4 6 2" xfId="1941" xr:uid="{00000000-0005-0000-0000-00008B130000}"/>
    <cellStyle name="60% - Accent4 6 3" xfId="1942" xr:uid="{00000000-0005-0000-0000-00008C130000}"/>
    <cellStyle name="60% - Accent4 7" xfId="21416" xr:uid="{00000000-0005-0000-0000-00008D130000}"/>
    <cellStyle name="60% - Accent4 7 2" xfId="1943" xr:uid="{00000000-0005-0000-0000-00008E130000}"/>
    <cellStyle name="60% - Accent4 7 3" xfId="1944" xr:uid="{00000000-0005-0000-0000-00008F130000}"/>
    <cellStyle name="60% - Accent4 8" xfId="21417" xr:uid="{00000000-0005-0000-0000-000090130000}"/>
    <cellStyle name="60% - Accent4 8 2" xfId="1945" xr:uid="{00000000-0005-0000-0000-000091130000}"/>
    <cellStyle name="60% - Accent4 8 3" xfId="1946" xr:uid="{00000000-0005-0000-0000-000092130000}"/>
    <cellStyle name="60% - Accent4 9" xfId="21418" xr:uid="{00000000-0005-0000-0000-000093130000}"/>
    <cellStyle name="60% - Accent4 9 2" xfId="1947" xr:uid="{00000000-0005-0000-0000-000094130000}"/>
    <cellStyle name="60% - Accent4 9 3" xfId="1948" xr:uid="{00000000-0005-0000-0000-000095130000}"/>
    <cellStyle name="60% - Accent5" xfId="44358" builtinId="48" customBuiltin="1"/>
    <cellStyle name="60% - Accent5 10" xfId="21419" xr:uid="{00000000-0005-0000-0000-000097130000}"/>
    <cellStyle name="60% - Accent5 10 2" xfId="1949" xr:uid="{00000000-0005-0000-0000-000098130000}"/>
    <cellStyle name="60% - Accent5 10 3" xfId="1950" xr:uid="{00000000-0005-0000-0000-000099130000}"/>
    <cellStyle name="60% - Accent5 11" xfId="21420" xr:uid="{00000000-0005-0000-0000-00009A130000}"/>
    <cellStyle name="60% - Accent5 11 2" xfId="1951" xr:uid="{00000000-0005-0000-0000-00009B130000}"/>
    <cellStyle name="60% - Accent5 11 3" xfId="1952" xr:uid="{00000000-0005-0000-0000-00009C130000}"/>
    <cellStyle name="60% - Accent5 12 2" xfId="1953" xr:uid="{00000000-0005-0000-0000-00009D130000}"/>
    <cellStyle name="60% - Accent5 12 3" xfId="1954" xr:uid="{00000000-0005-0000-0000-00009E130000}"/>
    <cellStyle name="60% - Accent5 13 2" xfId="1955" xr:uid="{00000000-0005-0000-0000-00009F130000}"/>
    <cellStyle name="60% - Accent5 13 3" xfId="1956" xr:uid="{00000000-0005-0000-0000-0000A0130000}"/>
    <cellStyle name="60% - Accent5 14 2" xfId="1957" xr:uid="{00000000-0005-0000-0000-0000A1130000}"/>
    <cellStyle name="60% - Accent5 14 3" xfId="1958" xr:uid="{00000000-0005-0000-0000-0000A2130000}"/>
    <cellStyle name="60% - Accent5 15" xfId="1959" xr:uid="{00000000-0005-0000-0000-0000A3130000}"/>
    <cellStyle name="60% - Accent5 15 2" xfId="1960" xr:uid="{00000000-0005-0000-0000-0000A4130000}"/>
    <cellStyle name="60% - Accent5 15 3" xfId="1961" xr:uid="{00000000-0005-0000-0000-0000A5130000}"/>
    <cellStyle name="60% - Accent5 15 4" xfId="1962" xr:uid="{00000000-0005-0000-0000-0000A6130000}"/>
    <cellStyle name="60% - Accent5 15 5" xfId="1963" xr:uid="{00000000-0005-0000-0000-0000A7130000}"/>
    <cellStyle name="60% - Accent5 15 6" xfId="1964" xr:uid="{00000000-0005-0000-0000-0000A8130000}"/>
    <cellStyle name="60% - Accent5 15 7" xfId="1965" xr:uid="{00000000-0005-0000-0000-0000A9130000}"/>
    <cellStyle name="60% - Accent5 16" xfId="1966" xr:uid="{00000000-0005-0000-0000-0000AA130000}"/>
    <cellStyle name="60% - Accent5 17" xfId="1967" xr:uid="{00000000-0005-0000-0000-0000AB130000}"/>
    <cellStyle name="60% - Accent5 18" xfId="1968" xr:uid="{00000000-0005-0000-0000-0000AC130000}"/>
    <cellStyle name="60% - Accent5 19" xfId="1969" xr:uid="{00000000-0005-0000-0000-0000AD130000}"/>
    <cellStyle name="60% - Accent5 2" xfId="1970" xr:uid="{00000000-0005-0000-0000-0000AE130000}"/>
    <cellStyle name="60% - Accent5 2 2" xfId="1971" xr:uid="{00000000-0005-0000-0000-0000AF130000}"/>
    <cellStyle name="60% - Accent5 2 2 2" xfId="21422" xr:uid="{00000000-0005-0000-0000-0000B0130000}"/>
    <cellStyle name="60% - Accent5 2 2 3" xfId="21423" xr:uid="{00000000-0005-0000-0000-0000B1130000}"/>
    <cellStyle name="60% - Accent5 2 2 4" xfId="21421" xr:uid="{00000000-0005-0000-0000-0000B2130000}"/>
    <cellStyle name="60% - Accent5 2 3" xfId="1972" xr:uid="{00000000-0005-0000-0000-0000B3130000}"/>
    <cellStyle name="60% - Accent5 2 3 2" xfId="21424" xr:uid="{00000000-0005-0000-0000-0000B4130000}"/>
    <cellStyle name="60% - Accent5 2 4" xfId="21425" xr:uid="{00000000-0005-0000-0000-0000B5130000}"/>
    <cellStyle name="60% - Accent5 2 5" xfId="21426" xr:uid="{00000000-0005-0000-0000-0000B6130000}"/>
    <cellStyle name="60% - Accent5 2 6" xfId="21427" xr:uid="{00000000-0005-0000-0000-0000B7130000}"/>
    <cellStyle name="60% - Accent5 20" xfId="1973" xr:uid="{00000000-0005-0000-0000-0000B8130000}"/>
    <cellStyle name="60% - Accent5 21" xfId="1974" xr:uid="{00000000-0005-0000-0000-0000B9130000}"/>
    <cellStyle name="60% - Accent5 22" xfId="1975" xr:uid="{00000000-0005-0000-0000-0000BA130000}"/>
    <cellStyle name="60% - Accent5 3" xfId="1976" xr:uid="{00000000-0005-0000-0000-0000BB130000}"/>
    <cellStyle name="60% - Accent5 3 2" xfId="1977" xr:uid="{00000000-0005-0000-0000-0000BC130000}"/>
    <cellStyle name="60% - Accent5 3 2 2" xfId="21429" xr:uid="{00000000-0005-0000-0000-0000BD130000}"/>
    <cellStyle name="60% - Accent5 3 2 3" xfId="21428" xr:uid="{00000000-0005-0000-0000-0000BE130000}"/>
    <cellStyle name="60% - Accent5 3 3" xfId="1978" xr:uid="{00000000-0005-0000-0000-0000BF130000}"/>
    <cellStyle name="60% - Accent5 4" xfId="1979" xr:uid="{00000000-0005-0000-0000-0000C0130000}"/>
    <cellStyle name="60% - Accent5 4 2" xfId="1980" xr:uid="{00000000-0005-0000-0000-0000C1130000}"/>
    <cellStyle name="60% - Accent5 4 2 2" xfId="21431" xr:uid="{00000000-0005-0000-0000-0000C2130000}"/>
    <cellStyle name="60% - Accent5 4 3" xfId="1981" xr:uid="{00000000-0005-0000-0000-0000C3130000}"/>
    <cellStyle name="60% - Accent5 4 4" xfId="21430" xr:uid="{00000000-0005-0000-0000-0000C4130000}"/>
    <cellStyle name="60% - Accent5 5" xfId="1982" xr:uid="{00000000-0005-0000-0000-0000C5130000}"/>
    <cellStyle name="60% - Accent5 5 2" xfId="1983" xr:uid="{00000000-0005-0000-0000-0000C6130000}"/>
    <cellStyle name="60% - Accent5 5 2 2" xfId="21433" xr:uid="{00000000-0005-0000-0000-0000C7130000}"/>
    <cellStyle name="60% - Accent5 5 3" xfId="1984" xr:uid="{00000000-0005-0000-0000-0000C8130000}"/>
    <cellStyle name="60% - Accent5 5 4" xfId="21432" xr:uid="{00000000-0005-0000-0000-0000C9130000}"/>
    <cellStyle name="60% - Accent5 6" xfId="21434" xr:uid="{00000000-0005-0000-0000-0000CA130000}"/>
    <cellStyle name="60% - Accent5 6 2" xfId="1985" xr:uid="{00000000-0005-0000-0000-0000CB130000}"/>
    <cellStyle name="60% - Accent5 6 3" xfId="1986" xr:uid="{00000000-0005-0000-0000-0000CC130000}"/>
    <cellStyle name="60% - Accent5 7" xfId="21435" xr:uid="{00000000-0005-0000-0000-0000CD130000}"/>
    <cellStyle name="60% - Accent5 7 2" xfId="1987" xr:uid="{00000000-0005-0000-0000-0000CE130000}"/>
    <cellStyle name="60% - Accent5 7 3" xfId="1988" xr:uid="{00000000-0005-0000-0000-0000CF130000}"/>
    <cellStyle name="60% - Accent5 8" xfId="21436" xr:uid="{00000000-0005-0000-0000-0000D0130000}"/>
    <cellStyle name="60% - Accent5 8 2" xfId="1989" xr:uid="{00000000-0005-0000-0000-0000D1130000}"/>
    <cellStyle name="60% - Accent5 8 3" xfId="1990" xr:uid="{00000000-0005-0000-0000-0000D2130000}"/>
    <cellStyle name="60% - Accent5 9" xfId="21437" xr:uid="{00000000-0005-0000-0000-0000D3130000}"/>
    <cellStyle name="60% - Accent5 9 2" xfId="1991" xr:uid="{00000000-0005-0000-0000-0000D4130000}"/>
    <cellStyle name="60% - Accent5 9 3" xfId="1992" xr:uid="{00000000-0005-0000-0000-0000D5130000}"/>
    <cellStyle name="60% - Accent6" xfId="44362" builtinId="52" customBuiltin="1"/>
    <cellStyle name="60% - Accent6 10" xfId="21438" xr:uid="{00000000-0005-0000-0000-0000D7130000}"/>
    <cellStyle name="60% - Accent6 10 2" xfId="1993" xr:uid="{00000000-0005-0000-0000-0000D8130000}"/>
    <cellStyle name="60% - Accent6 10 3" xfId="1994" xr:uid="{00000000-0005-0000-0000-0000D9130000}"/>
    <cellStyle name="60% - Accent6 11" xfId="21439" xr:uid="{00000000-0005-0000-0000-0000DA130000}"/>
    <cellStyle name="60% - Accent6 11 2" xfId="1995" xr:uid="{00000000-0005-0000-0000-0000DB130000}"/>
    <cellStyle name="60% - Accent6 11 3" xfId="1996" xr:uid="{00000000-0005-0000-0000-0000DC130000}"/>
    <cellStyle name="60% - Accent6 12 2" xfId="1997" xr:uid="{00000000-0005-0000-0000-0000DD130000}"/>
    <cellStyle name="60% - Accent6 12 3" xfId="1998" xr:uid="{00000000-0005-0000-0000-0000DE130000}"/>
    <cellStyle name="60% - Accent6 13 2" xfId="1999" xr:uid="{00000000-0005-0000-0000-0000DF130000}"/>
    <cellStyle name="60% - Accent6 13 3" xfId="2000" xr:uid="{00000000-0005-0000-0000-0000E0130000}"/>
    <cellStyle name="60% - Accent6 14 2" xfId="2001" xr:uid="{00000000-0005-0000-0000-0000E1130000}"/>
    <cellStyle name="60% - Accent6 14 3" xfId="2002" xr:uid="{00000000-0005-0000-0000-0000E2130000}"/>
    <cellStyle name="60% - Accent6 15" xfId="2003" xr:uid="{00000000-0005-0000-0000-0000E3130000}"/>
    <cellStyle name="60% - Accent6 15 2" xfId="2004" xr:uid="{00000000-0005-0000-0000-0000E4130000}"/>
    <cellStyle name="60% - Accent6 15 3" xfId="2005" xr:uid="{00000000-0005-0000-0000-0000E5130000}"/>
    <cellStyle name="60% - Accent6 15 4" xfId="2006" xr:uid="{00000000-0005-0000-0000-0000E6130000}"/>
    <cellStyle name="60% - Accent6 15 5" xfId="2007" xr:uid="{00000000-0005-0000-0000-0000E7130000}"/>
    <cellStyle name="60% - Accent6 15 6" xfId="2008" xr:uid="{00000000-0005-0000-0000-0000E8130000}"/>
    <cellStyle name="60% - Accent6 15 7" xfId="2009" xr:uid="{00000000-0005-0000-0000-0000E9130000}"/>
    <cellStyle name="60% - Accent6 16" xfId="2010" xr:uid="{00000000-0005-0000-0000-0000EA130000}"/>
    <cellStyle name="60% - Accent6 17" xfId="2011" xr:uid="{00000000-0005-0000-0000-0000EB130000}"/>
    <cellStyle name="60% - Accent6 18" xfId="2012" xr:uid="{00000000-0005-0000-0000-0000EC130000}"/>
    <cellStyle name="60% - Accent6 19" xfId="2013" xr:uid="{00000000-0005-0000-0000-0000ED130000}"/>
    <cellStyle name="60% - Accent6 2" xfId="2014" xr:uid="{00000000-0005-0000-0000-0000EE130000}"/>
    <cellStyle name="60% - Accent6 2 2" xfId="2015" xr:uid="{00000000-0005-0000-0000-0000EF130000}"/>
    <cellStyle name="60% - Accent6 2 2 2" xfId="21441" xr:uid="{00000000-0005-0000-0000-0000F0130000}"/>
    <cellStyle name="60% - Accent6 2 2 3" xfId="21442" xr:uid="{00000000-0005-0000-0000-0000F1130000}"/>
    <cellStyle name="60% - Accent6 2 2 4" xfId="21440" xr:uid="{00000000-0005-0000-0000-0000F2130000}"/>
    <cellStyle name="60% - Accent6 2 3" xfId="2016" xr:uid="{00000000-0005-0000-0000-0000F3130000}"/>
    <cellStyle name="60% - Accent6 2 3 2" xfId="21444" xr:uid="{00000000-0005-0000-0000-0000F4130000}"/>
    <cellStyle name="60% - Accent6 2 3 3" xfId="21443" xr:uid="{00000000-0005-0000-0000-0000F5130000}"/>
    <cellStyle name="60% - Accent6 2 4" xfId="2017" xr:uid="{00000000-0005-0000-0000-0000F6130000}"/>
    <cellStyle name="60% - Accent6 2 4 2" xfId="21445" xr:uid="{00000000-0005-0000-0000-0000F7130000}"/>
    <cellStyle name="60% - Accent6 2 5" xfId="8082" xr:uid="{00000000-0005-0000-0000-0000F8130000}"/>
    <cellStyle name="60% - Accent6 2 5 2" xfId="21446" xr:uid="{00000000-0005-0000-0000-0000F9130000}"/>
    <cellStyle name="60% - Accent6 2 6" xfId="21447" xr:uid="{00000000-0005-0000-0000-0000FA130000}"/>
    <cellStyle name="60% - Accent6 20" xfId="2018" xr:uid="{00000000-0005-0000-0000-0000FB130000}"/>
    <cellStyle name="60% - Accent6 21" xfId="2019" xr:uid="{00000000-0005-0000-0000-0000FC130000}"/>
    <cellStyle name="60% - Accent6 22" xfId="2020" xr:uid="{00000000-0005-0000-0000-0000FD130000}"/>
    <cellStyle name="60% - Accent6 3" xfId="2021" xr:uid="{00000000-0005-0000-0000-0000FE130000}"/>
    <cellStyle name="60% - Accent6 3 2" xfId="2022" xr:uid="{00000000-0005-0000-0000-0000FF130000}"/>
    <cellStyle name="60% - Accent6 3 2 2" xfId="21449" xr:uid="{00000000-0005-0000-0000-000000140000}"/>
    <cellStyle name="60% - Accent6 3 3" xfId="2023" xr:uid="{00000000-0005-0000-0000-000001140000}"/>
    <cellStyle name="60% - Accent6 3 3 2" xfId="21450" xr:uid="{00000000-0005-0000-0000-000002140000}"/>
    <cellStyle name="60% - Accent6 3 4" xfId="21451" xr:uid="{00000000-0005-0000-0000-000003140000}"/>
    <cellStyle name="60% - Accent6 3 5" xfId="21448" xr:uid="{00000000-0005-0000-0000-000004140000}"/>
    <cellStyle name="60% - Accent6 4" xfId="2024" xr:uid="{00000000-0005-0000-0000-000005140000}"/>
    <cellStyle name="60% - Accent6 4 2" xfId="2025" xr:uid="{00000000-0005-0000-0000-000006140000}"/>
    <cellStyle name="60% - Accent6 4 2 2" xfId="21454" xr:uid="{00000000-0005-0000-0000-000007140000}"/>
    <cellStyle name="60% - Accent6 4 2 3" xfId="21453" xr:uid="{00000000-0005-0000-0000-000008140000}"/>
    <cellStyle name="60% - Accent6 4 3" xfId="2026" xr:uid="{00000000-0005-0000-0000-000009140000}"/>
    <cellStyle name="60% - Accent6 4 4" xfId="21452" xr:uid="{00000000-0005-0000-0000-00000A140000}"/>
    <cellStyle name="60% - Accent6 5" xfId="2027" xr:uid="{00000000-0005-0000-0000-00000B140000}"/>
    <cellStyle name="60% - Accent6 5 2" xfId="2028" xr:uid="{00000000-0005-0000-0000-00000C140000}"/>
    <cellStyle name="60% - Accent6 5 2 2" xfId="21456" xr:uid="{00000000-0005-0000-0000-00000D140000}"/>
    <cellStyle name="60% - Accent6 5 3" xfId="2029" xr:uid="{00000000-0005-0000-0000-00000E140000}"/>
    <cellStyle name="60% - Accent6 5 3 2" xfId="21457" xr:uid="{00000000-0005-0000-0000-00000F140000}"/>
    <cellStyle name="60% - Accent6 5 4" xfId="21455" xr:uid="{00000000-0005-0000-0000-000010140000}"/>
    <cellStyle name="60% - Accent6 6" xfId="21458" xr:uid="{00000000-0005-0000-0000-000011140000}"/>
    <cellStyle name="60% - Accent6 6 2" xfId="2030" xr:uid="{00000000-0005-0000-0000-000012140000}"/>
    <cellStyle name="60% - Accent6 6 3" xfId="2031" xr:uid="{00000000-0005-0000-0000-000013140000}"/>
    <cellStyle name="60% - Accent6 7" xfId="21459" xr:uid="{00000000-0005-0000-0000-000014140000}"/>
    <cellStyle name="60% - Accent6 7 2" xfId="2032" xr:uid="{00000000-0005-0000-0000-000015140000}"/>
    <cellStyle name="60% - Accent6 7 3" xfId="2033" xr:uid="{00000000-0005-0000-0000-000016140000}"/>
    <cellStyle name="60% - Accent6 8" xfId="21460" xr:uid="{00000000-0005-0000-0000-000017140000}"/>
    <cellStyle name="60% - Accent6 8 2" xfId="2034" xr:uid="{00000000-0005-0000-0000-000018140000}"/>
    <cellStyle name="60% - Accent6 8 3" xfId="2035" xr:uid="{00000000-0005-0000-0000-000019140000}"/>
    <cellStyle name="60% - Accent6 9" xfId="21461" xr:uid="{00000000-0005-0000-0000-00001A140000}"/>
    <cellStyle name="60% - Accent6 9 2" xfId="2036" xr:uid="{00000000-0005-0000-0000-00001B140000}"/>
    <cellStyle name="60% - Accent6 9 3" xfId="2037" xr:uid="{00000000-0005-0000-0000-00001C140000}"/>
    <cellStyle name="⁷潒慭彮䍃" xfId="21462" xr:uid="{00000000-0005-0000-0000-00001D140000}"/>
    <cellStyle name="A_green" xfId="21463" xr:uid="{00000000-0005-0000-0000-00001E140000}"/>
    <cellStyle name="A_green_NCSC1003" xfId="21464" xr:uid="{00000000-0005-0000-0000-00001F140000}"/>
    <cellStyle name="Accent1" xfId="44339" builtinId="29" customBuiltin="1"/>
    <cellStyle name="Accent1 - 20%" xfId="21465" xr:uid="{00000000-0005-0000-0000-000021140000}"/>
    <cellStyle name="Accent1 - 40%" xfId="21466" xr:uid="{00000000-0005-0000-0000-000022140000}"/>
    <cellStyle name="Accent1 - 60%" xfId="21467" xr:uid="{00000000-0005-0000-0000-000023140000}"/>
    <cellStyle name="Accent1 10" xfId="21468" xr:uid="{00000000-0005-0000-0000-000024140000}"/>
    <cellStyle name="Accent1 10 2" xfId="2038" xr:uid="{00000000-0005-0000-0000-000025140000}"/>
    <cellStyle name="Accent1 10 3" xfId="2039" xr:uid="{00000000-0005-0000-0000-000026140000}"/>
    <cellStyle name="Accent1 11" xfId="21469" xr:uid="{00000000-0005-0000-0000-000027140000}"/>
    <cellStyle name="Accent1 11 2" xfId="2040" xr:uid="{00000000-0005-0000-0000-000028140000}"/>
    <cellStyle name="Accent1 11 3" xfId="2041" xr:uid="{00000000-0005-0000-0000-000029140000}"/>
    <cellStyle name="Accent1 12" xfId="21470" xr:uid="{00000000-0005-0000-0000-00002A140000}"/>
    <cellStyle name="Accent1 12 2" xfId="2042" xr:uid="{00000000-0005-0000-0000-00002B140000}"/>
    <cellStyle name="Accent1 12 3" xfId="2043" xr:uid="{00000000-0005-0000-0000-00002C140000}"/>
    <cellStyle name="Accent1 13" xfId="21471" xr:uid="{00000000-0005-0000-0000-00002D140000}"/>
    <cellStyle name="Accent1 13 2" xfId="2044" xr:uid="{00000000-0005-0000-0000-00002E140000}"/>
    <cellStyle name="Accent1 13 3" xfId="2045" xr:uid="{00000000-0005-0000-0000-00002F140000}"/>
    <cellStyle name="Accent1 14" xfId="21472" xr:uid="{00000000-0005-0000-0000-000030140000}"/>
    <cellStyle name="Accent1 14 2" xfId="2046" xr:uid="{00000000-0005-0000-0000-000031140000}"/>
    <cellStyle name="Accent1 14 3" xfId="2047" xr:uid="{00000000-0005-0000-0000-000032140000}"/>
    <cellStyle name="Accent1 15" xfId="2048" xr:uid="{00000000-0005-0000-0000-000033140000}"/>
    <cellStyle name="Accent1 15 2" xfId="2049" xr:uid="{00000000-0005-0000-0000-000034140000}"/>
    <cellStyle name="Accent1 15 3" xfId="2050" xr:uid="{00000000-0005-0000-0000-000035140000}"/>
    <cellStyle name="Accent1 15 4" xfId="2051" xr:uid="{00000000-0005-0000-0000-000036140000}"/>
    <cellStyle name="Accent1 15 5" xfId="2052" xr:uid="{00000000-0005-0000-0000-000037140000}"/>
    <cellStyle name="Accent1 15 6" xfId="2053" xr:uid="{00000000-0005-0000-0000-000038140000}"/>
    <cellStyle name="Accent1 15 7" xfId="2054" xr:uid="{00000000-0005-0000-0000-000039140000}"/>
    <cellStyle name="Accent1 15 8" xfId="21473" xr:uid="{00000000-0005-0000-0000-00003A140000}"/>
    <cellStyle name="Accent1 16" xfId="2055" xr:uid="{00000000-0005-0000-0000-00003B140000}"/>
    <cellStyle name="Accent1 17" xfId="2056" xr:uid="{00000000-0005-0000-0000-00003C140000}"/>
    <cellStyle name="Accent1 18" xfId="2057" xr:uid="{00000000-0005-0000-0000-00003D140000}"/>
    <cellStyle name="Accent1 19" xfId="2058" xr:uid="{00000000-0005-0000-0000-00003E140000}"/>
    <cellStyle name="Accent1 2" xfId="2059" xr:uid="{00000000-0005-0000-0000-00003F140000}"/>
    <cellStyle name="Accent1 2 2" xfId="2060" xr:uid="{00000000-0005-0000-0000-000040140000}"/>
    <cellStyle name="Accent1 2 2 2" xfId="21475" xr:uid="{00000000-0005-0000-0000-000041140000}"/>
    <cellStyle name="Accent1 2 2 3" xfId="21476" xr:uid="{00000000-0005-0000-0000-000042140000}"/>
    <cellStyle name="Accent1 2 2 4" xfId="21474" xr:uid="{00000000-0005-0000-0000-000043140000}"/>
    <cellStyle name="Accent1 2 3" xfId="2061" xr:uid="{00000000-0005-0000-0000-000044140000}"/>
    <cellStyle name="Accent1 2 3 2" xfId="21478" xr:uid="{00000000-0005-0000-0000-000045140000}"/>
    <cellStyle name="Accent1 2 3 3" xfId="21477" xr:uid="{00000000-0005-0000-0000-000046140000}"/>
    <cellStyle name="Accent1 2 4" xfId="2062" xr:uid="{00000000-0005-0000-0000-000047140000}"/>
    <cellStyle name="Accent1 2 4 2" xfId="21479" xr:uid="{00000000-0005-0000-0000-000048140000}"/>
    <cellStyle name="Accent1 2 5" xfId="8083" xr:uid="{00000000-0005-0000-0000-000049140000}"/>
    <cellStyle name="Accent1 2 5 2" xfId="21480" xr:uid="{00000000-0005-0000-0000-00004A140000}"/>
    <cellStyle name="Accent1 2 6" xfId="21481" xr:uid="{00000000-0005-0000-0000-00004B140000}"/>
    <cellStyle name="Accent1 20" xfId="2063" xr:uid="{00000000-0005-0000-0000-00004C140000}"/>
    <cellStyle name="Accent1 21" xfId="2064" xr:uid="{00000000-0005-0000-0000-00004D140000}"/>
    <cellStyle name="Accent1 22" xfId="2065" xr:uid="{00000000-0005-0000-0000-00004E140000}"/>
    <cellStyle name="Accent1 3" xfId="2066" xr:uid="{00000000-0005-0000-0000-00004F140000}"/>
    <cellStyle name="Accent1 3 2" xfId="2067" xr:uid="{00000000-0005-0000-0000-000050140000}"/>
    <cellStyle name="Accent1 3 2 2" xfId="21483" xr:uid="{00000000-0005-0000-0000-000051140000}"/>
    <cellStyle name="Accent1 3 3" xfId="2068" xr:uid="{00000000-0005-0000-0000-000052140000}"/>
    <cellStyle name="Accent1 3 3 2" xfId="21485" xr:uid="{00000000-0005-0000-0000-000053140000}"/>
    <cellStyle name="Accent1 3 3 3" xfId="21484" xr:uid="{00000000-0005-0000-0000-000054140000}"/>
    <cellStyle name="Accent1 3 4" xfId="21486" xr:uid="{00000000-0005-0000-0000-000055140000}"/>
    <cellStyle name="Accent1 3 5" xfId="21482" xr:uid="{00000000-0005-0000-0000-000056140000}"/>
    <cellStyle name="Accent1 4" xfId="2069" xr:uid="{00000000-0005-0000-0000-000057140000}"/>
    <cellStyle name="Accent1 4 2" xfId="2070" xr:uid="{00000000-0005-0000-0000-000058140000}"/>
    <cellStyle name="Accent1 4 2 2" xfId="21489" xr:uid="{00000000-0005-0000-0000-000059140000}"/>
    <cellStyle name="Accent1 4 2 3" xfId="21488" xr:uid="{00000000-0005-0000-0000-00005A140000}"/>
    <cellStyle name="Accent1 4 3" xfId="2071" xr:uid="{00000000-0005-0000-0000-00005B140000}"/>
    <cellStyle name="Accent1 4 4" xfId="21487" xr:uid="{00000000-0005-0000-0000-00005C140000}"/>
    <cellStyle name="Accent1 5" xfId="2072" xr:uid="{00000000-0005-0000-0000-00005D140000}"/>
    <cellStyle name="Accent1 5 2" xfId="2073" xr:uid="{00000000-0005-0000-0000-00005E140000}"/>
    <cellStyle name="Accent1 5 2 2" xfId="21491" xr:uid="{00000000-0005-0000-0000-00005F140000}"/>
    <cellStyle name="Accent1 5 3" xfId="2074" xr:uid="{00000000-0005-0000-0000-000060140000}"/>
    <cellStyle name="Accent1 5 3 2" xfId="21492" xr:uid="{00000000-0005-0000-0000-000061140000}"/>
    <cellStyle name="Accent1 5 4" xfId="21490" xr:uid="{00000000-0005-0000-0000-000062140000}"/>
    <cellStyle name="Accent1 6" xfId="21493" xr:uid="{00000000-0005-0000-0000-000063140000}"/>
    <cellStyle name="Accent1 6 2" xfId="2075" xr:uid="{00000000-0005-0000-0000-000064140000}"/>
    <cellStyle name="Accent1 6 3" xfId="2076" xr:uid="{00000000-0005-0000-0000-000065140000}"/>
    <cellStyle name="Accent1 7" xfId="21494" xr:uid="{00000000-0005-0000-0000-000066140000}"/>
    <cellStyle name="Accent1 7 2" xfId="2077" xr:uid="{00000000-0005-0000-0000-000067140000}"/>
    <cellStyle name="Accent1 7 3" xfId="2078" xr:uid="{00000000-0005-0000-0000-000068140000}"/>
    <cellStyle name="Accent1 8" xfId="21495" xr:uid="{00000000-0005-0000-0000-000069140000}"/>
    <cellStyle name="Accent1 8 2" xfId="2079" xr:uid="{00000000-0005-0000-0000-00006A140000}"/>
    <cellStyle name="Accent1 8 3" xfId="2080" xr:uid="{00000000-0005-0000-0000-00006B140000}"/>
    <cellStyle name="Accent1 9" xfId="21496" xr:uid="{00000000-0005-0000-0000-00006C140000}"/>
    <cellStyle name="Accent1 9 2" xfId="2081" xr:uid="{00000000-0005-0000-0000-00006D140000}"/>
    <cellStyle name="Accent1 9 3" xfId="2082" xr:uid="{00000000-0005-0000-0000-00006E140000}"/>
    <cellStyle name="Accent2" xfId="44343" builtinId="33" customBuiltin="1"/>
    <cellStyle name="Accent2 - 20%" xfId="21497" xr:uid="{00000000-0005-0000-0000-000070140000}"/>
    <cellStyle name="Accent2 - 40%" xfId="21498" xr:uid="{00000000-0005-0000-0000-000071140000}"/>
    <cellStyle name="Accent2 - 60%" xfId="21499" xr:uid="{00000000-0005-0000-0000-000072140000}"/>
    <cellStyle name="Accent2 10" xfId="21500" xr:uid="{00000000-0005-0000-0000-000073140000}"/>
    <cellStyle name="Accent2 10 2" xfId="2083" xr:uid="{00000000-0005-0000-0000-000074140000}"/>
    <cellStyle name="Accent2 10 3" xfId="2084" xr:uid="{00000000-0005-0000-0000-000075140000}"/>
    <cellStyle name="Accent2 11" xfId="21501" xr:uid="{00000000-0005-0000-0000-000076140000}"/>
    <cellStyle name="Accent2 11 2" xfId="2085" xr:uid="{00000000-0005-0000-0000-000077140000}"/>
    <cellStyle name="Accent2 11 3" xfId="2086" xr:uid="{00000000-0005-0000-0000-000078140000}"/>
    <cellStyle name="Accent2 12" xfId="21502" xr:uid="{00000000-0005-0000-0000-000079140000}"/>
    <cellStyle name="Accent2 12 2" xfId="2087" xr:uid="{00000000-0005-0000-0000-00007A140000}"/>
    <cellStyle name="Accent2 12 3" xfId="2088" xr:uid="{00000000-0005-0000-0000-00007B140000}"/>
    <cellStyle name="Accent2 13" xfId="21503" xr:uid="{00000000-0005-0000-0000-00007C140000}"/>
    <cellStyle name="Accent2 13 2" xfId="2089" xr:uid="{00000000-0005-0000-0000-00007D140000}"/>
    <cellStyle name="Accent2 13 3" xfId="2090" xr:uid="{00000000-0005-0000-0000-00007E140000}"/>
    <cellStyle name="Accent2 14" xfId="21504" xr:uid="{00000000-0005-0000-0000-00007F140000}"/>
    <cellStyle name="Accent2 14 2" xfId="2091" xr:uid="{00000000-0005-0000-0000-000080140000}"/>
    <cellStyle name="Accent2 14 3" xfId="2092" xr:uid="{00000000-0005-0000-0000-000081140000}"/>
    <cellStyle name="Accent2 15" xfId="2093" xr:uid="{00000000-0005-0000-0000-000082140000}"/>
    <cellStyle name="Accent2 15 2" xfId="2094" xr:uid="{00000000-0005-0000-0000-000083140000}"/>
    <cellStyle name="Accent2 15 3" xfId="2095" xr:uid="{00000000-0005-0000-0000-000084140000}"/>
    <cellStyle name="Accent2 15 4" xfId="2096" xr:uid="{00000000-0005-0000-0000-000085140000}"/>
    <cellStyle name="Accent2 15 5" xfId="2097" xr:uid="{00000000-0005-0000-0000-000086140000}"/>
    <cellStyle name="Accent2 15 6" xfId="2098" xr:uid="{00000000-0005-0000-0000-000087140000}"/>
    <cellStyle name="Accent2 15 7" xfId="2099" xr:uid="{00000000-0005-0000-0000-000088140000}"/>
    <cellStyle name="Accent2 15 8" xfId="21505" xr:uid="{00000000-0005-0000-0000-000089140000}"/>
    <cellStyle name="Accent2 16" xfId="2100" xr:uid="{00000000-0005-0000-0000-00008A140000}"/>
    <cellStyle name="Accent2 17" xfId="2101" xr:uid="{00000000-0005-0000-0000-00008B140000}"/>
    <cellStyle name="Accent2 18" xfId="2102" xr:uid="{00000000-0005-0000-0000-00008C140000}"/>
    <cellStyle name="Accent2 19" xfId="2103" xr:uid="{00000000-0005-0000-0000-00008D140000}"/>
    <cellStyle name="Accent2 2" xfId="2104" xr:uid="{00000000-0005-0000-0000-00008E140000}"/>
    <cellStyle name="Accent2 2 2" xfId="2105" xr:uid="{00000000-0005-0000-0000-00008F140000}"/>
    <cellStyle name="Accent2 2 2 2" xfId="21507" xr:uid="{00000000-0005-0000-0000-000090140000}"/>
    <cellStyle name="Accent2 2 2 3" xfId="21508" xr:uid="{00000000-0005-0000-0000-000091140000}"/>
    <cellStyle name="Accent2 2 2 4" xfId="21506" xr:uid="{00000000-0005-0000-0000-000092140000}"/>
    <cellStyle name="Accent2 2 3" xfId="2106" xr:uid="{00000000-0005-0000-0000-000093140000}"/>
    <cellStyle name="Accent2 2 3 2" xfId="21510" xr:uid="{00000000-0005-0000-0000-000094140000}"/>
    <cellStyle name="Accent2 2 3 3" xfId="21509" xr:uid="{00000000-0005-0000-0000-000095140000}"/>
    <cellStyle name="Accent2 2 4" xfId="21511" xr:uid="{00000000-0005-0000-0000-000096140000}"/>
    <cellStyle name="Accent2 2 5" xfId="21512" xr:uid="{00000000-0005-0000-0000-000097140000}"/>
    <cellStyle name="Accent2 2 6" xfId="21513" xr:uid="{00000000-0005-0000-0000-000098140000}"/>
    <cellStyle name="Accent2 20" xfId="2107" xr:uid="{00000000-0005-0000-0000-000099140000}"/>
    <cellStyle name="Accent2 21" xfId="2108" xr:uid="{00000000-0005-0000-0000-00009A140000}"/>
    <cellStyle name="Accent2 22" xfId="2109" xr:uid="{00000000-0005-0000-0000-00009B140000}"/>
    <cellStyle name="Accent2 3" xfId="2110" xr:uid="{00000000-0005-0000-0000-00009C140000}"/>
    <cellStyle name="Accent2 3 2" xfId="2111" xr:uid="{00000000-0005-0000-0000-00009D140000}"/>
    <cellStyle name="Accent2 3 2 2" xfId="21515" xr:uid="{00000000-0005-0000-0000-00009E140000}"/>
    <cellStyle name="Accent2 3 2 3" xfId="21514" xr:uid="{00000000-0005-0000-0000-00009F140000}"/>
    <cellStyle name="Accent2 3 3" xfId="2112" xr:uid="{00000000-0005-0000-0000-0000A0140000}"/>
    <cellStyle name="Accent2 3 3 2" xfId="21516" xr:uid="{00000000-0005-0000-0000-0000A1140000}"/>
    <cellStyle name="Accent2 4" xfId="2113" xr:uid="{00000000-0005-0000-0000-0000A2140000}"/>
    <cellStyle name="Accent2 4 2" xfId="2114" xr:uid="{00000000-0005-0000-0000-0000A3140000}"/>
    <cellStyle name="Accent2 4 2 2" xfId="21518" xr:uid="{00000000-0005-0000-0000-0000A4140000}"/>
    <cellStyle name="Accent2 4 3" xfId="2115" xr:uid="{00000000-0005-0000-0000-0000A5140000}"/>
    <cellStyle name="Accent2 4 4" xfId="21517" xr:uid="{00000000-0005-0000-0000-0000A6140000}"/>
    <cellStyle name="Accent2 5" xfId="2116" xr:uid="{00000000-0005-0000-0000-0000A7140000}"/>
    <cellStyle name="Accent2 5 2" xfId="2117" xr:uid="{00000000-0005-0000-0000-0000A8140000}"/>
    <cellStyle name="Accent2 5 2 2" xfId="21520" xr:uid="{00000000-0005-0000-0000-0000A9140000}"/>
    <cellStyle name="Accent2 5 3" xfId="2118" xr:uid="{00000000-0005-0000-0000-0000AA140000}"/>
    <cellStyle name="Accent2 5 4" xfId="21519" xr:uid="{00000000-0005-0000-0000-0000AB140000}"/>
    <cellStyle name="Accent2 6" xfId="21521" xr:uid="{00000000-0005-0000-0000-0000AC140000}"/>
    <cellStyle name="Accent2 6 2" xfId="2119" xr:uid="{00000000-0005-0000-0000-0000AD140000}"/>
    <cellStyle name="Accent2 6 3" xfId="2120" xr:uid="{00000000-0005-0000-0000-0000AE140000}"/>
    <cellStyle name="Accent2 7" xfId="21522" xr:uid="{00000000-0005-0000-0000-0000AF140000}"/>
    <cellStyle name="Accent2 7 2" xfId="2121" xr:uid="{00000000-0005-0000-0000-0000B0140000}"/>
    <cellStyle name="Accent2 7 3" xfId="2122" xr:uid="{00000000-0005-0000-0000-0000B1140000}"/>
    <cellStyle name="Accent2 8" xfId="21523" xr:uid="{00000000-0005-0000-0000-0000B2140000}"/>
    <cellStyle name="Accent2 8 2" xfId="2123" xr:uid="{00000000-0005-0000-0000-0000B3140000}"/>
    <cellStyle name="Accent2 8 3" xfId="2124" xr:uid="{00000000-0005-0000-0000-0000B4140000}"/>
    <cellStyle name="Accent2 9" xfId="21524" xr:uid="{00000000-0005-0000-0000-0000B5140000}"/>
    <cellStyle name="Accent2 9 2" xfId="2125" xr:uid="{00000000-0005-0000-0000-0000B6140000}"/>
    <cellStyle name="Accent2 9 3" xfId="2126" xr:uid="{00000000-0005-0000-0000-0000B7140000}"/>
    <cellStyle name="Accent3" xfId="44347" builtinId="37" customBuiltin="1"/>
    <cellStyle name="Accent3 - 20%" xfId="21525" xr:uid="{00000000-0005-0000-0000-0000B9140000}"/>
    <cellStyle name="Accent3 - 40%" xfId="21526" xr:uid="{00000000-0005-0000-0000-0000BA140000}"/>
    <cellStyle name="Accent3 - 60%" xfId="21527" xr:uid="{00000000-0005-0000-0000-0000BB140000}"/>
    <cellStyle name="Accent3 10" xfId="21528" xr:uid="{00000000-0005-0000-0000-0000BC140000}"/>
    <cellStyle name="Accent3 10 2" xfId="2127" xr:uid="{00000000-0005-0000-0000-0000BD140000}"/>
    <cellStyle name="Accent3 10 3" xfId="2128" xr:uid="{00000000-0005-0000-0000-0000BE140000}"/>
    <cellStyle name="Accent3 11" xfId="21529" xr:uid="{00000000-0005-0000-0000-0000BF140000}"/>
    <cellStyle name="Accent3 11 2" xfId="2129" xr:uid="{00000000-0005-0000-0000-0000C0140000}"/>
    <cellStyle name="Accent3 11 3" xfId="2130" xr:uid="{00000000-0005-0000-0000-0000C1140000}"/>
    <cellStyle name="Accent3 12" xfId="21530" xr:uid="{00000000-0005-0000-0000-0000C2140000}"/>
    <cellStyle name="Accent3 12 2" xfId="2131" xr:uid="{00000000-0005-0000-0000-0000C3140000}"/>
    <cellStyle name="Accent3 12 3" xfId="2132" xr:uid="{00000000-0005-0000-0000-0000C4140000}"/>
    <cellStyle name="Accent3 13" xfId="21531" xr:uid="{00000000-0005-0000-0000-0000C5140000}"/>
    <cellStyle name="Accent3 13 2" xfId="2133" xr:uid="{00000000-0005-0000-0000-0000C6140000}"/>
    <cellStyle name="Accent3 13 3" xfId="2134" xr:uid="{00000000-0005-0000-0000-0000C7140000}"/>
    <cellStyle name="Accent3 14" xfId="21532" xr:uid="{00000000-0005-0000-0000-0000C8140000}"/>
    <cellStyle name="Accent3 14 2" xfId="2135" xr:uid="{00000000-0005-0000-0000-0000C9140000}"/>
    <cellStyle name="Accent3 14 3" xfId="2136" xr:uid="{00000000-0005-0000-0000-0000CA140000}"/>
    <cellStyle name="Accent3 15" xfId="2137" xr:uid="{00000000-0005-0000-0000-0000CB140000}"/>
    <cellStyle name="Accent3 15 2" xfId="2138" xr:uid="{00000000-0005-0000-0000-0000CC140000}"/>
    <cellStyle name="Accent3 15 3" xfId="2139" xr:uid="{00000000-0005-0000-0000-0000CD140000}"/>
    <cellStyle name="Accent3 15 4" xfId="2140" xr:uid="{00000000-0005-0000-0000-0000CE140000}"/>
    <cellStyle name="Accent3 15 5" xfId="2141" xr:uid="{00000000-0005-0000-0000-0000CF140000}"/>
    <cellStyle name="Accent3 15 6" xfId="2142" xr:uid="{00000000-0005-0000-0000-0000D0140000}"/>
    <cellStyle name="Accent3 15 7" xfId="2143" xr:uid="{00000000-0005-0000-0000-0000D1140000}"/>
    <cellStyle name="Accent3 15 8" xfId="21533" xr:uid="{00000000-0005-0000-0000-0000D2140000}"/>
    <cellStyle name="Accent3 16" xfId="2144" xr:uid="{00000000-0005-0000-0000-0000D3140000}"/>
    <cellStyle name="Accent3 17" xfId="2145" xr:uid="{00000000-0005-0000-0000-0000D4140000}"/>
    <cellStyle name="Accent3 18" xfId="2146" xr:uid="{00000000-0005-0000-0000-0000D5140000}"/>
    <cellStyle name="Accent3 19" xfId="2147" xr:uid="{00000000-0005-0000-0000-0000D6140000}"/>
    <cellStyle name="Accent3 2" xfId="2148" xr:uid="{00000000-0005-0000-0000-0000D7140000}"/>
    <cellStyle name="Accent3 2 2" xfId="2149" xr:uid="{00000000-0005-0000-0000-0000D8140000}"/>
    <cellStyle name="Accent3 2 2 2" xfId="21535" xr:uid="{00000000-0005-0000-0000-0000D9140000}"/>
    <cellStyle name="Accent3 2 2 3" xfId="21536" xr:uid="{00000000-0005-0000-0000-0000DA140000}"/>
    <cellStyle name="Accent3 2 2 4" xfId="21534" xr:uid="{00000000-0005-0000-0000-0000DB140000}"/>
    <cellStyle name="Accent3 2 3" xfId="2150" xr:uid="{00000000-0005-0000-0000-0000DC140000}"/>
    <cellStyle name="Accent3 2 3 2" xfId="21538" xr:uid="{00000000-0005-0000-0000-0000DD140000}"/>
    <cellStyle name="Accent3 2 3 3" xfId="21537" xr:uid="{00000000-0005-0000-0000-0000DE140000}"/>
    <cellStyle name="Accent3 2 4" xfId="21539" xr:uid="{00000000-0005-0000-0000-0000DF140000}"/>
    <cellStyle name="Accent3 2 5" xfId="21540" xr:uid="{00000000-0005-0000-0000-0000E0140000}"/>
    <cellStyle name="Accent3 2 6" xfId="21541" xr:uid="{00000000-0005-0000-0000-0000E1140000}"/>
    <cellStyle name="Accent3 20" xfId="2151" xr:uid="{00000000-0005-0000-0000-0000E2140000}"/>
    <cellStyle name="Accent3 21" xfId="2152" xr:uid="{00000000-0005-0000-0000-0000E3140000}"/>
    <cellStyle name="Accent3 22" xfId="2153" xr:uid="{00000000-0005-0000-0000-0000E4140000}"/>
    <cellStyle name="Accent3 3" xfId="2154" xr:uid="{00000000-0005-0000-0000-0000E5140000}"/>
    <cellStyle name="Accent3 3 2" xfId="2155" xr:uid="{00000000-0005-0000-0000-0000E6140000}"/>
    <cellStyle name="Accent3 3 2 2" xfId="21543" xr:uid="{00000000-0005-0000-0000-0000E7140000}"/>
    <cellStyle name="Accent3 3 2 3" xfId="21542" xr:uid="{00000000-0005-0000-0000-0000E8140000}"/>
    <cellStyle name="Accent3 3 3" xfId="2156" xr:uid="{00000000-0005-0000-0000-0000E9140000}"/>
    <cellStyle name="Accent3 3 3 2" xfId="21544" xr:uid="{00000000-0005-0000-0000-0000EA140000}"/>
    <cellStyle name="Accent3 4" xfId="2157" xr:uid="{00000000-0005-0000-0000-0000EB140000}"/>
    <cellStyle name="Accent3 4 2" xfId="2158" xr:uid="{00000000-0005-0000-0000-0000EC140000}"/>
    <cellStyle name="Accent3 4 2 2" xfId="21546" xr:uid="{00000000-0005-0000-0000-0000ED140000}"/>
    <cellStyle name="Accent3 4 3" xfId="2159" xr:uid="{00000000-0005-0000-0000-0000EE140000}"/>
    <cellStyle name="Accent3 4 4" xfId="21545" xr:uid="{00000000-0005-0000-0000-0000EF140000}"/>
    <cellStyle name="Accent3 5" xfId="2160" xr:uid="{00000000-0005-0000-0000-0000F0140000}"/>
    <cellStyle name="Accent3 5 2" xfId="2161" xr:uid="{00000000-0005-0000-0000-0000F1140000}"/>
    <cellStyle name="Accent3 5 2 2" xfId="21548" xr:uid="{00000000-0005-0000-0000-0000F2140000}"/>
    <cellStyle name="Accent3 5 3" xfId="2162" xr:uid="{00000000-0005-0000-0000-0000F3140000}"/>
    <cellStyle name="Accent3 5 4" xfId="21547" xr:uid="{00000000-0005-0000-0000-0000F4140000}"/>
    <cellStyle name="Accent3 6" xfId="21549" xr:uid="{00000000-0005-0000-0000-0000F5140000}"/>
    <cellStyle name="Accent3 6 2" xfId="2163" xr:uid="{00000000-0005-0000-0000-0000F6140000}"/>
    <cellStyle name="Accent3 6 3" xfId="2164" xr:uid="{00000000-0005-0000-0000-0000F7140000}"/>
    <cellStyle name="Accent3 7" xfId="21550" xr:uid="{00000000-0005-0000-0000-0000F8140000}"/>
    <cellStyle name="Accent3 7 2" xfId="2165" xr:uid="{00000000-0005-0000-0000-0000F9140000}"/>
    <cellStyle name="Accent3 7 3" xfId="2166" xr:uid="{00000000-0005-0000-0000-0000FA140000}"/>
    <cellStyle name="Accent3 8" xfId="21551" xr:uid="{00000000-0005-0000-0000-0000FB140000}"/>
    <cellStyle name="Accent3 8 2" xfId="2167" xr:uid="{00000000-0005-0000-0000-0000FC140000}"/>
    <cellStyle name="Accent3 8 3" xfId="2168" xr:uid="{00000000-0005-0000-0000-0000FD140000}"/>
    <cellStyle name="Accent3 9" xfId="21552" xr:uid="{00000000-0005-0000-0000-0000FE140000}"/>
    <cellStyle name="Accent3 9 2" xfId="2169" xr:uid="{00000000-0005-0000-0000-0000FF140000}"/>
    <cellStyle name="Accent3 9 3" xfId="2170" xr:uid="{00000000-0005-0000-0000-000000150000}"/>
    <cellStyle name="Accent4" xfId="44351" builtinId="41" customBuiltin="1"/>
    <cellStyle name="Accent4 - 20%" xfId="21553" xr:uid="{00000000-0005-0000-0000-000002150000}"/>
    <cellStyle name="Accent4 - 40%" xfId="21554" xr:uid="{00000000-0005-0000-0000-000003150000}"/>
    <cellStyle name="Accent4 - 60%" xfId="21555" xr:uid="{00000000-0005-0000-0000-000004150000}"/>
    <cellStyle name="Accent4 10" xfId="21556" xr:uid="{00000000-0005-0000-0000-000005150000}"/>
    <cellStyle name="Accent4 10 2" xfId="2171" xr:uid="{00000000-0005-0000-0000-000006150000}"/>
    <cellStyle name="Accent4 10 3" xfId="2172" xr:uid="{00000000-0005-0000-0000-000007150000}"/>
    <cellStyle name="Accent4 11" xfId="21557" xr:uid="{00000000-0005-0000-0000-000008150000}"/>
    <cellStyle name="Accent4 11 2" xfId="2173" xr:uid="{00000000-0005-0000-0000-000009150000}"/>
    <cellStyle name="Accent4 11 3" xfId="2174" xr:uid="{00000000-0005-0000-0000-00000A150000}"/>
    <cellStyle name="Accent4 12" xfId="21558" xr:uid="{00000000-0005-0000-0000-00000B150000}"/>
    <cellStyle name="Accent4 12 2" xfId="2175" xr:uid="{00000000-0005-0000-0000-00000C150000}"/>
    <cellStyle name="Accent4 12 3" xfId="2176" xr:uid="{00000000-0005-0000-0000-00000D150000}"/>
    <cellStyle name="Accent4 13" xfId="21559" xr:uid="{00000000-0005-0000-0000-00000E150000}"/>
    <cellStyle name="Accent4 13 2" xfId="2177" xr:uid="{00000000-0005-0000-0000-00000F150000}"/>
    <cellStyle name="Accent4 13 3" xfId="2178" xr:uid="{00000000-0005-0000-0000-000010150000}"/>
    <cellStyle name="Accent4 14" xfId="21560" xr:uid="{00000000-0005-0000-0000-000011150000}"/>
    <cellStyle name="Accent4 14 2" xfId="2179" xr:uid="{00000000-0005-0000-0000-000012150000}"/>
    <cellStyle name="Accent4 14 3" xfId="2180" xr:uid="{00000000-0005-0000-0000-000013150000}"/>
    <cellStyle name="Accent4 15" xfId="2181" xr:uid="{00000000-0005-0000-0000-000014150000}"/>
    <cellStyle name="Accent4 15 2" xfId="2182" xr:uid="{00000000-0005-0000-0000-000015150000}"/>
    <cellStyle name="Accent4 15 3" xfId="2183" xr:uid="{00000000-0005-0000-0000-000016150000}"/>
    <cellStyle name="Accent4 15 4" xfId="2184" xr:uid="{00000000-0005-0000-0000-000017150000}"/>
    <cellStyle name="Accent4 15 5" xfId="2185" xr:uid="{00000000-0005-0000-0000-000018150000}"/>
    <cellStyle name="Accent4 15 6" xfId="2186" xr:uid="{00000000-0005-0000-0000-000019150000}"/>
    <cellStyle name="Accent4 15 7" xfId="2187" xr:uid="{00000000-0005-0000-0000-00001A150000}"/>
    <cellStyle name="Accent4 15 8" xfId="21561" xr:uid="{00000000-0005-0000-0000-00001B150000}"/>
    <cellStyle name="Accent4 16" xfId="2188" xr:uid="{00000000-0005-0000-0000-00001C150000}"/>
    <cellStyle name="Accent4 17" xfId="2189" xr:uid="{00000000-0005-0000-0000-00001D150000}"/>
    <cellStyle name="Accent4 18" xfId="2190" xr:uid="{00000000-0005-0000-0000-00001E150000}"/>
    <cellStyle name="Accent4 19" xfId="2191" xr:uid="{00000000-0005-0000-0000-00001F150000}"/>
    <cellStyle name="Accent4 2" xfId="2192" xr:uid="{00000000-0005-0000-0000-000020150000}"/>
    <cellStyle name="Accent4 2 2" xfId="2193" xr:uid="{00000000-0005-0000-0000-000021150000}"/>
    <cellStyle name="Accent4 2 2 2" xfId="21563" xr:uid="{00000000-0005-0000-0000-000022150000}"/>
    <cellStyle name="Accent4 2 2 3" xfId="21564" xr:uid="{00000000-0005-0000-0000-000023150000}"/>
    <cellStyle name="Accent4 2 2 4" xfId="21562" xr:uid="{00000000-0005-0000-0000-000024150000}"/>
    <cellStyle name="Accent4 2 3" xfId="2194" xr:uid="{00000000-0005-0000-0000-000025150000}"/>
    <cellStyle name="Accent4 2 3 2" xfId="21566" xr:uid="{00000000-0005-0000-0000-000026150000}"/>
    <cellStyle name="Accent4 2 3 3" xfId="21565" xr:uid="{00000000-0005-0000-0000-000027150000}"/>
    <cellStyle name="Accent4 2 4" xfId="2195" xr:uid="{00000000-0005-0000-0000-000028150000}"/>
    <cellStyle name="Accent4 2 4 2" xfId="21567" xr:uid="{00000000-0005-0000-0000-000029150000}"/>
    <cellStyle name="Accent4 2 5" xfId="8084" xr:uid="{00000000-0005-0000-0000-00002A150000}"/>
    <cellStyle name="Accent4 2 5 2" xfId="21568" xr:uid="{00000000-0005-0000-0000-00002B150000}"/>
    <cellStyle name="Accent4 2 6" xfId="21569" xr:uid="{00000000-0005-0000-0000-00002C150000}"/>
    <cellStyle name="Accent4 20" xfId="2196" xr:uid="{00000000-0005-0000-0000-00002D150000}"/>
    <cellStyle name="Accent4 21" xfId="2197" xr:uid="{00000000-0005-0000-0000-00002E150000}"/>
    <cellStyle name="Accent4 22" xfId="2198" xr:uid="{00000000-0005-0000-0000-00002F150000}"/>
    <cellStyle name="Accent4 3" xfId="2199" xr:uid="{00000000-0005-0000-0000-000030150000}"/>
    <cellStyle name="Accent4 3 2" xfId="2200" xr:uid="{00000000-0005-0000-0000-000031150000}"/>
    <cellStyle name="Accent4 3 2 2" xfId="21571" xr:uid="{00000000-0005-0000-0000-000032150000}"/>
    <cellStyle name="Accent4 3 3" xfId="2201" xr:uid="{00000000-0005-0000-0000-000033150000}"/>
    <cellStyle name="Accent4 3 3 2" xfId="21573" xr:uid="{00000000-0005-0000-0000-000034150000}"/>
    <cellStyle name="Accent4 3 3 3" xfId="21572" xr:uid="{00000000-0005-0000-0000-000035150000}"/>
    <cellStyle name="Accent4 3 4" xfId="21574" xr:uid="{00000000-0005-0000-0000-000036150000}"/>
    <cellStyle name="Accent4 3 5" xfId="21570" xr:uid="{00000000-0005-0000-0000-000037150000}"/>
    <cellStyle name="Accent4 4" xfId="2202" xr:uid="{00000000-0005-0000-0000-000038150000}"/>
    <cellStyle name="Accent4 4 2" xfId="2203" xr:uid="{00000000-0005-0000-0000-000039150000}"/>
    <cellStyle name="Accent4 4 2 2" xfId="21577" xr:uid="{00000000-0005-0000-0000-00003A150000}"/>
    <cellStyle name="Accent4 4 2 3" xfId="21576" xr:uid="{00000000-0005-0000-0000-00003B150000}"/>
    <cellStyle name="Accent4 4 3" xfId="2204" xr:uid="{00000000-0005-0000-0000-00003C150000}"/>
    <cellStyle name="Accent4 4 4" xfId="21575" xr:uid="{00000000-0005-0000-0000-00003D150000}"/>
    <cellStyle name="Accent4 5" xfId="2205" xr:uid="{00000000-0005-0000-0000-00003E150000}"/>
    <cellStyle name="Accent4 5 2" xfId="2206" xr:uid="{00000000-0005-0000-0000-00003F150000}"/>
    <cellStyle name="Accent4 5 2 2" xfId="21579" xr:uid="{00000000-0005-0000-0000-000040150000}"/>
    <cellStyle name="Accent4 5 3" xfId="2207" xr:uid="{00000000-0005-0000-0000-000041150000}"/>
    <cellStyle name="Accent4 5 3 2" xfId="21580" xr:uid="{00000000-0005-0000-0000-000042150000}"/>
    <cellStyle name="Accent4 5 4" xfId="21578" xr:uid="{00000000-0005-0000-0000-000043150000}"/>
    <cellStyle name="Accent4 6" xfId="21581" xr:uid="{00000000-0005-0000-0000-000044150000}"/>
    <cellStyle name="Accent4 6 2" xfId="2208" xr:uid="{00000000-0005-0000-0000-000045150000}"/>
    <cellStyle name="Accent4 6 3" xfId="2209" xr:uid="{00000000-0005-0000-0000-000046150000}"/>
    <cellStyle name="Accent4 7" xfId="21582" xr:uid="{00000000-0005-0000-0000-000047150000}"/>
    <cellStyle name="Accent4 7 2" xfId="2210" xr:uid="{00000000-0005-0000-0000-000048150000}"/>
    <cellStyle name="Accent4 7 3" xfId="2211" xr:uid="{00000000-0005-0000-0000-000049150000}"/>
    <cellStyle name="Accent4 8" xfId="21583" xr:uid="{00000000-0005-0000-0000-00004A150000}"/>
    <cellStyle name="Accent4 8 2" xfId="2212" xr:uid="{00000000-0005-0000-0000-00004B150000}"/>
    <cellStyle name="Accent4 8 3" xfId="2213" xr:uid="{00000000-0005-0000-0000-00004C150000}"/>
    <cellStyle name="Accent4 9" xfId="21584" xr:uid="{00000000-0005-0000-0000-00004D150000}"/>
    <cellStyle name="Accent4 9 2" xfId="2214" xr:uid="{00000000-0005-0000-0000-00004E150000}"/>
    <cellStyle name="Accent4 9 3" xfId="2215" xr:uid="{00000000-0005-0000-0000-00004F150000}"/>
    <cellStyle name="Accent5" xfId="44355" builtinId="45" customBuiltin="1"/>
    <cellStyle name="Accent5 - 20%" xfId="21585" xr:uid="{00000000-0005-0000-0000-000051150000}"/>
    <cellStyle name="Accent5 - 40%" xfId="21586" xr:uid="{00000000-0005-0000-0000-000052150000}"/>
    <cellStyle name="Accent5 - 60%" xfId="21587" xr:uid="{00000000-0005-0000-0000-000053150000}"/>
    <cellStyle name="Accent5 10" xfId="21588" xr:uid="{00000000-0005-0000-0000-000054150000}"/>
    <cellStyle name="Accent5 10 2" xfId="2216" xr:uid="{00000000-0005-0000-0000-000055150000}"/>
    <cellStyle name="Accent5 10 3" xfId="2217" xr:uid="{00000000-0005-0000-0000-000056150000}"/>
    <cellStyle name="Accent5 11" xfId="21589" xr:uid="{00000000-0005-0000-0000-000057150000}"/>
    <cellStyle name="Accent5 11 2" xfId="2218" xr:uid="{00000000-0005-0000-0000-000058150000}"/>
    <cellStyle name="Accent5 11 3" xfId="2219" xr:uid="{00000000-0005-0000-0000-000059150000}"/>
    <cellStyle name="Accent5 12" xfId="21590" xr:uid="{00000000-0005-0000-0000-00005A150000}"/>
    <cellStyle name="Accent5 12 2" xfId="2220" xr:uid="{00000000-0005-0000-0000-00005B150000}"/>
    <cellStyle name="Accent5 12 3" xfId="2221" xr:uid="{00000000-0005-0000-0000-00005C150000}"/>
    <cellStyle name="Accent5 13" xfId="21591" xr:uid="{00000000-0005-0000-0000-00005D150000}"/>
    <cellStyle name="Accent5 13 2" xfId="2222" xr:uid="{00000000-0005-0000-0000-00005E150000}"/>
    <cellStyle name="Accent5 13 3" xfId="2223" xr:uid="{00000000-0005-0000-0000-00005F150000}"/>
    <cellStyle name="Accent5 14" xfId="21592" xr:uid="{00000000-0005-0000-0000-000060150000}"/>
    <cellStyle name="Accent5 14 2" xfId="2224" xr:uid="{00000000-0005-0000-0000-000061150000}"/>
    <cellStyle name="Accent5 14 3" xfId="2225" xr:uid="{00000000-0005-0000-0000-000062150000}"/>
    <cellStyle name="Accent5 15" xfId="2226" xr:uid="{00000000-0005-0000-0000-000063150000}"/>
    <cellStyle name="Accent5 15 2" xfId="2227" xr:uid="{00000000-0005-0000-0000-000064150000}"/>
    <cellStyle name="Accent5 15 3" xfId="2228" xr:uid="{00000000-0005-0000-0000-000065150000}"/>
    <cellStyle name="Accent5 15 4" xfId="2229" xr:uid="{00000000-0005-0000-0000-000066150000}"/>
    <cellStyle name="Accent5 15 5" xfId="2230" xr:uid="{00000000-0005-0000-0000-000067150000}"/>
    <cellStyle name="Accent5 15 6" xfId="2231" xr:uid="{00000000-0005-0000-0000-000068150000}"/>
    <cellStyle name="Accent5 15 7" xfId="2232" xr:uid="{00000000-0005-0000-0000-000069150000}"/>
    <cellStyle name="Accent5 15 8" xfId="21593" xr:uid="{00000000-0005-0000-0000-00006A150000}"/>
    <cellStyle name="Accent5 16" xfId="2233" xr:uid="{00000000-0005-0000-0000-00006B150000}"/>
    <cellStyle name="Accent5 17" xfId="2234" xr:uid="{00000000-0005-0000-0000-00006C150000}"/>
    <cellStyle name="Accent5 18" xfId="2235" xr:uid="{00000000-0005-0000-0000-00006D150000}"/>
    <cellStyle name="Accent5 19" xfId="2236" xr:uid="{00000000-0005-0000-0000-00006E150000}"/>
    <cellStyle name="Accent5 2" xfId="2237" xr:uid="{00000000-0005-0000-0000-00006F150000}"/>
    <cellStyle name="Accent5 2 2" xfId="2238" xr:uid="{00000000-0005-0000-0000-000070150000}"/>
    <cellStyle name="Accent5 2 2 2" xfId="21595" xr:uid="{00000000-0005-0000-0000-000071150000}"/>
    <cellStyle name="Accent5 2 2 3" xfId="21596" xr:uid="{00000000-0005-0000-0000-000072150000}"/>
    <cellStyle name="Accent5 2 2 4" xfId="21594" xr:uid="{00000000-0005-0000-0000-000073150000}"/>
    <cellStyle name="Accent5 2 3" xfId="2239" xr:uid="{00000000-0005-0000-0000-000074150000}"/>
    <cellStyle name="Accent5 2 3 2" xfId="21597" xr:uid="{00000000-0005-0000-0000-000075150000}"/>
    <cellStyle name="Accent5 2 4" xfId="21598" xr:uid="{00000000-0005-0000-0000-000076150000}"/>
    <cellStyle name="Accent5 2 5" xfId="21599" xr:uid="{00000000-0005-0000-0000-000077150000}"/>
    <cellStyle name="Accent5 2 6" xfId="21600" xr:uid="{00000000-0005-0000-0000-000078150000}"/>
    <cellStyle name="Accent5 20" xfId="2240" xr:uid="{00000000-0005-0000-0000-000079150000}"/>
    <cellStyle name="Accent5 21" xfId="2241" xr:uid="{00000000-0005-0000-0000-00007A150000}"/>
    <cellStyle name="Accent5 22" xfId="2242" xr:uid="{00000000-0005-0000-0000-00007B150000}"/>
    <cellStyle name="Accent5 3" xfId="2243" xr:uid="{00000000-0005-0000-0000-00007C150000}"/>
    <cellStyle name="Accent5 3 2" xfId="2244" xr:uid="{00000000-0005-0000-0000-00007D150000}"/>
    <cellStyle name="Accent5 3 2 2" xfId="21602" xr:uid="{00000000-0005-0000-0000-00007E150000}"/>
    <cellStyle name="Accent5 3 2 3" xfId="21601" xr:uid="{00000000-0005-0000-0000-00007F150000}"/>
    <cellStyle name="Accent5 3 3" xfId="2245" xr:uid="{00000000-0005-0000-0000-000080150000}"/>
    <cellStyle name="Accent5 4" xfId="2246" xr:uid="{00000000-0005-0000-0000-000081150000}"/>
    <cellStyle name="Accent5 4 2" xfId="2247" xr:uid="{00000000-0005-0000-0000-000082150000}"/>
    <cellStyle name="Accent5 4 2 2" xfId="21604" xr:uid="{00000000-0005-0000-0000-000083150000}"/>
    <cellStyle name="Accent5 4 3" xfId="2248" xr:uid="{00000000-0005-0000-0000-000084150000}"/>
    <cellStyle name="Accent5 4 4" xfId="21603" xr:uid="{00000000-0005-0000-0000-000085150000}"/>
    <cellStyle name="Accent5 5" xfId="2249" xr:uid="{00000000-0005-0000-0000-000086150000}"/>
    <cellStyle name="Accent5 5 2" xfId="2250" xr:uid="{00000000-0005-0000-0000-000087150000}"/>
    <cellStyle name="Accent5 5 2 2" xfId="21606" xr:uid="{00000000-0005-0000-0000-000088150000}"/>
    <cellStyle name="Accent5 5 3" xfId="2251" xr:uid="{00000000-0005-0000-0000-000089150000}"/>
    <cellStyle name="Accent5 5 4" xfId="21605" xr:uid="{00000000-0005-0000-0000-00008A150000}"/>
    <cellStyle name="Accent5 6" xfId="21607" xr:uid="{00000000-0005-0000-0000-00008B150000}"/>
    <cellStyle name="Accent5 6 2" xfId="2252" xr:uid="{00000000-0005-0000-0000-00008C150000}"/>
    <cellStyle name="Accent5 6 3" xfId="2253" xr:uid="{00000000-0005-0000-0000-00008D150000}"/>
    <cellStyle name="Accent5 7" xfId="21608" xr:uid="{00000000-0005-0000-0000-00008E150000}"/>
    <cellStyle name="Accent5 7 2" xfId="2254" xr:uid="{00000000-0005-0000-0000-00008F150000}"/>
    <cellStyle name="Accent5 7 3" xfId="2255" xr:uid="{00000000-0005-0000-0000-000090150000}"/>
    <cellStyle name="Accent5 8" xfId="21609" xr:uid="{00000000-0005-0000-0000-000091150000}"/>
    <cellStyle name="Accent5 8 2" xfId="2256" xr:uid="{00000000-0005-0000-0000-000092150000}"/>
    <cellStyle name="Accent5 8 3" xfId="2257" xr:uid="{00000000-0005-0000-0000-000093150000}"/>
    <cellStyle name="Accent5 9" xfId="21610" xr:uid="{00000000-0005-0000-0000-000094150000}"/>
    <cellStyle name="Accent5 9 2" xfId="2258" xr:uid="{00000000-0005-0000-0000-000095150000}"/>
    <cellStyle name="Accent5 9 3" xfId="2259" xr:uid="{00000000-0005-0000-0000-000096150000}"/>
    <cellStyle name="Accent6" xfId="44359" builtinId="49" customBuiltin="1"/>
    <cellStyle name="Accent6 - 20%" xfId="21611" xr:uid="{00000000-0005-0000-0000-000098150000}"/>
    <cellStyle name="Accent6 - 40%" xfId="21612" xr:uid="{00000000-0005-0000-0000-000099150000}"/>
    <cellStyle name="Accent6 - 60%" xfId="21613" xr:uid="{00000000-0005-0000-0000-00009A150000}"/>
    <cellStyle name="Accent6 10" xfId="21614" xr:uid="{00000000-0005-0000-0000-00009B150000}"/>
    <cellStyle name="Accent6 10 2" xfId="2260" xr:uid="{00000000-0005-0000-0000-00009C150000}"/>
    <cellStyle name="Accent6 10 3" xfId="2261" xr:uid="{00000000-0005-0000-0000-00009D150000}"/>
    <cellStyle name="Accent6 11" xfId="21615" xr:uid="{00000000-0005-0000-0000-00009E150000}"/>
    <cellStyle name="Accent6 11 2" xfId="2262" xr:uid="{00000000-0005-0000-0000-00009F150000}"/>
    <cellStyle name="Accent6 11 3" xfId="2263" xr:uid="{00000000-0005-0000-0000-0000A0150000}"/>
    <cellStyle name="Accent6 12" xfId="21616" xr:uid="{00000000-0005-0000-0000-0000A1150000}"/>
    <cellStyle name="Accent6 12 2" xfId="2264" xr:uid="{00000000-0005-0000-0000-0000A2150000}"/>
    <cellStyle name="Accent6 12 3" xfId="2265" xr:uid="{00000000-0005-0000-0000-0000A3150000}"/>
    <cellStyle name="Accent6 13" xfId="21617" xr:uid="{00000000-0005-0000-0000-0000A4150000}"/>
    <cellStyle name="Accent6 13 2" xfId="2266" xr:uid="{00000000-0005-0000-0000-0000A5150000}"/>
    <cellStyle name="Accent6 13 3" xfId="2267" xr:uid="{00000000-0005-0000-0000-0000A6150000}"/>
    <cellStyle name="Accent6 14" xfId="21618" xr:uid="{00000000-0005-0000-0000-0000A7150000}"/>
    <cellStyle name="Accent6 14 2" xfId="2268" xr:uid="{00000000-0005-0000-0000-0000A8150000}"/>
    <cellStyle name="Accent6 14 3" xfId="2269" xr:uid="{00000000-0005-0000-0000-0000A9150000}"/>
    <cellStyle name="Accent6 15" xfId="2270" xr:uid="{00000000-0005-0000-0000-0000AA150000}"/>
    <cellStyle name="Accent6 15 2" xfId="2271" xr:uid="{00000000-0005-0000-0000-0000AB150000}"/>
    <cellStyle name="Accent6 15 3" xfId="2272" xr:uid="{00000000-0005-0000-0000-0000AC150000}"/>
    <cellStyle name="Accent6 15 4" xfId="2273" xr:uid="{00000000-0005-0000-0000-0000AD150000}"/>
    <cellStyle name="Accent6 15 5" xfId="2274" xr:uid="{00000000-0005-0000-0000-0000AE150000}"/>
    <cellStyle name="Accent6 15 6" xfId="2275" xr:uid="{00000000-0005-0000-0000-0000AF150000}"/>
    <cellStyle name="Accent6 15 7" xfId="2276" xr:uid="{00000000-0005-0000-0000-0000B0150000}"/>
    <cellStyle name="Accent6 15 8" xfId="21619" xr:uid="{00000000-0005-0000-0000-0000B1150000}"/>
    <cellStyle name="Accent6 16" xfId="2277" xr:uid="{00000000-0005-0000-0000-0000B2150000}"/>
    <cellStyle name="Accent6 17" xfId="2278" xr:uid="{00000000-0005-0000-0000-0000B3150000}"/>
    <cellStyle name="Accent6 18" xfId="2279" xr:uid="{00000000-0005-0000-0000-0000B4150000}"/>
    <cellStyle name="Accent6 19" xfId="2280" xr:uid="{00000000-0005-0000-0000-0000B5150000}"/>
    <cellStyle name="Accent6 2" xfId="2281" xr:uid="{00000000-0005-0000-0000-0000B6150000}"/>
    <cellStyle name="Accent6 2 2" xfId="2282" xr:uid="{00000000-0005-0000-0000-0000B7150000}"/>
    <cellStyle name="Accent6 2 2 2" xfId="21621" xr:uid="{00000000-0005-0000-0000-0000B8150000}"/>
    <cellStyle name="Accent6 2 2 3" xfId="21622" xr:uid="{00000000-0005-0000-0000-0000B9150000}"/>
    <cellStyle name="Accent6 2 2 4" xfId="21620" xr:uid="{00000000-0005-0000-0000-0000BA150000}"/>
    <cellStyle name="Accent6 2 3" xfId="2283" xr:uid="{00000000-0005-0000-0000-0000BB150000}"/>
    <cellStyle name="Accent6 2 3 2" xfId="21623" xr:uid="{00000000-0005-0000-0000-0000BC150000}"/>
    <cellStyle name="Accent6 2 4" xfId="21624" xr:uid="{00000000-0005-0000-0000-0000BD150000}"/>
    <cellStyle name="Accent6 2 5" xfId="21625" xr:uid="{00000000-0005-0000-0000-0000BE150000}"/>
    <cellStyle name="Accent6 2 6" xfId="21626" xr:uid="{00000000-0005-0000-0000-0000BF150000}"/>
    <cellStyle name="Accent6 20" xfId="2284" xr:uid="{00000000-0005-0000-0000-0000C0150000}"/>
    <cellStyle name="Accent6 21" xfId="2285" xr:uid="{00000000-0005-0000-0000-0000C1150000}"/>
    <cellStyle name="Accent6 22" xfId="2286" xr:uid="{00000000-0005-0000-0000-0000C2150000}"/>
    <cellStyle name="Accent6 3" xfId="2287" xr:uid="{00000000-0005-0000-0000-0000C3150000}"/>
    <cellStyle name="Accent6 3 2" xfId="2288" xr:uid="{00000000-0005-0000-0000-0000C4150000}"/>
    <cellStyle name="Accent6 3 2 2" xfId="21628" xr:uid="{00000000-0005-0000-0000-0000C5150000}"/>
    <cellStyle name="Accent6 3 2 3" xfId="21627" xr:uid="{00000000-0005-0000-0000-0000C6150000}"/>
    <cellStyle name="Accent6 3 3" xfId="2289" xr:uid="{00000000-0005-0000-0000-0000C7150000}"/>
    <cellStyle name="Accent6 4" xfId="2290" xr:uid="{00000000-0005-0000-0000-0000C8150000}"/>
    <cellStyle name="Accent6 4 2" xfId="2291" xr:uid="{00000000-0005-0000-0000-0000C9150000}"/>
    <cellStyle name="Accent6 4 2 2" xfId="21630" xr:uid="{00000000-0005-0000-0000-0000CA150000}"/>
    <cellStyle name="Accent6 4 3" xfId="2292" xr:uid="{00000000-0005-0000-0000-0000CB150000}"/>
    <cellStyle name="Accent6 4 4" xfId="21629" xr:uid="{00000000-0005-0000-0000-0000CC150000}"/>
    <cellStyle name="Accent6 5" xfId="2293" xr:uid="{00000000-0005-0000-0000-0000CD150000}"/>
    <cellStyle name="Accent6 5 2" xfId="2294" xr:uid="{00000000-0005-0000-0000-0000CE150000}"/>
    <cellStyle name="Accent6 5 2 2" xfId="21632" xr:uid="{00000000-0005-0000-0000-0000CF150000}"/>
    <cellStyle name="Accent6 5 3" xfId="2295" xr:uid="{00000000-0005-0000-0000-0000D0150000}"/>
    <cellStyle name="Accent6 5 4" xfId="21631" xr:uid="{00000000-0005-0000-0000-0000D1150000}"/>
    <cellStyle name="Accent6 6" xfId="21633" xr:uid="{00000000-0005-0000-0000-0000D2150000}"/>
    <cellStyle name="Accent6 6 2" xfId="2296" xr:uid="{00000000-0005-0000-0000-0000D3150000}"/>
    <cellStyle name="Accent6 6 3" xfId="2297" xr:uid="{00000000-0005-0000-0000-0000D4150000}"/>
    <cellStyle name="Accent6 7" xfId="21634" xr:uid="{00000000-0005-0000-0000-0000D5150000}"/>
    <cellStyle name="Accent6 7 2" xfId="2298" xr:uid="{00000000-0005-0000-0000-0000D6150000}"/>
    <cellStyle name="Accent6 7 3" xfId="2299" xr:uid="{00000000-0005-0000-0000-0000D7150000}"/>
    <cellStyle name="Accent6 8" xfId="21635" xr:uid="{00000000-0005-0000-0000-0000D8150000}"/>
    <cellStyle name="Accent6 8 2" xfId="2300" xr:uid="{00000000-0005-0000-0000-0000D9150000}"/>
    <cellStyle name="Accent6 8 3" xfId="2301" xr:uid="{00000000-0005-0000-0000-0000DA150000}"/>
    <cellStyle name="Accent6 9" xfId="21636" xr:uid="{00000000-0005-0000-0000-0000DB150000}"/>
    <cellStyle name="Accent6 9 2" xfId="2302" xr:uid="{00000000-0005-0000-0000-0000DC150000}"/>
    <cellStyle name="Accent6 9 3" xfId="2303" xr:uid="{00000000-0005-0000-0000-0000DD150000}"/>
    <cellStyle name="acerLastROga" xfId="21637" xr:uid="{00000000-0005-0000-0000-0000DE150000}"/>
    <cellStyle name="acerROst" xfId="21638" xr:uid="{00000000-0005-0000-0000-0000DF150000}"/>
    <cellStyle name="aceryesterdayig" xfId="21639" xr:uid="{00000000-0005-0000-0000-0000E0150000}"/>
    <cellStyle name="aceryesterdayLastr," xfId="21640" xr:uid="{00000000-0005-0000-0000-0000E1150000}"/>
    <cellStyle name="acetomorrowROLa" xfId="21641" xr:uid="{00000000-0005-0000-0000-0000E2150000}"/>
    <cellStyle name="Actual Date" xfId="2304" xr:uid="{00000000-0005-0000-0000-0000E3150000}"/>
    <cellStyle name="Actual Date 10" xfId="21643" xr:uid="{00000000-0005-0000-0000-0000E4150000}"/>
    <cellStyle name="Actual Date 11" xfId="21644" xr:uid="{00000000-0005-0000-0000-0000E5150000}"/>
    <cellStyle name="Actual Date 12" xfId="21645" xr:uid="{00000000-0005-0000-0000-0000E6150000}"/>
    <cellStyle name="Actual Date 13" xfId="21642" xr:uid="{00000000-0005-0000-0000-0000E7150000}"/>
    <cellStyle name="Actual Date 2" xfId="2305" xr:uid="{00000000-0005-0000-0000-0000E8150000}"/>
    <cellStyle name="Actual Date 2 2" xfId="21647" xr:uid="{00000000-0005-0000-0000-0000E9150000}"/>
    <cellStyle name="Actual Date 2 3" xfId="21646" xr:uid="{00000000-0005-0000-0000-0000EA150000}"/>
    <cellStyle name="Actual Date 3" xfId="2306" xr:uid="{00000000-0005-0000-0000-0000EB150000}"/>
    <cellStyle name="Actual Date 4" xfId="21648" xr:uid="{00000000-0005-0000-0000-0000EC150000}"/>
    <cellStyle name="Actual Date 5" xfId="21649" xr:uid="{00000000-0005-0000-0000-0000ED150000}"/>
    <cellStyle name="Actual Date 6" xfId="21650" xr:uid="{00000000-0005-0000-0000-0000EE150000}"/>
    <cellStyle name="Actual Date 6 2" xfId="21651" xr:uid="{00000000-0005-0000-0000-0000EF150000}"/>
    <cellStyle name="Actual Date 6 3" xfId="21652" xr:uid="{00000000-0005-0000-0000-0000F0150000}"/>
    <cellStyle name="Actual Date 7" xfId="21653" xr:uid="{00000000-0005-0000-0000-0000F1150000}"/>
    <cellStyle name="Actual Date 8" xfId="21654" xr:uid="{00000000-0005-0000-0000-0000F2150000}"/>
    <cellStyle name="Actual Date 9" xfId="21655" xr:uid="{00000000-0005-0000-0000-0000F3150000}"/>
    <cellStyle name="Adjustable" xfId="21656" xr:uid="{00000000-0005-0000-0000-0000F4150000}"/>
    <cellStyle name="Adjustable 2" xfId="21657" xr:uid="{00000000-0005-0000-0000-0000F5150000}"/>
    <cellStyle name="Adjustable 3" xfId="21658" xr:uid="{00000000-0005-0000-0000-0000F6150000}"/>
    <cellStyle name="Adjustable 4" xfId="21659" xr:uid="{00000000-0005-0000-0000-0000F7150000}"/>
    <cellStyle name="Bad" xfId="44329" builtinId="27" customBuiltin="1"/>
    <cellStyle name="Bad 10" xfId="21660" xr:uid="{00000000-0005-0000-0000-0000F9150000}"/>
    <cellStyle name="Bad 10 2" xfId="2307" xr:uid="{00000000-0005-0000-0000-0000FA150000}"/>
    <cellStyle name="Bad 10 3" xfId="2308" xr:uid="{00000000-0005-0000-0000-0000FB150000}"/>
    <cellStyle name="Bad 11" xfId="21661" xr:uid="{00000000-0005-0000-0000-0000FC150000}"/>
    <cellStyle name="Bad 11 2" xfId="2309" xr:uid="{00000000-0005-0000-0000-0000FD150000}"/>
    <cellStyle name="Bad 11 3" xfId="2310" xr:uid="{00000000-0005-0000-0000-0000FE150000}"/>
    <cellStyle name="Bad 12" xfId="21662" xr:uid="{00000000-0005-0000-0000-0000FF150000}"/>
    <cellStyle name="Bad 12 2" xfId="2311" xr:uid="{00000000-0005-0000-0000-000000160000}"/>
    <cellStyle name="Bad 12 3" xfId="2312" xr:uid="{00000000-0005-0000-0000-000001160000}"/>
    <cellStyle name="Bad 13 2" xfId="2313" xr:uid="{00000000-0005-0000-0000-000002160000}"/>
    <cellStyle name="Bad 13 3" xfId="2314" xr:uid="{00000000-0005-0000-0000-000003160000}"/>
    <cellStyle name="Bad 14 2" xfId="2315" xr:uid="{00000000-0005-0000-0000-000004160000}"/>
    <cellStyle name="Bad 14 3" xfId="2316" xr:uid="{00000000-0005-0000-0000-000005160000}"/>
    <cellStyle name="Bad 15" xfId="2317" xr:uid="{00000000-0005-0000-0000-000006160000}"/>
    <cellStyle name="Bad 15 2" xfId="2318" xr:uid="{00000000-0005-0000-0000-000007160000}"/>
    <cellStyle name="Bad 15 3" xfId="2319" xr:uid="{00000000-0005-0000-0000-000008160000}"/>
    <cellStyle name="Bad 15 4" xfId="2320" xr:uid="{00000000-0005-0000-0000-000009160000}"/>
    <cellStyle name="Bad 15 5" xfId="2321" xr:uid="{00000000-0005-0000-0000-00000A160000}"/>
    <cellStyle name="Bad 15 6" xfId="2322" xr:uid="{00000000-0005-0000-0000-00000B160000}"/>
    <cellStyle name="Bad 15 7" xfId="2323" xr:uid="{00000000-0005-0000-0000-00000C160000}"/>
    <cellStyle name="Bad 16" xfId="2324" xr:uid="{00000000-0005-0000-0000-00000D160000}"/>
    <cellStyle name="Bad 17" xfId="2325" xr:uid="{00000000-0005-0000-0000-00000E160000}"/>
    <cellStyle name="Bad 18" xfId="2326" xr:uid="{00000000-0005-0000-0000-00000F160000}"/>
    <cellStyle name="Bad 19" xfId="2327" xr:uid="{00000000-0005-0000-0000-000010160000}"/>
    <cellStyle name="Bad 2" xfId="2328" xr:uid="{00000000-0005-0000-0000-000011160000}"/>
    <cellStyle name="Bad 2 2" xfId="2329" xr:uid="{00000000-0005-0000-0000-000012160000}"/>
    <cellStyle name="Bad 2 2 2" xfId="21664" xr:uid="{00000000-0005-0000-0000-000013160000}"/>
    <cellStyle name="Bad 2 2 3" xfId="21665" xr:uid="{00000000-0005-0000-0000-000014160000}"/>
    <cellStyle name="Bad 2 2 4" xfId="21663" xr:uid="{00000000-0005-0000-0000-000015160000}"/>
    <cellStyle name="Bad 2 3" xfId="2330" xr:uid="{00000000-0005-0000-0000-000016160000}"/>
    <cellStyle name="Bad 2 3 2" xfId="21667" xr:uid="{00000000-0005-0000-0000-000017160000}"/>
    <cellStyle name="Bad 2 3 3" xfId="21666" xr:uid="{00000000-0005-0000-0000-000018160000}"/>
    <cellStyle name="Bad 2 4" xfId="21668" xr:uid="{00000000-0005-0000-0000-000019160000}"/>
    <cellStyle name="Bad 2 5" xfId="21669" xr:uid="{00000000-0005-0000-0000-00001A160000}"/>
    <cellStyle name="Bad 2 6" xfId="21670" xr:uid="{00000000-0005-0000-0000-00001B160000}"/>
    <cellStyle name="Bad 20" xfId="2331" xr:uid="{00000000-0005-0000-0000-00001C160000}"/>
    <cellStyle name="Bad 21" xfId="2332" xr:uid="{00000000-0005-0000-0000-00001D160000}"/>
    <cellStyle name="Bad 22" xfId="2333" xr:uid="{00000000-0005-0000-0000-00001E160000}"/>
    <cellStyle name="Bad 3" xfId="2334" xr:uid="{00000000-0005-0000-0000-00001F160000}"/>
    <cellStyle name="Bad 3 2" xfId="2335" xr:uid="{00000000-0005-0000-0000-000020160000}"/>
    <cellStyle name="Bad 3 2 2" xfId="21672" xr:uid="{00000000-0005-0000-0000-000021160000}"/>
    <cellStyle name="Bad 3 2 3" xfId="21671" xr:uid="{00000000-0005-0000-0000-000022160000}"/>
    <cellStyle name="Bad 3 3" xfId="2336" xr:uid="{00000000-0005-0000-0000-000023160000}"/>
    <cellStyle name="Bad 4" xfId="2337" xr:uid="{00000000-0005-0000-0000-000024160000}"/>
    <cellStyle name="Bad 4 2" xfId="2338" xr:uid="{00000000-0005-0000-0000-000025160000}"/>
    <cellStyle name="Bad 4 2 2" xfId="21674" xr:uid="{00000000-0005-0000-0000-000026160000}"/>
    <cellStyle name="Bad 4 3" xfId="2339" xr:uid="{00000000-0005-0000-0000-000027160000}"/>
    <cellStyle name="Bad 4 4" xfId="21673" xr:uid="{00000000-0005-0000-0000-000028160000}"/>
    <cellStyle name="Bad 5" xfId="2340" xr:uid="{00000000-0005-0000-0000-000029160000}"/>
    <cellStyle name="Bad 5 2" xfId="2341" xr:uid="{00000000-0005-0000-0000-00002A160000}"/>
    <cellStyle name="Bad 5 2 2" xfId="21676" xr:uid="{00000000-0005-0000-0000-00002B160000}"/>
    <cellStyle name="Bad 5 3" xfId="2342" xr:uid="{00000000-0005-0000-0000-00002C160000}"/>
    <cellStyle name="Bad 5 4" xfId="21675" xr:uid="{00000000-0005-0000-0000-00002D160000}"/>
    <cellStyle name="Bad 6" xfId="21677" xr:uid="{00000000-0005-0000-0000-00002E160000}"/>
    <cellStyle name="Bad 6 2" xfId="2343" xr:uid="{00000000-0005-0000-0000-00002F160000}"/>
    <cellStyle name="Bad 6 3" xfId="2344" xr:uid="{00000000-0005-0000-0000-000030160000}"/>
    <cellStyle name="Bad 7" xfId="21678" xr:uid="{00000000-0005-0000-0000-000031160000}"/>
    <cellStyle name="Bad 7 2" xfId="2345" xr:uid="{00000000-0005-0000-0000-000032160000}"/>
    <cellStyle name="Bad 7 3" xfId="2346" xr:uid="{00000000-0005-0000-0000-000033160000}"/>
    <cellStyle name="Bad 8" xfId="21679" xr:uid="{00000000-0005-0000-0000-000034160000}"/>
    <cellStyle name="Bad 8 2" xfId="2347" xr:uid="{00000000-0005-0000-0000-000035160000}"/>
    <cellStyle name="Bad 8 3" xfId="2348" xr:uid="{00000000-0005-0000-0000-000036160000}"/>
    <cellStyle name="Bad 9" xfId="21680" xr:uid="{00000000-0005-0000-0000-000037160000}"/>
    <cellStyle name="Bad 9 2" xfId="2349" xr:uid="{00000000-0005-0000-0000-000038160000}"/>
    <cellStyle name="Bad 9 3" xfId="2350" xr:uid="{00000000-0005-0000-0000-000039160000}"/>
    <cellStyle name="basic" xfId="2351" xr:uid="{00000000-0005-0000-0000-00003A160000}"/>
    <cellStyle name="Best" xfId="21681" xr:uid="{00000000-0005-0000-0000-00003B160000}"/>
    <cellStyle name="Best 2" xfId="21682" xr:uid="{00000000-0005-0000-0000-00003C160000}"/>
    <cellStyle name="Black" xfId="21683" xr:uid="{00000000-0005-0000-0000-00003D160000}"/>
    <cellStyle name="bli - Style6" xfId="21684" xr:uid="{00000000-0005-0000-0000-00003E160000}"/>
    <cellStyle name="Blue" xfId="21685" xr:uid="{00000000-0005-0000-0000-00003F160000}"/>
    <cellStyle name="Blue 2" xfId="21686" xr:uid="{00000000-0005-0000-0000-000040160000}"/>
    <cellStyle name="Blue 2 10" xfId="21687" xr:uid="{00000000-0005-0000-0000-000041160000}"/>
    <cellStyle name="Blue 2 2" xfId="21688" xr:uid="{00000000-0005-0000-0000-000042160000}"/>
    <cellStyle name="Blue 2 3" xfId="21689" xr:uid="{00000000-0005-0000-0000-000043160000}"/>
    <cellStyle name="Blue 2 4" xfId="21690" xr:uid="{00000000-0005-0000-0000-000044160000}"/>
    <cellStyle name="Blue 2 5" xfId="21691" xr:uid="{00000000-0005-0000-0000-000045160000}"/>
    <cellStyle name="Blue 2 6" xfId="21692" xr:uid="{00000000-0005-0000-0000-000046160000}"/>
    <cellStyle name="Blue 2 7" xfId="21693" xr:uid="{00000000-0005-0000-0000-000047160000}"/>
    <cellStyle name="Blue 2 8" xfId="21694" xr:uid="{00000000-0005-0000-0000-000048160000}"/>
    <cellStyle name="Blue 2 9" xfId="21695" xr:uid="{00000000-0005-0000-0000-000049160000}"/>
    <cellStyle name="Calc" xfId="21696" xr:uid="{00000000-0005-0000-0000-00004A160000}"/>
    <cellStyle name="Calc 2" xfId="21697" xr:uid="{00000000-0005-0000-0000-00004B160000}"/>
    <cellStyle name="Calc Currency (0)" xfId="2352" xr:uid="{00000000-0005-0000-0000-00004C160000}"/>
    <cellStyle name="Calculation" xfId="44333" builtinId="22" customBuiltin="1"/>
    <cellStyle name="Calculation 10" xfId="21698" xr:uid="{00000000-0005-0000-0000-00004E160000}"/>
    <cellStyle name="Calculation 10 2" xfId="2353" xr:uid="{00000000-0005-0000-0000-00004F160000}"/>
    <cellStyle name="Calculation 10 2 2" xfId="2354" xr:uid="{00000000-0005-0000-0000-000050160000}"/>
    <cellStyle name="Calculation 10 2 2 2" xfId="2355" xr:uid="{00000000-0005-0000-0000-000051160000}"/>
    <cellStyle name="Calculation 10 2 2 2 2" xfId="8085" xr:uid="{00000000-0005-0000-0000-000052160000}"/>
    <cellStyle name="Calculation 10 2 2 2 3" xfId="8086" xr:uid="{00000000-0005-0000-0000-000053160000}"/>
    <cellStyle name="Calculation 10 2 2 2 4" xfId="8087" xr:uid="{00000000-0005-0000-0000-000054160000}"/>
    <cellStyle name="Calculation 10 2 2 2 5" xfId="15601" xr:uid="{00000000-0005-0000-0000-000055160000}"/>
    <cellStyle name="Calculation 10 2 2 3" xfId="2356" xr:uid="{00000000-0005-0000-0000-000056160000}"/>
    <cellStyle name="Calculation 10 2 2 3 2" xfId="8088" xr:uid="{00000000-0005-0000-0000-000057160000}"/>
    <cellStyle name="Calculation 10 2 2 3 3" xfId="8089" xr:uid="{00000000-0005-0000-0000-000058160000}"/>
    <cellStyle name="Calculation 10 2 2 3 4" xfId="8090" xr:uid="{00000000-0005-0000-0000-000059160000}"/>
    <cellStyle name="Calculation 10 2 2 3 5" xfId="17902" xr:uid="{00000000-0005-0000-0000-00005A160000}"/>
    <cellStyle name="Calculation 10 2 2 4" xfId="8091" xr:uid="{00000000-0005-0000-0000-00005B160000}"/>
    <cellStyle name="Calculation 10 2 2 5" xfId="8092" xr:uid="{00000000-0005-0000-0000-00005C160000}"/>
    <cellStyle name="Calculation 10 2 2 6" xfId="8093" xr:uid="{00000000-0005-0000-0000-00005D160000}"/>
    <cellStyle name="Calculation 10 2 2 7" xfId="16471" xr:uid="{00000000-0005-0000-0000-00005E160000}"/>
    <cellStyle name="Calculation 10 2 3" xfId="2357" xr:uid="{00000000-0005-0000-0000-00005F160000}"/>
    <cellStyle name="Calculation 10 2 3 2" xfId="8094" xr:uid="{00000000-0005-0000-0000-000060160000}"/>
    <cellStyle name="Calculation 10 2 3 3" xfId="8095" xr:uid="{00000000-0005-0000-0000-000061160000}"/>
    <cellStyle name="Calculation 10 2 3 4" xfId="8096" xr:uid="{00000000-0005-0000-0000-000062160000}"/>
    <cellStyle name="Calculation 10 2 3 5" xfId="16470" xr:uid="{00000000-0005-0000-0000-000063160000}"/>
    <cellStyle name="Calculation 10 2 4" xfId="2358" xr:uid="{00000000-0005-0000-0000-000064160000}"/>
    <cellStyle name="Calculation 10 2 4 2" xfId="8097" xr:uid="{00000000-0005-0000-0000-000065160000}"/>
    <cellStyle name="Calculation 10 2 4 3" xfId="8098" xr:uid="{00000000-0005-0000-0000-000066160000}"/>
    <cellStyle name="Calculation 10 2 4 4" xfId="8099" xr:uid="{00000000-0005-0000-0000-000067160000}"/>
    <cellStyle name="Calculation 10 2 4 5" xfId="15600" xr:uid="{00000000-0005-0000-0000-000068160000}"/>
    <cellStyle name="Calculation 10 2 5" xfId="8100" xr:uid="{00000000-0005-0000-0000-000069160000}"/>
    <cellStyle name="Calculation 10 2 6" xfId="8101" xr:uid="{00000000-0005-0000-0000-00006A160000}"/>
    <cellStyle name="Calculation 10 2 7" xfId="8102" xr:uid="{00000000-0005-0000-0000-00006B160000}"/>
    <cellStyle name="Calculation 10 2 8" xfId="15884" xr:uid="{00000000-0005-0000-0000-00006C160000}"/>
    <cellStyle name="Calculation 10 3" xfId="2359" xr:uid="{00000000-0005-0000-0000-00006D160000}"/>
    <cellStyle name="Calculation 10 3 2" xfId="2360" xr:uid="{00000000-0005-0000-0000-00006E160000}"/>
    <cellStyle name="Calculation 10 3 2 2" xfId="2361" xr:uid="{00000000-0005-0000-0000-00006F160000}"/>
    <cellStyle name="Calculation 10 3 2 2 2" xfId="8103" xr:uid="{00000000-0005-0000-0000-000070160000}"/>
    <cellStyle name="Calculation 10 3 2 2 3" xfId="8104" xr:uid="{00000000-0005-0000-0000-000071160000}"/>
    <cellStyle name="Calculation 10 3 2 2 4" xfId="8105" xr:uid="{00000000-0005-0000-0000-000072160000}"/>
    <cellStyle name="Calculation 10 3 2 2 5" xfId="16469" xr:uid="{00000000-0005-0000-0000-000073160000}"/>
    <cellStyle name="Calculation 10 3 2 3" xfId="2362" xr:uid="{00000000-0005-0000-0000-000074160000}"/>
    <cellStyle name="Calculation 10 3 2 3 2" xfId="8106" xr:uid="{00000000-0005-0000-0000-000075160000}"/>
    <cellStyle name="Calculation 10 3 2 3 3" xfId="8107" xr:uid="{00000000-0005-0000-0000-000076160000}"/>
    <cellStyle name="Calculation 10 3 2 3 4" xfId="8108" xr:uid="{00000000-0005-0000-0000-000077160000}"/>
    <cellStyle name="Calculation 10 3 2 3 5" xfId="15599" xr:uid="{00000000-0005-0000-0000-000078160000}"/>
    <cellStyle name="Calculation 10 3 2 4" xfId="8109" xr:uid="{00000000-0005-0000-0000-000079160000}"/>
    <cellStyle name="Calculation 10 3 2 5" xfId="8110" xr:uid="{00000000-0005-0000-0000-00007A160000}"/>
    <cellStyle name="Calculation 10 3 2 6" xfId="8111" xr:uid="{00000000-0005-0000-0000-00007B160000}"/>
    <cellStyle name="Calculation 10 3 2 7" xfId="17901" xr:uid="{00000000-0005-0000-0000-00007C160000}"/>
    <cellStyle name="Calculation 10 3 3" xfId="2363" xr:uid="{00000000-0005-0000-0000-00007D160000}"/>
    <cellStyle name="Calculation 10 3 3 2" xfId="8112" xr:uid="{00000000-0005-0000-0000-00007E160000}"/>
    <cellStyle name="Calculation 10 3 3 3" xfId="8113" xr:uid="{00000000-0005-0000-0000-00007F160000}"/>
    <cellStyle name="Calculation 10 3 3 4" xfId="8114" xr:uid="{00000000-0005-0000-0000-000080160000}"/>
    <cellStyle name="Calculation 10 3 3 5" xfId="15566" xr:uid="{00000000-0005-0000-0000-000081160000}"/>
    <cellStyle name="Calculation 10 3 4" xfId="2364" xr:uid="{00000000-0005-0000-0000-000082160000}"/>
    <cellStyle name="Calculation 10 3 4 2" xfId="8115" xr:uid="{00000000-0005-0000-0000-000083160000}"/>
    <cellStyle name="Calculation 10 3 4 3" xfId="8116" xr:uid="{00000000-0005-0000-0000-000084160000}"/>
    <cellStyle name="Calculation 10 3 4 4" xfId="8117" xr:uid="{00000000-0005-0000-0000-000085160000}"/>
    <cellStyle name="Calculation 10 3 4 5" xfId="17900" xr:uid="{00000000-0005-0000-0000-000086160000}"/>
    <cellStyle name="Calculation 10 3 5" xfId="8118" xr:uid="{00000000-0005-0000-0000-000087160000}"/>
    <cellStyle name="Calculation 10 3 6" xfId="8119" xr:uid="{00000000-0005-0000-0000-000088160000}"/>
    <cellStyle name="Calculation 10 3 7" xfId="8120" xr:uid="{00000000-0005-0000-0000-000089160000}"/>
    <cellStyle name="Calculation 10 3 8" xfId="15883" xr:uid="{00000000-0005-0000-0000-00008A160000}"/>
    <cellStyle name="Calculation 11" xfId="21699" xr:uid="{00000000-0005-0000-0000-00008B160000}"/>
    <cellStyle name="Calculation 11 2" xfId="2365" xr:uid="{00000000-0005-0000-0000-00008C160000}"/>
    <cellStyle name="Calculation 11 2 2" xfId="2366" xr:uid="{00000000-0005-0000-0000-00008D160000}"/>
    <cellStyle name="Calculation 11 2 2 2" xfId="2367" xr:uid="{00000000-0005-0000-0000-00008E160000}"/>
    <cellStyle name="Calculation 11 2 2 2 2" xfId="8121" xr:uid="{00000000-0005-0000-0000-00008F160000}"/>
    <cellStyle name="Calculation 11 2 2 2 3" xfId="8122" xr:uid="{00000000-0005-0000-0000-000090160000}"/>
    <cellStyle name="Calculation 11 2 2 2 4" xfId="8123" xr:uid="{00000000-0005-0000-0000-000091160000}"/>
    <cellStyle name="Calculation 11 2 2 2 5" xfId="15598" xr:uid="{00000000-0005-0000-0000-000092160000}"/>
    <cellStyle name="Calculation 11 2 2 3" xfId="2368" xr:uid="{00000000-0005-0000-0000-000093160000}"/>
    <cellStyle name="Calculation 11 2 2 3 2" xfId="8124" xr:uid="{00000000-0005-0000-0000-000094160000}"/>
    <cellStyle name="Calculation 11 2 2 3 3" xfId="8125" xr:uid="{00000000-0005-0000-0000-000095160000}"/>
    <cellStyle name="Calculation 11 2 2 3 4" xfId="8126" xr:uid="{00000000-0005-0000-0000-000096160000}"/>
    <cellStyle name="Calculation 11 2 2 3 5" xfId="17899" xr:uid="{00000000-0005-0000-0000-000097160000}"/>
    <cellStyle name="Calculation 11 2 2 4" xfId="8127" xr:uid="{00000000-0005-0000-0000-000098160000}"/>
    <cellStyle name="Calculation 11 2 2 5" xfId="8128" xr:uid="{00000000-0005-0000-0000-000099160000}"/>
    <cellStyle name="Calculation 11 2 2 6" xfId="8129" xr:uid="{00000000-0005-0000-0000-00009A160000}"/>
    <cellStyle name="Calculation 11 2 2 7" xfId="16468" xr:uid="{00000000-0005-0000-0000-00009B160000}"/>
    <cellStyle name="Calculation 11 2 3" xfId="2369" xr:uid="{00000000-0005-0000-0000-00009C160000}"/>
    <cellStyle name="Calculation 11 2 3 2" xfId="8130" xr:uid="{00000000-0005-0000-0000-00009D160000}"/>
    <cellStyle name="Calculation 11 2 3 3" xfId="8131" xr:uid="{00000000-0005-0000-0000-00009E160000}"/>
    <cellStyle name="Calculation 11 2 3 4" xfId="8132" xr:uid="{00000000-0005-0000-0000-00009F160000}"/>
    <cellStyle name="Calculation 11 2 3 5" xfId="16467" xr:uid="{00000000-0005-0000-0000-0000A0160000}"/>
    <cellStyle name="Calculation 11 2 4" xfId="2370" xr:uid="{00000000-0005-0000-0000-0000A1160000}"/>
    <cellStyle name="Calculation 11 2 4 2" xfId="8133" xr:uid="{00000000-0005-0000-0000-0000A2160000}"/>
    <cellStyle name="Calculation 11 2 4 3" xfId="8134" xr:uid="{00000000-0005-0000-0000-0000A3160000}"/>
    <cellStyle name="Calculation 11 2 4 4" xfId="8135" xr:uid="{00000000-0005-0000-0000-0000A4160000}"/>
    <cellStyle name="Calculation 11 2 4 5" xfId="15597" xr:uid="{00000000-0005-0000-0000-0000A5160000}"/>
    <cellStyle name="Calculation 11 2 5" xfId="8136" xr:uid="{00000000-0005-0000-0000-0000A6160000}"/>
    <cellStyle name="Calculation 11 2 6" xfId="8137" xr:uid="{00000000-0005-0000-0000-0000A7160000}"/>
    <cellStyle name="Calculation 11 2 7" xfId="8138" xr:uid="{00000000-0005-0000-0000-0000A8160000}"/>
    <cellStyle name="Calculation 11 2 8" xfId="15882" xr:uid="{00000000-0005-0000-0000-0000A9160000}"/>
    <cellStyle name="Calculation 11 3" xfId="2371" xr:uid="{00000000-0005-0000-0000-0000AA160000}"/>
    <cellStyle name="Calculation 11 3 2" xfId="2372" xr:uid="{00000000-0005-0000-0000-0000AB160000}"/>
    <cellStyle name="Calculation 11 3 2 2" xfId="2373" xr:uid="{00000000-0005-0000-0000-0000AC160000}"/>
    <cellStyle name="Calculation 11 3 2 2 2" xfId="8139" xr:uid="{00000000-0005-0000-0000-0000AD160000}"/>
    <cellStyle name="Calculation 11 3 2 2 3" xfId="8140" xr:uid="{00000000-0005-0000-0000-0000AE160000}"/>
    <cellStyle name="Calculation 11 3 2 2 4" xfId="8141" xr:uid="{00000000-0005-0000-0000-0000AF160000}"/>
    <cellStyle name="Calculation 11 3 2 2 5" xfId="16466" xr:uid="{00000000-0005-0000-0000-0000B0160000}"/>
    <cellStyle name="Calculation 11 3 2 3" xfId="2374" xr:uid="{00000000-0005-0000-0000-0000B1160000}"/>
    <cellStyle name="Calculation 11 3 2 3 2" xfId="8142" xr:uid="{00000000-0005-0000-0000-0000B2160000}"/>
    <cellStyle name="Calculation 11 3 2 3 3" xfId="8143" xr:uid="{00000000-0005-0000-0000-0000B3160000}"/>
    <cellStyle name="Calculation 11 3 2 3 4" xfId="8144" xr:uid="{00000000-0005-0000-0000-0000B4160000}"/>
    <cellStyle name="Calculation 11 3 2 3 5" xfId="15596" xr:uid="{00000000-0005-0000-0000-0000B5160000}"/>
    <cellStyle name="Calculation 11 3 2 4" xfId="8145" xr:uid="{00000000-0005-0000-0000-0000B6160000}"/>
    <cellStyle name="Calculation 11 3 2 5" xfId="8146" xr:uid="{00000000-0005-0000-0000-0000B7160000}"/>
    <cellStyle name="Calculation 11 3 2 6" xfId="8147" xr:uid="{00000000-0005-0000-0000-0000B8160000}"/>
    <cellStyle name="Calculation 11 3 2 7" xfId="17898" xr:uid="{00000000-0005-0000-0000-0000B9160000}"/>
    <cellStyle name="Calculation 11 3 3" xfId="2375" xr:uid="{00000000-0005-0000-0000-0000BA160000}"/>
    <cellStyle name="Calculation 11 3 3 2" xfId="8148" xr:uid="{00000000-0005-0000-0000-0000BB160000}"/>
    <cellStyle name="Calculation 11 3 3 3" xfId="8149" xr:uid="{00000000-0005-0000-0000-0000BC160000}"/>
    <cellStyle name="Calculation 11 3 3 4" xfId="8150" xr:uid="{00000000-0005-0000-0000-0000BD160000}"/>
    <cellStyle name="Calculation 11 3 3 5" xfId="17897" xr:uid="{00000000-0005-0000-0000-0000BE160000}"/>
    <cellStyle name="Calculation 11 3 4" xfId="2376" xr:uid="{00000000-0005-0000-0000-0000BF160000}"/>
    <cellStyle name="Calculation 11 3 4 2" xfId="8151" xr:uid="{00000000-0005-0000-0000-0000C0160000}"/>
    <cellStyle name="Calculation 11 3 4 3" xfId="8152" xr:uid="{00000000-0005-0000-0000-0000C1160000}"/>
    <cellStyle name="Calculation 11 3 4 4" xfId="8153" xr:uid="{00000000-0005-0000-0000-0000C2160000}"/>
    <cellStyle name="Calculation 11 3 4 5" xfId="16465" xr:uid="{00000000-0005-0000-0000-0000C3160000}"/>
    <cellStyle name="Calculation 11 3 5" xfId="8154" xr:uid="{00000000-0005-0000-0000-0000C4160000}"/>
    <cellStyle name="Calculation 11 3 6" xfId="8155" xr:uid="{00000000-0005-0000-0000-0000C5160000}"/>
    <cellStyle name="Calculation 11 3 7" xfId="8156" xr:uid="{00000000-0005-0000-0000-0000C6160000}"/>
    <cellStyle name="Calculation 11 3 8" xfId="15881" xr:uid="{00000000-0005-0000-0000-0000C7160000}"/>
    <cellStyle name="Calculation 12 2" xfId="2377" xr:uid="{00000000-0005-0000-0000-0000C8160000}"/>
    <cellStyle name="Calculation 12 2 2" xfId="2378" xr:uid="{00000000-0005-0000-0000-0000C9160000}"/>
    <cellStyle name="Calculation 12 2 2 2" xfId="2379" xr:uid="{00000000-0005-0000-0000-0000CA160000}"/>
    <cellStyle name="Calculation 12 2 2 2 2" xfId="8157" xr:uid="{00000000-0005-0000-0000-0000CB160000}"/>
    <cellStyle name="Calculation 12 2 2 2 3" xfId="8158" xr:uid="{00000000-0005-0000-0000-0000CC160000}"/>
    <cellStyle name="Calculation 12 2 2 2 4" xfId="8159" xr:uid="{00000000-0005-0000-0000-0000CD160000}"/>
    <cellStyle name="Calculation 12 2 2 2 5" xfId="18090" xr:uid="{00000000-0005-0000-0000-0000CE160000}"/>
    <cellStyle name="Calculation 12 2 2 3" xfId="2380" xr:uid="{00000000-0005-0000-0000-0000CF160000}"/>
    <cellStyle name="Calculation 12 2 2 3 2" xfId="8160" xr:uid="{00000000-0005-0000-0000-0000D0160000}"/>
    <cellStyle name="Calculation 12 2 2 3 3" xfId="8161" xr:uid="{00000000-0005-0000-0000-0000D1160000}"/>
    <cellStyle name="Calculation 12 2 2 3 4" xfId="8162" xr:uid="{00000000-0005-0000-0000-0000D2160000}"/>
    <cellStyle name="Calculation 12 2 2 3 5" xfId="17896" xr:uid="{00000000-0005-0000-0000-0000D3160000}"/>
    <cellStyle name="Calculation 12 2 2 4" xfId="8163" xr:uid="{00000000-0005-0000-0000-0000D4160000}"/>
    <cellStyle name="Calculation 12 2 2 5" xfId="8164" xr:uid="{00000000-0005-0000-0000-0000D5160000}"/>
    <cellStyle name="Calculation 12 2 2 6" xfId="8165" xr:uid="{00000000-0005-0000-0000-0000D6160000}"/>
    <cellStyle name="Calculation 12 2 2 7" xfId="15595" xr:uid="{00000000-0005-0000-0000-0000D7160000}"/>
    <cellStyle name="Calculation 12 2 3" xfId="2381" xr:uid="{00000000-0005-0000-0000-0000D8160000}"/>
    <cellStyle name="Calculation 12 2 3 2" xfId="8166" xr:uid="{00000000-0005-0000-0000-0000D9160000}"/>
    <cellStyle name="Calculation 12 2 3 3" xfId="8167" xr:uid="{00000000-0005-0000-0000-0000DA160000}"/>
    <cellStyle name="Calculation 12 2 3 4" xfId="8168" xr:uid="{00000000-0005-0000-0000-0000DB160000}"/>
    <cellStyle name="Calculation 12 2 3 5" xfId="16464" xr:uid="{00000000-0005-0000-0000-0000DC160000}"/>
    <cellStyle name="Calculation 12 2 4" xfId="2382" xr:uid="{00000000-0005-0000-0000-0000DD160000}"/>
    <cellStyle name="Calculation 12 2 4 2" xfId="8169" xr:uid="{00000000-0005-0000-0000-0000DE160000}"/>
    <cellStyle name="Calculation 12 2 4 3" xfId="8170" xr:uid="{00000000-0005-0000-0000-0000DF160000}"/>
    <cellStyle name="Calculation 12 2 4 4" xfId="8171" xr:uid="{00000000-0005-0000-0000-0000E0160000}"/>
    <cellStyle name="Calculation 12 2 4 5" xfId="15594" xr:uid="{00000000-0005-0000-0000-0000E1160000}"/>
    <cellStyle name="Calculation 12 2 5" xfId="8172" xr:uid="{00000000-0005-0000-0000-0000E2160000}"/>
    <cellStyle name="Calculation 12 2 6" xfId="8173" xr:uid="{00000000-0005-0000-0000-0000E3160000}"/>
    <cellStyle name="Calculation 12 2 7" xfId="8174" xr:uid="{00000000-0005-0000-0000-0000E4160000}"/>
    <cellStyle name="Calculation 12 2 8" xfId="15880" xr:uid="{00000000-0005-0000-0000-0000E5160000}"/>
    <cellStyle name="Calculation 12 3" xfId="2383" xr:uid="{00000000-0005-0000-0000-0000E6160000}"/>
    <cellStyle name="Calculation 12 3 2" xfId="2384" xr:uid="{00000000-0005-0000-0000-0000E7160000}"/>
    <cellStyle name="Calculation 12 3 2 2" xfId="2385" xr:uid="{00000000-0005-0000-0000-0000E8160000}"/>
    <cellStyle name="Calculation 12 3 2 2 2" xfId="8175" xr:uid="{00000000-0005-0000-0000-0000E9160000}"/>
    <cellStyle name="Calculation 12 3 2 2 3" xfId="8176" xr:uid="{00000000-0005-0000-0000-0000EA160000}"/>
    <cellStyle name="Calculation 12 3 2 2 4" xfId="8177" xr:uid="{00000000-0005-0000-0000-0000EB160000}"/>
    <cellStyle name="Calculation 12 3 2 2 5" xfId="16463" xr:uid="{00000000-0005-0000-0000-0000EC160000}"/>
    <cellStyle name="Calculation 12 3 2 3" xfId="2386" xr:uid="{00000000-0005-0000-0000-0000ED160000}"/>
    <cellStyle name="Calculation 12 3 2 3 2" xfId="8178" xr:uid="{00000000-0005-0000-0000-0000EE160000}"/>
    <cellStyle name="Calculation 12 3 2 3 3" xfId="8179" xr:uid="{00000000-0005-0000-0000-0000EF160000}"/>
    <cellStyle name="Calculation 12 3 2 3 4" xfId="8180" xr:uid="{00000000-0005-0000-0000-0000F0160000}"/>
    <cellStyle name="Calculation 12 3 2 3 5" xfId="15593" xr:uid="{00000000-0005-0000-0000-0000F1160000}"/>
    <cellStyle name="Calculation 12 3 2 4" xfId="8181" xr:uid="{00000000-0005-0000-0000-0000F2160000}"/>
    <cellStyle name="Calculation 12 3 2 5" xfId="8182" xr:uid="{00000000-0005-0000-0000-0000F3160000}"/>
    <cellStyle name="Calculation 12 3 2 6" xfId="8183" xr:uid="{00000000-0005-0000-0000-0000F4160000}"/>
    <cellStyle name="Calculation 12 3 2 7" xfId="17895" xr:uid="{00000000-0005-0000-0000-0000F5160000}"/>
    <cellStyle name="Calculation 12 3 3" xfId="2387" xr:uid="{00000000-0005-0000-0000-0000F6160000}"/>
    <cellStyle name="Calculation 12 3 3 2" xfId="8184" xr:uid="{00000000-0005-0000-0000-0000F7160000}"/>
    <cellStyle name="Calculation 12 3 3 3" xfId="8185" xr:uid="{00000000-0005-0000-0000-0000F8160000}"/>
    <cellStyle name="Calculation 12 3 3 4" xfId="8186" xr:uid="{00000000-0005-0000-0000-0000F9160000}"/>
    <cellStyle name="Calculation 12 3 3 5" xfId="17894" xr:uid="{00000000-0005-0000-0000-0000FA160000}"/>
    <cellStyle name="Calculation 12 3 4" xfId="2388" xr:uid="{00000000-0005-0000-0000-0000FB160000}"/>
    <cellStyle name="Calculation 12 3 4 2" xfId="8187" xr:uid="{00000000-0005-0000-0000-0000FC160000}"/>
    <cellStyle name="Calculation 12 3 4 3" xfId="8188" xr:uid="{00000000-0005-0000-0000-0000FD160000}"/>
    <cellStyle name="Calculation 12 3 4 4" xfId="8189" xr:uid="{00000000-0005-0000-0000-0000FE160000}"/>
    <cellStyle name="Calculation 12 3 4 5" xfId="16462" xr:uid="{00000000-0005-0000-0000-0000FF160000}"/>
    <cellStyle name="Calculation 12 3 5" xfId="8190" xr:uid="{00000000-0005-0000-0000-000000170000}"/>
    <cellStyle name="Calculation 12 3 6" xfId="8191" xr:uid="{00000000-0005-0000-0000-000001170000}"/>
    <cellStyle name="Calculation 12 3 7" xfId="8192" xr:uid="{00000000-0005-0000-0000-000002170000}"/>
    <cellStyle name="Calculation 12 3 8" xfId="15879" xr:uid="{00000000-0005-0000-0000-000003170000}"/>
    <cellStyle name="Calculation 13 2" xfId="2389" xr:uid="{00000000-0005-0000-0000-000004170000}"/>
    <cellStyle name="Calculation 13 2 2" xfId="2390" xr:uid="{00000000-0005-0000-0000-000005170000}"/>
    <cellStyle name="Calculation 13 2 2 2" xfId="2391" xr:uid="{00000000-0005-0000-0000-000006170000}"/>
    <cellStyle name="Calculation 13 2 2 2 2" xfId="8193" xr:uid="{00000000-0005-0000-0000-000007170000}"/>
    <cellStyle name="Calculation 13 2 2 2 3" xfId="8194" xr:uid="{00000000-0005-0000-0000-000008170000}"/>
    <cellStyle name="Calculation 13 2 2 2 4" xfId="8195" xr:uid="{00000000-0005-0000-0000-000009170000}"/>
    <cellStyle name="Calculation 13 2 2 2 5" xfId="17893" xr:uid="{00000000-0005-0000-0000-00000A170000}"/>
    <cellStyle name="Calculation 13 2 2 3" xfId="2392" xr:uid="{00000000-0005-0000-0000-00000B170000}"/>
    <cellStyle name="Calculation 13 2 2 3 2" xfId="8196" xr:uid="{00000000-0005-0000-0000-00000C170000}"/>
    <cellStyle name="Calculation 13 2 2 3 3" xfId="8197" xr:uid="{00000000-0005-0000-0000-00000D170000}"/>
    <cellStyle name="Calculation 13 2 2 3 4" xfId="8198" xr:uid="{00000000-0005-0000-0000-00000E170000}"/>
    <cellStyle name="Calculation 13 2 2 3 5" xfId="16461" xr:uid="{00000000-0005-0000-0000-00000F170000}"/>
    <cellStyle name="Calculation 13 2 2 4" xfId="8199" xr:uid="{00000000-0005-0000-0000-000010170000}"/>
    <cellStyle name="Calculation 13 2 2 5" xfId="8200" xr:uid="{00000000-0005-0000-0000-000011170000}"/>
    <cellStyle name="Calculation 13 2 2 6" xfId="8201" xr:uid="{00000000-0005-0000-0000-000012170000}"/>
    <cellStyle name="Calculation 13 2 2 7" xfId="15592" xr:uid="{00000000-0005-0000-0000-000013170000}"/>
    <cellStyle name="Calculation 13 2 3" xfId="2393" xr:uid="{00000000-0005-0000-0000-000014170000}"/>
    <cellStyle name="Calculation 13 2 3 2" xfId="8202" xr:uid="{00000000-0005-0000-0000-000015170000}"/>
    <cellStyle name="Calculation 13 2 3 3" xfId="8203" xr:uid="{00000000-0005-0000-0000-000016170000}"/>
    <cellStyle name="Calculation 13 2 3 4" xfId="8204" xr:uid="{00000000-0005-0000-0000-000017170000}"/>
    <cellStyle name="Calculation 13 2 3 5" xfId="15591" xr:uid="{00000000-0005-0000-0000-000018170000}"/>
    <cellStyle name="Calculation 13 2 4" xfId="2394" xr:uid="{00000000-0005-0000-0000-000019170000}"/>
    <cellStyle name="Calculation 13 2 4 2" xfId="8205" xr:uid="{00000000-0005-0000-0000-00001A170000}"/>
    <cellStyle name="Calculation 13 2 4 3" xfId="8206" xr:uid="{00000000-0005-0000-0000-00001B170000}"/>
    <cellStyle name="Calculation 13 2 4 4" xfId="8207" xr:uid="{00000000-0005-0000-0000-00001C170000}"/>
    <cellStyle name="Calculation 13 2 4 5" xfId="17892" xr:uid="{00000000-0005-0000-0000-00001D170000}"/>
    <cellStyle name="Calculation 13 2 5" xfId="8208" xr:uid="{00000000-0005-0000-0000-00001E170000}"/>
    <cellStyle name="Calculation 13 2 6" xfId="8209" xr:uid="{00000000-0005-0000-0000-00001F170000}"/>
    <cellStyle name="Calculation 13 2 7" xfId="8210" xr:uid="{00000000-0005-0000-0000-000020170000}"/>
    <cellStyle name="Calculation 13 2 8" xfId="15878" xr:uid="{00000000-0005-0000-0000-000021170000}"/>
    <cellStyle name="Calculation 13 3" xfId="2395" xr:uid="{00000000-0005-0000-0000-000022170000}"/>
    <cellStyle name="Calculation 13 3 2" xfId="2396" xr:uid="{00000000-0005-0000-0000-000023170000}"/>
    <cellStyle name="Calculation 13 3 2 2" xfId="2397" xr:uid="{00000000-0005-0000-0000-000024170000}"/>
    <cellStyle name="Calculation 13 3 2 2 2" xfId="8211" xr:uid="{00000000-0005-0000-0000-000025170000}"/>
    <cellStyle name="Calculation 13 3 2 2 3" xfId="8212" xr:uid="{00000000-0005-0000-0000-000026170000}"/>
    <cellStyle name="Calculation 13 3 2 2 4" xfId="8213" xr:uid="{00000000-0005-0000-0000-000027170000}"/>
    <cellStyle name="Calculation 13 3 2 2 5" xfId="15590" xr:uid="{00000000-0005-0000-0000-000028170000}"/>
    <cellStyle name="Calculation 13 3 2 3" xfId="2398" xr:uid="{00000000-0005-0000-0000-000029170000}"/>
    <cellStyle name="Calculation 13 3 2 3 2" xfId="8214" xr:uid="{00000000-0005-0000-0000-00002A170000}"/>
    <cellStyle name="Calculation 13 3 2 3 3" xfId="8215" xr:uid="{00000000-0005-0000-0000-00002B170000}"/>
    <cellStyle name="Calculation 13 3 2 3 4" xfId="8216" xr:uid="{00000000-0005-0000-0000-00002C170000}"/>
    <cellStyle name="Calculation 13 3 2 3 5" xfId="17891" xr:uid="{00000000-0005-0000-0000-00002D170000}"/>
    <cellStyle name="Calculation 13 3 2 4" xfId="8217" xr:uid="{00000000-0005-0000-0000-00002E170000}"/>
    <cellStyle name="Calculation 13 3 2 5" xfId="8218" xr:uid="{00000000-0005-0000-0000-00002F170000}"/>
    <cellStyle name="Calculation 13 3 2 6" xfId="8219" xr:uid="{00000000-0005-0000-0000-000030170000}"/>
    <cellStyle name="Calculation 13 3 2 7" xfId="16460" xr:uid="{00000000-0005-0000-0000-000031170000}"/>
    <cellStyle name="Calculation 13 3 3" xfId="2399" xr:uid="{00000000-0005-0000-0000-000032170000}"/>
    <cellStyle name="Calculation 13 3 3 2" xfId="8220" xr:uid="{00000000-0005-0000-0000-000033170000}"/>
    <cellStyle name="Calculation 13 3 3 3" xfId="8221" xr:uid="{00000000-0005-0000-0000-000034170000}"/>
    <cellStyle name="Calculation 13 3 3 4" xfId="8222" xr:uid="{00000000-0005-0000-0000-000035170000}"/>
    <cellStyle name="Calculation 13 3 3 5" xfId="16459" xr:uid="{00000000-0005-0000-0000-000036170000}"/>
    <cellStyle name="Calculation 13 3 4" xfId="2400" xr:uid="{00000000-0005-0000-0000-000037170000}"/>
    <cellStyle name="Calculation 13 3 4 2" xfId="8223" xr:uid="{00000000-0005-0000-0000-000038170000}"/>
    <cellStyle name="Calculation 13 3 4 3" xfId="8224" xr:uid="{00000000-0005-0000-0000-000039170000}"/>
    <cellStyle name="Calculation 13 3 4 4" xfId="8225" xr:uid="{00000000-0005-0000-0000-00003A170000}"/>
    <cellStyle name="Calculation 13 3 4 5" xfId="15589" xr:uid="{00000000-0005-0000-0000-00003B170000}"/>
    <cellStyle name="Calculation 13 3 5" xfId="8226" xr:uid="{00000000-0005-0000-0000-00003C170000}"/>
    <cellStyle name="Calculation 13 3 6" xfId="8227" xr:uid="{00000000-0005-0000-0000-00003D170000}"/>
    <cellStyle name="Calculation 13 3 7" xfId="8228" xr:uid="{00000000-0005-0000-0000-00003E170000}"/>
    <cellStyle name="Calculation 13 3 8" xfId="15877" xr:uid="{00000000-0005-0000-0000-00003F170000}"/>
    <cellStyle name="Calculation 14 2" xfId="2401" xr:uid="{00000000-0005-0000-0000-000040170000}"/>
    <cellStyle name="Calculation 14 2 2" xfId="2402" xr:uid="{00000000-0005-0000-0000-000041170000}"/>
    <cellStyle name="Calculation 14 2 2 2" xfId="2403" xr:uid="{00000000-0005-0000-0000-000042170000}"/>
    <cellStyle name="Calculation 14 2 2 2 2" xfId="8229" xr:uid="{00000000-0005-0000-0000-000043170000}"/>
    <cellStyle name="Calculation 14 2 2 2 3" xfId="8230" xr:uid="{00000000-0005-0000-0000-000044170000}"/>
    <cellStyle name="Calculation 14 2 2 2 4" xfId="8231" xr:uid="{00000000-0005-0000-0000-000045170000}"/>
    <cellStyle name="Calculation 14 2 2 2 5" xfId="16458" xr:uid="{00000000-0005-0000-0000-000046170000}"/>
    <cellStyle name="Calculation 14 2 2 3" xfId="2404" xr:uid="{00000000-0005-0000-0000-000047170000}"/>
    <cellStyle name="Calculation 14 2 2 3 2" xfId="8232" xr:uid="{00000000-0005-0000-0000-000048170000}"/>
    <cellStyle name="Calculation 14 2 2 3 3" xfId="8233" xr:uid="{00000000-0005-0000-0000-000049170000}"/>
    <cellStyle name="Calculation 14 2 2 3 4" xfId="8234" xr:uid="{00000000-0005-0000-0000-00004A170000}"/>
    <cellStyle name="Calculation 14 2 2 3 5" xfId="15588" xr:uid="{00000000-0005-0000-0000-00004B170000}"/>
    <cellStyle name="Calculation 14 2 2 4" xfId="8235" xr:uid="{00000000-0005-0000-0000-00004C170000}"/>
    <cellStyle name="Calculation 14 2 2 5" xfId="8236" xr:uid="{00000000-0005-0000-0000-00004D170000}"/>
    <cellStyle name="Calculation 14 2 2 6" xfId="8237" xr:uid="{00000000-0005-0000-0000-00004E170000}"/>
    <cellStyle name="Calculation 14 2 2 7" xfId="17890" xr:uid="{00000000-0005-0000-0000-00004F170000}"/>
    <cellStyle name="Calculation 14 2 3" xfId="2405" xr:uid="{00000000-0005-0000-0000-000050170000}"/>
    <cellStyle name="Calculation 14 2 3 2" xfId="8238" xr:uid="{00000000-0005-0000-0000-000051170000}"/>
    <cellStyle name="Calculation 14 2 3 3" xfId="8239" xr:uid="{00000000-0005-0000-0000-000052170000}"/>
    <cellStyle name="Calculation 14 2 3 4" xfId="8240" xr:uid="{00000000-0005-0000-0000-000053170000}"/>
    <cellStyle name="Calculation 14 2 3 5" xfId="16109" xr:uid="{00000000-0005-0000-0000-000054170000}"/>
    <cellStyle name="Calculation 14 2 4" xfId="2406" xr:uid="{00000000-0005-0000-0000-000055170000}"/>
    <cellStyle name="Calculation 14 2 4 2" xfId="8241" xr:uid="{00000000-0005-0000-0000-000056170000}"/>
    <cellStyle name="Calculation 14 2 4 3" xfId="8242" xr:uid="{00000000-0005-0000-0000-000057170000}"/>
    <cellStyle name="Calculation 14 2 4 4" xfId="8243" xr:uid="{00000000-0005-0000-0000-000058170000}"/>
    <cellStyle name="Calculation 14 2 4 5" xfId="17889" xr:uid="{00000000-0005-0000-0000-000059170000}"/>
    <cellStyle name="Calculation 14 2 5" xfId="8244" xr:uid="{00000000-0005-0000-0000-00005A170000}"/>
    <cellStyle name="Calculation 14 2 6" xfId="8245" xr:uid="{00000000-0005-0000-0000-00005B170000}"/>
    <cellStyle name="Calculation 14 2 7" xfId="8246" xr:uid="{00000000-0005-0000-0000-00005C170000}"/>
    <cellStyle name="Calculation 14 2 8" xfId="15876" xr:uid="{00000000-0005-0000-0000-00005D170000}"/>
    <cellStyle name="Calculation 14 3" xfId="2407" xr:uid="{00000000-0005-0000-0000-00005E170000}"/>
    <cellStyle name="Calculation 14 3 2" xfId="2408" xr:uid="{00000000-0005-0000-0000-00005F170000}"/>
    <cellStyle name="Calculation 14 3 2 2" xfId="2409" xr:uid="{00000000-0005-0000-0000-000060170000}"/>
    <cellStyle name="Calculation 14 3 2 2 2" xfId="8247" xr:uid="{00000000-0005-0000-0000-000061170000}"/>
    <cellStyle name="Calculation 14 3 2 2 3" xfId="8248" xr:uid="{00000000-0005-0000-0000-000062170000}"/>
    <cellStyle name="Calculation 14 3 2 2 4" xfId="8249" xr:uid="{00000000-0005-0000-0000-000063170000}"/>
    <cellStyle name="Calculation 14 3 2 2 5" xfId="15587" xr:uid="{00000000-0005-0000-0000-000064170000}"/>
    <cellStyle name="Calculation 14 3 2 3" xfId="2410" xr:uid="{00000000-0005-0000-0000-000065170000}"/>
    <cellStyle name="Calculation 14 3 2 3 2" xfId="8250" xr:uid="{00000000-0005-0000-0000-000066170000}"/>
    <cellStyle name="Calculation 14 3 2 3 3" xfId="8251" xr:uid="{00000000-0005-0000-0000-000067170000}"/>
    <cellStyle name="Calculation 14 3 2 3 4" xfId="8252" xr:uid="{00000000-0005-0000-0000-000068170000}"/>
    <cellStyle name="Calculation 14 3 2 3 5" xfId="17888" xr:uid="{00000000-0005-0000-0000-000069170000}"/>
    <cellStyle name="Calculation 14 3 2 4" xfId="8253" xr:uid="{00000000-0005-0000-0000-00006A170000}"/>
    <cellStyle name="Calculation 14 3 2 5" xfId="8254" xr:uid="{00000000-0005-0000-0000-00006B170000}"/>
    <cellStyle name="Calculation 14 3 2 6" xfId="8255" xr:uid="{00000000-0005-0000-0000-00006C170000}"/>
    <cellStyle name="Calculation 14 3 2 7" xfId="16457" xr:uid="{00000000-0005-0000-0000-00006D170000}"/>
    <cellStyle name="Calculation 14 3 3" xfId="2411" xr:uid="{00000000-0005-0000-0000-00006E170000}"/>
    <cellStyle name="Calculation 14 3 3 2" xfId="8256" xr:uid="{00000000-0005-0000-0000-00006F170000}"/>
    <cellStyle name="Calculation 14 3 3 3" xfId="8257" xr:uid="{00000000-0005-0000-0000-000070170000}"/>
    <cellStyle name="Calculation 14 3 3 4" xfId="8258" xr:uid="{00000000-0005-0000-0000-000071170000}"/>
    <cellStyle name="Calculation 14 3 3 5" xfId="16456" xr:uid="{00000000-0005-0000-0000-000072170000}"/>
    <cellStyle name="Calculation 14 3 4" xfId="2412" xr:uid="{00000000-0005-0000-0000-000073170000}"/>
    <cellStyle name="Calculation 14 3 4 2" xfId="8259" xr:uid="{00000000-0005-0000-0000-000074170000}"/>
    <cellStyle name="Calculation 14 3 4 3" xfId="8260" xr:uid="{00000000-0005-0000-0000-000075170000}"/>
    <cellStyle name="Calculation 14 3 4 4" xfId="8261" xr:uid="{00000000-0005-0000-0000-000076170000}"/>
    <cellStyle name="Calculation 14 3 4 5" xfId="15586" xr:uid="{00000000-0005-0000-0000-000077170000}"/>
    <cellStyle name="Calculation 14 3 5" xfId="8262" xr:uid="{00000000-0005-0000-0000-000078170000}"/>
    <cellStyle name="Calculation 14 3 6" xfId="8263" xr:uid="{00000000-0005-0000-0000-000079170000}"/>
    <cellStyle name="Calculation 14 3 7" xfId="8264" xr:uid="{00000000-0005-0000-0000-00007A170000}"/>
    <cellStyle name="Calculation 14 3 8" xfId="15875" xr:uid="{00000000-0005-0000-0000-00007B170000}"/>
    <cellStyle name="Calculation 15" xfId="2413" xr:uid="{00000000-0005-0000-0000-00007C170000}"/>
    <cellStyle name="Calculation 15 10" xfId="2414" xr:uid="{00000000-0005-0000-0000-00007D170000}"/>
    <cellStyle name="Calculation 15 10 2" xfId="8265" xr:uid="{00000000-0005-0000-0000-00007E170000}"/>
    <cellStyle name="Calculation 15 10 3" xfId="8266" xr:uid="{00000000-0005-0000-0000-00007F170000}"/>
    <cellStyle name="Calculation 15 10 4" xfId="8267" xr:uid="{00000000-0005-0000-0000-000080170000}"/>
    <cellStyle name="Calculation 15 10 5" xfId="17887" xr:uid="{00000000-0005-0000-0000-000081170000}"/>
    <cellStyle name="Calculation 15 11" xfId="8268" xr:uid="{00000000-0005-0000-0000-000082170000}"/>
    <cellStyle name="Calculation 15 12" xfId="8269" xr:uid="{00000000-0005-0000-0000-000083170000}"/>
    <cellStyle name="Calculation 15 13" xfId="8270" xr:uid="{00000000-0005-0000-0000-000084170000}"/>
    <cellStyle name="Calculation 15 14" xfId="15874" xr:uid="{00000000-0005-0000-0000-000085170000}"/>
    <cellStyle name="Calculation 15 2" xfId="2415" xr:uid="{00000000-0005-0000-0000-000086170000}"/>
    <cellStyle name="Calculation 15 2 2" xfId="2416" xr:uid="{00000000-0005-0000-0000-000087170000}"/>
    <cellStyle name="Calculation 15 2 2 2" xfId="2417" xr:uid="{00000000-0005-0000-0000-000088170000}"/>
    <cellStyle name="Calculation 15 2 2 2 2" xfId="8271" xr:uid="{00000000-0005-0000-0000-000089170000}"/>
    <cellStyle name="Calculation 15 2 2 2 3" xfId="8272" xr:uid="{00000000-0005-0000-0000-00008A170000}"/>
    <cellStyle name="Calculation 15 2 2 2 4" xfId="8273" xr:uid="{00000000-0005-0000-0000-00008B170000}"/>
    <cellStyle name="Calculation 15 2 2 2 5" xfId="15585" xr:uid="{00000000-0005-0000-0000-00008C170000}"/>
    <cellStyle name="Calculation 15 2 2 3" xfId="2418" xr:uid="{00000000-0005-0000-0000-00008D170000}"/>
    <cellStyle name="Calculation 15 2 2 3 2" xfId="8274" xr:uid="{00000000-0005-0000-0000-00008E170000}"/>
    <cellStyle name="Calculation 15 2 2 3 3" xfId="8275" xr:uid="{00000000-0005-0000-0000-00008F170000}"/>
    <cellStyle name="Calculation 15 2 2 3 4" xfId="8276" xr:uid="{00000000-0005-0000-0000-000090170000}"/>
    <cellStyle name="Calculation 15 2 2 3 5" xfId="17886" xr:uid="{00000000-0005-0000-0000-000091170000}"/>
    <cellStyle name="Calculation 15 2 2 4" xfId="8277" xr:uid="{00000000-0005-0000-0000-000092170000}"/>
    <cellStyle name="Calculation 15 2 2 5" xfId="8278" xr:uid="{00000000-0005-0000-0000-000093170000}"/>
    <cellStyle name="Calculation 15 2 2 6" xfId="8279" xr:uid="{00000000-0005-0000-0000-000094170000}"/>
    <cellStyle name="Calculation 15 2 2 7" xfId="16455" xr:uid="{00000000-0005-0000-0000-000095170000}"/>
    <cellStyle name="Calculation 15 2 3" xfId="2419" xr:uid="{00000000-0005-0000-0000-000096170000}"/>
    <cellStyle name="Calculation 15 2 3 2" xfId="8280" xr:uid="{00000000-0005-0000-0000-000097170000}"/>
    <cellStyle name="Calculation 15 2 3 3" xfId="8281" xr:uid="{00000000-0005-0000-0000-000098170000}"/>
    <cellStyle name="Calculation 15 2 3 4" xfId="8282" xr:uid="{00000000-0005-0000-0000-000099170000}"/>
    <cellStyle name="Calculation 15 2 3 5" xfId="16454" xr:uid="{00000000-0005-0000-0000-00009A170000}"/>
    <cellStyle name="Calculation 15 2 4" xfId="2420" xr:uid="{00000000-0005-0000-0000-00009B170000}"/>
    <cellStyle name="Calculation 15 2 4 2" xfId="8283" xr:uid="{00000000-0005-0000-0000-00009C170000}"/>
    <cellStyle name="Calculation 15 2 4 3" xfId="8284" xr:uid="{00000000-0005-0000-0000-00009D170000}"/>
    <cellStyle name="Calculation 15 2 4 4" xfId="8285" xr:uid="{00000000-0005-0000-0000-00009E170000}"/>
    <cellStyle name="Calculation 15 2 4 5" xfId="15584" xr:uid="{00000000-0005-0000-0000-00009F170000}"/>
    <cellStyle name="Calculation 15 2 5" xfId="8286" xr:uid="{00000000-0005-0000-0000-0000A0170000}"/>
    <cellStyle name="Calculation 15 2 6" xfId="8287" xr:uid="{00000000-0005-0000-0000-0000A1170000}"/>
    <cellStyle name="Calculation 15 2 7" xfId="8288" xr:uid="{00000000-0005-0000-0000-0000A2170000}"/>
    <cellStyle name="Calculation 15 2 8" xfId="15873" xr:uid="{00000000-0005-0000-0000-0000A3170000}"/>
    <cellStyle name="Calculation 15 3" xfId="2421" xr:uid="{00000000-0005-0000-0000-0000A4170000}"/>
    <cellStyle name="Calculation 15 3 2" xfId="2422" xr:uid="{00000000-0005-0000-0000-0000A5170000}"/>
    <cellStyle name="Calculation 15 3 2 2" xfId="2423" xr:uid="{00000000-0005-0000-0000-0000A6170000}"/>
    <cellStyle name="Calculation 15 3 2 2 2" xfId="8289" xr:uid="{00000000-0005-0000-0000-0000A7170000}"/>
    <cellStyle name="Calculation 15 3 2 2 3" xfId="8290" xr:uid="{00000000-0005-0000-0000-0000A8170000}"/>
    <cellStyle name="Calculation 15 3 2 2 4" xfId="8291" xr:uid="{00000000-0005-0000-0000-0000A9170000}"/>
    <cellStyle name="Calculation 15 3 2 2 5" xfId="16447" xr:uid="{00000000-0005-0000-0000-0000AA170000}"/>
    <cellStyle name="Calculation 15 3 2 3" xfId="2424" xr:uid="{00000000-0005-0000-0000-0000AB170000}"/>
    <cellStyle name="Calculation 15 3 2 3 2" xfId="8292" xr:uid="{00000000-0005-0000-0000-0000AC170000}"/>
    <cellStyle name="Calculation 15 3 2 3 3" xfId="8293" xr:uid="{00000000-0005-0000-0000-0000AD170000}"/>
    <cellStyle name="Calculation 15 3 2 3 4" xfId="8294" xr:uid="{00000000-0005-0000-0000-0000AE170000}"/>
    <cellStyle name="Calculation 15 3 2 3 5" xfId="17885" xr:uid="{00000000-0005-0000-0000-0000AF170000}"/>
    <cellStyle name="Calculation 15 3 2 4" xfId="8295" xr:uid="{00000000-0005-0000-0000-0000B0170000}"/>
    <cellStyle name="Calculation 15 3 2 5" xfId="8296" xr:uid="{00000000-0005-0000-0000-0000B1170000}"/>
    <cellStyle name="Calculation 15 3 2 6" xfId="8297" xr:uid="{00000000-0005-0000-0000-0000B2170000}"/>
    <cellStyle name="Calculation 15 3 2 7" xfId="17879" xr:uid="{00000000-0005-0000-0000-0000B3170000}"/>
    <cellStyle name="Calculation 15 3 3" xfId="2425" xr:uid="{00000000-0005-0000-0000-0000B4170000}"/>
    <cellStyle name="Calculation 15 3 3 2" xfId="8298" xr:uid="{00000000-0005-0000-0000-0000B5170000}"/>
    <cellStyle name="Calculation 15 3 3 3" xfId="8299" xr:uid="{00000000-0005-0000-0000-0000B6170000}"/>
    <cellStyle name="Calculation 15 3 3 4" xfId="8300" xr:uid="{00000000-0005-0000-0000-0000B7170000}"/>
    <cellStyle name="Calculation 15 3 3 5" xfId="16453" xr:uid="{00000000-0005-0000-0000-0000B8170000}"/>
    <cellStyle name="Calculation 15 3 4" xfId="2426" xr:uid="{00000000-0005-0000-0000-0000B9170000}"/>
    <cellStyle name="Calculation 15 3 4 2" xfId="8301" xr:uid="{00000000-0005-0000-0000-0000BA170000}"/>
    <cellStyle name="Calculation 15 3 4 3" xfId="8302" xr:uid="{00000000-0005-0000-0000-0000BB170000}"/>
    <cellStyle name="Calculation 15 3 4 4" xfId="8303" xr:uid="{00000000-0005-0000-0000-0000BC170000}"/>
    <cellStyle name="Calculation 15 3 4 5" xfId="15583" xr:uid="{00000000-0005-0000-0000-0000BD170000}"/>
    <cellStyle name="Calculation 15 3 5" xfId="8304" xr:uid="{00000000-0005-0000-0000-0000BE170000}"/>
    <cellStyle name="Calculation 15 3 6" xfId="8305" xr:uid="{00000000-0005-0000-0000-0000BF170000}"/>
    <cellStyle name="Calculation 15 3 7" xfId="8306" xr:uid="{00000000-0005-0000-0000-0000C0170000}"/>
    <cellStyle name="Calculation 15 3 8" xfId="17951" xr:uid="{00000000-0005-0000-0000-0000C1170000}"/>
    <cellStyle name="Calculation 15 4" xfId="2427" xr:uid="{00000000-0005-0000-0000-0000C2170000}"/>
    <cellStyle name="Calculation 15 4 2" xfId="2428" xr:uid="{00000000-0005-0000-0000-0000C3170000}"/>
    <cellStyle name="Calculation 15 4 2 2" xfId="2429" xr:uid="{00000000-0005-0000-0000-0000C4170000}"/>
    <cellStyle name="Calculation 15 4 2 2 2" xfId="8307" xr:uid="{00000000-0005-0000-0000-0000C5170000}"/>
    <cellStyle name="Calculation 15 4 2 2 3" xfId="8308" xr:uid="{00000000-0005-0000-0000-0000C6170000}"/>
    <cellStyle name="Calculation 15 4 2 2 4" xfId="8309" xr:uid="{00000000-0005-0000-0000-0000C7170000}"/>
    <cellStyle name="Calculation 15 4 2 2 5" xfId="16452" xr:uid="{00000000-0005-0000-0000-0000C8170000}"/>
    <cellStyle name="Calculation 15 4 2 3" xfId="2430" xr:uid="{00000000-0005-0000-0000-0000C9170000}"/>
    <cellStyle name="Calculation 15 4 2 3 2" xfId="8310" xr:uid="{00000000-0005-0000-0000-0000CA170000}"/>
    <cellStyle name="Calculation 15 4 2 3 3" xfId="8311" xr:uid="{00000000-0005-0000-0000-0000CB170000}"/>
    <cellStyle name="Calculation 15 4 2 3 4" xfId="8312" xr:uid="{00000000-0005-0000-0000-0000CC170000}"/>
    <cellStyle name="Calculation 15 4 2 3 5" xfId="15582" xr:uid="{00000000-0005-0000-0000-0000CD170000}"/>
    <cellStyle name="Calculation 15 4 2 4" xfId="8313" xr:uid="{00000000-0005-0000-0000-0000CE170000}"/>
    <cellStyle name="Calculation 15 4 2 5" xfId="8314" xr:uid="{00000000-0005-0000-0000-0000CF170000}"/>
    <cellStyle name="Calculation 15 4 2 6" xfId="8315" xr:uid="{00000000-0005-0000-0000-0000D0170000}"/>
    <cellStyle name="Calculation 15 4 2 7" xfId="17884" xr:uid="{00000000-0005-0000-0000-0000D1170000}"/>
    <cellStyle name="Calculation 15 4 3" xfId="2431" xr:uid="{00000000-0005-0000-0000-0000D2170000}"/>
    <cellStyle name="Calculation 15 4 3 2" xfId="8316" xr:uid="{00000000-0005-0000-0000-0000D3170000}"/>
    <cellStyle name="Calculation 15 4 3 3" xfId="8317" xr:uid="{00000000-0005-0000-0000-0000D4170000}"/>
    <cellStyle name="Calculation 15 4 3 4" xfId="8318" xr:uid="{00000000-0005-0000-0000-0000D5170000}"/>
    <cellStyle name="Calculation 15 4 3 5" xfId="17883" xr:uid="{00000000-0005-0000-0000-0000D6170000}"/>
    <cellStyle name="Calculation 15 4 4" xfId="2432" xr:uid="{00000000-0005-0000-0000-0000D7170000}"/>
    <cellStyle name="Calculation 15 4 4 2" xfId="8319" xr:uid="{00000000-0005-0000-0000-0000D8170000}"/>
    <cellStyle name="Calculation 15 4 4 3" xfId="8320" xr:uid="{00000000-0005-0000-0000-0000D9170000}"/>
    <cellStyle name="Calculation 15 4 4 4" xfId="8321" xr:uid="{00000000-0005-0000-0000-0000DA170000}"/>
    <cellStyle name="Calculation 15 4 4 5" xfId="16451" xr:uid="{00000000-0005-0000-0000-0000DB170000}"/>
    <cellStyle name="Calculation 15 4 5" xfId="8322" xr:uid="{00000000-0005-0000-0000-0000DC170000}"/>
    <cellStyle name="Calculation 15 4 6" xfId="8323" xr:uid="{00000000-0005-0000-0000-0000DD170000}"/>
    <cellStyle name="Calculation 15 4 7" xfId="8324" xr:uid="{00000000-0005-0000-0000-0000DE170000}"/>
    <cellStyle name="Calculation 15 4 8" xfId="16521" xr:uid="{00000000-0005-0000-0000-0000DF170000}"/>
    <cellStyle name="Calculation 15 5" xfId="2433" xr:uid="{00000000-0005-0000-0000-0000E0170000}"/>
    <cellStyle name="Calculation 15 5 2" xfId="2434" xr:uid="{00000000-0005-0000-0000-0000E1170000}"/>
    <cellStyle name="Calculation 15 5 2 2" xfId="2435" xr:uid="{00000000-0005-0000-0000-0000E2170000}"/>
    <cellStyle name="Calculation 15 5 2 2 2" xfId="8325" xr:uid="{00000000-0005-0000-0000-0000E3170000}"/>
    <cellStyle name="Calculation 15 5 2 2 3" xfId="8326" xr:uid="{00000000-0005-0000-0000-0000E4170000}"/>
    <cellStyle name="Calculation 15 5 2 2 4" xfId="8327" xr:uid="{00000000-0005-0000-0000-0000E5170000}"/>
    <cellStyle name="Calculation 15 5 2 2 5" xfId="17882" xr:uid="{00000000-0005-0000-0000-0000E6170000}"/>
    <cellStyle name="Calculation 15 5 2 3" xfId="2436" xr:uid="{00000000-0005-0000-0000-0000E7170000}"/>
    <cellStyle name="Calculation 15 5 2 3 2" xfId="8328" xr:uid="{00000000-0005-0000-0000-0000E8170000}"/>
    <cellStyle name="Calculation 15 5 2 3 3" xfId="8329" xr:uid="{00000000-0005-0000-0000-0000E9170000}"/>
    <cellStyle name="Calculation 15 5 2 3 4" xfId="8330" xr:uid="{00000000-0005-0000-0000-0000EA170000}"/>
    <cellStyle name="Calculation 15 5 2 3 5" xfId="16450" xr:uid="{00000000-0005-0000-0000-0000EB170000}"/>
    <cellStyle name="Calculation 15 5 2 4" xfId="8331" xr:uid="{00000000-0005-0000-0000-0000EC170000}"/>
    <cellStyle name="Calculation 15 5 2 5" xfId="8332" xr:uid="{00000000-0005-0000-0000-0000ED170000}"/>
    <cellStyle name="Calculation 15 5 2 6" xfId="8333" xr:uid="{00000000-0005-0000-0000-0000EE170000}"/>
    <cellStyle name="Calculation 15 5 2 7" xfId="15581" xr:uid="{00000000-0005-0000-0000-0000EF170000}"/>
    <cellStyle name="Calculation 15 5 3" xfId="2437" xr:uid="{00000000-0005-0000-0000-0000F0170000}"/>
    <cellStyle name="Calculation 15 5 3 2" xfId="8334" xr:uid="{00000000-0005-0000-0000-0000F1170000}"/>
    <cellStyle name="Calculation 15 5 3 3" xfId="8335" xr:uid="{00000000-0005-0000-0000-0000F2170000}"/>
    <cellStyle name="Calculation 15 5 3 4" xfId="8336" xr:uid="{00000000-0005-0000-0000-0000F3170000}"/>
    <cellStyle name="Calculation 15 5 3 5" xfId="15580" xr:uid="{00000000-0005-0000-0000-0000F4170000}"/>
    <cellStyle name="Calculation 15 5 4" xfId="2438" xr:uid="{00000000-0005-0000-0000-0000F5170000}"/>
    <cellStyle name="Calculation 15 5 4 2" xfId="8337" xr:uid="{00000000-0005-0000-0000-0000F6170000}"/>
    <cellStyle name="Calculation 15 5 4 3" xfId="8338" xr:uid="{00000000-0005-0000-0000-0000F7170000}"/>
    <cellStyle name="Calculation 15 5 4 4" xfId="8339" xr:uid="{00000000-0005-0000-0000-0000F8170000}"/>
    <cellStyle name="Calculation 15 5 4 5" xfId="17881" xr:uid="{00000000-0005-0000-0000-0000F9170000}"/>
    <cellStyle name="Calculation 15 5 5" xfId="8340" xr:uid="{00000000-0005-0000-0000-0000FA170000}"/>
    <cellStyle name="Calculation 15 5 6" xfId="8341" xr:uid="{00000000-0005-0000-0000-0000FB170000}"/>
    <cellStyle name="Calculation 15 5 7" xfId="8342" xr:uid="{00000000-0005-0000-0000-0000FC170000}"/>
    <cellStyle name="Calculation 15 5 8" xfId="15872" xr:uid="{00000000-0005-0000-0000-0000FD170000}"/>
    <cellStyle name="Calculation 15 6" xfId="2439" xr:uid="{00000000-0005-0000-0000-0000FE170000}"/>
    <cellStyle name="Calculation 15 6 2" xfId="2440" xr:uid="{00000000-0005-0000-0000-0000FF170000}"/>
    <cellStyle name="Calculation 15 6 2 2" xfId="2441" xr:uid="{00000000-0005-0000-0000-000000180000}"/>
    <cellStyle name="Calculation 15 6 2 2 2" xfId="8343" xr:uid="{00000000-0005-0000-0000-000001180000}"/>
    <cellStyle name="Calculation 15 6 2 2 3" xfId="8344" xr:uid="{00000000-0005-0000-0000-000002180000}"/>
    <cellStyle name="Calculation 15 6 2 2 4" xfId="8345" xr:uid="{00000000-0005-0000-0000-000003180000}"/>
    <cellStyle name="Calculation 15 6 2 2 5" xfId="15579" xr:uid="{00000000-0005-0000-0000-000004180000}"/>
    <cellStyle name="Calculation 15 6 2 3" xfId="2442" xr:uid="{00000000-0005-0000-0000-000005180000}"/>
    <cellStyle name="Calculation 15 6 2 3 2" xfId="8346" xr:uid="{00000000-0005-0000-0000-000006180000}"/>
    <cellStyle name="Calculation 15 6 2 3 3" xfId="8347" xr:uid="{00000000-0005-0000-0000-000007180000}"/>
    <cellStyle name="Calculation 15 6 2 3 4" xfId="8348" xr:uid="{00000000-0005-0000-0000-000008180000}"/>
    <cellStyle name="Calculation 15 6 2 3 5" xfId="17880" xr:uid="{00000000-0005-0000-0000-000009180000}"/>
    <cellStyle name="Calculation 15 6 2 4" xfId="8349" xr:uid="{00000000-0005-0000-0000-00000A180000}"/>
    <cellStyle name="Calculation 15 6 2 5" xfId="8350" xr:uid="{00000000-0005-0000-0000-00000B180000}"/>
    <cellStyle name="Calculation 15 6 2 6" xfId="8351" xr:uid="{00000000-0005-0000-0000-00000C180000}"/>
    <cellStyle name="Calculation 15 6 2 7" xfId="16449" xr:uid="{00000000-0005-0000-0000-00000D180000}"/>
    <cellStyle name="Calculation 15 6 3" xfId="2443" xr:uid="{00000000-0005-0000-0000-00000E180000}"/>
    <cellStyle name="Calculation 15 6 3 2" xfId="8352" xr:uid="{00000000-0005-0000-0000-00000F180000}"/>
    <cellStyle name="Calculation 15 6 3 3" xfId="8353" xr:uid="{00000000-0005-0000-0000-000010180000}"/>
    <cellStyle name="Calculation 15 6 3 4" xfId="8354" xr:uid="{00000000-0005-0000-0000-000011180000}"/>
    <cellStyle name="Calculation 15 6 3 5" xfId="16448" xr:uid="{00000000-0005-0000-0000-000012180000}"/>
    <cellStyle name="Calculation 15 6 4" xfId="2444" xr:uid="{00000000-0005-0000-0000-000013180000}"/>
    <cellStyle name="Calculation 15 6 4 2" xfId="8355" xr:uid="{00000000-0005-0000-0000-000014180000}"/>
    <cellStyle name="Calculation 15 6 4 3" xfId="8356" xr:uid="{00000000-0005-0000-0000-000015180000}"/>
    <cellStyle name="Calculation 15 6 4 4" xfId="8357" xr:uid="{00000000-0005-0000-0000-000016180000}"/>
    <cellStyle name="Calculation 15 6 4 5" xfId="15578" xr:uid="{00000000-0005-0000-0000-000017180000}"/>
    <cellStyle name="Calculation 15 6 5" xfId="8358" xr:uid="{00000000-0005-0000-0000-000018180000}"/>
    <cellStyle name="Calculation 15 6 6" xfId="8359" xr:uid="{00000000-0005-0000-0000-000019180000}"/>
    <cellStyle name="Calculation 15 6 7" xfId="8360" xr:uid="{00000000-0005-0000-0000-00001A180000}"/>
    <cellStyle name="Calculation 15 6 8" xfId="17950" xr:uid="{00000000-0005-0000-0000-00001B180000}"/>
    <cellStyle name="Calculation 15 7" xfId="2445" xr:uid="{00000000-0005-0000-0000-00001C180000}"/>
    <cellStyle name="Calculation 15 7 2" xfId="2446" xr:uid="{00000000-0005-0000-0000-00001D180000}"/>
    <cellStyle name="Calculation 15 7 2 2" xfId="2447" xr:uid="{00000000-0005-0000-0000-00001E180000}"/>
    <cellStyle name="Calculation 15 7 2 2 2" xfId="8361" xr:uid="{00000000-0005-0000-0000-00001F180000}"/>
    <cellStyle name="Calculation 15 7 2 2 3" xfId="8362" xr:uid="{00000000-0005-0000-0000-000020180000}"/>
    <cellStyle name="Calculation 15 7 2 2 4" xfId="8363" xr:uid="{00000000-0005-0000-0000-000021180000}"/>
    <cellStyle name="Calculation 15 7 2 2 5" xfId="17878" xr:uid="{00000000-0005-0000-0000-000022180000}"/>
    <cellStyle name="Calculation 15 7 2 3" xfId="2448" xr:uid="{00000000-0005-0000-0000-000023180000}"/>
    <cellStyle name="Calculation 15 7 2 3 2" xfId="8364" xr:uid="{00000000-0005-0000-0000-000024180000}"/>
    <cellStyle name="Calculation 15 7 2 3 3" xfId="8365" xr:uid="{00000000-0005-0000-0000-000025180000}"/>
    <cellStyle name="Calculation 15 7 2 3 4" xfId="8366" xr:uid="{00000000-0005-0000-0000-000026180000}"/>
    <cellStyle name="Calculation 15 7 2 3 5" xfId="16446" xr:uid="{00000000-0005-0000-0000-000027180000}"/>
    <cellStyle name="Calculation 15 7 2 4" xfId="8367" xr:uid="{00000000-0005-0000-0000-000028180000}"/>
    <cellStyle name="Calculation 15 7 2 5" xfId="8368" xr:uid="{00000000-0005-0000-0000-000029180000}"/>
    <cellStyle name="Calculation 15 7 2 6" xfId="8369" xr:uid="{00000000-0005-0000-0000-00002A180000}"/>
    <cellStyle name="Calculation 15 7 2 7" xfId="15577" xr:uid="{00000000-0005-0000-0000-00002B180000}"/>
    <cellStyle name="Calculation 15 7 3" xfId="2449" xr:uid="{00000000-0005-0000-0000-00002C180000}"/>
    <cellStyle name="Calculation 15 7 3 2" xfId="8370" xr:uid="{00000000-0005-0000-0000-00002D180000}"/>
    <cellStyle name="Calculation 15 7 3 3" xfId="8371" xr:uid="{00000000-0005-0000-0000-00002E180000}"/>
    <cellStyle name="Calculation 15 7 3 4" xfId="8372" xr:uid="{00000000-0005-0000-0000-00002F180000}"/>
    <cellStyle name="Calculation 15 7 3 5" xfId="15576" xr:uid="{00000000-0005-0000-0000-000030180000}"/>
    <cellStyle name="Calculation 15 7 4" xfId="2450" xr:uid="{00000000-0005-0000-0000-000031180000}"/>
    <cellStyle name="Calculation 15 7 4 2" xfId="8373" xr:uid="{00000000-0005-0000-0000-000032180000}"/>
    <cellStyle name="Calculation 15 7 4 3" xfId="8374" xr:uid="{00000000-0005-0000-0000-000033180000}"/>
    <cellStyle name="Calculation 15 7 4 4" xfId="8375" xr:uid="{00000000-0005-0000-0000-000034180000}"/>
    <cellStyle name="Calculation 15 7 4 5" xfId="17877" xr:uid="{00000000-0005-0000-0000-000035180000}"/>
    <cellStyle name="Calculation 15 7 5" xfId="8376" xr:uid="{00000000-0005-0000-0000-000036180000}"/>
    <cellStyle name="Calculation 15 7 6" xfId="8377" xr:uid="{00000000-0005-0000-0000-000037180000}"/>
    <cellStyle name="Calculation 15 7 7" xfId="8378" xr:uid="{00000000-0005-0000-0000-000038180000}"/>
    <cellStyle name="Calculation 15 7 8" xfId="16520" xr:uid="{00000000-0005-0000-0000-000039180000}"/>
    <cellStyle name="Calculation 15 8" xfId="2451" xr:uid="{00000000-0005-0000-0000-00003A180000}"/>
    <cellStyle name="Calculation 15 8 2" xfId="2452" xr:uid="{00000000-0005-0000-0000-00003B180000}"/>
    <cellStyle name="Calculation 15 8 2 2" xfId="8379" xr:uid="{00000000-0005-0000-0000-00003C180000}"/>
    <cellStyle name="Calculation 15 8 2 3" xfId="8380" xr:uid="{00000000-0005-0000-0000-00003D180000}"/>
    <cellStyle name="Calculation 15 8 2 4" xfId="8381" xr:uid="{00000000-0005-0000-0000-00003E180000}"/>
    <cellStyle name="Calculation 15 8 2 5" xfId="15575" xr:uid="{00000000-0005-0000-0000-00003F180000}"/>
    <cellStyle name="Calculation 15 8 3" xfId="2453" xr:uid="{00000000-0005-0000-0000-000040180000}"/>
    <cellStyle name="Calculation 15 8 3 2" xfId="8382" xr:uid="{00000000-0005-0000-0000-000041180000}"/>
    <cellStyle name="Calculation 15 8 3 3" xfId="8383" xr:uid="{00000000-0005-0000-0000-000042180000}"/>
    <cellStyle name="Calculation 15 8 3 4" xfId="8384" xr:uid="{00000000-0005-0000-0000-000043180000}"/>
    <cellStyle name="Calculation 15 8 3 5" xfId="17876" xr:uid="{00000000-0005-0000-0000-000044180000}"/>
    <cellStyle name="Calculation 15 8 4" xfId="8385" xr:uid="{00000000-0005-0000-0000-000045180000}"/>
    <cellStyle name="Calculation 15 8 5" xfId="8386" xr:uid="{00000000-0005-0000-0000-000046180000}"/>
    <cellStyle name="Calculation 15 8 6" xfId="8387" xr:uid="{00000000-0005-0000-0000-000047180000}"/>
    <cellStyle name="Calculation 15 8 7" xfId="16445" xr:uid="{00000000-0005-0000-0000-000048180000}"/>
    <cellStyle name="Calculation 15 9" xfId="2454" xr:uid="{00000000-0005-0000-0000-000049180000}"/>
    <cellStyle name="Calculation 15 9 2" xfId="8388" xr:uid="{00000000-0005-0000-0000-00004A180000}"/>
    <cellStyle name="Calculation 15 9 3" xfId="8389" xr:uid="{00000000-0005-0000-0000-00004B180000}"/>
    <cellStyle name="Calculation 15 9 4" xfId="8390" xr:uid="{00000000-0005-0000-0000-00004C180000}"/>
    <cellStyle name="Calculation 15 9 5" xfId="16444" xr:uid="{00000000-0005-0000-0000-00004D180000}"/>
    <cellStyle name="Calculation 16" xfId="2455" xr:uid="{00000000-0005-0000-0000-00004E180000}"/>
    <cellStyle name="Calculation 16 2" xfId="2456" xr:uid="{00000000-0005-0000-0000-00004F180000}"/>
    <cellStyle name="Calculation 16 2 2" xfId="2457" xr:uid="{00000000-0005-0000-0000-000050180000}"/>
    <cellStyle name="Calculation 16 2 2 2" xfId="8391" xr:uid="{00000000-0005-0000-0000-000051180000}"/>
    <cellStyle name="Calculation 16 2 2 3" xfId="8392" xr:uid="{00000000-0005-0000-0000-000052180000}"/>
    <cellStyle name="Calculation 16 2 2 4" xfId="8393" xr:uid="{00000000-0005-0000-0000-000053180000}"/>
    <cellStyle name="Calculation 16 2 2 5" xfId="17875" xr:uid="{00000000-0005-0000-0000-000054180000}"/>
    <cellStyle name="Calculation 16 2 3" xfId="2458" xr:uid="{00000000-0005-0000-0000-000055180000}"/>
    <cellStyle name="Calculation 16 2 3 2" xfId="8394" xr:uid="{00000000-0005-0000-0000-000056180000}"/>
    <cellStyle name="Calculation 16 2 3 3" xfId="8395" xr:uid="{00000000-0005-0000-0000-000057180000}"/>
    <cellStyle name="Calculation 16 2 3 4" xfId="8396" xr:uid="{00000000-0005-0000-0000-000058180000}"/>
    <cellStyle name="Calculation 16 2 3 5" xfId="16443" xr:uid="{00000000-0005-0000-0000-000059180000}"/>
    <cellStyle name="Calculation 16 2 4" xfId="8397" xr:uid="{00000000-0005-0000-0000-00005A180000}"/>
    <cellStyle name="Calculation 16 2 5" xfId="8398" xr:uid="{00000000-0005-0000-0000-00005B180000}"/>
    <cellStyle name="Calculation 16 2 6" xfId="8399" xr:uid="{00000000-0005-0000-0000-00005C180000}"/>
    <cellStyle name="Calculation 16 2 7" xfId="15574" xr:uid="{00000000-0005-0000-0000-00005D180000}"/>
    <cellStyle name="Calculation 16 3" xfId="2459" xr:uid="{00000000-0005-0000-0000-00005E180000}"/>
    <cellStyle name="Calculation 16 3 2" xfId="8400" xr:uid="{00000000-0005-0000-0000-00005F180000}"/>
    <cellStyle name="Calculation 16 3 3" xfId="8401" xr:uid="{00000000-0005-0000-0000-000060180000}"/>
    <cellStyle name="Calculation 16 3 4" xfId="8402" xr:uid="{00000000-0005-0000-0000-000061180000}"/>
    <cellStyle name="Calculation 16 3 5" xfId="15573" xr:uid="{00000000-0005-0000-0000-000062180000}"/>
    <cellStyle name="Calculation 16 4" xfId="2460" xr:uid="{00000000-0005-0000-0000-000063180000}"/>
    <cellStyle name="Calculation 16 4 2" xfId="8403" xr:uid="{00000000-0005-0000-0000-000064180000}"/>
    <cellStyle name="Calculation 16 4 3" xfId="8404" xr:uid="{00000000-0005-0000-0000-000065180000}"/>
    <cellStyle name="Calculation 16 4 4" xfId="8405" xr:uid="{00000000-0005-0000-0000-000066180000}"/>
    <cellStyle name="Calculation 16 4 5" xfId="17874" xr:uid="{00000000-0005-0000-0000-000067180000}"/>
    <cellStyle name="Calculation 16 5" xfId="8406" xr:uid="{00000000-0005-0000-0000-000068180000}"/>
    <cellStyle name="Calculation 16 6" xfId="8407" xr:uid="{00000000-0005-0000-0000-000069180000}"/>
    <cellStyle name="Calculation 16 7" xfId="8408" xr:uid="{00000000-0005-0000-0000-00006A180000}"/>
    <cellStyle name="Calculation 16 8" xfId="15871" xr:uid="{00000000-0005-0000-0000-00006B180000}"/>
    <cellStyle name="Calculation 17" xfId="2461" xr:uid="{00000000-0005-0000-0000-00006C180000}"/>
    <cellStyle name="Calculation 17 2" xfId="2462" xr:uid="{00000000-0005-0000-0000-00006D180000}"/>
    <cellStyle name="Calculation 17 2 2" xfId="2463" xr:uid="{00000000-0005-0000-0000-00006E180000}"/>
    <cellStyle name="Calculation 17 2 2 2" xfId="8409" xr:uid="{00000000-0005-0000-0000-00006F180000}"/>
    <cellStyle name="Calculation 17 2 2 3" xfId="8410" xr:uid="{00000000-0005-0000-0000-000070180000}"/>
    <cellStyle name="Calculation 17 2 2 4" xfId="8411" xr:uid="{00000000-0005-0000-0000-000071180000}"/>
    <cellStyle name="Calculation 17 2 2 5" xfId="15572" xr:uid="{00000000-0005-0000-0000-000072180000}"/>
    <cellStyle name="Calculation 17 2 3" xfId="2464" xr:uid="{00000000-0005-0000-0000-000073180000}"/>
    <cellStyle name="Calculation 17 2 3 2" xfId="8412" xr:uid="{00000000-0005-0000-0000-000074180000}"/>
    <cellStyle name="Calculation 17 2 3 3" xfId="8413" xr:uid="{00000000-0005-0000-0000-000075180000}"/>
    <cellStyle name="Calculation 17 2 3 4" xfId="8414" xr:uid="{00000000-0005-0000-0000-000076180000}"/>
    <cellStyle name="Calculation 17 2 3 5" xfId="17873" xr:uid="{00000000-0005-0000-0000-000077180000}"/>
    <cellStyle name="Calculation 17 2 4" xfId="8415" xr:uid="{00000000-0005-0000-0000-000078180000}"/>
    <cellStyle name="Calculation 17 2 5" xfId="8416" xr:uid="{00000000-0005-0000-0000-000079180000}"/>
    <cellStyle name="Calculation 17 2 6" xfId="8417" xr:uid="{00000000-0005-0000-0000-00007A180000}"/>
    <cellStyle name="Calculation 17 2 7" xfId="16442" xr:uid="{00000000-0005-0000-0000-00007B180000}"/>
    <cellStyle name="Calculation 17 3" xfId="2465" xr:uid="{00000000-0005-0000-0000-00007C180000}"/>
    <cellStyle name="Calculation 17 3 2" xfId="8418" xr:uid="{00000000-0005-0000-0000-00007D180000}"/>
    <cellStyle name="Calculation 17 3 3" xfId="8419" xr:uid="{00000000-0005-0000-0000-00007E180000}"/>
    <cellStyle name="Calculation 17 3 4" xfId="8420" xr:uid="{00000000-0005-0000-0000-00007F180000}"/>
    <cellStyle name="Calculation 17 3 5" xfId="16441" xr:uid="{00000000-0005-0000-0000-000080180000}"/>
    <cellStyle name="Calculation 17 4" xfId="2466" xr:uid="{00000000-0005-0000-0000-000081180000}"/>
    <cellStyle name="Calculation 17 4 2" xfId="8421" xr:uid="{00000000-0005-0000-0000-000082180000}"/>
    <cellStyle name="Calculation 17 4 3" xfId="8422" xr:uid="{00000000-0005-0000-0000-000083180000}"/>
    <cellStyle name="Calculation 17 4 4" xfId="8423" xr:uid="{00000000-0005-0000-0000-000084180000}"/>
    <cellStyle name="Calculation 17 4 5" xfId="15571" xr:uid="{00000000-0005-0000-0000-000085180000}"/>
    <cellStyle name="Calculation 17 5" xfId="8424" xr:uid="{00000000-0005-0000-0000-000086180000}"/>
    <cellStyle name="Calculation 17 6" xfId="8425" xr:uid="{00000000-0005-0000-0000-000087180000}"/>
    <cellStyle name="Calculation 17 7" xfId="8426" xr:uid="{00000000-0005-0000-0000-000088180000}"/>
    <cellStyle name="Calculation 17 8" xfId="17949" xr:uid="{00000000-0005-0000-0000-000089180000}"/>
    <cellStyle name="Calculation 18" xfId="2467" xr:uid="{00000000-0005-0000-0000-00008A180000}"/>
    <cellStyle name="Calculation 18 2" xfId="2468" xr:uid="{00000000-0005-0000-0000-00008B180000}"/>
    <cellStyle name="Calculation 18 2 2" xfId="2469" xr:uid="{00000000-0005-0000-0000-00008C180000}"/>
    <cellStyle name="Calculation 18 2 2 2" xfId="8427" xr:uid="{00000000-0005-0000-0000-00008D180000}"/>
    <cellStyle name="Calculation 18 2 2 3" xfId="8428" xr:uid="{00000000-0005-0000-0000-00008E180000}"/>
    <cellStyle name="Calculation 18 2 2 4" xfId="8429" xr:uid="{00000000-0005-0000-0000-00008F180000}"/>
    <cellStyle name="Calculation 18 2 2 5" xfId="16440" xr:uid="{00000000-0005-0000-0000-000090180000}"/>
    <cellStyle name="Calculation 18 2 3" xfId="2470" xr:uid="{00000000-0005-0000-0000-000091180000}"/>
    <cellStyle name="Calculation 18 2 3 2" xfId="8430" xr:uid="{00000000-0005-0000-0000-000092180000}"/>
    <cellStyle name="Calculation 18 2 3 3" xfId="8431" xr:uid="{00000000-0005-0000-0000-000093180000}"/>
    <cellStyle name="Calculation 18 2 3 4" xfId="8432" xr:uid="{00000000-0005-0000-0000-000094180000}"/>
    <cellStyle name="Calculation 18 2 3 5" xfId="15570" xr:uid="{00000000-0005-0000-0000-000095180000}"/>
    <cellStyle name="Calculation 18 2 4" xfId="8433" xr:uid="{00000000-0005-0000-0000-000096180000}"/>
    <cellStyle name="Calculation 18 2 5" xfId="8434" xr:uid="{00000000-0005-0000-0000-000097180000}"/>
    <cellStyle name="Calculation 18 2 6" xfId="8435" xr:uid="{00000000-0005-0000-0000-000098180000}"/>
    <cellStyle name="Calculation 18 2 7" xfId="17872" xr:uid="{00000000-0005-0000-0000-000099180000}"/>
    <cellStyle name="Calculation 18 3" xfId="2471" xr:uid="{00000000-0005-0000-0000-00009A180000}"/>
    <cellStyle name="Calculation 18 3 2" xfId="8436" xr:uid="{00000000-0005-0000-0000-00009B180000}"/>
    <cellStyle name="Calculation 18 3 3" xfId="8437" xr:uid="{00000000-0005-0000-0000-00009C180000}"/>
    <cellStyle name="Calculation 18 3 4" xfId="8438" xr:uid="{00000000-0005-0000-0000-00009D180000}"/>
    <cellStyle name="Calculation 18 3 5" xfId="17871" xr:uid="{00000000-0005-0000-0000-00009E180000}"/>
    <cellStyle name="Calculation 18 4" xfId="2472" xr:uid="{00000000-0005-0000-0000-00009F180000}"/>
    <cellStyle name="Calculation 18 4 2" xfId="8439" xr:uid="{00000000-0005-0000-0000-0000A0180000}"/>
    <cellStyle name="Calculation 18 4 3" xfId="8440" xr:uid="{00000000-0005-0000-0000-0000A1180000}"/>
    <cellStyle name="Calculation 18 4 4" xfId="8441" xr:uid="{00000000-0005-0000-0000-0000A2180000}"/>
    <cellStyle name="Calculation 18 4 5" xfId="16439" xr:uid="{00000000-0005-0000-0000-0000A3180000}"/>
    <cellStyle name="Calculation 18 5" xfId="8442" xr:uid="{00000000-0005-0000-0000-0000A4180000}"/>
    <cellStyle name="Calculation 18 6" xfId="8443" xr:uid="{00000000-0005-0000-0000-0000A5180000}"/>
    <cellStyle name="Calculation 18 7" xfId="8444" xr:uid="{00000000-0005-0000-0000-0000A6180000}"/>
    <cellStyle name="Calculation 18 8" xfId="16519" xr:uid="{00000000-0005-0000-0000-0000A7180000}"/>
    <cellStyle name="Calculation 19" xfId="2473" xr:uid="{00000000-0005-0000-0000-0000A8180000}"/>
    <cellStyle name="Calculation 19 2" xfId="2474" xr:uid="{00000000-0005-0000-0000-0000A9180000}"/>
    <cellStyle name="Calculation 19 2 2" xfId="2475" xr:uid="{00000000-0005-0000-0000-0000AA180000}"/>
    <cellStyle name="Calculation 19 2 2 2" xfId="8445" xr:uid="{00000000-0005-0000-0000-0000AB180000}"/>
    <cellStyle name="Calculation 19 2 2 3" xfId="8446" xr:uid="{00000000-0005-0000-0000-0000AC180000}"/>
    <cellStyle name="Calculation 19 2 2 4" xfId="8447" xr:uid="{00000000-0005-0000-0000-0000AD180000}"/>
    <cellStyle name="Calculation 19 2 2 5" xfId="17870" xr:uid="{00000000-0005-0000-0000-0000AE180000}"/>
    <cellStyle name="Calculation 19 2 3" xfId="2476" xr:uid="{00000000-0005-0000-0000-0000AF180000}"/>
    <cellStyle name="Calculation 19 2 3 2" xfId="8448" xr:uid="{00000000-0005-0000-0000-0000B0180000}"/>
    <cellStyle name="Calculation 19 2 3 3" xfId="8449" xr:uid="{00000000-0005-0000-0000-0000B1180000}"/>
    <cellStyle name="Calculation 19 2 3 4" xfId="8450" xr:uid="{00000000-0005-0000-0000-0000B2180000}"/>
    <cellStyle name="Calculation 19 2 3 5" xfId="16438" xr:uid="{00000000-0005-0000-0000-0000B3180000}"/>
    <cellStyle name="Calculation 19 2 4" xfId="8451" xr:uid="{00000000-0005-0000-0000-0000B4180000}"/>
    <cellStyle name="Calculation 19 2 5" xfId="8452" xr:uid="{00000000-0005-0000-0000-0000B5180000}"/>
    <cellStyle name="Calculation 19 2 6" xfId="8453" xr:uid="{00000000-0005-0000-0000-0000B6180000}"/>
    <cellStyle name="Calculation 19 2 7" xfId="15569" xr:uid="{00000000-0005-0000-0000-0000B7180000}"/>
    <cellStyle name="Calculation 19 3" xfId="2477" xr:uid="{00000000-0005-0000-0000-0000B8180000}"/>
    <cellStyle name="Calculation 19 3 2" xfId="8454" xr:uid="{00000000-0005-0000-0000-0000B9180000}"/>
    <cellStyle name="Calculation 19 3 3" xfId="8455" xr:uid="{00000000-0005-0000-0000-0000BA180000}"/>
    <cellStyle name="Calculation 19 3 4" xfId="8456" xr:uid="{00000000-0005-0000-0000-0000BB180000}"/>
    <cellStyle name="Calculation 19 3 5" xfId="15568" xr:uid="{00000000-0005-0000-0000-0000BC180000}"/>
    <cellStyle name="Calculation 19 4" xfId="2478" xr:uid="{00000000-0005-0000-0000-0000BD180000}"/>
    <cellStyle name="Calculation 19 4 2" xfId="8457" xr:uid="{00000000-0005-0000-0000-0000BE180000}"/>
    <cellStyle name="Calculation 19 4 3" xfId="8458" xr:uid="{00000000-0005-0000-0000-0000BF180000}"/>
    <cellStyle name="Calculation 19 4 4" xfId="8459" xr:uid="{00000000-0005-0000-0000-0000C0180000}"/>
    <cellStyle name="Calculation 19 4 5" xfId="17869" xr:uid="{00000000-0005-0000-0000-0000C1180000}"/>
    <cellStyle name="Calculation 19 5" xfId="8460" xr:uid="{00000000-0005-0000-0000-0000C2180000}"/>
    <cellStyle name="Calculation 19 6" xfId="8461" xr:uid="{00000000-0005-0000-0000-0000C3180000}"/>
    <cellStyle name="Calculation 19 7" xfId="8462" xr:uid="{00000000-0005-0000-0000-0000C4180000}"/>
    <cellStyle name="Calculation 19 8" xfId="15870" xr:uid="{00000000-0005-0000-0000-0000C5180000}"/>
    <cellStyle name="Calculation 2" xfId="2479" xr:uid="{00000000-0005-0000-0000-0000C6180000}"/>
    <cellStyle name="Calculation 2 10" xfId="8463" xr:uid="{00000000-0005-0000-0000-0000C7180000}"/>
    <cellStyle name="Calculation 2 11" xfId="15623" xr:uid="{00000000-0005-0000-0000-0000C8180000}"/>
    <cellStyle name="Calculation 2 2" xfId="2480" xr:uid="{00000000-0005-0000-0000-0000C9180000}"/>
    <cellStyle name="Calculation 2 2 2" xfId="2481" xr:uid="{00000000-0005-0000-0000-0000CA180000}"/>
    <cellStyle name="Calculation 2 2 2 2" xfId="2482" xr:uid="{00000000-0005-0000-0000-0000CB180000}"/>
    <cellStyle name="Calculation 2 2 2 2 2" xfId="8464" xr:uid="{00000000-0005-0000-0000-0000CC180000}"/>
    <cellStyle name="Calculation 2 2 2 2 3" xfId="8465" xr:uid="{00000000-0005-0000-0000-0000CD180000}"/>
    <cellStyle name="Calculation 2 2 2 2 4" xfId="8466" xr:uid="{00000000-0005-0000-0000-0000CE180000}"/>
    <cellStyle name="Calculation 2 2 2 2 5" xfId="15567" xr:uid="{00000000-0005-0000-0000-0000CF180000}"/>
    <cellStyle name="Calculation 2 2 2 3" xfId="2483" xr:uid="{00000000-0005-0000-0000-0000D0180000}"/>
    <cellStyle name="Calculation 2 2 2 3 2" xfId="8467" xr:uid="{00000000-0005-0000-0000-0000D1180000}"/>
    <cellStyle name="Calculation 2 2 2 3 3" xfId="8468" xr:uid="{00000000-0005-0000-0000-0000D2180000}"/>
    <cellStyle name="Calculation 2 2 2 3 4" xfId="8469" xr:uid="{00000000-0005-0000-0000-0000D3180000}"/>
    <cellStyle name="Calculation 2 2 2 3 5" xfId="17868" xr:uid="{00000000-0005-0000-0000-0000D4180000}"/>
    <cellStyle name="Calculation 2 2 2 4" xfId="8470" xr:uid="{00000000-0005-0000-0000-0000D5180000}"/>
    <cellStyle name="Calculation 2 2 2 5" xfId="8471" xr:uid="{00000000-0005-0000-0000-0000D6180000}"/>
    <cellStyle name="Calculation 2 2 2 6" xfId="8472" xr:uid="{00000000-0005-0000-0000-0000D7180000}"/>
    <cellStyle name="Calculation 2 2 2 7" xfId="16437" xr:uid="{00000000-0005-0000-0000-0000D8180000}"/>
    <cellStyle name="Calculation 2 2 2 8" xfId="21701" xr:uid="{00000000-0005-0000-0000-0000D9180000}"/>
    <cellStyle name="Calculation 2 2 3" xfId="2484" xr:uid="{00000000-0005-0000-0000-0000DA180000}"/>
    <cellStyle name="Calculation 2 2 3 2" xfId="8473" xr:uid="{00000000-0005-0000-0000-0000DB180000}"/>
    <cellStyle name="Calculation 2 2 3 3" xfId="8474" xr:uid="{00000000-0005-0000-0000-0000DC180000}"/>
    <cellStyle name="Calculation 2 2 3 4" xfId="8475" xr:uid="{00000000-0005-0000-0000-0000DD180000}"/>
    <cellStyle name="Calculation 2 2 3 5" xfId="16436" xr:uid="{00000000-0005-0000-0000-0000DE180000}"/>
    <cellStyle name="Calculation 2 2 3 6" xfId="21702" xr:uid="{00000000-0005-0000-0000-0000DF180000}"/>
    <cellStyle name="Calculation 2 2 4" xfId="2485" xr:uid="{00000000-0005-0000-0000-0000E0180000}"/>
    <cellStyle name="Calculation 2 2 4 2" xfId="8476" xr:uid="{00000000-0005-0000-0000-0000E1180000}"/>
    <cellStyle name="Calculation 2 2 4 3" xfId="8477" xr:uid="{00000000-0005-0000-0000-0000E2180000}"/>
    <cellStyle name="Calculation 2 2 4 4" xfId="8478" xr:uid="{00000000-0005-0000-0000-0000E3180000}"/>
    <cellStyle name="Calculation 2 2 4 5" xfId="15565" xr:uid="{00000000-0005-0000-0000-0000E4180000}"/>
    <cellStyle name="Calculation 2 2 5" xfId="8479" xr:uid="{00000000-0005-0000-0000-0000E5180000}"/>
    <cellStyle name="Calculation 2 2 6" xfId="8480" xr:uid="{00000000-0005-0000-0000-0000E6180000}"/>
    <cellStyle name="Calculation 2 2 7" xfId="8481" xr:uid="{00000000-0005-0000-0000-0000E7180000}"/>
    <cellStyle name="Calculation 2 2 8" xfId="17948" xr:uid="{00000000-0005-0000-0000-0000E8180000}"/>
    <cellStyle name="Calculation 2 2 9" xfId="21700" xr:uid="{00000000-0005-0000-0000-0000E9180000}"/>
    <cellStyle name="Calculation 2 3" xfId="2486" xr:uid="{00000000-0005-0000-0000-0000EA180000}"/>
    <cellStyle name="Calculation 2 3 2" xfId="2487" xr:uid="{00000000-0005-0000-0000-0000EB180000}"/>
    <cellStyle name="Calculation 2 3 2 2" xfId="2488" xr:uid="{00000000-0005-0000-0000-0000EC180000}"/>
    <cellStyle name="Calculation 2 3 2 2 2" xfId="8482" xr:uid="{00000000-0005-0000-0000-0000ED180000}"/>
    <cellStyle name="Calculation 2 3 2 2 3" xfId="8483" xr:uid="{00000000-0005-0000-0000-0000EE180000}"/>
    <cellStyle name="Calculation 2 3 2 2 4" xfId="8484" xr:uid="{00000000-0005-0000-0000-0000EF180000}"/>
    <cellStyle name="Calculation 2 3 2 2 5" xfId="16435" xr:uid="{00000000-0005-0000-0000-0000F0180000}"/>
    <cellStyle name="Calculation 2 3 2 3" xfId="2489" xr:uid="{00000000-0005-0000-0000-0000F1180000}"/>
    <cellStyle name="Calculation 2 3 2 3 2" xfId="8485" xr:uid="{00000000-0005-0000-0000-0000F2180000}"/>
    <cellStyle name="Calculation 2 3 2 3 3" xfId="8486" xr:uid="{00000000-0005-0000-0000-0000F3180000}"/>
    <cellStyle name="Calculation 2 3 2 3 4" xfId="8487" xr:uid="{00000000-0005-0000-0000-0000F4180000}"/>
    <cellStyle name="Calculation 2 3 2 3 5" xfId="15564" xr:uid="{00000000-0005-0000-0000-0000F5180000}"/>
    <cellStyle name="Calculation 2 3 2 4" xfId="8488" xr:uid="{00000000-0005-0000-0000-0000F6180000}"/>
    <cellStyle name="Calculation 2 3 2 5" xfId="8489" xr:uid="{00000000-0005-0000-0000-0000F7180000}"/>
    <cellStyle name="Calculation 2 3 2 6" xfId="8490" xr:uid="{00000000-0005-0000-0000-0000F8180000}"/>
    <cellStyle name="Calculation 2 3 2 7" xfId="17867" xr:uid="{00000000-0005-0000-0000-0000F9180000}"/>
    <cellStyle name="Calculation 2 3 2 8" xfId="21704" xr:uid="{00000000-0005-0000-0000-0000FA180000}"/>
    <cellStyle name="Calculation 2 3 3" xfId="2490" xr:uid="{00000000-0005-0000-0000-0000FB180000}"/>
    <cellStyle name="Calculation 2 3 3 2" xfId="8491" xr:uid="{00000000-0005-0000-0000-0000FC180000}"/>
    <cellStyle name="Calculation 2 3 3 3" xfId="8492" xr:uid="{00000000-0005-0000-0000-0000FD180000}"/>
    <cellStyle name="Calculation 2 3 3 4" xfId="8493" xr:uid="{00000000-0005-0000-0000-0000FE180000}"/>
    <cellStyle name="Calculation 2 3 3 5" xfId="17866" xr:uid="{00000000-0005-0000-0000-0000FF180000}"/>
    <cellStyle name="Calculation 2 3 4" xfId="2491" xr:uid="{00000000-0005-0000-0000-000000190000}"/>
    <cellStyle name="Calculation 2 3 4 2" xfId="8494" xr:uid="{00000000-0005-0000-0000-000001190000}"/>
    <cellStyle name="Calculation 2 3 4 3" xfId="8495" xr:uid="{00000000-0005-0000-0000-000002190000}"/>
    <cellStyle name="Calculation 2 3 4 4" xfId="8496" xr:uid="{00000000-0005-0000-0000-000003190000}"/>
    <cellStyle name="Calculation 2 3 4 5" xfId="16434" xr:uid="{00000000-0005-0000-0000-000004190000}"/>
    <cellStyle name="Calculation 2 3 5" xfId="8497" xr:uid="{00000000-0005-0000-0000-000005190000}"/>
    <cellStyle name="Calculation 2 3 6" xfId="8498" xr:uid="{00000000-0005-0000-0000-000006190000}"/>
    <cellStyle name="Calculation 2 3 7" xfId="8499" xr:uid="{00000000-0005-0000-0000-000007190000}"/>
    <cellStyle name="Calculation 2 3 8" xfId="16518" xr:uid="{00000000-0005-0000-0000-000008190000}"/>
    <cellStyle name="Calculation 2 3 9" xfId="21703" xr:uid="{00000000-0005-0000-0000-000009190000}"/>
    <cellStyle name="Calculation 2 4" xfId="2492" xr:uid="{00000000-0005-0000-0000-00000A190000}"/>
    <cellStyle name="Calculation 2 4 2" xfId="2493" xr:uid="{00000000-0005-0000-0000-00000B190000}"/>
    <cellStyle name="Calculation 2 4 2 2" xfId="8500" xr:uid="{00000000-0005-0000-0000-00000C190000}"/>
    <cellStyle name="Calculation 2 4 2 3" xfId="8501" xr:uid="{00000000-0005-0000-0000-00000D190000}"/>
    <cellStyle name="Calculation 2 4 2 4" xfId="8502" xr:uid="{00000000-0005-0000-0000-00000E190000}"/>
    <cellStyle name="Calculation 2 4 2 5" xfId="17865" xr:uid="{00000000-0005-0000-0000-00000F190000}"/>
    <cellStyle name="Calculation 2 4 3" xfId="2494" xr:uid="{00000000-0005-0000-0000-000010190000}"/>
    <cellStyle name="Calculation 2 4 3 2" xfId="8503" xr:uid="{00000000-0005-0000-0000-000011190000}"/>
    <cellStyle name="Calculation 2 4 3 3" xfId="8504" xr:uid="{00000000-0005-0000-0000-000012190000}"/>
    <cellStyle name="Calculation 2 4 3 4" xfId="8505" xr:uid="{00000000-0005-0000-0000-000013190000}"/>
    <cellStyle name="Calculation 2 4 3 5" xfId="16433" xr:uid="{00000000-0005-0000-0000-000014190000}"/>
    <cellStyle name="Calculation 2 4 4" xfId="8506" xr:uid="{00000000-0005-0000-0000-000015190000}"/>
    <cellStyle name="Calculation 2 4 5" xfId="8507" xr:uid="{00000000-0005-0000-0000-000016190000}"/>
    <cellStyle name="Calculation 2 4 6" xfId="8508" xr:uid="{00000000-0005-0000-0000-000017190000}"/>
    <cellStyle name="Calculation 2 4 7" xfId="15563" xr:uid="{00000000-0005-0000-0000-000018190000}"/>
    <cellStyle name="Calculation 2 4 8" xfId="21705" xr:uid="{00000000-0005-0000-0000-000019190000}"/>
    <cellStyle name="Calculation 2 5" xfId="2495" xr:uid="{00000000-0005-0000-0000-00001A190000}"/>
    <cellStyle name="Calculation 2 5 2" xfId="8509" xr:uid="{00000000-0005-0000-0000-00001B190000}"/>
    <cellStyle name="Calculation 2 5 3" xfId="8510" xr:uid="{00000000-0005-0000-0000-00001C190000}"/>
    <cellStyle name="Calculation 2 5 4" xfId="8511" xr:uid="{00000000-0005-0000-0000-00001D190000}"/>
    <cellStyle name="Calculation 2 5 5" xfId="15562" xr:uid="{00000000-0005-0000-0000-00001E190000}"/>
    <cellStyle name="Calculation 2 6" xfId="2496" xr:uid="{00000000-0005-0000-0000-00001F190000}"/>
    <cellStyle name="Calculation 2 6 2" xfId="2497" xr:uid="{00000000-0005-0000-0000-000020190000}"/>
    <cellStyle name="Calculation 2 6 2 2" xfId="8512" xr:uid="{00000000-0005-0000-0000-000021190000}"/>
    <cellStyle name="Calculation 2 6 2 3" xfId="8513" xr:uid="{00000000-0005-0000-0000-000022190000}"/>
    <cellStyle name="Calculation 2 6 2 4" xfId="8514" xr:uid="{00000000-0005-0000-0000-000023190000}"/>
    <cellStyle name="Calculation 2 6 2 5" xfId="19240" xr:uid="{00000000-0005-0000-0000-000024190000}"/>
    <cellStyle name="Calculation 2 6 3" xfId="2498" xr:uid="{00000000-0005-0000-0000-000025190000}"/>
    <cellStyle name="Calculation 2 6 3 2" xfId="8515" xr:uid="{00000000-0005-0000-0000-000026190000}"/>
    <cellStyle name="Calculation 2 6 3 3" xfId="8516" xr:uid="{00000000-0005-0000-0000-000027190000}"/>
    <cellStyle name="Calculation 2 6 3 4" xfId="8517" xr:uid="{00000000-0005-0000-0000-000028190000}"/>
    <cellStyle name="Calculation 2 6 3 5" xfId="19253" xr:uid="{00000000-0005-0000-0000-000029190000}"/>
    <cellStyle name="Calculation 2 6 4" xfId="8518" xr:uid="{00000000-0005-0000-0000-00002A190000}"/>
    <cellStyle name="Calculation 2 6 5" xfId="8519" xr:uid="{00000000-0005-0000-0000-00002B190000}"/>
    <cellStyle name="Calculation 2 6 6" xfId="8520" xr:uid="{00000000-0005-0000-0000-00002C190000}"/>
    <cellStyle name="Calculation 2 6 7" xfId="17864" xr:uid="{00000000-0005-0000-0000-00002D190000}"/>
    <cellStyle name="Calculation 2 6 8" xfId="21706" xr:uid="{00000000-0005-0000-0000-00002E190000}"/>
    <cellStyle name="Calculation 2 7" xfId="8521" xr:uid="{00000000-0005-0000-0000-00002F190000}"/>
    <cellStyle name="Calculation 2 7 2" xfId="8522" xr:uid="{00000000-0005-0000-0000-000030190000}"/>
    <cellStyle name="Calculation 2 7 3" xfId="8523" xr:uid="{00000000-0005-0000-0000-000031190000}"/>
    <cellStyle name="Calculation 2 7 4" xfId="8524" xr:uid="{00000000-0005-0000-0000-000032190000}"/>
    <cellStyle name="Calculation 2 8" xfId="8525" xr:uid="{00000000-0005-0000-0000-000033190000}"/>
    <cellStyle name="Calculation 2 9" xfId="8526" xr:uid="{00000000-0005-0000-0000-000034190000}"/>
    <cellStyle name="Calculation 20" xfId="2499" xr:uid="{00000000-0005-0000-0000-000035190000}"/>
    <cellStyle name="Calculation 20 2" xfId="2500" xr:uid="{00000000-0005-0000-0000-000036190000}"/>
    <cellStyle name="Calculation 20 2 2" xfId="2501" xr:uid="{00000000-0005-0000-0000-000037190000}"/>
    <cellStyle name="Calculation 20 2 2 2" xfId="8527" xr:uid="{00000000-0005-0000-0000-000038190000}"/>
    <cellStyle name="Calculation 20 2 2 3" xfId="8528" xr:uid="{00000000-0005-0000-0000-000039190000}"/>
    <cellStyle name="Calculation 20 2 2 4" xfId="8529" xr:uid="{00000000-0005-0000-0000-00003A190000}"/>
    <cellStyle name="Calculation 20 2 2 5" xfId="15561" xr:uid="{00000000-0005-0000-0000-00003B190000}"/>
    <cellStyle name="Calculation 20 2 3" xfId="2502" xr:uid="{00000000-0005-0000-0000-00003C190000}"/>
    <cellStyle name="Calculation 20 2 3 2" xfId="8530" xr:uid="{00000000-0005-0000-0000-00003D190000}"/>
    <cellStyle name="Calculation 20 2 3 3" xfId="8531" xr:uid="{00000000-0005-0000-0000-00003E190000}"/>
    <cellStyle name="Calculation 20 2 3 4" xfId="8532" xr:uid="{00000000-0005-0000-0000-00003F190000}"/>
    <cellStyle name="Calculation 20 2 3 5" xfId="17863" xr:uid="{00000000-0005-0000-0000-000040190000}"/>
    <cellStyle name="Calculation 20 2 4" xfId="8533" xr:uid="{00000000-0005-0000-0000-000041190000}"/>
    <cellStyle name="Calculation 20 2 5" xfId="8534" xr:uid="{00000000-0005-0000-0000-000042190000}"/>
    <cellStyle name="Calculation 20 2 6" xfId="8535" xr:uid="{00000000-0005-0000-0000-000043190000}"/>
    <cellStyle name="Calculation 20 2 7" xfId="16432" xr:uid="{00000000-0005-0000-0000-000044190000}"/>
    <cellStyle name="Calculation 20 3" xfId="2503" xr:uid="{00000000-0005-0000-0000-000045190000}"/>
    <cellStyle name="Calculation 20 3 2" xfId="8536" xr:uid="{00000000-0005-0000-0000-000046190000}"/>
    <cellStyle name="Calculation 20 3 3" xfId="8537" xr:uid="{00000000-0005-0000-0000-000047190000}"/>
    <cellStyle name="Calculation 20 3 4" xfId="8538" xr:uid="{00000000-0005-0000-0000-000048190000}"/>
    <cellStyle name="Calculation 20 3 5" xfId="16431" xr:uid="{00000000-0005-0000-0000-000049190000}"/>
    <cellStyle name="Calculation 20 4" xfId="2504" xr:uid="{00000000-0005-0000-0000-00004A190000}"/>
    <cellStyle name="Calculation 20 4 2" xfId="8539" xr:uid="{00000000-0005-0000-0000-00004B190000}"/>
    <cellStyle name="Calculation 20 4 3" xfId="8540" xr:uid="{00000000-0005-0000-0000-00004C190000}"/>
    <cellStyle name="Calculation 20 4 4" xfId="8541" xr:uid="{00000000-0005-0000-0000-00004D190000}"/>
    <cellStyle name="Calculation 20 4 5" xfId="15560" xr:uid="{00000000-0005-0000-0000-00004E190000}"/>
    <cellStyle name="Calculation 20 5" xfId="8542" xr:uid="{00000000-0005-0000-0000-00004F190000}"/>
    <cellStyle name="Calculation 20 6" xfId="8543" xr:uid="{00000000-0005-0000-0000-000050190000}"/>
    <cellStyle name="Calculation 20 7" xfId="8544" xr:uid="{00000000-0005-0000-0000-000051190000}"/>
    <cellStyle name="Calculation 20 8" xfId="15869" xr:uid="{00000000-0005-0000-0000-000052190000}"/>
    <cellStyle name="Calculation 21" xfId="2505" xr:uid="{00000000-0005-0000-0000-000053190000}"/>
    <cellStyle name="Calculation 21 2" xfId="2506" xr:uid="{00000000-0005-0000-0000-000054190000}"/>
    <cellStyle name="Calculation 21 2 2" xfId="2507" xr:uid="{00000000-0005-0000-0000-000055190000}"/>
    <cellStyle name="Calculation 21 2 2 2" xfId="8545" xr:uid="{00000000-0005-0000-0000-000056190000}"/>
    <cellStyle name="Calculation 21 2 2 3" xfId="8546" xr:uid="{00000000-0005-0000-0000-000057190000}"/>
    <cellStyle name="Calculation 21 2 2 4" xfId="8547" xr:uid="{00000000-0005-0000-0000-000058190000}"/>
    <cellStyle name="Calculation 21 2 2 5" xfId="17862" xr:uid="{00000000-0005-0000-0000-000059190000}"/>
    <cellStyle name="Calculation 21 2 3" xfId="2508" xr:uid="{00000000-0005-0000-0000-00005A190000}"/>
    <cellStyle name="Calculation 21 2 3 2" xfId="8548" xr:uid="{00000000-0005-0000-0000-00005B190000}"/>
    <cellStyle name="Calculation 21 2 3 3" xfId="8549" xr:uid="{00000000-0005-0000-0000-00005C190000}"/>
    <cellStyle name="Calculation 21 2 3 4" xfId="8550" xr:uid="{00000000-0005-0000-0000-00005D190000}"/>
    <cellStyle name="Calculation 21 2 3 5" xfId="16430" xr:uid="{00000000-0005-0000-0000-00005E190000}"/>
    <cellStyle name="Calculation 21 2 4" xfId="8551" xr:uid="{00000000-0005-0000-0000-00005F190000}"/>
    <cellStyle name="Calculation 21 2 5" xfId="8552" xr:uid="{00000000-0005-0000-0000-000060190000}"/>
    <cellStyle name="Calculation 21 2 6" xfId="8553" xr:uid="{00000000-0005-0000-0000-000061190000}"/>
    <cellStyle name="Calculation 21 2 7" xfId="15531" xr:uid="{00000000-0005-0000-0000-000062190000}"/>
    <cellStyle name="Calculation 21 3" xfId="2509" xr:uid="{00000000-0005-0000-0000-000063190000}"/>
    <cellStyle name="Calculation 21 3 2" xfId="8554" xr:uid="{00000000-0005-0000-0000-000064190000}"/>
    <cellStyle name="Calculation 21 3 3" xfId="8555" xr:uid="{00000000-0005-0000-0000-000065190000}"/>
    <cellStyle name="Calculation 21 3 4" xfId="8556" xr:uid="{00000000-0005-0000-0000-000066190000}"/>
    <cellStyle name="Calculation 21 3 5" xfId="15559" xr:uid="{00000000-0005-0000-0000-000067190000}"/>
    <cellStyle name="Calculation 21 4" xfId="2510" xr:uid="{00000000-0005-0000-0000-000068190000}"/>
    <cellStyle name="Calculation 21 4 2" xfId="8557" xr:uid="{00000000-0005-0000-0000-000069190000}"/>
    <cellStyle name="Calculation 21 4 3" xfId="8558" xr:uid="{00000000-0005-0000-0000-00006A190000}"/>
    <cellStyle name="Calculation 21 4 4" xfId="8559" xr:uid="{00000000-0005-0000-0000-00006B190000}"/>
    <cellStyle name="Calculation 21 4 5" xfId="17861" xr:uid="{00000000-0005-0000-0000-00006C190000}"/>
    <cellStyle name="Calculation 21 5" xfId="8560" xr:uid="{00000000-0005-0000-0000-00006D190000}"/>
    <cellStyle name="Calculation 21 6" xfId="8561" xr:uid="{00000000-0005-0000-0000-00006E190000}"/>
    <cellStyle name="Calculation 21 7" xfId="8562" xr:uid="{00000000-0005-0000-0000-00006F190000}"/>
    <cellStyle name="Calculation 21 8" xfId="17947" xr:uid="{00000000-0005-0000-0000-000070190000}"/>
    <cellStyle name="Calculation 22" xfId="2511" xr:uid="{00000000-0005-0000-0000-000071190000}"/>
    <cellStyle name="Calculation 22 2" xfId="2512" xr:uid="{00000000-0005-0000-0000-000072190000}"/>
    <cellStyle name="Calculation 22 2 2" xfId="2513" xr:uid="{00000000-0005-0000-0000-000073190000}"/>
    <cellStyle name="Calculation 22 2 2 2" xfId="8563" xr:uid="{00000000-0005-0000-0000-000074190000}"/>
    <cellStyle name="Calculation 22 2 2 3" xfId="8564" xr:uid="{00000000-0005-0000-0000-000075190000}"/>
    <cellStyle name="Calculation 22 2 2 4" xfId="8565" xr:uid="{00000000-0005-0000-0000-000076190000}"/>
    <cellStyle name="Calculation 22 2 2 5" xfId="15558" xr:uid="{00000000-0005-0000-0000-000077190000}"/>
    <cellStyle name="Calculation 22 2 3" xfId="2514" xr:uid="{00000000-0005-0000-0000-000078190000}"/>
    <cellStyle name="Calculation 22 2 3 2" xfId="8566" xr:uid="{00000000-0005-0000-0000-000079190000}"/>
    <cellStyle name="Calculation 22 2 3 3" xfId="8567" xr:uid="{00000000-0005-0000-0000-00007A190000}"/>
    <cellStyle name="Calculation 22 2 3 4" xfId="8568" xr:uid="{00000000-0005-0000-0000-00007B190000}"/>
    <cellStyle name="Calculation 22 2 3 5" xfId="17860" xr:uid="{00000000-0005-0000-0000-00007C190000}"/>
    <cellStyle name="Calculation 22 2 4" xfId="8569" xr:uid="{00000000-0005-0000-0000-00007D190000}"/>
    <cellStyle name="Calculation 22 2 5" xfId="8570" xr:uid="{00000000-0005-0000-0000-00007E190000}"/>
    <cellStyle name="Calculation 22 2 6" xfId="8571" xr:uid="{00000000-0005-0000-0000-00007F190000}"/>
    <cellStyle name="Calculation 22 2 7" xfId="16429" xr:uid="{00000000-0005-0000-0000-000080190000}"/>
    <cellStyle name="Calculation 22 3" xfId="2515" xr:uid="{00000000-0005-0000-0000-000081190000}"/>
    <cellStyle name="Calculation 22 3 2" xfId="8572" xr:uid="{00000000-0005-0000-0000-000082190000}"/>
    <cellStyle name="Calculation 22 3 3" xfId="8573" xr:uid="{00000000-0005-0000-0000-000083190000}"/>
    <cellStyle name="Calculation 22 3 4" xfId="8574" xr:uid="{00000000-0005-0000-0000-000084190000}"/>
    <cellStyle name="Calculation 22 3 5" xfId="16428" xr:uid="{00000000-0005-0000-0000-000085190000}"/>
    <cellStyle name="Calculation 22 4" xfId="2516" xr:uid="{00000000-0005-0000-0000-000086190000}"/>
    <cellStyle name="Calculation 22 4 2" xfId="8575" xr:uid="{00000000-0005-0000-0000-000087190000}"/>
    <cellStyle name="Calculation 22 4 3" xfId="8576" xr:uid="{00000000-0005-0000-0000-000088190000}"/>
    <cellStyle name="Calculation 22 4 4" xfId="8577" xr:uid="{00000000-0005-0000-0000-000089190000}"/>
    <cellStyle name="Calculation 22 4 5" xfId="15557" xr:uid="{00000000-0005-0000-0000-00008A190000}"/>
    <cellStyle name="Calculation 22 5" xfId="8578" xr:uid="{00000000-0005-0000-0000-00008B190000}"/>
    <cellStyle name="Calculation 22 6" xfId="8579" xr:uid="{00000000-0005-0000-0000-00008C190000}"/>
    <cellStyle name="Calculation 22 7" xfId="8580" xr:uid="{00000000-0005-0000-0000-00008D190000}"/>
    <cellStyle name="Calculation 22 8" xfId="16517" xr:uid="{00000000-0005-0000-0000-00008E190000}"/>
    <cellStyle name="Calculation 3" xfId="2517" xr:uid="{00000000-0005-0000-0000-00008F190000}"/>
    <cellStyle name="Calculation 3 10" xfId="21707" xr:uid="{00000000-0005-0000-0000-000090190000}"/>
    <cellStyle name="Calculation 3 2" xfId="2518" xr:uid="{00000000-0005-0000-0000-000091190000}"/>
    <cellStyle name="Calculation 3 2 2" xfId="2519" xr:uid="{00000000-0005-0000-0000-000092190000}"/>
    <cellStyle name="Calculation 3 2 2 2" xfId="2520" xr:uid="{00000000-0005-0000-0000-000093190000}"/>
    <cellStyle name="Calculation 3 2 2 2 2" xfId="8581" xr:uid="{00000000-0005-0000-0000-000094190000}"/>
    <cellStyle name="Calculation 3 2 2 2 3" xfId="8582" xr:uid="{00000000-0005-0000-0000-000095190000}"/>
    <cellStyle name="Calculation 3 2 2 2 4" xfId="8583" xr:uid="{00000000-0005-0000-0000-000096190000}"/>
    <cellStyle name="Calculation 3 2 2 2 5" xfId="15556" xr:uid="{00000000-0005-0000-0000-000097190000}"/>
    <cellStyle name="Calculation 3 2 2 3" xfId="2521" xr:uid="{00000000-0005-0000-0000-000098190000}"/>
    <cellStyle name="Calculation 3 2 2 3 2" xfId="8584" xr:uid="{00000000-0005-0000-0000-000099190000}"/>
    <cellStyle name="Calculation 3 2 2 3 3" xfId="8585" xr:uid="{00000000-0005-0000-0000-00009A190000}"/>
    <cellStyle name="Calculation 3 2 2 3 4" xfId="8586" xr:uid="{00000000-0005-0000-0000-00009B190000}"/>
    <cellStyle name="Calculation 3 2 2 3 5" xfId="18089" xr:uid="{00000000-0005-0000-0000-00009C190000}"/>
    <cellStyle name="Calculation 3 2 2 4" xfId="8587" xr:uid="{00000000-0005-0000-0000-00009D190000}"/>
    <cellStyle name="Calculation 3 2 2 5" xfId="8588" xr:uid="{00000000-0005-0000-0000-00009E190000}"/>
    <cellStyle name="Calculation 3 2 2 6" xfId="8589" xr:uid="{00000000-0005-0000-0000-00009F190000}"/>
    <cellStyle name="Calculation 3 2 2 7" xfId="16427" xr:uid="{00000000-0005-0000-0000-0000A0190000}"/>
    <cellStyle name="Calculation 3 2 2 8" xfId="21708" xr:uid="{00000000-0005-0000-0000-0000A1190000}"/>
    <cellStyle name="Calculation 3 2 3" xfId="2522" xr:uid="{00000000-0005-0000-0000-0000A2190000}"/>
    <cellStyle name="Calculation 3 2 3 2" xfId="8590" xr:uid="{00000000-0005-0000-0000-0000A3190000}"/>
    <cellStyle name="Calculation 3 2 3 3" xfId="8591" xr:uid="{00000000-0005-0000-0000-0000A4190000}"/>
    <cellStyle name="Calculation 3 2 3 4" xfId="8592" xr:uid="{00000000-0005-0000-0000-0000A5190000}"/>
    <cellStyle name="Calculation 3 2 3 5" xfId="17858" xr:uid="{00000000-0005-0000-0000-0000A6190000}"/>
    <cellStyle name="Calculation 3 2 4" xfId="2523" xr:uid="{00000000-0005-0000-0000-0000A7190000}"/>
    <cellStyle name="Calculation 3 2 4 2" xfId="8593" xr:uid="{00000000-0005-0000-0000-0000A8190000}"/>
    <cellStyle name="Calculation 3 2 4 3" xfId="8594" xr:uid="{00000000-0005-0000-0000-0000A9190000}"/>
    <cellStyle name="Calculation 3 2 4 4" xfId="8595" xr:uid="{00000000-0005-0000-0000-0000AA190000}"/>
    <cellStyle name="Calculation 3 2 4 5" xfId="16426" xr:uid="{00000000-0005-0000-0000-0000AB190000}"/>
    <cellStyle name="Calculation 3 2 5" xfId="8596" xr:uid="{00000000-0005-0000-0000-0000AC190000}"/>
    <cellStyle name="Calculation 3 2 6" xfId="8597" xr:uid="{00000000-0005-0000-0000-0000AD190000}"/>
    <cellStyle name="Calculation 3 2 7" xfId="8598" xr:uid="{00000000-0005-0000-0000-0000AE190000}"/>
    <cellStyle name="Calculation 3 2 8" xfId="15868" xr:uid="{00000000-0005-0000-0000-0000AF190000}"/>
    <cellStyle name="Calculation 3 3" xfId="2524" xr:uid="{00000000-0005-0000-0000-0000B0190000}"/>
    <cellStyle name="Calculation 3 3 2" xfId="2525" xr:uid="{00000000-0005-0000-0000-0000B1190000}"/>
    <cellStyle name="Calculation 3 3 2 2" xfId="2526" xr:uid="{00000000-0005-0000-0000-0000B2190000}"/>
    <cellStyle name="Calculation 3 3 2 2 2" xfId="8599" xr:uid="{00000000-0005-0000-0000-0000B3190000}"/>
    <cellStyle name="Calculation 3 3 2 2 3" xfId="8600" xr:uid="{00000000-0005-0000-0000-0000B4190000}"/>
    <cellStyle name="Calculation 3 3 2 2 4" xfId="8601" xr:uid="{00000000-0005-0000-0000-0000B5190000}"/>
    <cellStyle name="Calculation 3 3 2 2 5" xfId="17857" xr:uid="{00000000-0005-0000-0000-0000B6190000}"/>
    <cellStyle name="Calculation 3 3 2 3" xfId="2527" xr:uid="{00000000-0005-0000-0000-0000B7190000}"/>
    <cellStyle name="Calculation 3 3 2 3 2" xfId="8602" xr:uid="{00000000-0005-0000-0000-0000B8190000}"/>
    <cellStyle name="Calculation 3 3 2 3 3" xfId="8603" xr:uid="{00000000-0005-0000-0000-0000B9190000}"/>
    <cellStyle name="Calculation 3 3 2 3 4" xfId="8604" xr:uid="{00000000-0005-0000-0000-0000BA190000}"/>
    <cellStyle name="Calculation 3 3 2 3 5" xfId="16425" xr:uid="{00000000-0005-0000-0000-0000BB190000}"/>
    <cellStyle name="Calculation 3 3 2 4" xfId="8605" xr:uid="{00000000-0005-0000-0000-0000BC190000}"/>
    <cellStyle name="Calculation 3 3 2 5" xfId="8606" xr:uid="{00000000-0005-0000-0000-0000BD190000}"/>
    <cellStyle name="Calculation 3 3 2 6" xfId="8607" xr:uid="{00000000-0005-0000-0000-0000BE190000}"/>
    <cellStyle name="Calculation 3 3 2 7" xfId="15555" xr:uid="{00000000-0005-0000-0000-0000BF190000}"/>
    <cellStyle name="Calculation 3 3 3" xfId="2528" xr:uid="{00000000-0005-0000-0000-0000C0190000}"/>
    <cellStyle name="Calculation 3 3 3 2" xfId="8608" xr:uid="{00000000-0005-0000-0000-0000C1190000}"/>
    <cellStyle name="Calculation 3 3 3 3" xfId="8609" xr:uid="{00000000-0005-0000-0000-0000C2190000}"/>
    <cellStyle name="Calculation 3 3 3 4" xfId="8610" xr:uid="{00000000-0005-0000-0000-0000C3190000}"/>
    <cellStyle name="Calculation 3 3 3 5" xfId="15554" xr:uid="{00000000-0005-0000-0000-0000C4190000}"/>
    <cellStyle name="Calculation 3 3 4" xfId="2529" xr:uid="{00000000-0005-0000-0000-0000C5190000}"/>
    <cellStyle name="Calculation 3 3 4 2" xfId="8611" xr:uid="{00000000-0005-0000-0000-0000C6190000}"/>
    <cellStyle name="Calculation 3 3 4 3" xfId="8612" xr:uid="{00000000-0005-0000-0000-0000C7190000}"/>
    <cellStyle name="Calculation 3 3 4 4" xfId="8613" xr:uid="{00000000-0005-0000-0000-0000C8190000}"/>
    <cellStyle name="Calculation 3 3 4 5" xfId="17856" xr:uid="{00000000-0005-0000-0000-0000C9190000}"/>
    <cellStyle name="Calculation 3 3 5" xfId="8614" xr:uid="{00000000-0005-0000-0000-0000CA190000}"/>
    <cellStyle name="Calculation 3 3 6" xfId="8615" xr:uid="{00000000-0005-0000-0000-0000CB190000}"/>
    <cellStyle name="Calculation 3 3 7" xfId="8616" xr:uid="{00000000-0005-0000-0000-0000CC190000}"/>
    <cellStyle name="Calculation 3 3 8" xfId="17946" xr:uid="{00000000-0005-0000-0000-0000CD190000}"/>
    <cellStyle name="Calculation 3 3 9" xfId="21709" xr:uid="{00000000-0005-0000-0000-0000CE190000}"/>
    <cellStyle name="Calculation 3 4" xfId="2530" xr:uid="{00000000-0005-0000-0000-0000CF190000}"/>
    <cellStyle name="Calculation 3 4 2" xfId="8617" xr:uid="{00000000-0005-0000-0000-0000D0190000}"/>
    <cellStyle name="Calculation 3 4 3" xfId="8618" xr:uid="{00000000-0005-0000-0000-0000D1190000}"/>
    <cellStyle name="Calculation 3 4 4" xfId="8619" xr:uid="{00000000-0005-0000-0000-0000D2190000}"/>
    <cellStyle name="Calculation 3 4 5" xfId="16424" xr:uid="{00000000-0005-0000-0000-0000D3190000}"/>
    <cellStyle name="Calculation 3 4 6" xfId="21710" xr:uid="{00000000-0005-0000-0000-0000D4190000}"/>
    <cellStyle name="Calculation 3 5" xfId="2531" xr:uid="{00000000-0005-0000-0000-0000D5190000}"/>
    <cellStyle name="Calculation 3 5 2" xfId="8620" xr:uid="{00000000-0005-0000-0000-0000D6190000}"/>
    <cellStyle name="Calculation 3 5 3" xfId="8621" xr:uid="{00000000-0005-0000-0000-0000D7190000}"/>
    <cellStyle name="Calculation 3 5 4" xfId="8622" xr:uid="{00000000-0005-0000-0000-0000D8190000}"/>
    <cellStyle name="Calculation 3 5 5" xfId="15553" xr:uid="{00000000-0005-0000-0000-0000D9190000}"/>
    <cellStyle name="Calculation 3 6" xfId="8623" xr:uid="{00000000-0005-0000-0000-0000DA190000}"/>
    <cellStyle name="Calculation 3 7" xfId="8624" xr:uid="{00000000-0005-0000-0000-0000DB190000}"/>
    <cellStyle name="Calculation 3 8" xfId="8625" xr:uid="{00000000-0005-0000-0000-0000DC190000}"/>
    <cellStyle name="Calculation 3 9" xfId="17859" xr:uid="{00000000-0005-0000-0000-0000DD190000}"/>
    <cellStyle name="Calculation 4" xfId="2532" xr:uid="{00000000-0005-0000-0000-0000DE190000}"/>
    <cellStyle name="Calculation 4 2" xfId="2533" xr:uid="{00000000-0005-0000-0000-0000DF190000}"/>
    <cellStyle name="Calculation 4 2 2" xfId="2534" xr:uid="{00000000-0005-0000-0000-0000E0190000}"/>
    <cellStyle name="Calculation 4 2 2 2" xfId="2535" xr:uid="{00000000-0005-0000-0000-0000E1190000}"/>
    <cellStyle name="Calculation 4 2 2 2 2" xfId="8626" xr:uid="{00000000-0005-0000-0000-0000E2190000}"/>
    <cellStyle name="Calculation 4 2 2 2 3" xfId="8627" xr:uid="{00000000-0005-0000-0000-0000E3190000}"/>
    <cellStyle name="Calculation 4 2 2 2 4" xfId="8628" xr:uid="{00000000-0005-0000-0000-0000E4190000}"/>
    <cellStyle name="Calculation 4 2 2 2 5" xfId="16423" xr:uid="{00000000-0005-0000-0000-0000E5190000}"/>
    <cellStyle name="Calculation 4 2 2 3" xfId="2536" xr:uid="{00000000-0005-0000-0000-0000E6190000}"/>
    <cellStyle name="Calculation 4 2 2 3 2" xfId="8629" xr:uid="{00000000-0005-0000-0000-0000E7190000}"/>
    <cellStyle name="Calculation 4 2 2 3 3" xfId="8630" xr:uid="{00000000-0005-0000-0000-0000E8190000}"/>
    <cellStyle name="Calculation 4 2 2 3 4" xfId="8631" xr:uid="{00000000-0005-0000-0000-0000E9190000}"/>
    <cellStyle name="Calculation 4 2 2 3 5" xfId="15552" xr:uid="{00000000-0005-0000-0000-0000EA190000}"/>
    <cellStyle name="Calculation 4 2 2 4" xfId="8632" xr:uid="{00000000-0005-0000-0000-0000EB190000}"/>
    <cellStyle name="Calculation 4 2 2 5" xfId="8633" xr:uid="{00000000-0005-0000-0000-0000EC190000}"/>
    <cellStyle name="Calculation 4 2 2 6" xfId="8634" xr:uid="{00000000-0005-0000-0000-0000ED190000}"/>
    <cellStyle name="Calculation 4 2 2 7" xfId="17855" xr:uid="{00000000-0005-0000-0000-0000EE190000}"/>
    <cellStyle name="Calculation 4 2 2 8" xfId="21713" xr:uid="{00000000-0005-0000-0000-0000EF190000}"/>
    <cellStyle name="Calculation 4 2 3" xfId="2537" xr:uid="{00000000-0005-0000-0000-0000F0190000}"/>
    <cellStyle name="Calculation 4 2 3 2" xfId="8635" xr:uid="{00000000-0005-0000-0000-0000F1190000}"/>
    <cellStyle name="Calculation 4 2 3 3" xfId="8636" xr:uid="{00000000-0005-0000-0000-0000F2190000}"/>
    <cellStyle name="Calculation 4 2 3 4" xfId="8637" xr:uid="{00000000-0005-0000-0000-0000F3190000}"/>
    <cellStyle name="Calculation 4 2 3 5" xfId="16118" xr:uid="{00000000-0005-0000-0000-0000F4190000}"/>
    <cellStyle name="Calculation 4 2 4" xfId="2538" xr:uid="{00000000-0005-0000-0000-0000F5190000}"/>
    <cellStyle name="Calculation 4 2 4 2" xfId="8638" xr:uid="{00000000-0005-0000-0000-0000F6190000}"/>
    <cellStyle name="Calculation 4 2 4 3" xfId="8639" xr:uid="{00000000-0005-0000-0000-0000F7190000}"/>
    <cellStyle name="Calculation 4 2 4 4" xfId="8640" xr:uid="{00000000-0005-0000-0000-0000F8190000}"/>
    <cellStyle name="Calculation 4 2 4 5" xfId="17854" xr:uid="{00000000-0005-0000-0000-0000F9190000}"/>
    <cellStyle name="Calculation 4 2 5" xfId="8641" xr:uid="{00000000-0005-0000-0000-0000FA190000}"/>
    <cellStyle name="Calculation 4 2 6" xfId="8642" xr:uid="{00000000-0005-0000-0000-0000FB190000}"/>
    <cellStyle name="Calculation 4 2 7" xfId="8643" xr:uid="{00000000-0005-0000-0000-0000FC190000}"/>
    <cellStyle name="Calculation 4 2 8" xfId="16516" xr:uid="{00000000-0005-0000-0000-0000FD190000}"/>
    <cellStyle name="Calculation 4 2 9" xfId="21712" xr:uid="{00000000-0005-0000-0000-0000FE190000}"/>
    <cellStyle name="Calculation 4 3" xfId="2539" xr:uid="{00000000-0005-0000-0000-0000FF190000}"/>
    <cellStyle name="Calculation 4 3 2" xfId="2540" xr:uid="{00000000-0005-0000-0000-0000001A0000}"/>
    <cellStyle name="Calculation 4 3 2 2" xfId="2541" xr:uid="{00000000-0005-0000-0000-0000011A0000}"/>
    <cellStyle name="Calculation 4 3 2 2 2" xfId="8644" xr:uid="{00000000-0005-0000-0000-0000021A0000}"/>
    <cellStyle name="Calculation 4 3 2 2 3" xfId="8645" xr:uid="{00000000-0005-0000-0000-0000031A0000}"/>
    <cellStyle name="Calculation 4 3 2 2 4" xfId="8646" xr:uid="{00000000-0005-0000-0000-0000041A0000}"/>
    <cellStyle name="Calculation 4 3 2 2 5" xfId="15551" xr:uid="{00000000-0005-0000-0000-0000051A0000}"/>
    <cellStyle name="Calculation 4 3 2 3" xfId="2542" xr:uid="{00000000-0005-0000-0000-0000061A0000}"/>
    <cellStyle name="Calculation 4 3 2 3 2" xfId="8647" xr:uid="{00000000-0005-0000-0000-0000071A0000}"/>
    <cellStyle name="Calculation 4 3 2 3 3" xfId="8648" xr:uid="{00000000-0005-0000-0000-0000081A0000}"/>
    <cellStyle name="Calculation 4 3 2 3 4" xfId="8649" xr:uid="{00000000-0005-0000-0000-0000091A0000}"/>
    <cellStyle name="Calculation 4 3 2 3 5" xfId="17853" xr:uid="{00000000-0005-0000-0000-00000A1A0000}"/>
    <cellStyle name="Calculation 4 3 2 4" xfId="8650" xr:uid="{00000000-0005-0000-0000-00000B1A0000}"/>
    <cellStyle name="Calculation 4 3 2 5" xfId="8651" xr:uid="{00000000-0005-0000-0000-00000C1A0000}"/>
    <cellStyle name="Calculation 4 3 2 6" xfId="8652" xr:uid="{00000000-0005-0000-0000-00000D1A0000}"/>
    <cellStyle name="Calculation 4 3 2 7" xfId="16422" xr:uid="{00000000-0005-0000-0000-00000E1A0000}"/>
    <cellStyle name="Calculation 4 3 3" xfId="2543" xr:uid="{00000000-0005-0000-0000-00000F1A0000}"/>
    <cellStyle name="Calculation 4 3 3 2" xfId="8653" xr:uid="{00000000-0005-0000-0000-0000101A0000}"/>
    <cellStyle name="Calculation 4 3 3 3" xfId="8654" xr:uid="{00000000-0005-0000-0000-0000111A0000}"/>
    <cellStyle name="Calculation 4 3 3 4" xfId="8655" xr:uid="{00000000-0005-0000-0000-0000121A0000}"/>
    <cellStyle name="Calculation 4 3 3 5" xfId="16421" xr:uid="{00000000-0005-0000-0000-0000131A0000}"/>
    <cellStyle name="Calculation 4 3 4" xfId="2544" xr:uid="{00000000-0005-0000-0000-0000141A0000}"/>
    <cellStyle name="Calculation 4 3 4 2" xfId="8656" xr:uid="{00000000-0005-0000-0000-0000151A0000}"/>
    <cellStyle name="Calculation 4 3 4 3" xfId="8657" xr:uid="{00000000-0005-0000-0000-0000161A0000}"/>
    <cellStyle name="Calculation 4 3 4 4" xfId="8658" xr:uid="{00000000-0005-0000-0000-0000171A0000}"/>
    <cellStyle name="Calculation 4 3 4 5" xfId="15550" xr:uid="{00000000-0005-0000-0000-0000181A0000}"/>
    <cellStyle name="Calculation 4 3 5" xfId="8659" xr:uid="{00000000-0005-0000-0000-0000191A0000}"/>
    <cellStyle name="Calculation 4 3 6" xfId="8660" xr:uid="{00000000-0005-0000-0000-00001A1A0000}"/>
    <cellStyle name="Calculation 4 3 7" xfId="8661" xr:uid="{00000000-0005-0000-0000-00001B1A0000}"/>
    <cellStyle name="Calculation 4 3 8" xfId="15867" xr:uid="{00000000-0005-0000-0000-00001C1A0000}"/>
    <cellStyle name="Calculation 4 4" xfId="21711" xr:uid="{00000000-0005-0000-0000-00001D1A0000}"/>
    <cellStyle name="Calculation 5" xfId="2545" xr:uid="{00000000-0005-0000-0000-00001E1A0000}"/>
    <cellStyle name="Calculation 5 2" xfId="2546" xr:uid="{00000000-0005-0000-0000-00001F1A0000}"/>
    <cellStyle name="Calculation 5 2 2" xfId="2547" xr:uid="{00000000-0005-0000-0000-0000201A0000}"/>
    <cellStyle name="Calculation 5 2 2 2" xfId="2548" xr:uid="{00000000-0005-0000-0000-0000211A0000}"/>
    <cellStyle name="Calculation 5 2 2 2 2" xfId="8662" xr:uid="{00000000-0005-0000-0000-0000221A0000}"/>
    <cellStyle name="Calculation 5 2 2 2 3" xfId="8663" xr:uid="{00000000-0005-0000-0000-0000231A0000}"/>
    <cellStyle name="Calculation 5 2 2 2 4" xfId="8664" xr:uid="{00000000-0005-0000-0000-0000241A0000}"/>
    <cellStyle name="Calculation 5 2 2 2 5" xfId="16420" xr:uid="{00000000-0005-0000-0000-0000251A0000}"/>
    <cellStyle name="Calculation 5 2 2 3" xfId="2549" xr:uid="{00000000-0005-0000-0000-0000261A0000}"/>
    <cellStyle name="Calculation 5 2 2 3 2" xfId="8665" xr:uid="{00000000-0005-0000-0000-0000271A0000}"/>
    <cellStyle name="Calculation 5 2 2 3 3" xfId="8666" xr:uid="{00000000-0005-0000-0000-0000281A0000}"/>
    <cellStyle name="Calculation 5 2 2 3 4" xfId="8667" xr:uid="{00000000-0005-0000-0000-0000291A0000}"/>
    <cellStyle name="Calculation 5 2 2 3 5" xfId="15549" xr:uid="{00000000-0005-0000-0000-00002A1A0000}"/>
    <cellStyle name="Calculation 5 2 2 4" xfId="8668" xr:uid="{00000000-0005-0000-0000-00002B1A0000}"/>
    <cellStyle name="Calculation 5 2 2 5" xfId="8669" xr:uid="{00000000-0005-0000-0000-00002C1A0000}"/>
    <cellStyle name="Calculation 5 2 2 6" xfId="8670" xr:uid="{00000000-0005-0000-0000-00002D1A0000}"/>
    <cellStyle name="Calculation 5 2 2 7" xfId="17852" xr:uid="{00000000-0005-0000-0000-00002E1A0000}"/>
    <cellStyle name="Calculation 5 2 3" xfId="2550" xr:uid="{00000000-0005-0000-0000-00002F1A0000}"/>
    <cellStyle name="Calculation 5 2 3 2" xfId="8671" xr:uid="{00000000-0005-0000-0000-0000301A0000}"/>
    <cellStyle name="Calculation 5 2 3 3" xfId="8672" xr:uid="{00000000-0005-0000-0000-0000311A0000}"/>
    <cellStyle name="Calculation 5 2 3 4" xfId="8673" xr:uid="{00000000-0005-0000-0000-0000321A0000}"/>
    <cellStyle name="Calculation 5 2 3 5" xfId="17851" xr:uid="{00000000-0005-0000-0000-0000331A0000}"/>
    <cellStyle name="Calculation 5 2 4" xfId="2551" xr:uid="{00000000-0005-0000-0000-0000341A0000}"/>
    <cellStyle name="Calculation 5 2 4 2" xfId="8674" xr:uid="{00000000-0005-0000-0000-0000351A0000}"/>
    <cellStyle name="Calculation 5 2 4 3" xfId="8675" xr:uid="{00000000-0005-0000-0000-0000361A0000}"/>
    <cellStyle name="Calculation 5 2 4 4" xfId="8676" xr:uid="{00000000-0005-0000-0000-0000371A0000}"/>
    <cellStyle name="Calculation 5 2 4 5" xfId="16419" xr:uid="{00000000-0005-0000-0000-0000381A0000}"/>
    <cellStyle name="Calculation 5 2 5" xfId="8677" xr:uid="{00000000-0005-0000-0000-0000391A0000}"/>
    <cellStyle name="Calculation 5 2 6" xfId="8678" xr:uid="{00000000-0005-0000-0000-00003A1A0000}"/>
    <cellStyle name="Calculation 5 2 7" xfId="8679" xr:uid="{00000000-0005-0000-0000-00003B1A0000}"/>
    <cellStyle name="Calculation 5 2 8" xfId="17945" xr:uid="{00000000-0005-0000-0000-00003C1A0000}"/>
    <cellStyle name="Calculation 5 2 9" xfId="21715" xr:uid="{00000000-0005-0000-0000-00003D1A0000}"/>
    <cellStyle name="Calculation 5 3" xfId="2552" xr:uid="{00000000-0005-0000-0000-00003E1A0000}"/>
    <cellStyle name="Calculation 5 3 2" xfId="2553" xr:uid="{00000000-0005-0000-0000-00003F1A0000}"/>
    <cellStyle name="Calculation 5 3 2 2" xfId="2554" xr:uid="{00000000-0005-0000-0000-0000401A0000}"/>
    <cellStyle name="Calculation 5 3 2 2 2" xfId="8680" xr:uid="{00000000-0005-0000-0000-0000411A0000}"/>
    <cellStyle name="Calculation 5 3 2 2 3" xfId="8681" xr:uid="{00000000-0005-0000-0000-0000421A0000}"/>
    <cellStyle name="Calculation 5 3 2 2 4" xfId="8682" xr:uid="{00000000-0005-0000-0000-0000431A0000}"/>
    <cellStyle name="Calculation 5 3 2 2 5" xfId="17850" xr:uid="{00000000-0005-0000-0000-0000441A0000}"/>
    <cellStyle name="Calculation 5 3 2 3" xfId="2555" xr:uid="{00000000-0005-0000-0000-0000451A0000}"/>
    <cellStyle name="Calculation 5 3 2 3 2" xfId="8683" xr:uid="{00000000-0005-0000-0000-0000461A0000}"/>
    <cellStyle name="Calculation 5 3 2 3 3" xfId="8684" xr:uid="{00000000-0005-0000-0000-0000471A0000}"/>
    <cellStyle name="Calculation 5 3 2 3 4" xfId="8685" xr:uid="{00000000-0005-0000-0000-0000481A0000}"/>
    <cellStyle name="Calculation 5 3 2 3 5" xfId="16418" xr:uid="{00000000-0005-0000-0000-0000491A0000}"/>
    <cellStyle name="Calculation 5 3 2 4" xfId="8686" xr:uid="{00000000-0005-0000-0000-00004A1A0000}"/>
    <cellStyle name="Calculation 5 3 2 5" xfId="8687" xr:uid="{00000000-0005-0000-0000-00004B1A0000}"/>
    <cellStyle name="Calculation 5 3 2 6" xfId="8688" xr:uid="{00000000-0005-0000-0000-00004C1A0000}"/>
    <cellStyle name="Calculation 5 3 2 7" xfId="15548" xr:uid="{00000000-0005-0000-0000-00004D1A0000}"/>
    <cellStyle name="Calculation 5 3 3" xfId="2556" xr:uid="{00000000-0005-0000-0000-00004E1A0000}"/>
    <cellStyle name="Calculation 5 3 3 2" xfId="8689" xr:uid="{00000000-0005-0000-0000-00004F1A0000}"/>
    <cellStyle name="Calculation 5 3 3 3" xfId="8690" xr:uid="{00000000-0005-0000-0000-0000501A0000}"/>
    <cellStyle name="Calculation 5 3 3 4" xfId="8691" xr:uid="{00000000-0005-0000-0000-0000511A0000}"/>
    <cellStyle name="Calculation 5 3 3 5" xfId="15547" xr:uid="{00000000-0005-0000-0000-0000521A0000}"/>
    <cellStyle name="Calculation 5 3 4" xfId="2557" xr:uid="{00000000-0005-0000-0000-0000531A0000}"/>
    <cellStyle name="Calculation 5 3 4 2" xfId="8692" xr:uid="{00000000-0005-0000-0000-0000541A0000}"/>
    <cellStyle name="Calculation 5 3 4 3" xfId="8693" xr:uid="{00000000-0005-0000-0000-0000551A0000}"/>
    <cellStyle name="Calculation 5 3 4 4" xfId="8694" xr:uid="{00000000-0005-0000-0000-0000561A0000}"/>
    <cellStyle name="Calculation 5 3 4 5" xfId="16108" xr:uid="{00000000-0005-0000-0000-0000571A0000}"/>
    <cellStyle name="Calculation 5 3 5" xfId="8695" xr:uid="{00000000-0005-0000-0000-0000581A0000}"/>
    <cellStyle name="Calculation 5 3 6" xfId="8696" xr:uid="{00000000-0005-0000-0000-0000591A0000}"/>
    <cellStyle name="Calculation 5 3 7" xfId="8697" xr:uid="{00000000-0005-0000-0000-00005A1A0000}"/>
    <cellStyle name="Calculation 5 3 8" xfId="16515" xr:uid="{00000000-0005-0000-0000-00005B1A0000}"/>
    <cellStyle name="Calculation 5 3 9" xfId="21716" xr:uid="{00000000-0005-0000-0000-00005C1A0000}"/>
    <cellStyle name="Calculation 5 4" xfId="8698" xr:uid="{00000000-0005-0000-0000-00005D1A0000}"/>
    <cellStyle name="Calculation 5 5" xfId="8699" xr:uid="{00000000-0005-0000-0000-00005E1A0000}"/>
    <cellStyle name="Calculation 5 6" xfId="8700" xr:uid="{00000000-0005-0000-0000-00005F1A0000}"/>
    <cellStyle name="Calculation 5 7" xfId="19247" xr:uid="{00000000-0005-0000-0000-0000601A0000}"/>
    <cellStyle name="Calculation 5 8" xfId="21714" xr:uid="{00000000-0005-0000-0000-0000611A0000}"/>
    <cellStyle name="Calculation 6" xfId="2558" xr:uid="{00000000-0005-0000-0000-0000621A0000}"/>
    <cellStyle name="Calculation 6 2" xfId="2559" xr:uid="{00000000-0005-0000-0000-0000631A0000}"/>
    <cellStyle name="Calculation 6 2 2" xfId="2560" xr:uid="{00000000-0005-0000-0000-0000641A0000}"/>
    <cellStyle name="Calculation 6 2 2 2" xfId="2561" xr:uid="{00000000-0005-0000-0000-0000651A0000}"/>
    <cellStyle name="Calculation 6 2 2 2 2" xfId="8701" xr:uid="{00000000-0005-0000-0000-0000661A0000}"/>
    <cellStyle name="Calculation 6 2 2 2 3" xfId="8702" xr:uid="{00000000-0005-0000-0000-0000671A0000}"/>
    <cellStyle name="Calculation 6 2 2 2 4" xfId="8703" xr:uid="{00000000-0005-0000-0000-0000681A0000}"/>
    <cellStyle name="Calculation 6 2 2 2 5" xfId="16417" xr:uid="{00000000-0005-0000-0000-0000691A0000}"/>
    <cellStyle name="Calculation 6 2 2 3" xfId="2562" xr:uid="{00000000-0005-0000-0000-00006A1A0000}"/>
    <cellStyle name="Calculation 6 2 2 3 2" xfId="8704" xr:uid="{00000000-0005-0000-0000-00006B1A0000}"/>
    <cellStyle name="Calculation 6 2 2 3 3" xfId="8705" xr:uid="{00000000-0005-0000-0000-00006C1A0000}"/>
    <cellStyle name="Calculation 6 2 2 3 4" xfId="8706" xr:uid="{00000000-0005-0000-0000-00006D1A0000}"/>
    <cellStyle name="Calculation 6 2 2 3 5" xfId="15546" xr:uid="{00000000-0005-0000-0000-00006E1A0000}"/>
    <cellStyle name="Calculation 6 2 2 4" xfId="8707" xr:uid="{00000000-0005-0000-0000-00006F1A0000}"/>
    <cellStyle name="Calculation 6 2 2 5" xfId="8708" xr:uid="{00000000-0005-0000-0000-0000701A0000}"/>
    <cellStyle name="Calculation 6 2 2 6" xfId="8709" xr:uid="{00000000-0005-0000-0000-0000711A0000}"/>
    <cellStyle name="Calculation 6 2 2 7" xfId="17849" xr:uid="{00000000-0005-0000-0000-0000721A0000}"/>
    <cellStyle name="Calculation 6 2 3" xfId="2563" xr:uid="{00000000-0005-0000-0000-0000731A0000}"/>
    <cellStyle name="Calculation 6 2 3 2" xfId="8710" xr:uid="{00000000-0005-0000-0000-0000741A0000}"/>
    <cellStyle name="Calculation 6 2 3 3" xfId="8711" xr:uid="{00000000-0005-0000-0000-0000751A0000}"/>
    <cellStyle name="Calculation 6 2 3 4" xfId="8712" xr:uid="{00000000-0005-0000-0000-0000761A0000}"/>
    <cellStyle name="Calculation 6 2 3 5" xfId="17848" xr:uid="{00000000-0005-0000-0000-0000771A0000}"/>
    <cellStyle name="Calculation 6 2 4" xfId="2564" xr:uid="{00000000-0005-0000-0000-0000781A0000}"/>
    <cellStyle name="Calculation 6 2 4 2" xfId="8713" xr:uid="{00000000-0005-0000-0000-0000791A0000}"/>
    <cellStyle name="Calculation 6 2 4 3" xfId="8714" xr:uid="{00000000-0005-0000-0000-00007A1A0000}"/>
    <cellStyle name="Calculation 6 2 4 4" xfId="8715" xr:uid="{00000000-0005-0000-0000-00007B1A0000}"/>
    <cellStyle name="Calculation 6 2 4 5" xfId="16416" xr:uid="{00000000-0005-0000-0000-00007C1A0000}"/>
    <cellStyle name="Calculation 6 2 5" xfId="8716" xr:uid="{00000000-0005-0000-0000-00007D1A0000}"/>
    <cellStyle name="Calculation 6 2 6" xfId="8717" xr:uid="{00000000-0005-0000-0000-00007E1A0000}"/>
    <cellStyle name="Calculation 6 2 7" xfId="8718" xr:uid="{00000000-0005-0000-0000-00007F1A0000}"/>
    <cellStyle name="Calculation 6 2 8" xfId="15866" xr:uid="{00000000-0005-0000-0000-0000801A0000}"/>
    <cellStyle name="Calculation 6 3" xfId="2565" xr:uid="{00000000-0005-0000-0000-0000811A0000}"/>
    <cellStyle name="Calculation 6 3 2" xfId="2566" xr:uid="{00000000-0005-0000-0000-0000821A0000}"/>
    <cellStyle name="Calculation 6 3 2 2" xfId="2567" xr:uid="{00000000-0005-0000-0000-0000831A0000}"/>
    <cellStyle name="Calculation 6 3 2 2 2" xfId="8719" xr:uid="{00000000-0005-0000-0000-0000841A0000}"/>
    <cellStyle name="Calculation 6 3 2 2 3" xfId="8720" xr:uid="{00000000-0005-0000-0000-0000851A0000}"/>
    <cellStyle name="Calculation 6 3 2 2 4" xfId="8721" xr:uid="{00000000-0005-0000-0000-0000861A0000}"/>
    <cellStyle name="Calculation 6 3 2 2 5" xfId="17847" xr:uid="{00000000-0005-0000-0000-0000871A0000}"/>
    <cellStyle name="Calculation 6 3 2 3" xfId="2568" xr:uid="{00000000-0005-0000-0000-0000881A0000}"/>
    <cellStyle name="Calculation 6 3 2 3 2" xfId="8722" xr:uid="{00000000-0005-0000-0000-0000891A0000}"/>
    <cellStyle name="Calculation 6 3 2 3 3" xfId="8723" xr:uid="{00000000-0005-0000-0000-00008A1A0000}"/>
    <cellStyle name="Calculation 6 3 2 3 4" xfId="8724" xr:uid="{00000000-0005-0000-0000-00008B1A0000}"/>
    <cellStyle name="Calculation 6 3 2 3 5" xfId="16415" xr:uid="{00000000-0005-0000-0000-00008C1A0000}"/>
    <cellStyle name="Calculation 6 3 2 4" xfId="8725" xr:uid="{00000000-0005-0000-0000-00008D1A0000}"/>
    <cellStyle name="Calculation 6 3 2 5" xfId="8726" xr:uid="{00000000-0005-0000-0000-00008E1A0000}"/>
    <cellStyle name="Calculation 6 3 2 6" xfId="8727" xr:uid="{00000000-0005-0000-0000-00008F1A0000}"/>
    <cellStyle name="Calculation 6 3 2 7" xfId="15545" xr:uid="{00000000-0005-0000-0000-0000901A0000}"/>
    <cellStyle name="Calculation 6 3 3" xfId="2569" xr:uid="{00000000-0005-0000-0000-0000911A0000}"/>
    <cellStyle name="Calculation 6 3 3 2" xfId="8728" xr:uid="{00000000-0005-0000-0000-0000921A0000}"/>
    <cellStyle name="Calculation 6 3 3 3" xfId="8729" xr:uid="{00000000-0005-0000-0000-0000931A0000}"/>
    <cellStyle name="Calculation 6 3 3 4" xfId="8730" xr:uid="{00000000-0005-0000-0000-0000941A0000}"/>
    <cellStyle name="Calculation 6 3 3 5" xfId="15544" xr:uid="{00000000-0005-0000-0000-0000951A0000}"/>
    <cellStyle name="Calculation 6 3 4" xfId="2570" xr:uid="{00000000-0005-0000-0000-0000961A0000}"/>
    <cellStyle name="Calculation 6 3 4 2" xfId="8731" xr:uid="{00000000-0005-0000-0000-0000971A0000}"/>
    <cellStyle name="Calculation 6 3 4 3" xfId="8732" xr:uid="{00000000-0005-0000-0000-0000981A0000}"/>
    <cellStyle name="Calculation 6 3 4 4" xfId="8733" xr:uid="{00000000-0005-0000-0000-0000991A0000}"/>
    <cellStyle name="Calculation 6 3 4 5" xfId="17846" xr:uid="{00000000-0005-0000-0000-00009A1A0000}"/>
    <cellStyle name="Calculation 6 3 5" xfId="8734" xr:uid="{00000000-0005-0000-0000-00009B1A0000}"/>
    <cellStyle name="Calculation 6 3 6" xfId="8735" xr:uid="{00000000-0005-0000-0000-00009C1A0000}"/>
    <cellStyle name="Calculation 6 3 7" xfId="8736" xr:uid="{00000000-0005-0000-0000-00009D1A0000}"/>
    <cellStyle name="Calculation 6 3 8" xfId="15865" xr:uid="{00000000-0005-0000-0000-00009E1A0000}"/>
    <cellStyle name="Calculation 6 4" xfId="8737" xr:uid="{00000000-0005-0000-0000-00009F1A0000}"/>
    <cellStyle name="Calculation 6 5" xfId="8738" xr:uid="{00000000-0005-0000-0000-0000A01A0000}"/>
    <cellStyle name="Calculation 6 6" xfId="8739" xr:uid="{00000000-0005-0000-0000-0000A11A0000}"/>
    <cellStyle name="Calculation 6 7" xfId="15885" xr:uid="{00000000-0005-0000-0000-0000A21A0000}"/>
    <cellStyle name="Calculation 6 8" xfId="21717" xr:uid="{00000000-0005-0000-0000-0000A31A0000}"/>
    <cellStyle name="Calculation 7" xfId="21718" xr:uid="{00000000-0005-0000-0000-0000A41A0000}"/>
    <cellStyle name="Calculation 7 2" xfId="2571" xr:uid="{00000000-0005-0000-0000-0000A51A0000}"/>
    <cellStyle name="Calculation 7 2 2" xfId="2572" xr:uid="{00000000-0005-0000-0000-0000A61A0000}"/>
    <cellStyle name="Calculation 7 2 2 2" xfId="2573" xr:uid="{00000000-0005-0000-0000-0000A71A0000}"/>
    <cellStyle name="Calculation 7 2 2 2 2" xfId="8740" xr:uid="{00000000-0005-0000-0000-0000A81A0000}"/>
    <cellStyle name="Calculation 7 2 2 2 3" xfId="8741" xr:uid="{00000000-0005-0000-0000-0000A91A0000}"/>
    <cellStyle name="Calculation 7 2 2 2 4" xfId="8742" xr:uid="{00000000-0005-0000-0000-0000AA1A0000}"/>
    <cellStyle name="Calculation 7 2 2 2 5" xfId="15543" xr:uid="{00000000-0005-0000-0000-0000AB1A0000}"/>
    <cellStyle name="Calculation 7 2 2 3" xfId="2574" xr:uid="{00000000-0005-0000-0000-0000AC1A0000}"/>
    <cellStyle name="Calculation 7 2 2 3 2" xfId="8743" xr:uid="{00000000-0005-0000-0000-0000AD1A0000}"/>
    <cellStyle name="Calculation 7 2 2 3 3" xfId="8744" xr:uid="{00000000-0005-0000-0000-0000AE1A0000}"/>
    <cellStyle name="Calculation 7 2 2 3 4" xfId="8745" xr:uid="{00000000-0005-0000-0000-0000AF1A0000}"/>
    <cellStyle name="Calculation 7 2 2 3 5" xfId="17839" xr:uid="{00000000-0005-0000-0000-0000B01A0000}"/>
    <cellStyle name="Calculation 7 2 2 4" xfId="8746" xr:uid="{00000000-0005-0000-0000-0000B11A0000}"/>
    <cellStyle name="Calculation 7 2 2 5" xfId="8747" xr:uid="{00000000-0005-0000-0000-0000B21A0000}"/>
    <cellStyle name="Calculation 7 2 2 6" xfId="8748" xr:uid="{00000000-0005-0000-0000-0000B31A0000}"/>
    <cellStyle name="Calculation 7 2 2 7" xfId="16414" xr:uid="{00000000-0005-0000-0000-0000B41A0000}"/>
    <cellStyle name="Calculation 7 2 3" xfId="2575" xr:uid="{00000000-0005-0000-0000-0000B51A0000}"/>
    <cellStyle name="Calculation 7 2 3 2" xfId="8749" xr:uid="{00000000-0005-0000-0000-0000B61A0000}"/>
    <cellStyle name="Calculation 7 2 3 3" xfId="8750" xr:uid="{00000000-0005-0000-0000-0000B71A0000}"/>
    <cellStyle name="Calculation 7 2 3 4" xfId="8751" xr:uid="{00000000-0005-0000-0000-0000B81A0000}"/>
    <cellStyle name="Calculation 7 2 3 5" xfId="16407" xr:uid="{00000000-0005-0000-0000-0000B91A0000}"/>
    <cellStyle name="Calculation 7 2 4" xfId="2576" xr:uid="{00000000-0005-0000-0000-0000BA1A0000}"/>
    <cellStyle name="Calculation 7 2 4 2" xfId="8752" xr:uid="{00000000-0005-0000-0000-0000BB1A0000}"/>
    <cellStyle name="Calculation 7 2 4 3" xfId="8753" xr:uid="{00000000-0005-0000-0000-0000BC1A0000}"/>
    <cellStyle name="Calculation 7 2 4 4" xfId="8754" xr:uid="{00000000-0005-0000-0000-0000BD1A0000}"/>
    <cellStyle name="Calculation 7 2 4 5" xfId="17845" xr:uid="{00000000-0005-0000-0000-0000BE1A0000}"/>
    <cellStyle name="Calculation 7 2 5" xfId="8755" xr:uid="{00000000-0005-0000-0000-0000BF1A0000}"/>
    <cellStyle name="Calculation 7 2 6" xfId="8756" xr:uid="{00000000-0005-0000-0000-0000C01A0000}"/>
    <cellStyle name="Calculation 7 2 7" xfId="8757" xr:uid="{00000000-0005-0000-0000-0000C11A0000}"/>
    <cellStyle name="Calculation 7 2 8" xfId="15864" xr:uid="{00000000-0005-0000-0000-0000C21A0000}"/>
    <cellStyle name="Calculation 7 3" xfId="2577" xr:uid="{00000000-0005-0000-0000-0000C31A0000}"/>
    <cellStyle name="Calculation 7 3 2" xfId="2578" xr:uid="{00000000-0005-0000-0000-0000C41A0000}"/>
    <cellStyle name="Calculation 7 3 2 2" xfId="2579" xr:uid="{00000000-0005-0000-0000-0000C51A0000}"/>
    <cellStyle name="Calculation 7 3 2 2 2" xfId="8758" xr:uid="{00000000-0005-0000-0000-0000C61A0000}"/>
    <cellStyle name="Calculation 7 3 2 2 3" xfId="8759" xr:uid="{00000000-0005-0000-0000-0000C71A0000}"/>
    <cellStyle name="Calculation 7 3 2 2 4" xfId="8760" xr:uid="{00000000-0005-0000-0000-0000C81A0000}"/>
    <cellStyle name="Calculation 7 3 2 2 5" xfId="15542" xr:uid="{00000000-0005-0000-0000-0000C91A0000}"/>
    <cellStyle name="Calculation 7 3 2 3" xfId="2580" xr:uid="{00000000-0005-0000-0000-0000CA1A0000}"/>
    <cellStyle name="Calculation 7 3 2 3 2" xfId="8761" xr:uid="{00000000-0005-0000-0000-0000CB1A0000}"/>
    <cellStyle name="Calculation 7 3 2 3 3" xfId="8762" xr:uid="{00000000-0005-0000-0000-0000CC1A0000}"/>
    <cellStyle name="Calculation 7 3 2 3 4" xfId="8763" xr:uid="{00000000-0005-0000-0000-0000CD1A0000}"/>
    <cellStyle name="Calculation 7 3 2 3 5" xfId="17844" xr:uid="{00000000-0005-0000-0000-0000CE1A0000}"/>
    <cellStyle name="Calculation 7 3 2 4" xfId="8764" xr:uid="{00000000-0005-0000-0000-0000CF1A0000}"/>
    <cellStyle name="Calculation 7 3 2 5" xfId="8765" xr:uid="{00000000-0005-0000-0000-0000D01A0000}"/>
    <cellStyle name="Calculation 7 3 2 6" xfId="8766" xr:uid="{00000000-0005-0000-0000-0000D11A0000}"/>
    <cellStyle name="Calculation 7 3 2 7" xfId="16413" xr:uid="{00000000-0005-0000-0000-0000D21A0000}"/>
    <cellStyle name="Calculation 7 3 3" xfId="2581" xr:uid="{00000000-0005-0000-0000-0000D31A0000}"/>
    <cellStyle name="Calculation 7 3 3 2" xfId="8767" xr:uid="{00000000-0005-0000-0000-0000D41A0000}"/>
    <cellStyle name="Calculation 7 3 3 3" xfId="8768" xr:uid="{00000000-0005-0000-0000-0000D51A0000}"/>
    <cellStyle name="Calculation 7 3 3 4" xfId="8769" xr:uid="{00000000-0005-0000-0000-0000D61A0000}"/>
    <cellStyle name="Calculation 7 3 3 5" xfId="16412" xr:uid="{00000000-0005-0000-0000-0000D71A0000}"/>
    <cellStyle name="Calculation 7 3 4" xfId="2582" xr:uid="{00000000-0005-0000-0000-0000D81A0000}"/>
    <cellStyle name="Calculation 7 3 4 2" xfId="8770" xr:uid="{00000000-0005-0000-0000-0000D91A0000}"/>
    <cellStyle name="Calculation 7 3 4 3" xfId="8771" xr:uid="{00000000-0005-0000-0000-0000DA1A0000}"/>
    <cellStyle name="Calculation 7 3 4 4" xfId="8772" xr:uid="{00000000-0005-0000-0000-0000DB1A0000}"/>
    <cellStyle name="Calculation 7 3 4 5" xfId="15541" xr:uid="{00000000-0005-0000-0000-0000DC1A0000}"/>
    <cellStyle name="Calculation 7 3 5" xfId="8773" xr:uid="{00000000-0005-0000-0000-0000DD1A0000}"/>
    <cellStyle name="Calculation 7 3 6" xfId="8774" xr:uid="{00000000-0005-0000-0000-0000DE1A0000}"/>
    <cellStyle name="Calculation 7 3 7" xfId="8775" xr:uid="{00000000-0005-0000-0000-0000DF1A0000}"/>
    <cellStyle name="Calculation 7 3 8" xfId="17944" xr:uid="{00000000-0005-0000-0000-0000E01A0000}"/>
    <cellStyle name="Calculation 8" xfId="21719" xr:uid="{00000000-0005-0000-0000-0000E11A0000}"/>
    <cellStyle name="Calculation 8 2" xfId="2583" xr:uid="{00000000-0005-0000-0000-0000E21A0000}"/>
    <cellStyle name="Calculation 8 2 2" xfId="2584" xr:uid="{00000000-0005-0000-0000-0000E31A0000}"/>
    <cellStyle name="Calculation 8 2 2 2" xfId="2585" xr:uid="{00000000-0005-0000-0000-0000E41A0000}"/>
    <cellStyle name="Calculation 8 2 2 2 2" xfId="8776" xr:uid="{00000000-0005-0000-0000-0000E51A0000}"/>
    <cellStyle name="Calculation 8 2 2 2 3" xfId="8777" xr:uid="{00000000-0005-0000-0000-0000E61A0000}"/>
    <cellStyle name="Calculation 8 2 2 2 4" xfId="8778" xr:uid="{00000000-0005-0000-0000-0000E71A0000}"/>
    <cellStyle name="Calculation 8 2 2 2 5" xfId="16411" xr:uid="{00000000-0005-0000-0000-0000E81A0000}"/>
    <cellStyle name="Calculation 8 2 2 3" xfId="2586" xr:uid="{00000000-0005-0000-0000-0000E91A0000}"/>
    <cellStyle name="Calculation 8 2 2 3 2" xfId="8779" xr:uid="{00000000-0005-0000-0000-0000EA1A0000}"/>
    <cellStyle name="Calculation 8 2 2 3 3" xfId="8780" xr:uid="{00000000-0005-0000-0000-0000EB1A0000}"/>
    <cellStyle name="Calculation 8 2 2 3 4" xfId="8781" xr:uid="{00000000-0005-0000-0000-0000EC1A0000}"/>
    <cellStyle name="Calculation 8 2 2 3 5" xfId="15540" xr:uid="{00000000-0005-0000-0000-0000ED1A0000}"/>
    <cellStyle name="Calculation 8 2 2 4" xfId="8782" xr:uid="{00000000-0005-0000-0000-0000EE1A0000}"/>
    <cellStyle name="Calculation 8 2 2 5" xfId="8783" xr:uid="{00000000-0005-0000-0000-0000EF1A0000}"/>
    <cellStyle name="Calculation 8 2 2 6" xfId="8784" xr:uid="{00000000-0005-0000-0000-0000F01A0000}"/>
    <cellStyle name="Calculation 8 2 2 7" xfId="17843" xr:uid="{00000000-0005-0000-0000-0000F11A0000}"/>
    <cellStyle name="Calculation 8 2 3" xfId="2587" xr:uid="{00000000-0005-0000-0000-0000F21A0000}"/>
    <cellStyle name="Calculation 8 2 3 2" xfId="8785" xr:uid="{00000000-0005-0000-0000-0000F31A0000}"/>
    <cellStyle name="Calculation 8 2 3 3" xfId="8786" xr:uid="{00000000-0005-0000-0000-0000F41A0000}"/>
    <cellStyle name="Calculation 8 2 3 4" xfId="8787" xr:uid="{00000000-0005-0000-0000-0000F51A0000}"/>
    <cellStyle name="Calculation 8 2 3 5" xfId="17842" xr:uid="{00000000-0005-0000-0000-0000F61A0000}"/>
    <cellStyle name="Calculation 8 2 4" xfId="2588" xr:uid="{00000000-0005-0000-0000-0000F71A0000}"/>
    <cellStyle name="Calculation 8 2 4 2" xfId="8788" xr:uid="{00000000-0005-0000-0000-0000F81A0000}"/>
    <cellStyle name="Calculation 8 2 4 3" xfId="8789" xr:uid="{00000000-0005-0000-0000-0000F91A0000}"/>
    <cellStyle name="Calculation 8 2 4 4" xfId="8790" xr:uid="{00000000-0005-0000-0000-0000FA1A0000}"/>
    <cellStyle name="Calculation 8 2 4 5" xfId="16410" xr:uid="{00000000-0005-0000-0000-0000FB1A0000}"/>
    <cellStyle name="Calculation 8 2 5" xfId="8791" xr:uid="{00000000-0005-0000-0000-0000FC1A0000}"/>
    <cellStyle name="Calculation 8 2 6" xfId="8792" xr:uid="{00000000-0005-0000-0000-0000FD1A0000}"/>
    <cellStyle name="Calculation 8 2 7" xfId="8793" xr:uid="{00000000-0005-0000-0000-0000FE1A0000}"/>
    <cellStyle name="Calculation 8 2 8" xfId="16514" xr:uid="{00000000-0005-0000-0000-0000FF1A0000}"/>
    <cellStyle name="Calculation 8 3" xfId="2589" xr:uid="{00000000-0005-0000-0000-0000001B0000}"/>
    <cellStyle name="Calculation 8 3 2" xfId="2590" xr:uid="{00000000-0005-0000-0000-0000011B0000}"/>
    <cellStyle name="Calculation 8 3 2 2" xfId="2591" xr:uid="{00000000-0005-0000-0000-0000021B0000}"/>
    <cellStyle name="Calculation 8 3 2 2 2" xfId="8794" xr:uid="{00000000-0005-0000-0000-0000031B0000}"/>
    <cellStyle name="Calculation 8 3 2 2 3" xfId="8795" xr:uid="{00000000-0005-0000-0000-0000041B0000}"/>
    <cellStyle name="Calculation 8 3 2 2 4" xfId="8796" xr:uid="{00000000-0005-0000-0000-0000051B0000}"/>
    <cellStyle name="Calculation 8 3 2 2 5" xfId="17841" xr:uid="{00000000-0005-0000-0000-0000061B0000}"/>
    <cellStyle name="Calculation 8 3 2 3" xfId="2592" xr:uid="{00000000-0005-0000-0000-0000071B0000}"/>
    <cellStyle name="Calculation 8 3 2 3 2" xfId="8797" xr:uid="{00000000-0005-0000-0000-0000081B0000}"/>
    <cellStyle name="Calculation 8 3 2 3 3" xfId="8798" xr:uid="{00000000-0005-0000-0000-0000091B0000}"/>
    <cellStyle name="Calculation 8 3 2 3 4" xfId="8799" xr:uid="{00000000-0005-0000-0000-00000A1B0000}"/>
    <cellStyle name="Calculation 8 3 2 3 5" xfId="16409" xr:uid="{00000000-0005-0000-0000-00000B1B0000}"/>
    <cellStyle name="Calculation 8 3 2 4" xfId="8800" xr:uid="{00000000-0005-0000-0000-00000C1B0000}"/>
    <cellStyle name="Calculation 8 3 2 5" xfId="8801" xr:uid="{00000000-0005-0000-0000-00000D1B0000}"/>
    <cellStyle name="Calculation 8 3 2 6" xfId="8802" xr:uid="{00000000-0005-0000-0000-00000E1B0000}"/>
    <cellStyle name="Calculation 8 3 2 7" xfId="15539" xr:uid="{00000000-0005-0000-0000-00000F1B0000}"/>
    <cellStyle name="Calculation 8 3 3" xfId="2593" xr:uid="{00000000-0005-0000-0000-0000101B0000}"/>
    <cellStyle name="Calculation 8 3 3 2" xfId="8803" xr:uid="{00000000-0005-0000-0000-0000111B0000}"/>
    <cellStyle name="Calculation 8 3 3 3" xfId="8804" xr:uid="{00000000-0005-0000-0000-0000121B0000}"/>
    <cellStyle name="Calculation 8 3 3 4" xfId="8805" xr:uid="{00000000-0005-0000-0000-0000131B0000}"/>
    <cellStyle name="Calculation 8 3 3 5" xfId="15538" xr:uid="{00000000-0005-0000-0000-0000141B0000}"/>
    <cellStyle name="Calculation 8 3 4" xfId="2594" xr:uid="{00000000-0005-0000-0000-0000151B0000}"/>
    <cellStyle name="Calculation 8 3 4 2" xfId="8806" xr:uid="{00000000-0005-0000-0000-0000161B0000}"/>
    <cellStyle name="Calculation 8 3 4 3" xfId="8807" xr:uid="{00000000-0005-0000-0000-0000171B0000}"/>
    <cellStyle name="Calculation 8 3 4 4" xfId="8808" xr:uid="{00000000-0005-0000-0000-0000181B0000}"/>
    <cellStyle name="Calculation 8 3 4 5" xfId="17840" xr:uid="{00000000-0005-0000-0000-0000191B0000}"/>
    <cellStyle name="Calculation 8 3 5" xfId="8809" xr:uid="{00000000-0005-0000-0000-00001A1B0000}"/>
    <cellStyle name="Calculation 8 3 6" xfId="8810" xr:uid="{00000000-0005-0000-0000-00001B1B0000}"/>
    <cellStyle name="Calculation 8 3 7" xfId="8811" xr:uid="{00000000-0005-0000-0000-00001C1B0000}"/>
    <cellStyle name="Calculation 8 3 8" xfId="15863" xr:uid="{00000000-0005-0000-0000-00001D1B0000}"/>
    <cellStyle name="Calculation 9" xfId="21720" xr:uid="{00000000-0005-0000-0000-00001E1B0000}"/>
    <cellStyle name="Calculation 9 2" xfId="2595" xr:uid="{00000000-0005-0000-0000-00001F1B0000}"/>
    <cellStyle name="Calculation 9 2 2" xfId="2596" xr:uid="{00000000-0005-0000-0000-0000201B0000}"/>
    <cellStyle name="Calculation 9 2 2 2" xfId="2597" xr:uid="{00000000-0005-0000-0000-0000211B0000}"/>
    <cellStyle name="Calculation 9 2 2 2 2" xfId="8812" xr:uid="{00000000-0005-0000-0000-0000221B0000}"/>
    <cellStyle name="Calculation 9 2 2 2 3" xfId="8813" xr:uid="{00000000-0005-0000-0000-0000231B0000}"/>
    <cellStyle name="Calculation 9 2 2 2 4" xfId="8814" xr:uid="{00000000-0005-0000-0000-0000241B0000}"/>
    <cellStyle name="Calculation 9 2 2 2 5" xfId="15537" xr:uid="{00000000-0005-0000-0000-0000251B0000}"/>
    <cellStyle name="Calculation 9 2 2 3" xfId="2598" xr:uid="{00000000-0005-0000-0000-0000261B0000}"/>
    <cellStyle name="Calculation 9 2 2 3 2" xfId="8815" xr:uid="{00000000-0005-0000-0000-0000271B0000}"/>
    <cellStyle name="Calculation 9 2 2 3 3" xfId="8816" xr:uid="{00000000-0005-0000-0000-0000281B0000}"/>
    <cellStyle name="Calculation 9 2 2 3 4" xfId="8817" xr:uid="{00000000-0005-0000-0000-0000291B0000}"/>
    <cellStyle name="Calculation 9 2 2 3 5" xfId="15536" xr:uid="{00000000-0005-0000-0000-00002A1B0000}"/>
    <cellStyle name="Calculation 9 2 2 4" xfId="8818" xr:uid="{00000000-0005-0000-0000-00002B1B0000}"/>
    <cellStyle name="Calculation 9 2 2 5" xfId="8819" xr:uid="{00000000-0005-0000-0000-00002C1B0000}"/>
    <cellStyle name="Calculation 9 2 2 6" xfId="8820" xr:uid="{00000000-0005-0000-0000-00002D1B0000}"/>
    <cellStyle name="Calculation 9 2 2 7" xfId="16408" xr:uid="{00000000-0005-0000-0000-00002E1B0000}"/>
    <cellStyle name="Calculation 9 2 3" xfId="2599" xr:uid="{00000000-0005-0000-0000-00002F1B0000}"/>
    <cellStyle name="Calculation 9 2 3 2" xfId="8821" xr:uid="{00000000-0005-0000-0000-0000301B0000}"/>
    <cellStyle name="Calculation 9 2 3 3" xfId="8822" xr:uid="{00000000-0005-0000-0000-0000311B0000}"/>
    <cellStyle name="Calculation 9 2 3 4" xfId="8823" xr:uid="{00000000-0005-0000-0000-0000321B0000}"/>
    <cellStyle name="Calculation 9 2 3 5" xfId="17838" xr:uid="{00000000-0005-0000-0000-0000331B0000}"/>
    <cellStyle name="Calculation 9 2 4" xfId="2600" xr:uid="{00000000-0005-0000-0000-0000341B0000}"/>
    <cellStyle name="Calculation 9 2 4 2" xfId="8824" xr:uid="{00000000-0005-0000-0000-0000351B0000}"/>
    <cellStyle name="Calculation 9 2 4 3" xfId="8825" xr:uid="{00000000-0005-0000-0000-0000361B0000}"/>
    <cellStyle name="Calculation 9 2 4 4" xfId="8826" xr:uid="{00000000-0005-0000-0000-0000371B0000}"/>
    <cellStyle name="Calculation 9 2 4 5" xfId="16406" xr:uid="{00000000-0005-0000-0000-0000381B0000}"/>
    <cellStyle name="Calculation 9 2 5" xfId="8827" xr:uid="{00000000-0005-0000-0000-0000391B0000}"/>
    <cellStyle name="Calculation 9 2 6" xfId="8828" xr:uid="{00000000-0005-0000-0000-00003A1B0000}"/>
    <cellStyle name="Calculation 9 2 7" xfId="8829" xr:uid="{00000000-0005-0000-0000-00003B1B0000}"/>
    <cellStyle name="Calculation 9 2 8" xfId="17943" xr:uid="{00000000-0005-0000-0000-00003C1B0000}"/>
    <cellStyle name="Calculation 9 3" xfId="2601" xr:uid="{00000000-0005-0000-0000-00003D1B0000}"/>
    <cellStyle name="Calculation 9 3 2" xfId="2602" xr:uid="{00000000-0005-0000-0000-00003E1B0000}"/>
    <cellStyle name="Calculation 9 3 2 2" xfId="2603" xr:uid="{00000000-0005-0000-0000-00003F1B0000}"/>
    <cellStyle name="Calculation 9 3 2 2 2" xfId="8830" xr:uid="{00000000-0005-0000-0000-0000401B0000}"/>
    <cellStyle name="Calculation 9 3 2 2 3" xfId="8831" xr:uid="{00000000-0005-0000-0000-0000411B0000}"/>
    <cellStyle name="Calculation 9 3 2 2 4" xfId="8832" xr:uid="{00000000-0005-0000-0000-0000421B0000}"/>
    <cellStyle name="Calculation 9 3 2 2 5" xfId="17837" xr:uid="{00000000-0005-0000-0000-0000431B0000}"/>
    <cellStyle name="Calculation 9 3 2 3" xfId="2604" xr:uid="{00000000-0005-0000-0000-0000441B0000}"/>
    <cellStyle name="Calculation 9 3 2 3 2" xfId="8833" xr:uid="{00000000-0005-0000-0000-0000451B0000}"/>
    <cellStyle name="Calculation 9 3 2 3 3" xfId="8834" xr:uid="{00000000-0005-0000-0000-0000461B0000}"/>
    <cellStyle name="Calculation 9 3 2 3 4" xfId="8835" xr:uid="{00000000-0005-0000-0000-0000471B0000}"/>
    <cellStyle name="Calculation 9 3 2 3 5" xfId="16405" xr:uid="{00000000-0005-0000-0000-0000481B0000}"/>
    <cellStyle name="Calculation 9 3 2 4" xfId="8836" xr:uid="{00000000-0005-0000-0000-0000491B0000}"/>
    <cellStyle name="Calculation 9 3 2 5" xfId="8837" xr:uid="{00000000-0005-0000-0000-00004A1B0000}"/>
    <cellStyle name="Calculation 9 3 2 6" xfId="8838" xr:uid="{00000000-0005-0000-0000-00004B1B0000}"/>
    <cellStyle name="Calculation 9 3 2 7" xfId="15535" xr:uid="{00000000-0005-0000-0000-00004C1B0000}"/>
    <cellStyle name="Calculation 9 3 3" xfId="2605" xr:uid="{00000000-0005-0000-0000-00004D1B0000}"/>
    <cellStyle name="Calculation 9 3 3 2" xfId="8839" xr:uid="{00000000-0005-0000-0000-00004E1B0000}"/>
    <cellStyle name="Calculation 9 3 3 3" xfId="8840" xr:uid="{00000000-0005-0000-0000-00004F1B0000}"/>
    <cellStyle name="Calculation 9 3 3 4" xfId="8841" xr:uid="{00000000-0005-0000-0000-0000501B0000}"/>
    <cellStyle name="Calculation 9 3 3 5" xfId="15534" xr:uid="{00000000-0005-0000-0000-0000511B0000}"/>
    <cellStyle name="Calculation 9 3 4" xfId="2606" xr:uid="{00000000-0005-0000-0000-0000521B0000}"/>
    <cellStyle name="Calculation 9 3 4 2" xfId="8842" xr:uid="{00000000-0005-0000-0000-0000531B0000}"/>
    <cellStyle name="Calculation 9 3 4 3" xfId="8843" xr:uid="{00000000-0005-0000-0000-0000541B0000}"/>
    <cellStyle name="Calculation 9 3 4 4" xfId="8844" xr:uid="{00000000-0005-0000-0000-0000551B0000}"/>
    <cellStyle name="Calculation 9 3 4 5" xfId="17836" xr:uid="{00000000-0005-0000-0000-0000561B0000}"/>
    <cellStyle name="Calculation 9 3 5" xfId="8845" xr:uid="{00000000-0005-0000-0000-0000571B0000}"/>
    <cellStyle name="Calculation 9 3 6" xfId="8846" xr:uid="{00000000-0005-0000-0000-0000581B0000}"/>
    <cellStyle name="Calculation 9 3 7" xfId="8847" xr:uid="{00000000-0005-0000-0000-0000591B0000}"/>
    <cellStyle name="Calculation 9 3 8" xfId="16513" xr:uid="{00000000-0005-0000-0000-00005A1B0000}"/>
    <cellStyle name="captionItem" xfId="21721" xr:uid="{00000000-0005-0000-0000-00005B1B0000}"/>
    <cellStyle name="captionItem (cntr)" xfId="21722" xr:uid="{00000000-0005-0000-0000-00005C1B0000}"/>
    <cellStyle name="captionItem (cntr) 2" xfId="21723" xr:uid="{00000000-0005-0000-0000-00005D1B0000}"/>
    <cellStyle name="captionItem (cntr) 2 2" xfId="21724" xr:uid="{00000000-0005-0000-0000-00005E1B0000}"/>
    <cellStyle name="captionItem (cntr) 3" xfId="21725" xr:uid="{00000000-0005-0000-0000-00005F1B0000}"/>
    <cellStyle name="captionItem (cntr) 3 2" xfId="21726" xr:uid="{00000000-0005-0000-0000-0000601B0000}"/>
    <cellStyle name="captionItem (cntr) 3 2 2" xfId="21727" xr:uid="{00000000-0005-0000-0000-0000611B0000}"/>
    <cellStyle name="captionItem (cntr) 3 3" xfId="21728" xr:uid="{00000000-0005-0000-0000-0000621B0000}"/>
    <cellStyle name="captionItem (cntr) 4" xfId="21729" xr:uid="{00000000-0005-0000-0000-0000631B0000}"/>
    <cellStyle name="captionItem (cntr) 4 2" xfId="21730" xr:uid="{00000000-0005-0000-0000-0000641B0000}"/>
    <cellStyle name="captionItem (cntr) 4 2 2" xfId="21731" xr:uid="{00000000-0005-0000-0000-0000651B0000}"/>
    <cellStyle name="captionItem (cntr) 4 3" xfId="21732" xr:uid="{00000000-0005-0000-0000-0000661B0000}"/>
    <cellStyle name="captionItem (cntr) 5" xfId="21733" xr:uid="{00000000-0005-0000-0000-0000671B0000}"/>
    <cellStyle name="captionItem (cntr) 5 2" xfId="21734" xr:uid="{00000000-0005-0000-0000-0000681B0000}"/>
    <cellStyle name="captionItem (cntr) 5 2 2" xfId="21735" xr:uid="{00000000-0005-0000-0000-0000691B0000}"/>
    <cellStyle name="captionItem (cntr) 5 3" xfId="21736" xr:uid="{00000000-0005-0000-0000-00006A1B0000}"/>
    <cellStyle name="captionItem (cntr) 6" xfId="21737" xr:uid="{00000000-0005-0000-0000-00006B1B0000}"/>
    <cellStyle name="captionItem (Lrg)" xfId="21738" xr:uid="{00000000-0005-0000-0000-00006C1B0000}"/>
    <cellStyle name="captionItem (no pattern)" xfId="21739" xr:uid="{00000000-0005-0000-0000-00006D1B0000}"/>
    <cellStyle name="captionItem (no pattern) 2" xfId="21740" xr:uid="{00000000-0005-0000-0000-00006E1B0000}"/>
    <cellStyle name="captionItem (no pattern) 2 2" xfId="21741" xr:uid="{00000000-0005-0000-0000-00006F1B0000}"/>
    <cellStyle name="captionItem (no pattern) 3" xfId="21742" xr:uid="{00000000-0005-0000-0000-0000701B0000}"/>
    <cellStyle name="captionItem (no pattern) 3 2" xfId="21743" xr:uid="{00000000-0005-0000-0000-0000711B0000}"/>
    <cellStyle name="captionItem (no pattern) 3 2 2" xfId="21744" xr:uid="{00000000-0005-0000-0000-0000721B0000}"/>
    <cellStyle name="captionItem (no pattern) 3 3" xfId="21745" xr:uid="{00000000-0005-0000-0000-0000731B0000}"/>
    <cellStyle name="captionItem (no pattern) 4" xfId="21746" xr:uid="{00000000-0005-0000-0000-0000741B0000}"/>
    <cellStyle name="captionItem (no pattern) 4 2" xfId="21747" xr:uid="{00000000-0005-0000-0000-0000751B0000}"/>
    <cellStyle name="captionItem (no pattern) 4 2 2" xfId="21748" xr:uid="{00000000-0005-0000-0000-0000761B0000}"/>
    <cellStyle name="captionItem (no pattern) 4 3" xfId="21749" xr:uid="{00000000-0005-0000-0000-0000771B0000}"/>
    <cellStyle name="captionItem (no pattern) 5" xfId="21750" xr:uid="{00000000-0005-0000-0000-0000781B0000}"/>
    <cellStyle name="captionItem (no pattern) 5 2" xfId="21751" xr:uid="{00000000-0005-0000-0000-0000791B0000}"/>
    <cellStyle name="captionItem (no pattern) 5 2 2" xfId="21752" xr:uid="{00000000-0005-0000-0000-00007A1B0000}"/>
    <cellStyle name="captionItem (no pattern) 5 3" xfId="21753" xr:uid="{00000000-0005-0000-0000-00007B1B0000}"/>
    <cellStyle name="captionItem (no pattern) 6" xfId="21754" xr:uid="{00000000-0005-0000-0000-00007C1B0000}"/>
    <cellStyle name="captionItem 2" xfId="21755" xr:uid="{00000000-0005-0000-0000-00007D1B0000}"/>
    <cellStyle name="captionItem 2 2" xfId="21756" xr:uid="{00000000-0005-0000-0000-00007E1B0000}"/>
    <cellStyle name="captionItem 3" xfId="21757" xr:uid="{00000000-0005-0000-0000-00007F1B0000}"/>
    <cellStyle name="captionItem 3 2" xfId="21758" xr:uid="{00000000-0005-0000-0000-0000801B0000}"/>
    <cellStyle name="captionItem 3 2 2" xfId="21759" xr:uid="{00000000-0005-0000-0000-0000811B0000}"/>
    <cellStyle name="captionItem 3 3" xfId="21760" xr:uid="{00000000-0005-0000-0000-0000821B0000}"/>
    <cellStyle name="captionItem 4" xfId="21761" xr:uid="{00000000-0005-0000-0000-0000831B0000}"/>
    <cellStyle name="captionItem 4 2" xfId="21762" xr:uid="{00000000-0005-0000-0000-0000841B0000}"/>
    <cellStyle name="captionItem 4 2 2" xfId="21763" xr:uid="{00000000-0005-0000-0000-0000851B0000}"/>
    <cellStyle name="captionItem 4 3" xfId="21764" xr:uid="{00000000-0005-0000-0000-0000861B0000}"/>
    <cellStyle name="captionItem 5" xfId="21765" xr:uid="{00000000-0005-0000-0000-0000871B0000}"/>
    <cellStyle name="captionItem 5 2" xfId="21766" xr:uid="{00000000-0005-0000-0000-0000881B0000}"/>
    <cellStyle name="captionItem 5 2 2" xfId="21767" xr:uid="{00000000-0005-0000-0000-0000891B0000}"/>
    <cellStyle name="captionItem 5 3" xfId="21768" xr:uid="{00000000-0005-0000-0000-00008A1B0000}"/>
    <cellStyle name="captionItem 6" xfId="21769" xr:uid="{00000000-0005-0000-0000-00008B1B0000}"/>
    <cellStyle name="captionItem 6 2" xfId="21770" xr:uid="{00000000-0005-0000-0000-00008C1B0000}"/>
    <cellStyle name="captionItem 6 2 2" xfId="21771" xr:uid="{00000000-0005-0000-0000-00008D1B0000}"/>
    <cellStyle name="captionItem 6 3" xfId="21772" xr:uid="{00000000-0005-0000-0000-00008E1B0000}"/>
    <cellStyle name="captionItem 7" xfId="21773" xr:uid="{00000000-0005-0000-0000-00008F1B0000}"/>
    <cellStyle name="captionItem 7 2" xfId="21774" xr:uid="{00000000-0005-0000-0000-0000901B0000}"/>
    <cellStyle name="captionItem 7 2 2" xfId="21775" xr:uid="{00000000-0005-0000-0000-0000911B0000}"/>
    <cellStyle name="captionItem 7 3" xfId="21776" xr:uid="{00000000-0005-0000-0000-0000921B0000}"/>
    <cellStyle name="captionItem 8" xfId="21777" xr:uid="{00000000-0005-0000-0000-0000931B0000}"/>
    <cellStyle name="captionItem 8 2" xfId="21778" xr:uid="{00000000-0005-0000-0000-0000941B0000}"/>
    <cellStyle name="captionItem 9" xfId="21779" xr:uid="{00000000-0005-0000-0000-0000951B0000}"/>
    <cellStyle name="captionItem1LghtGrn" xfId="21780" xr:uid="{00000000-0005-0000-0000-0000961B0000}"/>
    <cellStyle name="captionItem1LghtGrn 2" xfId="21781" xr:uid="{00000000-0005-0000-0000-0000971B0000}"/>
    <cellStyle name="captionItem1LghtGrn 2 2" xfId="21782" xr:uid="{00000000-0005-0000-0000-0000981B0000}"/>
    <cellStyle name="captionItem1LghtGrn 3" xfId="21783" xr:uid="{00000000-0005-0000-0000-0000991B0000}"/>
    <cellStyle name="captionItem1LghtGrn 3 2" xfId="21784" xr:uid="{00000000-0005-0000-0000-00009A1B0000}"/>
    <cellStyle name="captionItem1LghtGrn 3 2 2" xfId="21785" xr:uid="{00000000-0005-0000-0000-00009B1B0000}"/>
    <cellStyle name="captionItem1LghtGrn 3 3" xfId="21786" xr:uid="{00000000-0005-0000-0000-00009C1B0000}"/>
    <cellStyle name="captionItem1LghtGrn 4" xfId="21787" xr:uid="{00000000-0005-0000-0000-00009D1B0000}"/>
    <cellStyle name="captionItem1LghtGrn 4 2" xfId="21788" xr:uid="{00000000-0005-0000-0000-00009E1B0000}"/>
    <cellStyle name="captionItem1LghtGrn 4 2 2" xfId="21789" xr:uid="{00000000-0005-0000-0000-00009F1B0000}"/>
    <cellStyle name="captionItem1LghtGrn 4 3" xfId="21790" xr:uid="{00000000-0005-0000-0000-0000A01B0000}"/>
    <cellStyle name="captionItem1LghtGrn 5" xfId="21791" xr:uid="{00000000-0005-0000-0000-0000A11B0000}"/>
    <cellStyle name="captionItem1LghtGrn 5 2" xfId="21792" xr:uid="{00000000-0005-0000-0000-0000A21B0000}"/>
    <cellStyle name="captionItem1LghtGrn 5 2 2" xfId="21793" xr:uid="{00000000-0005-0000-0000-0000A31B0000}"/>
    <cellStyle name="captionItem1LghtGrn 5 3" xfId="21794" xr:uid="{00000000-0005-0000-0000-0000A41B0000}"/>
    <cellStyle name="captionItem1LghtGrn 6" xfId="21795" xr:uid="{00000000-0005-0000-0000-0000A51B0000}"/>
    <cellStyle name="captionSection" xfId="21796" xr:uid="{00000000-0005-0000-0000-0000A61B0000}"/>
    <cellStyle name="captionSection 2" xfId="21797" xr:uid="{00000000-0005-0000-0000-0000A71B0000}"/>
    <cellStyle name="captionSection 2 2" xfId="21798" xr:uid="{00000000-0005-0000-0000-0000A81B0000}"/>
    <cellStyle name="captionSection 2 3" xfId="21799" xr:uid="{00000000-0005-0000-0000-0000A91B0000}"/>
    <cellStyle name="captionSection 2 4" xfId="21800" xr:uid="{00000000-0005-0000-0000-0000AA1B0000}"/>
    <cellStyle name="captionSection 2 5" xfId="21801" xr:uid="{00000000-0005-0000-0000-0000AB1B0000}"/>
    <cellStyle name="captionSection 3" xfId="21802" xr:uid="{00000000-0005-0000-0000-0000AC1B0000}"/>
    <cellStyle name="captionSection 4" xfId="21803" xr:uid="{00000000-0005-0000-0000-0000AD1B0000}"/>
    <cellStyle name="captionSection 5" xfId="21804" xr:uid="{00000000-0005-0000-0000-0000AE1B0000}"/>
    <cellStyle name="captionSection 6" xfId="21805" xr:uid="{00000000-0005-0000-0000-0000AF1B0000}"/>
    <cellStyle name="Centre alignmeN]" xfId="21806" xr:uid="{00000000-0005-0000-0000-0000B01B0000}"/>
    <cellStyle name="Centre alignmeN] 2" xfId="21807" xr:uid="{00000000-0005-0000-0000-0000B11B0000}"/>
    <cellStyle name="Centre alignment" xfId="21808" xr:uid="{00000000-0005-0000-0000-0000B21B0000}"/>
    <cellStyle name="Cents" xfId="21809" xr:uid="{00000000-0005-0000-0000-0000B31B0000}"/>
    <cellStyle name="Check Cell" xfId="44335" builtinId="23" customBuiltin="1"/>
    <cellStyle name="Check Cell 10" xfId="21810" xr:uid="{00000000-0005-0000-0000-0000B51B0000}"/>
    <cellStyle name="Check Cell 10 2" xfId="2607" xr:uid="{00000000-0005-0000-0000-0000B61B0000}"/>
    <cellStyle name="Check Cell 10 3" xfId="2608" xr:uid="{00000000-0005-0000-0000-0000B71B0000}"/>
    <cellStyle name="Check Cell 11" xfId="21811" xr:uid="{00000000-0005-0000-0000-0000B81B0000}"/>
    <cellStyle name="Check Cell 11 2" xfId="2609" xr:uid="{00000000-0005-0000-0000-0000B91B0000}"/>
    <cellStyle name="Check Cell 11 3" xfId="2610" xr:uid="{00000000-0005-0000-0000-0000BA1B0000}"/>
    <cellStyle name="Check Cell 12 2" xfId="2611" xr:uid="{00000000-0005-0000-0000-0000BB1B0000}"/>
    <cellStyle name="Check Cell 12 3" xfId="2612" xr:uid="{00000000-0005-0000-0000-0000BC1B0000}"/>
    <cellStyle name="Check Cell 13 2" xfId="2613" xr:uid="{00000000-0005-0000-0000-0000BD1B0000}"/>
    <cellStyle name="Check Cell 13 3" xfId="2614" xr:uid="{00000000-0005-0000-0000-0000BE1B0000}"/>
    <cellStyle name="Check Cell 14 2" xfId="2615" xr:uid="{00000000-0005-0000-0000-0000BF1B0000}"/>
    <cellStyle name="Check Cell 14 3" xfId="2616" xr:uid="{00000000-0005-0000-0000-0000C01B0000}"/>
    <cellStyle name="Check Cell 15" xfId="2617" xr:uid="{00000000-0005-0000-0000-0000C11B0000}"/>
    <cellStyle name="Check Cell 15 2" xfId="2618" xr:uid="{00000000-0005-0000-0000-0000C21B0000}"/>
    <cellStyle name="Check Cell 15 3" xfId="2619" xr:uid="{00000000-0005-0000-0000-0000C31B0000}"/>
    <cellStyle name="Check Cell 15 4" xfId="2620" xr:uid="{00000000-0005-0000-0000-0000C41B0000}"/>
    <cellStyle name="Check Cell 15 5" xfId="2621" xr:uid="{00000000-0005-0000-0000-0000C51B0000}"/>
    <cellStyle name="Check Cell 15 6" xfId="2622" xr:uid="{00000000-0005-0000-0000-0000C61B0000}"/>
    <cellStyle name="Check Cell 15 7" xfId="2623" xr:uid="{00000000-0005-0000-0000-0000C71B0000}"/>
    <cellStyle name="Check Cell 16" xfId="2624" xr:uid="{00000000-0005-0000-0000-0000C81B0000}"/>
    <cellStyle name="Check Cell 17" xfId="2625" xr:uid="{00000000-0005-0000-0000-0000C91B0000}"/>
    <cellStyle name="Check Cell 18" xfId="2626" xr:uid="{00000000-0005-0000-0000-0000CA1B0000}"/>
    <cellStyle name="Check Cell 19" xfId="2627" xr:uid="{00000000-0005-0000-0000-0000CB1B0000}"/>
    <cellStyle name="Check Cell 2" xfId="2628" xr:uid="{00000000-0005-0000-0000-0000CC1B0000}"/>
    <cellStyle name="Check Cell 2 2" xfId="2629" xr:uid="{00000000-0005-0000-0000-0000CD1B0000}"/>
    <cellStyle name="Check Cell 2 2 2" xfId="21813" xr:uid="{00000000-0005-0000-0000-0000CE1B0000}"/>
    <cellStyle name="Check Cell 2 2 3" xfId="21814" xr:uid="{00000000-0005-0000-0000-0000CF1B0000}"/>
    <cellStyle name="Check Cell 2 2 4" xfId="21812" xr:uid="{00000000-0005-0000-0000-0000D01B0000}"/>
    <cellStyle name="Check Cell 2 3" xfId="2630" xr:uid="{00000000-0005-0000-0000-0000D11B0000}"/>
    <cellStyle name="Check Cell 2 3 2" xfId="21815" xr:uid="{00000000-0005-0000-0000-0000D21B0000}"/>
    <cellStyle name="Check Cell 2 4" xfId="21816" xr:uid="{00000000-0005-0000-0000-0000D31B0000}"/>
    <cellStyle name="Check Cell 2 5" xfId="21817" xr:uid="{00000000-0005-0000-0000-0000D41B0000}"/>
    <cellStyle name="Check Cell 2 6" xfId="21818" xr:uid="{00000000-0005-0000-0000-0000D51B0000}"/>
    <cellStyle name="Check Cell 20" xfId="2631" xr:uid="{00000000-0005-0000-0000-0000D61B0000}"/>
    <cellStyle name="Check Cell 21" xfId="2632" xr:uid="{00000000-0005-0000-0000-0000D71B0000}"/>
    <cellStyle name="Check Cell 22" xfId="2633" xr:uid="{00000000-0005-0000-0000-0000D81B0000}"/>
    <cellStyle name="Check Cell 3" xfId="2634" xr:uid="{00000000-0005-0000-0000-0000D91B0000}"/>
    <cellStyle name="Check Cell 3 2" xfId="2635" xr:uid="{00000000-0005-0000-0000-0000DA1B0000}"/>
    <cellStyle name="Check Cell 3 2 2" xfId="21820" xr:uid="{00000000-0005-0000-0000-0000DB1B0000}"/>
    <cellStyle name="Check Cell 3 2 3" xfId="21819" xr:uid="{00000000-0005-0000-0000-0000DC1B0000}"/>
    <cellStyle name="Check Cell 3 3" xfId="2636" xr:uid="{00000000-0005-0000-0000-0000DD1B0000}"/>
    <cellStyle name="Check Cell 4" xfId="2637" xr:uid="{00000000-0005-0000-0000-0000DE1B0000}"/>
    <cellStyle name="Check Cell 4 2" xfId="2638" xr:uid="{00000000-0005-0000-0000-0000DF1B0000}"/>
    <cellStyle name="Check Cell 4 2 2" xfId="21822" xr:uid="{00000000-0005-0000-0000-0000E01B0000}"/>
    <cellStyle name="Check Cell 4 3" xfId="2639" xr:uid="{00000000-0005-0000-0000-0000E11B0000}"/>
    <cellStyle name="Check Cell 4 4" xfId="21821" xr:uid="{00000000-0005-0000-0000-0000E21B0000}"/>
    <cellStyle name="Check Cell 5" xfId="2640" xr:uid="{00000000-0005-0000-0000-0000E31B0000}"/>
    <cellStyle name="Check Cell 5 2" xfId="2641" xr:uid="{00000000-0005-0000-0000-0000E41B0000}"/>
    <cellStyle name="Check Cell 5 2 2" xfId="21824" xr:uid="{00000000-0005-0000-0000-0000E51B0000}"/>
    <cellStyle name="Check Cell 5 3" xfId="2642" xr:uid="{00000000-0005-0000-0000-0000E61B0000}"/>
    <cellStyle name="Check Cell 5 4" xfId="21823" xr:uid="{00000000-0005-0000-0000-0000E71B0000}"/>
    <cellStyle name="Check Cell 6" xfId="21825" xr:uid="{00000000-0005-0000-0000-0000E81B0000}"/>
    <cellStyle name="Check Cell 6 2" xfId="2643" xr:uid="{00000000-0005-0000-0000-0000E91B0000}"/>
    <cellStyle name="Check Cell 6 3" xfId="2644" xr:uid="{00000000-0005-0000-0000-0000EA1B0000}"/>
    <cellStyle name="Check Cell 7" xfId="21826" xr:uid="{00000000-0005-0000-0000-0000EB1B0000}"/>
    <cellStyle name="Check Cell 7 2" xfId="2645" xr:uid="{00000000-0005-0000-0000-0000EC1B0000}"/>
    <cellStyle name="Check Cell 7 3" xfId="2646" xr:uid="{00000000-0005-0000-0000-0000ED1B0000}"/>
    <cellStyle name="Check Cell 8" xfId="21827" xr:uid="{00000000-0005-0000-0000-0000EE1B0000}"/>
    <cellStyle name="Check Cell 8 2" xfId="2647" xr:uid="{00000000-0005-0000-0000-0000EF1B0000}"/>
    <cellStyle name="Check Cell 8 3" xfId="2648" xr:uid="{00000000-0005-0000-0000-0000F01B0000}"/>
    <cellStyle name="Check Cell 9" xfId="21828" xr:uid="{00000000-0005-0000-0000-0000F11B0000}"/>
    <cellStyle name="Check Cell 9 2" xfId="2649" xr:uid="{00000000-0005-0000-0000-0000F21B0000}"/>
    <cellStyle name="Check Cell 9 3" xfId="2650" xr:uid="{00000000-0005-0000-0000-0000F31B0000}"/>
    <cellStyle name="Comma" xfId="1" builtinId="3"/>
    <cellStyle name="Comma  - Style1" xfId="2651" xr:uid="{00000000-0005-0000-0000-0000F51B0000}"/>
    <cellStyle name="Comma  - Style1 2" xfId="2652" xr:uid="{00000000-0005-0000-0000-0000F61B0000}"/>
    <cellStyle name="Comma  - Style1 2 2" xfId="8848" xr:uid="{00000000-0005-0000-0000-0000F71B0000}"/>
    <cellStyle name="Comma  - Style1 2 3" xfId="21829" xr:uid="{00000000-0005-0000-0000-0000F81B0000}"/>
    <cellStyle name="Comma  - Style1 3" xfId="2653" xr:uid="{00000000-0005-0000-0000-0000F91B0000}"/>
    <cellStyle name="Comma  - Style1 3 2" xfId="2654" xr:uid="{00000000-0005-0000-0000-0000FA1B0000}"/>
    <cellStyle name="Comma  - Style1 3 2 2" xfId="8849" xr:uid="{00000000-0005-0000-0000-0000FB1B0000}"/>
    <cellStyle name="Comma  - Style1 3 3" xfId="8850" xr:uid="{00000000-0005-0000-0000-0000FC1B0000}"/>
    <cellStyle name="Comma  - Style1 4" xfId="8851" xr:uid="{00000000-0005-0000-0000-0000FD1B0000}"/>
    <cellStyle name="Comma  - Style1 4 2" xfId="21830" xr:uid="{00000000-0005-0000-0000-0000FE1B0000}"/>
    <cellStyle name="Comma  - Style1 5" xfId="21831" xr:uid="{00000000-0005-0000-0000-0000FF1B0000}"/>
    <cellStyle name="Comma  - Style2" xfId="2655" xr:uid="{00000000-0005-0000-0000-0000001C0000}"/>
    <cellStyle name="Comma  - Style2 2" xfId="2656" xr:uid="{00000000-0005-0000-0000-0000011C0000}"/>
    <cellStyle name="Comma  - Style2 2 2" xfId="8852" xr:uid="{00000000-0005-0000-0000-0000021C0000}"/>
    <cellStyle name="Comma  - Style2 2 3" xfId="21832" xr:uid="{00000000-0005-0000-0000-0000031C0000}"/>
    <cellStyle name="Comma  - Style2 3" xfId="2657" xr:uid="{00000000-0005-0000-0000-0000041C0000}"/>
    <cellStyle name="Comma  - Style2 3 2" xfId="2658" xr:uid="{00000000-0005-0000-0000-0000051C0000}"/>
    <cellStyle name="Comma  - Style2 3 2 2" xfId="8853" xr:uid="{00000000-0005-0000-0000-0000061C0000}"/>
    <cellStyle name="Comma  - Style2 3 3" xfId="8854" xr:uid="{00000000-0005-0000-0000-0000071C0000}"/>
    <cellStyle name="Comma  - Style2 4" xfId="8855" xr:uid="{00000000-0005-0000-0000-0000081C0000}"/>
    <cellStyle name="Comma  - Style2 4 2" xfId="21833" xr:uid="{00000000-0005-0000-0000-0000091C0000}"/>
    <cellStyle name="Comma  - Style2 5" xfId="21834" xr:uid="{00000000-0005-0000-0000-00000A1C0000}"/>
    <cellStyle name="Comma  - Style3" xfId="2659" xr:uid="{00000000-0005-0000-0000-00000B1C0000}"/>
    <cellStyle name="Comma  - Style3 2" xfId="2660" xr:uid="{00000000-0005-0000-0000-00000C1C0000}"/>
    <cellStyle name="Comma  - Style3 2 2" xfId="8856" xr:uid="{00000000-0005-0000-0000-00000D1C0000}"/>
    <cellStyle name="Comma  - Style3 2 3" xfId="21835" xr:uid="{00000000-0005-0000-0000-00000E1C0000}"/>
    <cellStyle name="Comma  - Style3 3" xfId="2661" xr:uid="{00000000-0005-0000-0000-00000F1C0000}"/>
    <cellStyle name="Comma  - Style3 3 2" xfId="2662" xr:uid="{00000000-0005-0000-0000-0000101C0000}"/>
    <cellStyle name="Comma  - Style3 3 2 2" xfId="8857" xr:uid="{00000000-0005-0000-0000-0000111C0000}"/>
    <cellStyle name="Comma  - Style3 3 3" xfId="8858" xr:uid="{00000000-0005-0000-0000-0000121C0000}"/>
    <cellStyle name="Comma  - Style3 4" xfId="8859" xr:uid="{00000000-0005-0000-0000-0000131C0000}"/>
    <cellStyle name="Comma  - Style3 4 2" xfId="21836" xr:uid="{00000000-0005-0000-0000-0000141C0000}"/>
    <cellStyle name="Comma  - Style3 5" xfId="21837" xr:uid="{00000000-0005-0000-0000-0000151C0000}"/>
    <cellStyle name="Comma  - Style4" xfId="2663" xr:uid="{00000000-0005-0000-0000-0000161C0000}"/>
    <cellStyle name="Comma  - Style4 2" xfId="2664" xr:uid="{00000000-0005-0000-0000-0000171C0000}"/>
    <cellStyle name="Comma  - Style4 2 2" xfId="8860" xr:uid="{00000000-0005-0000-0000-0000181C0000}"/>
    <cellStyle name="Comma  - Style4 2 3" xfId="21838" xr:uid="{00000000-0005-0000-0000-0000191C0000}"/>
    <cellStyle name="Comma  - Style4 3" xfId="2665" xr:uid="{00000000-0005-0000-0000-00001A1C0000}"/>
    <cellStyle name="Comma  - Style4 3 2" xfId="2666" xr:uid="{00000000-0005-0000-0000-00001B1C0000}"/>
    <cellStyle name="Comma  - Style4 3 2 2" xfId="8861" xr:uid="{00000000-0005-0000-0000-00001C1C0000}"/>
    <cellStyle name="Comma  - Style4 3 3" xfId="8862" xr:uid="{00000000-0005-0000-0000-00001D1C0000}"/>
    <cellStyle name="Comma  - Style4 4" xfId="8863" xr:uid="{00000000-0005-0000-0000-00001E1C0000}"/>
    <cellStyle name="Comma  - Style4 4 2" xfId="21839" xr:uid="{00000000-0005-0000-0000-00001F1C0000}"/>
    <cellStyle name="Comma  - Style4 5" xfId="21840" xr:uid="{00000000-0005-0000-0000-0000201C0000}"/>
    <cellStyle name="Comma  - Style5" xfId="2667" xr:uid="{00000000-0005-0000-0000-0000211C0000}"/>
    <cellStyle name="Comma  - Style5 2" xfId="2668" xr:uid="{00000000-0005-0000-0000-0000221C0000}"/>
    <cellStyle name="Comma  - Style5 2 2" xfId="8864" xr:uid="{00000000-0005-0000-0000-0000231C0000}"/>
    <cellStyle name="Comma  - Style5 2 3" xfId="21841" xr:uid="{00000000-0005-0000-0000-0000241C0000}"/>
    <cellStyle name="Comma  - Style5 3" xfId="2669" xr:uid="{00000000-0005-0000-0000-0000251C0000}"/>
    <cellStyle name="Comma  - Style5 3 2" xfId="2670" xr:uid="{00000000-0005-0000-0000-0000261C0000}"/>
    <cellStyle name="Comma  - Style5 3 2 2" xfId="8865" xr:uid="{00000000-0005-0000-0000-0000271C0000}"/>
    <cellStyle name="Comma  - Style5 3 3" xfId="8866" xr:uid="{00000000-0005-0000-0000-0000281C0000}"/>
    <cellStyle name="Comma  - Style5 4" xfId="8867" xr:uid="{00000000-0005-0000-0000-0000291C0000}"/>
    <cellStyle name="Comma  - Style5 4 2" xfId="21842" xr:uid="{00000000-0005-0000-0000-00002A1C0000}"/>
    <cellStyle name="Comma  - Style5 5" xfId="21843" xr:uid="{00000000-0005-0000-0000-00002B1C0000}"/>
    <cellStyle name="Comma  - Style6" xfId="2671" xr:uid="{00000000-0005-0000-0000-00002C1C0000}"/>
    <cellStyle name="Comma  - Style6 2" xfId="2672" xr:uid="{00000000-0005-0000-0000-00002D1C0000}"/>
    <cellStyle name="Comma  - Style6 2 2" xfId="8868" xr:uid="{00000000-0005-0000-0000-00002E1C0000}"/>
    <cellStyle name="Comma  - Style6 2 3" xfId="21844" xr:uid="{00000000-0005-0000-0000-00002F1C0000}"/>
    <cellStyle name="Comma  - Style6 3" xfId="2673" xr:uid="{00000000-0005-0000-0000-0000301C0000}"/>
    <cellStyle name="Comma  - Style6 3 2" xfId="2674" xr:uid="{00000000-0005-0000-0000-0000311C0000}"/>
    <cellStyle name="Comma  - Style6 3 2 2" xfId="8869" xr:uid="{00000000-0005-0000-0000-0000321C0000}"/>
    <cellStyle name="Comma  - Style6 3 3" xfId="8870" xr:uid="{00000000-0005-0000-0000-0000331C0000}"/>
    <cellStyle name="Comma  - Style6 4" xfId="8871" xr:uid="{00000000-0005-0000-0000-0000341C0000}"/>
    <cellStyle name="Comma  - Style6 4 2" xfId="21845" xr:uid="{00000000-0005-0000-0000-0000351C0000}"/>
    <cellStyle name="Comma  - Style6 5" xfId="21846" xr:uid="{00000000-0005-0000-0000-0000361C0000}"/>
    <cellStyle name="Comma  - Style7" xfId="2675" xr:uid="{00000000-0005-0000-0000-0000371C0000}"/>
    <cellStyle name="Comma  - Style7 2" xfId="2676" xr:uid="{00000000-0005-0000-0000-0000381C0000}"/>
    <cellStyle name="Comma  - Style7 2 2" xfId="8872" xr:uid="{00000000-0005-0000-0000-0000391C0000}"/>
    <cellStyle name="Comma  - Style7 2 3" xfId="21847" xr:uid="{00000000-0005-0000-0000-00003A1C0000}"/>
    <cellStyle name="Comma  - Style7 3" xfId="2677" xr:uid="{00000000-0005-0000-0000-00003B1C0000}"/>
    <cellStyle name="Comma  - Style7 3 2" xfId="2678" xr:uid="{00000000-0005-0000-0000-00003C1C0000}"/>
    <cellStyle name="Comma  - Style7 3 2 2" xfId="8873" xr:uid="{00000000-0005-0000-0000-00003D1C0000}"/>
    <cellStyle name="Comma  - Style7 3 3" xfId="8874" xr:uid="{00000000-0005-0000-0000-00003E1C0000}"/>
    <cellStyle name="Comma  - Style7 4" xfId="8875" xr:uid="{00000000-0005-0000-0000-00003F1C0000}"/>
    <cellStyle name="Comma  - Style7 4 2" xfId="21848" xr:uid="{00000000-0005-0000-0000-0000401C0000}"/>
    <cellStyle name="Comma  - Style7 5" xfId="21849" xr:uid="{00000000-0005-0000-0000-0000411C0000}"/>
    <cellStyle name="Comma  - Style8" xfId="2679" xr:uid="{00000000-0005-0000-0000-0000421C0000}"/>
    <cellStyle name="Comma  - Style8 2" xfId="2680" xr:uid="{00000000-0005-0000-0000-0000431C0000}"/>
    <cellStyle name="Comma  - Style8 2 2" xfId="8876" xr:uid="{00000000-0005-0000-0000-0000441C0000}"/>
    <cellStyle name="Comma  - Style8 2 3" xfId="21850" xr:uid="{00000000-0005-0000-0000-0000451C0000}"/>
    <cellStyle name="Comma  - Style8 3" xfId="2681" xr:uid="{00000000-0005-0000-0000-0000461C0000}"/>
    <cellStyle name="Comma  - Style8 3 2" xfId="2682" xr:uid="{00000000-0005-0000-0000-0000471C0000}"/>
    <cellStyle name="Comma  - Style8 3 2 2" xfId="8877" xr:uid="{00000000-0005-0000-0000-0000481C0000}"/>
    <cellStyle name="Comma  - Style8 3 3" xfId="8878" xr:uid="{00000000-0005-0000-0000-0000491C0000}"/>
    <cellStyle name="Comma  - Style8 4" xfId="8879" xr:uid="{00000000-0005-0000-0000-00004A1C0000}"/>
    <cellStyle name="Comma  - Style8 4 2" xfId="21851" xr:uid="{00000000-0005-0000-0000-00004B1C0000}"/>
    <cellStyle name="Comma  - Style8 5" xfId="21852" xr:uid="{00000000-0005-0000-0000-00004C1C0000}"/>
    <cellStyle name="Comma ._CCRe8" xfId="21853" xr:uid="{00000000-0005-0000-0000-00004D1C0000}"/>
    <cellStyle name="Comma .00" xfId="21854" xr:uid="{00000000-0005-0000-0000-00004E1C0000}"/>
    <cellStyle name="Comma .00 2" xfId="21855" xr:uid="{00000000-0005-0000-0000-00004F1C0000}"/>
    <cellStyle name="Comma .00 2 2" xfId="21856" xr:uid="{00000000-0005-0000-0000-0000501C0000}"/>
    <cellStyle name="Comma .00 3" xfId="21857" xr:uid="{00000000-0005-0000-0000-0000511C0000}"/>
    <cellStyle name="Comma .00 3 2" xfId="21858" xr:uid="{00000000-0005-0000-0000-0000521C0000}"/>
    <cellStyle name="Comma .00 3 2 2" xfId="21859" xr:uid="{00000000-0005-0000-0000-0000531C0000}"/>
    <cellStyle name="Comma .00 3 3" xfId="21860" xr:uid="{00000000-0005-0000-0000-0000541C0000}"/>
    <cellStyle name="Comma .00 4" xfId="21861" xr:uid="{00000000-0005-0000-0000-0000551C0000}"/>
    <cellStyle name="Comma .00 4 2" xfId="21862" xr:uid="{00000000-0005-0000-0000-0000561C0000}"/>
    <cellStyle name="Comma .00 4 2 2" xfId="21863" xr:uid="{00000000-0005-0000-0000-0000571C0000}"/>
    <cellStyle name="Comma .00 4 3" xfId="21864" xr:uid="{00000000-0005-0000-0000-0000581C0000}"/>
    <cellStyle name="Comma .00 5" xfId="21865" xr:uid="{00000000-0005-0000-0000-0000591C0000}"/>
    <cellStyle name="Comma .00 5 2" xfId="21866" xr:uid="{00000000-0005-0000-0000-00005A1C0000}"/>
    <cellStyle name="Comma .00 5 2 2" xfId="21867" xr:uid="{00000000-0005-0000-0000-00005B1C0000}"/>
    <cellStyle name="Comma .00 5 3" xfId="21868" xr:uid="{00000000-0005-0000-0000-00005C1C0000}"/>
    <cellStyle name="Comma .St" xfId="21869" xr:uid="{00000000-0005-0000-0000-00005D1C0000}"/>
    <cellStyle name="Comma .St 2" xfId="21870" xr:uid="{00000000-0005-0000-0000-00005E1C0000}"/>
    <cellStyle name="Comma [0] 10" xfId="21871" xr:uid="{00000000-0005-0000-0000-00005F1C0000}"/>
    <cellStyle name="Comma [0] 10 2" xfId="21872" xr:uid="{00000000-0005-0000-0000-0000601C0000}"/>
    <cellStyle name="Comma [0] 11" xfId="21873" xr:uid="{00000000-0005-0000-0000-0000611C0000}"/>
    <cellStyle name="Comma [0] 11 2" xfId="21874" xr:uid="{00000000-0005-0000-0000-0000621C0000}"/>
    <cellStyle name="Comma [0] 12" xfId="21875" xr:uid="{00000000-0005-0000-0000-0000631C0000}"/>
    <cellStyle name="Comma [0] 12 2" xfId="21876" xr:uid="{00000000-0005-0000-0000-0000641C0000}"/>
    <cellStyle name="Comma [0] 13" xfId="21877" xr:uid="{00000000-0005-0000-0000-0000651C0000}"/>
    <cellStyle name="Comma [0] 13 2" xfId="21878" xr:uid="{00000000-0005-0000-0000-0000661C0000}"/>
    <cellStyle name="Comma [0] 14" xfId="21879" xr:uid="{00000000-0005-0000-0000-0000671C0000}"/>
    <cellStyle name="Comma [0] 14 2" xfId="21880" xr:uid="{00000000-0005-0000-0000-0000681C0000}"/>
    <cellStyle name="Comma [0] 15" xfId="21881" xr:uid="{00000000-0005-0000-0000-0000691C0000}"/>
    <cellStyle name="Comma [0] 15 2" xfId="21882" xr:uid="{00000000-0005-0000-0000-00006A1C0000}"/>
    <cellStyle name="Comma [0] 16" xfId="21883" xr:uid="{00000000-0005-0000-0000-00006B1C0000}"/>
    <cellStyle name="Comma [0] 16 2" xfId="21884" xr:uid="{00000000-0005-0000-0000-00006C1C0000}"/>
    <cellStyle name="Comma [0] 17" xfId="21885" xr:uid="{00000000-0005-0000-0000-00006D1C0000}"/>
    <cellStyle name="Comma [0] 17 2" xfId="21886" xr:uid="{00000000-0005-0000-0000-00006E1C0000}"/>
    <cellStyle name="Comma [0] 18" xfId="21887" xr:uid="{00000000-0005-0000-0000-00006F1C0000}"/>
    <cellStyle name="Comma [0] 18 2" xfId="21888" xr:uid="{00000000-0005-0000-0000-0000701C0000}"/>
    <cellStyle name="Comma [0] 19" xfId="21889" xr:uid="{00000000-0005-0000-0000-0000711C0000}"/>
    <cellStyle name="Comma [0] 19 2" xfId="21890" xr:uid="{00000000-0005-0000-0000-0000721C0000}"/>
    <cellStyle name="Comma [0] 2" xfId="21891" xr:uid="{00000000-0005-0000-0000-0000731C0000}"/>
    <cellStyle name="Comma [0] 2 2" xfId="21892" xr:uid="{00000000-0005-0000-0000-0000741C0000}"/>
    <cellStyle name="Comma [0] 2 3" xfId="21893" xr:uid="{00000000-0005-0000-0000-0000751C0000}"/>
    <cellStyle name="Comma [0] 20" xfId="21894" xr:uid="{00000000-0005-0000-0000-0000761C0000}"/>
    <cellStyle name="Comma [0] 20 2" xfId="21895" xr:uid="{00000000-0005-0000-0000-0000771C0000}"/>
    <cellStyle name="Comma [0] 21" xfId="21896" xr:uid="{00000000-0005-0000-0000-0000781C0000}"/>
    <cellStyle name="Comma [0] 21 2" xfId="21897" xr:uid="{00000000-0005-0000-0000-0000791C0000}"/>
    <cellStyle name="Comma [0] 22" xfId="21898" xr:uid="{00000000-0005-0000-0000-00007A1C0000}"/>
    <cellStyle name="Comma [0] 22 2" xfId="21899" xr:uid="{00000000-0005-0000-0000-00007B1C0000}"/>
    <cellStyle name="Comma [0] 23" xfId="21900" xr:uid="{00000000-0005-0000-0000-00007C1C0000}"/>
    <cellStyle name="Comma [0] 23 2" xfId="21901" xr:uid="{00000000-0005-0000-0000-00007D1C0000}"/>
    <cellStyle name="Comma [0] 24" xfId="21902" xr:uid="{00000000-0005-0000-0000-00007E1C0000}"/>
    <cellStyle name="Comma [0] 24 2" xfId="21903" xr:uid="{00000000-0005-0000-0000-00007F1C0000}"/>
    <cellStyle name="Comma [0] 24 2 2" xfId="21904" xr:uid="{00000000-0005-0000-0000-0000801C0000}"/>
    <cellStyle name="Comma [0] 24 3" xfId="21905" xr:uid="{00000000-0005-0000-0000-0000811C0000}"/>
    <cellStyle name="Comma [0] 25" xfId="21906" xr:uid="{00000000-0005-0000-0000-0000821C0000}"/>
    <cellStyle name="Comma [0] 25 2" xfId="21907" xr:uid="{00000000-0005-0000-0000-0000831C0000}"/>
    <cellStyle name="Comma [0] 25 2 2" xfId="21908" xr:uid="{00000000-0005-0000-0000-0000841C0000}"/>
    <cellStyle name="Comma [0] 25 3" xfId="21909" xr:uid="{00000000-0005-0000-0000-0000851C0000}"/>
    <cellStyle name="Comma [0] 26" xfId="21910" xr:uid="{00000000-0005-0000-0000-0000861C0000}"/>
    <cellStyle name="Comma [0] 3" xfId="21911" xr:uid="{00000000-0005-0000-0000-0000871C0000}"/>
    <cellStyle name="Comma [0] 3 10" xfId="21912" xr:uid="{00000000-0005-0000-0000-0000881C0000}"/>
    <cellStyle name="Comma [0] 3 11" xfId="21913" xr:uid="{00000000-0005-0000-0000-0000891C0000}"/>
    <cellStyle name="Comma [0] 3 12" xfId="21914" xr:uid="{00000000-0005-0000-0000-00008A1C0000}"/>
    <cellStyle name="Comma [0] 3 13" xfId="21915" xr:uid="{00000000-0005-0000-0000-00008B1C0000}"/>
    <cellStyle name="Comma [0] 3 14" xfId="21916" xr:uid="{00000000-0005-0000-0000-00008C1C0000}"/>
    <cellStyle name="Comma [0] 3 15" xfId="21917" xr:uid="{00000000-0005-0000-0000-00008D1C0000}"/>
    <cellStyle name="Comma [0] 3 16" xfId="21918" xr:uid="{00000000-0005-0000-0000-00008E1C0000}"/>
    <cellStyle name="Comma [0] 3 17" xfId="21919" xr:uid="{00000000-0005-0000-0000-00008F1C0000}"/>
    <cellStyle name="Comma [0] 3 18" xfId="21920" xr:uid="{00000000-0005-0000-0000-0000901C0000}"/>
    <cellStyle name="Comma [0] 3 2" xfId="21921" xr:uid="{00000000-0005-0000-0000-0000911C0000}"/>
    <cellStyle name="Comma [0] 3 2 10" xfId="21922" xr:uid="{00000000-0005-0000-0000-0000921C0000}"/>
    <cellStyle name="Comma [0] 3 2 11" xfId="21923" xr:uid="{00000000-0005-0000-0000-0000931C0000}"/>
    <cellStyle name="Comma [0] 3 2 12" xfId="21924" xr:uid="{00000000-0005-0000-0000-0000941C0000}"/>
    <cellStyle name="Comma [0] 3 2 13" xfId="21925" xr:uid="{00000000-0005-0000-0000-0000951C0000}"/>
    <cellStyle name="Comma [0] 3 2 14" xfId="21926" xr:uid="{00000000-0005-0000-0000-0000961C0000}"/>
    <cellStyle name="Comma [0] 3 2 15" xfId="21927" xr:uid="{00000000-0005-0000-0000-0000971C0000}"/>
    <cellStyle name="Comma [0] 3 2 2" xfId="21928" xr:uid="{00000000-0005-0000-0000-0000981C0000}"/>
    <cellStyle name="Comma [0] 3 2 3" xfId="21929" xr:uid="{00000000-0005-0000-0000-0000991C0000}"/>
    <cellStyle name="Comma [0] 3 2 4" xfId="21930" xr:uid="{00000000-0005-0000-0000-00009A1C0000}"/>
    <cellStyle name="Comma [0] 3 2 5" xfId="21931" xr:uid="{00000000-0005-0000-0000-00009B1C0000}"/>
    <cellStyle name="Comma [0] 3 2 6" xfId="21932" xr:uid="{00000000-0005-0000-0000-00009C1C0000}"/>
    <cellStyle name="Comma [0] 3 2 7" xfId="21933" xr:uid="{00000000-0005-0000-0000-00009D1C0000}"/>
    <cellStyle name="Comma [0] 3 2 8" xfId="21934" xr:uid="{00000000-0005-0000-0000-00009E1C0000}"/>
    <cellStyle name="Comma [0] 3 2 9" xfId="21935" xr:uid="{00000000-0005-0000-0000-00009F1C0000}"/>
    <cellStyle name="Comma [0] 3 3" xfId="21936" xr:uid="{00000000-0005-0000-0000-0000A01C0000}"/>
    <cellStyle name="Comma [0] 3 4" xfId="21937" xr:uid="{00000000-0005-0000-0000-0000A11C0000}"/>
    <cellStyle name="Comma [0] 3 5" xfId="21938" xr:uid="{00000000-0005-0000-0000-0000A21C0000}"/>
    <cellStyle name="Comma [0] 3 6" xfId="21939" xr:uid="{00000000-0005-0000-0000-0000A31C0000}"/>
    <cellStyle name="Comma [0] 3 7" xfId="21940" xr:uid="{00000000-0005-0000-0000-0000A41C0000}"/>
    <cellStyle name="Comma [0] 3 8" xfId="21941" xr:uid="{00000000-0005-0000-0000-0000A51C0000}"/>
    <cellStyle name="Comma [0] 3 9" xfId="21942" xr:uid="{00000000-0005-0000-0000-0000A61C0000}"/>
    <cellStyle name="Comma [0] 4" xfId="21943" xr:uid="{00000000-0005-0000-0000-0000A71C0000}"/>
    <cellStyle name="Comma [0] 4 2" xfId="21944" xr:uid="{00000000-0005-0000-0000-0000A81C0000}"/>
    <cellStyle name="Comma [0] 5" xfId="21945" xr:uid="{00000000-0005-0000-0000-0000A91C0000}"/>
    <cellStyle name="Comma [0] 5 2" xfId="21946" xr:uid="{00000000-0005-0000-0000-0000AA1C0000}"/>
    <cellStyle name="Comma [0] 6" xfId="21947" xr:uid="{00000000-0005-0000-0000-0000AB1C0000}"/>
    <cellStyle name="Comma [0] 6 2" xfId="21948" xr:uid="{00000000-0005-0000-0000-0000AC1C0000}"/>
    <cellStyle name="Comma [0] 7" xfId="21949" xr:uid="{00000000-0005-0000-0000-0000AD1C0000}"/>
    <cellStyle name="Comma [0] 7 2" xfId="21950" xr:uid="{00000000-0005-0000-0000-0000AE1C0000}"/>
    <cellStyle name="Comma [0] 8" xfId="21951" xr:uid="{00000000-0005-0000-0000-0000AF1C0000}"/>
    <cellStyle name="Comma [0] 8 2" xfId="21952" xr:uid="{00000000-0005-0000-0000-0000B01C0000}"/>
    <cellStyle name="Comma [0] 9" xfId="21953" xr:uid="{00000000-0005-0000-0000-0000B11C0000}"/>
    <cellStyle name="Comma [0] 9 2" xfId="21954" xr:uid="{00000000-0005-0000-0000-0000B21C0000}"/>
    <cellStyle name="Comma [00]" xfId="21955" xr:uid="{00000000-0005-0000-0000-0000B31C0000}"/>
    <cellStyle name="Comma 10" xfId="12" xr:uid="{00000000-0005-0000-0000-0000B41C0000}"/>
    <cellStyle name="Comma 10 10" xfId="2683" xr:uid="{00000000-0005-0000-0000-0000B51C0000}"/>
    <cellStyle name="Comma 10 10 2" xfId="2684" xr:uid="{00000000-0005-0000-0000-0000B61C0000}"/>
    <cellStyle name="Comma 10 10 3" xfId="2685" xr:uid="{00000000-0005-0000-0000-0000B71C0000}"/>
    <cellStyle name="Comma 10 11" xfId="2686" xr:uid="{00000000-0005-0000-0000-0000B81C0000}"/>
    <cellStyle name="Comma 10 11 2" xfId="2687" xr:uid="{00000000-0005-0000-0000-0000B91C0000}"/>
    <cellStyle name="Comma 10 11 3" xfId="2688" xr:uid="{00000000-0005-0000-0000-0000BA1C0000}"/>
    <cellStyle name="Comma 10 12" xfId="2689" xr:uid="{00000000-0005-0000-0000-0000BB1C0000}"/>
    <cellStyle name="Comma 10 12 2" xfId="8880" xr:uid="{00000000-0005-0000-0000-0000BC1C0000}"/>
    <cellStyle name="Comma 10 13" xfId="2690" xr:uid="{00000000-0005-0000-0000-0000BD1C0000}"/>
    <cellStyle name="Comma 10 13 2" xfId="8881" xr:uid="{00000000-0005-0000-0000-0000BE1C0000}"/>
    <cellStyle name="Comma 10 14" xfId="2691" xr:uid="{00000000-0005-0000-0000-0000BF1C0000}"/>
    <cellStyle name="Comma 10 14 2" xfId="8882" xr:uid="{00000000-0005-0000-0000-0000C01C0000}"/>
    <cellStyle name="Comma 10 15" xfId="2692" xr:uid="{00000000-0005-0000-0000-0000C11C0000}"/>
    <cellStyle name="Comma 10 15 2" xfId="8883" xr:uid="{00000000-0005-0000-0000-0000C21C0000}"/>
    <cellStyle name="Comma 10 16" xfId="2693" xr:uid="{00000000-0005-0000-0000-0000C31C0000}"/>
    <cellStyle name="Comma 10 16 2" xfId="8884" xr:uid="{00000000-0005-0000-0000-0000C41C0000}"/>
    <cellStyle name="Comma 10 17" xfId="2694" xr:uid="{00000000-0005-0000-0000-0000C51C0000}"/>
    <cellStyle name="Comma 10 17 2" xfId="8885" xr:uid="{00000000-0005-0000-0000-0000C61C0000}"/>
    <cellStyle name="Comma 10 18" xfId="8886" xr:uid="{00000000-0005-0000-0000-0000C71C0000}"/>
    <cellStyle name="Comma 10 2" xfId="2695" xr:uid="{00000000-0005-0000-0000-0000C81C0000}"/>
    <cellStyle name="Comma 10 2 10" xfId="21957" xr:uid="{00000000-0005-0000-0000-0000C91C0000}"/>
    <cellStyle name="Comma 10 2 11" xfId="21958" xr:uid="{00000000-0005-0000-0000-0000CA1C0000}"/>
    <cellStyle name="Comma 10 2 12" xfId="21959" xr:uid="{00000000-0005-0000-0000-0000CB1C0000}"/>
    <cellStyle name="Comma 10 2 13" xfId="21960" xr:uid="{00000000-0005-0000-0000-0000CC1C0000}"/>
    <cellStyle name="Comma 10 2 14" xfId="21961" xr:uid="{00000000-0005-0000-0000-0000CD1C0000}"/>
    <cellStyle name="Comma 10 2 15" xfId="21962" xr:uid="{00000000-0005-0000-0000-0000CE1C0000}"/>
    <cellStyle name="Comma 10 2 16" xfId="21963" xr:uid="{00000000-0005-0000-0000-0000CF1C0000}"/>
    <cellStyle name="Comma 10 2 17" xfId="21964" xr:uid="{00000000-0005-0000-0000-0000D01C0000}"/>
    <cellStyle name="Comma 10 2 18" xfId="21965" xr:uid="{00000000-0005-0000-0000-0000D11C0000}"/>
    <cellStyle name="Comma 10 2 19" xfId="21966" xr:uid="{00000000-0005-0000-0000-0000D21C0000}"/>
    <cellStyle name="Comma 10 2 2" xfId="2696" xr:uid="{00000000-0005-0000-0000-0000D31C0000}"/>
    <cellStyle name="Comma 10 2 2 10" xfId="21968" xr:uid="{00000000-0005-0000-0000-0000D41C0000}"/>
    <cellStyle name="Comma 10 2 2 11" xfId="21969" xr:uid="{00000000-0005-0000-0000-0000D51C0000}"/>
    <cellStyle name="Comma 10 2 2 12" xfId="21970" xr:uid="{00000000-0005-0000-0000-0000D61C0000}"/>
    <cellStyle name="Comma 10 2 2 13" xfId="21971" xr:uid="{00000000-0005-0000-0000-0000D71C0000}"/>
    <cellStyle name="Comma 10 2 2 14" xfId="21972" xr:uid="{00000000-0005-0000-0000-0000D81C0000}"/>
    <cellStyle name="Comma 10 2 2 15" xfId="21973" xr:uid="{00000000-0005-0000-0000-0000D91C0000}"/>
    <cellStyle name="Comma 10 2 2 16" xfId="21974" xr:uid="{00000000-0005-0000-0000-0000DA1C0000}"/>
    <cellStyle name="Comma 10 2 2 17" xfId="21975" xr:uid="{00000000-0005-0000-0000-0000DB1C0000}"/>
    <cellStyle name="Comma 10 2 2 18" xfId="21976" xr:uid="{00000000-0005-0000-0000-0000DC1C0000}"/>
    <cellStyle name="Comma 10 2 2 19" xfId="21967" xr:uid="{00000000-0005-0000-0000-0000DD1C0000}"/>
    <cellStyle name="Comma 10 2 2 2" xfId="8887" xr:uid="{00000000-0005-0000-0000-0000DE1C0000}"/>
    <cellStyle name="Comma 10 2 2 2 2" xfId="21978" xr:uid="{00000000-0005-0000-0000-0000DF1C0000}"/>
    <cellStyle name="Comma 10 2 2 2 2 2" xfId="21979" xr:uid="{00000000-0005-0000-0000-0000E01C0000}"/>
    <cellStyle name="Comma 10 2 2 2 3" xfId="21980" xr:uid="{00000000-0005-0000-0000-0000E11C0000}"/>
    <cellStyle name="Comma 10 2 2 2 4" xfId="21981" xr:uid="{00000000-0005-0000-0000-0000E21C0000}"/>
    <cellStyle name="Comma 10 2 2 2 5" xfId="21982" xr:uid="{00000000-0005-0000-0000-0000E31C0000}"/>
    <cellStyle name="Comma 10 2 2 2 6" xfId="21977" xr:uid="{00000000-0005-0000-0000-0000E41C0000}"/>
    <cellStyle name="Comma 10 2 2 3" xfId="21983" xr:uid="{00000000-0005-0000-0000-0000E51C0000}"/>
    <cellStyle name="Comma 10 2 2 3 2" xfId="21984" xr:uid="{00000000-0005-0000-0000-0000E61C0000}"/>
    <cellStyle name="Comma 10 2 2 3 3" xfId="21985" xr:uid="{00000000-0005-0000-0000-0000E71C0000}"/>
    <cellStyle name="Comma 10 2 2 3 4" xfId="21986" xr:uid="{00000000-0005-0000-0000-0000E81C0000}"/>
    <cellStyle name="Comma 10 2 2 4" xfId="21987" xr:uid="{00000000-0005-0000-0000-0000E91C0000}"/>
    <cellStyle name="Comma 10 2 2 5" xfId="21988" xr:uid="{00000000-0005-0000-0000-0000EA1C0000}"/>
    <cellStyle name="Comma 10 2 2 6" xfId="21989" xr:uid="{00000000-0005-0000-0000-0000EB1C0000}"/>
    <cellStyle name="Comma 10 2 2 7" xfId="21990" xr:uid="{00000000-0005-0000-0000-0000EC1C0000}"/>
    <cellStyle name="Comma 10 2 2 8" xfId="21991" xr:uid="{00000000-0005-0000-0000-0000ED1C0000}"/>
    <cellStyle name="Comma 10 2 2 9" xfId="21992" xr:uid="{00000000-0005-0000-0000-0000EE1C0000}"/>
    <cellStyle name="Comma 10 2 20" xfId="21956" xr:uid="{00000000-0005-0000-0000-0000EF1C0000}"/>
    <cellStyle name="Comma 10 2 3" xfId="8888" xr:uid="{00000000-0005-0000-0000-0000F01C0000}"/>
    <cellStyle name="Comma 10 2 3 2" xfId="21994" xr:uid="{00000000-0005-0000-0000-0000F11C0000}"/>
    <cellStyle name="Comma 10 2 3 2 2" xfId="21995" xr:uid="{00000000-0005-0000-0000-0000F21C0000}"/>
    <cellStyle name="Comma 10 2 3 3" xfId="21996" xr:uid="{00000000-0005-0000-0000-0000F31C0000}"/>
    <cellStyle name="Comma 10 2 3 4" xfId="21997" xr:uid="{00000000-0005-0000-0000-0000F41C0000}"/>
    <cellStyle name="Comma 10 2 3 5" xfId="21998" xr:uid="{00000000-0005-0000-0000-0000F51C0000}"/>
    <cellStyle name="Comma 10 2 3 6" xfId="21993" xr:uid="{00000000-0005-0000-0000-0000F61C0000}"/>
    <cellStyle name="Comma 10 2 4" xfId="21999" xr:uid="{00000000-0005-0000-0000-0000F71C0000}"/>
    <cellStyle name="Comma 10 2 4 2" xfId="22000" xr:uid="{00000000-0005-0000-0000-0000F81C0000}"/>
    <cellStyle name="Comma 10 2 4 2 2" xfId="22001" xr:uid="{00000000-0005-0000-0000-0000F91C0000}"/>
    <cellStyle name="Comma 10 2 4 3" xfId="22002" xr:uid="{00000000-0005-0000-0000-0000FA1C0000}"/>
    <cellStyle name="Comma 10 2 4 4" xfId="22003" xr:uid="{00000000-0005-0000-0000-0000FB1C0000}"/>
    <cellStyle name="Comma 10 2 4 5" xfId="22004" xr:uid="{00000000-0005-0000-0000-0000FC1C0000}"/>
    <cellStyle name="Comma 10 2 5" xfId="22005" xr:uid="{00000000-0005-0000-0000-0000FD1C0000}"/>
    <cellStyle name="Comma 10 2 5 2" xfId="22006" xr:uid="{00000000-0005-0000-0000-0000FE1C0000}"/>
    <cellStyle name="Comma 10 2 5 3" xfId="22007" xr:uid="{00000000-0005-0000-0000-0000FF1C0000}"/>
    <cellStyle name="Comma 10 2 6" xfId="22008" xr:uid="{00000000-0005-0000-0000-0000001D0000}"/>
    <cellStyle name="Comma 10 2 7" xfId="22009" xr:uid="{00000000-0005-0000-0000-0000011D0000}"/>
    <cellStyle name="Comma 10 2 8" xfId="22010" xr:uid="{00000000-0005-0000-0000-0000021D0000}"/>
    <cellStyle name="Comma 10 2 9" xfId="22011" xr:uid="{00000000-0005-0000-0000-0000031D0000}"/>
    <cellStyle name="Comma 10 3" xfId="2697" xr:uid="{00000000-0005-0000-0000-0000041D0000}"/>
    <cellStyle name="Comma 10 3 2" xfId="2698" xr:uid="{00000000-0005-0000-0000-0000051D0000}"/>
    <cellStyle name="Comma 10 3 2 2" xfId="8889" xr:uid="{00000000-0005-0000-0000-0000061D0000}"/>
    <cellStyle name="Comma 10 3 2 2 2" xfId="22014" xr:uid="{00000000-0005-0000-0000-0000071D0000}"/>
    <cellStyle name="Comma 10 3 2 3" xfId="22013" xr:uid="{00000000-0005-0000-0000-0000081D0000}"/>
    <cellStyle name="Comma 10 3 3" xfId="8890" xr:uid="{00000000-0005-0000-0000-0000091D0000}"/>
    <cellStyle name="Comma 10 3 3 2" xfId="22015" xr:uid="{00000000-0005-0000-0000-00000A1D0000}"/>
    <cellStyle name="Comma 10 3 4" xfId="22016" xr:uid="{00000000-0005-0000-0000-00000B1D0000}"/>
    <cellStyle name="Comma 10 3 5" xfId="22012" xr:uid="{00000000-0005-0000-0000-00000C1D0000}"/>
    <cellStyle name="Comma 10 4" xfId="2699" xr:uid="{00000000-0005-0000-0000-00000D1D0000}"/>
    <cellStyle name="Comma 10 4 2" xfId="2700" xr:uid="{00000000-0005-0000-0000-00000E1D0000}"/>
    <cellStyle name="Comma 10 4 2 2" xfId="8891" xr:uid="{00000000-0005-0000-0000-00000F1D0000}"/>
    <cellStyle name="Comma 10 4 2 2 2" xfId="22019" xr:uid="{00000000-0005-0000-0000-0000101D0000}"/>
    <cellStyle name="Comma 10 4 2 3" xfId="22018" xr:uid="{00000000-0005-0000-0000-0000111D0000}"/>
    <cellStyle name="Comma 10 4 3" xfId="8892" xr:uid="{00000000-0005-0000-0000-0000121D0000}"/>
    <cellStyle name="Comma 10 4 3 2" xfId="22020" xr:uid="{00000000-0005-0000-0000-0000131D0000}"/>
    <cellStyle name="Comma 10 4 4" xfId="22017" xr:uid="{00000000-0005-0000-0000-0000141D0000}"/>
    <cellStyle name="Comma 10 5" xfId="2701" xr:uid="{00000000-0005-0000-0000-0000151D0000}"/>
    <cellStyle name="Comma 10 5 2" xfId="2702" xr:uid="{00000000-0005-0000-0000-0000161D0000}"/>
    <cellStyle name="Comma 10 5 2 2" xfId="8893" xr:uid="{00000000-0005-0000-0000-0000171D0000}"/>
    <cellStyle name="Comma 10 5 2 2 2" xfId="22023" xr:uid="{00000000-0005-0000-0000-0000181D0000}"/>
    <cellStyle name="Comma 10 5 2 3" xfId="22022" xr:uid="{00000000-0005-0000-0000-0000191D0000}"/>
    <cellStyle name="Comma 10 5 3" xfId="8894" xr:uid="{00000000-0005-0000-0000-00001A1D0000}"/>
    <cellStyle name="Comma 10 5 3 2" xfId="22024" xr:uid="{00000000-0005-0000-0000-00001B1D0000}"/>
    <cellStyle name="Comma 10 5 4" xfId="22021" xr:uid="{00000000-0005-0000-0000-00001C1D0000}"/>
    <cellStyle name="Comma 10 6" xfId="2703" xr:uid="{00000000-0005-0000-0000-00001D1D0000}"/>
    <cellStyle name="Comma 10 6 2" xfId="2704" xr:uid="{00000000-0005-0000-0000-00001E1D0000}"/>
    <cellStyle name="Comma 10 6 2 2" xfId="22026" xr:uid="{00000000-0005-0000-0000-00001F1D0000}"/>
    <cellStyle name="Comma 10 6 3" xfId="2705" xr:uid="{00000000-0005-0000-0000-0000201D0000}"/>
    <cellStyle name="Comma 10 6 4" xfId="22025" xr:uid="{00000000-0005-0000-0000-0000211D0000}"/>
    <cellStyle name="Comma 10 7" xfId="2706" xr:uid="{00000000-0005-0000-0000-0000221D0000}"/>
    <cellStyle name="Comma 10 7 2" xfId="2707" xr:uid="{00000000-0005-0000-0000-0000231D0000}"/>
    <cellStyle name="Comma 10 7 3" xfId="2708" xr:uid="{00000000-0005-0000-0000-0000241D0000}"/>
    <cellStyle name="Comma 10 8" xfId="2709" xr:uid="{00000000-0005-0000-0000-0000251D0000}"/>
    <cellStyle name="Comma 10 8 2" xfId="2710" xr:uid="{00000000-0005-0000-0000-0000261D0000}"/>
    <cellStyle name="Comma 10 8 3" xfId="2711" xr:uid="{00000000-0005-0000-0000-0000271D0000}"/>
    <cellStyle name="Comma 10 8 4" xfId="22027" xr:uid="{00000000-0005-0000-0000-0000281D0000}"/>
    <cellStyle name="Comma 10 9" xfId="2712" xr:uid="{00000000-0005-0000-0000-0000291D0000}"/>
    <cellStyle name="Comma 10 9 2" xfId="2713" xr:uid="{00000000-0005-0000-0000-00002A1D0000}"/>
    <cellStyle name="Comma 10 9 3" xfId="2714" xr:uid="{00000000-0005-0000-0000-00002B1D0000}"/>
    <cellStyle name="Comma 100" xfId="6" xr:uid="{00000000-0005-0000-0000-00002C1D0000}"/>
    <cellStyle name="Comma 100 2" xfId="22028" xr:uid="{00000000-0005-0000-0000-00002D1D0000}"/>
    <cellStyle name="Comma 100 2 2" xfId="22029" xr:uid="{00000000-0005-0000-0000-00002E1D0000}"/>
    <cellStyle name="Comma 100 3" xfId="22030" xr:uid="{00000000-0005-0000-0000-00002F1D0000}"/>
    <cellStyle name="Comma 100 4" xfId="22031" xr:uid="{00000000-0005-0000-0000-0000301D0000}"/>
    <cellStyle name="Comma 100 5" xfId="8895" xr:uid="{00000000-0005-0000-0000-0000311D0000}"/>
    <cellStyle name="Comma 101" xfId="8896" xr:uid="{00000000-0005-0000-0000-0000321D0000}"/>
    <cellStyle name="Comma 101 2" xfId="22032" xr:uid="{00000000-0005-0000-0000-0000331D0000}"/>
    <cellStyle name="Comma 101 2 2" xfId="22033" xr:uid="{00000000-0005-0000-0000-0000341D0000}"/>
    <cellStyle name="Comma 101 3" xfId="22034" xr:uid="{00000000-0005-0000-0000-0000351D0000}"/>
    <cellStyle name="Comma 101 4" xfId="22035" xr:uid="{00000000-0005-0000-0000-0000361D0000}"/>
    <cellStyle name="Comma 102" xfId="8897" xr:uid="{00000000-0005-0000-0000-0000371D0000}"/>
    <cellStyle name="Comma 102 2" xfId="22036" xr:uid="{00000000-0005-0000-0000-0000381D0000}"/>
    <cellStyle name="Comma 102 2 2" xfId="22037" xr:uid="{00000000-0005-0000-0000-0000391D0000}"/>
    <cellStyle name="Comma 102 3" xfId="22038" xr:uid="{00000000-0005-0000-0000-00003A1D0000}"/>
    <cellStyle name="Comma 102 4" xfId="22039" xr:uid="{00000000-0005-0000-0000-00003B1D0000}"/>
    <cellStyle name="Comma 103" xfId="8898" xr:uid="{00000000-0005-0000-0000-00003C1D0000}"/>
    <cellStyle name="Comma 103 2" xfId="22040" xr:uid="{00000000-0005-0000-0000-00003D1D0000}"/>
    <cellStyle name="Comma 103 2 2" xfId="22041" xr:uid="{00000000-0005-0000-0000-00003E1D0000}"/>
    <cellStyle name="Comma 103 3" xfId="22042" xr:uid="{00000000-0005-0000-0000-00003F1D0000}"/>
    <cellStyle name="Comma 103 4" xfId="22043" xr:uid="{00000000-0005-0000-0000-0000401D0000}"/>
    <cellStyle name="Comma 104" xfId="8899" xr:uid="{00000000-0005-0000-0000-0000411D0000}"/>
    <cellStyle name="Comma 104 2" xfId="22044" xr:uid="{00000000-0005-0000-0000-0000421D0000}"/>
    <cellStyle name="Comma 104 2 2" xfId="22045" xr:uid="{00000000-0005-0000-0000-0000431D0000}"/>
    <cellStyle name="Comma 104 3" xfId="22046" xr:uid="{00000000-0005-0000-0000-0000441D0000}"/>
    <cellStyle name="Comma 105" xfId="8900" xr:uid="{00000000-0005-0000-0000-0000451D0000}"/>
    <cellStyle name="Comma 105 2" xfId="22047" xr:uid="{00000000-0005-0000-0000-0000461D0000}"/>
    <cellStyle name="Comma 105 2 2" xfId="22048" xr:uid="{00000000-0005-0000-0000-0000471D0000}"/>
    <cellStyle name="Comma 105 3" xfId="22049" xr:uid="{00000000-0005-0000-0000-0000481D0000}"/>
    <cellStyle name="Comma 106" xfId="8901" xr:uid="{00000000-0005-0000-0000-0000491D0000}"/>
    <cellStyle name="Comma 106 2" xfId="22050" xr:uid="{00000000-0005-0000-0000-00004A1D0000}"/>
    <cellStyle name="Comma 106 2 2" xfId="22051" xr:uid="{00000000-0005-0000-0000-00004B1D0000}"/>
    <cellStyle name="Comma 106 3" xfId="22052" xr:uid="{00000000-0005-0000-0000-00004C1D0000}"/>
    <cellStyle name="Comma 107" xfId="22053" xr:uid="{00000000-0005-0000-0000-00004D1D0000}"/>
    <cellStyle name="Comma 107 2" xfId="22054" xr:uid="{00000000-0005-0000-0000-00004E1D0000}"/>
    <cellStyle name="Comma 107 2 2" xfId="22055" xr:uid="{00000000-0005-0000-0000-00004F1D0000}"/>
    <cellStyle name="Comma 107 3" xfId="22056" xr:uid="{00000000-0005-0000-0000-0000501D0000}"/>
    <cellStyle name="Comma 108" xfId="22057" xr:uid="{00000000-0005-0000-0000-0000511D0000}"/>
    <cellStyle name="Comma 108 2" xfId="22058" xr:uid="{00000000-0005-0000-0000-0000521D0000}"/>
    <cellStyle name="Comma 108 3" xfId="22059" xr:uid="{00000000-0005-0000-0000-0000531D0000}"/>
    <cellStyle name="Comma 109" xfId="22060" xr:uid="{00000000-0005-0000-0000-0000541D0000}"/>
    <cellStyle name="Comma 109 2" xfId="22061" xr:uid="{00000000-0005-0000-0000-0000551D0000}"/>
    <cellStyle name="Comma 109 3" xfId="22062" xr:uid="{00000000-0005-0000-0000-0000561D0000}"/>
    <cellStyle name="Comma 109 3 2" xfId="39183" xr:uid="{00000000-0005-0000-0000-0000571D0000}"/>
    <cellStyle name="Comma 11" xfId="2715" xr:uid="{00000000-0005-0000-0000-0000581D0000}"/>
    <cellStyle name="Comma 11 10" xfId="22063" xr:uid="{00000000-0005-0000-0000-0000591D0000}"/>
    <cellStyle name="Comma 11 2" xfId="2716" xr:uid="{00000000-0005-0000-0000-00005A1D0000}"/>
    <cellStyle name="Comma 11 2 10" xfId="2717" xr:uid="{00000000-0005-0000-0000-00005B1D0000}"/>
    <cellStyle name="Comma 11 2 10 2" xfId="8902" xr:uid="{00000000-0005-0000-0000-00005C1D0000}"/>
    <cellStyle name="Comma 11 2 10 3" xfId="22065" xr:uid="{00000000-0005-0000-0000-00005D1D0000}"/>
    <cellStyle name="Comma 11 2 11" xfId="8903" xr:uid="{00000000-0005-0000-0000-00005E1D0000}"/>
    <cellStyle name="Comma 11 2 11 2" xfId="22066" xr:uid="{00000000-0005-0000-0000-00005F1D0000}"/>
    <cellStyle name="Comma 11 2 12" xfId="22067" xr:uid="{00000000-0005-0000-0000-0000601D0000}"/>
    <cellStyle name="Comma 11 2 13" xfId="22068" xr:uid="{00000000-0005-0000-0000-0000611D0000}"/>
    <cellStyle name="Comma 11 2 14" xfId="22069" xr:uid="{00000000-0005-0000-0000-0000621D0000}"/>
    <cellStyle name="Comma 11 2 15" xfId="22070" xr:uid="{00000000-0005-0000-0000-0000631D0000}"/>
    <cellStyle name="Comma 11 2 16" xfId="22071" xr:uid="{00000000-0005-0000-0000-0000641D0000}"/>
    <cellStyle name="Comma 11 2 17" xfId="22072" xr:uid="{00000000-0005-0000-0000-0000651D0000}"/>
    <cellStyle name="Comma 11 2 18" xfId="22073" xr:uid="{00000000-0005-0000-0000-0000661D0000}"/>
    <cellStyle name="Comma 11 2 19" xfId="22064" xr:uid="{00000000-0005-0000-0000-0000671D0000}"/>
    <cellStyle name="Comma 11 2 2" xfId="2718" xr:uid="{00000000-0005-0000-0000-0000681D0000}"/>
    <cellStyle name="Comma 11 2 2 10" xfId="22075" xr:uid="{00000000-0005-0000-0000-0000691D0000}"/>
    <cellStyle name="Comma 11 2 2 11" xfId="22076" xr:uid="{00000000-0005-0000-0000-00006A1D0000}"/>
    <cellStyle name="Comma 11 2 2 12" xfId="22077" xr:uid="{00000000-0005-0000-0000-00006B1D0000}"/>
    <cellStyle name="Comma 11 2 2 13" xfId="22078" xr:uid="{00000000-0005-0000-0000-00006C1D0000}"/>
    <cellStyle name="Comma 11 2 2 14" xfId="22079" xr:uid="{00000000-0005-0000-0000-00006D1D0000}"/>
    <cellStyle name="Comma 11 2 2 15" xfId="22080" xr:uid="{00000000-0005-0000-0000-00006E1D0000}"/>
    <cellStyle name="Comma 11 2 2 16" xfId="22081" xr:uid="{00000000-0005-0000-0000-00006F1D0000}"/>
    <cellStyle name="Comma 11 2 2 17" xfId="22082" xr:uid="{00000000-0005-0000-0000-0000701D0000}"/>
    <cellStyle name="Comma 11 2 2 18" xfId="22074" xr:uid="{00000000-0005-0000-0000-0000711D0000}"/>
    <cellStyle name="Comma 11 2 2 2" xfId="8904" xr:uid="{00000000-0005-0000-0000-0000721D0000}"/>
    <cellStyle name="Comma 11 2 2 2 2" xfId="22084" xr:uid="{00000000-0005-0000-0000-0000731D0000}"/>
    <cellStyle name="Comma 11 2 2 2 3" xfId="22085" xr:uid="{00000000-0005-0000-0000-0000741D0000}"/>
    <cellStyle name="Comma 11 2 2 2 4" xfId="22083" xr:uid="{00000000-0005-0000-0000-0000751D0000}"/>
    <cellStyle name="Comma 11 2 2 3" xfId="22086" xr:uid="{00000000-0005-0000-0000-0000761D0000}"/>
    <cellStyle name="Comma 11 2 2 4" xfId="22087" xr:uid="{00000000-0005-0000-0000-0000771D0000}"/>
    <cellStyle name="Comma 11 2 2 5" xfId="22088" xr:uid="{00000000-0005-0000-0000-0000781D0000}"/>
    <cellStyle name="Comma 11 2 2 6" xfId="22089" xr:uid="{00000000-0005-0000-0000-0000791D0000}"/>
    <cellStyle name="Comma 11 2 2 7" xfId="22090" xr:uid="{00000000-0005-0000-0000-00007A1D0000}"/>
    <cellStyle name="Comma 11 2 2 8" xfId="22091" xr:uid="{00000000-0005-0000-0000-00007B1D0000}"/>
    <cellStyle name="Comma 11 2 2 9" xfId="22092" xr:uid="{00000000-0005-0000-0000-00007C1D0000}"/>
    <cellStyle name="Comma 11 2 3" xfId="2719" xr:uid="{00000000-0005-0000-0000-00007D1D0000}"/>
    <cellStyle name="Comma 11 2 3 2" xfId="8905" xr:uid="{00000000-0005-0000-0000-00007E1D0000}"/>
    <cellStyle name="Comma 11 2 3 2 2" xfId="22094" xr:uid="{00000000-0005-0000-0000-00007F1D0000}"/>
    <cellStyle name="Comma 11 2 3 3" xfId="22095" xr:uid="{00000000-0005-0000-0000-0000801D0000}"/>
    <cellStyle name="Comma 11 2 3 4" xfId="22093" xr:uid="{00000000-0005-0000-0000-0000811D0000}"/>
    <cellStyle name="Comma 11 2 4" xfId="2720" xr:uid="{00000000-0005-0000-0000-0000821D0000}"/>
    <cellStyle name="Comma 11 2 4 2" xfId="8906" xr:uid="{00000000-0005-0000-0000-0000831D0000}"/>
    <cellStyle name="Comma 11 2 4 3" xfId="22097" xr:uid="{00000000-0005-0000-0000-0000841D0000}"/>
    <cellStyle name="Comma 11 2 4 4" xfId="22096" xr:uid="{00000000-0005-0000-0000-0000851D0000}"/>
    <cellStyle name="Comma 11 2 5" xfId="2721" xr:uid="{00000000-0005-0000-0000-0000861D0000}"/>
    <cellStyle name="Comma 11 2 5 2" xfId="8907" xr:uid="{00000000-0005-0000-0000-0000871D0000}"/>
    <cellStyle name="Comma 11 2 5 3" xfId="22098" xr:uid="{00000000-0005-0000-0000-0000881D0000}"/>
    <cellStyle name="Comma 11 2 6" xfId="2722" xr:uid="{00000000-0005-0000-0000-0000891D0000}"/>
    <cellStyle name="Comma 11 2 6 2" xfId="8908" xr:uid="{00000000-0005-0000-0000-00008A1D0000}"/>
    <cellStyle name="Comma 11 2 6 3" xfId="22099" xr:uid="{00000000-0005-0000-0000-00008B1D0000}"/>
    <cellStyle name="Comma 11 2 7" xfId="2723" xr:uid="{00000000-0005-0000-0000-00008C1D0000}"/>
    <cellStyle name="Comma 11 2 7 2" xfId="8909" xr:uid="{00000000-0005-0000-0000-00008D1D0000}"/>
    <cellStyle name="Comma 11 2 7 3" xfId="22100" xr:uid="{00000000-0005-0000-0000-00008E1D0000}"/>
    <cellStyle name="Comma 11 2 8" xfId="2724" xr:uid="{00000000-0005-0000-0000-00008F1D0000}"/>
    <cellStyle name="Comma 11 2 8 2" xfId="8910" xr:uid="{00000000-0005-0000-0000-0000901D0000}"/>
    <cellStyle name="Comma 11 2 8 3" xfId="22101" xr:uid="{00000000-0005-0000-0000-0000911D0000}"/>
    <cellStyle name="Comma 11 2 9" xfId="2725" xr:uid="{00000000-0005-0000-0000-0000921D0000}"/>
    <cellStyle name="Comma 11 2 9 2" xfId="8911" xr:uid="{00000000-0005-0000-0000-0000931D0000}"/>
    <cellStyle name="Comma 11 2 9 3" xfId="22102" xr:uid="{00000000-0005-0000-0000-0000941D0000}"/>
    <cellStyle name="Comma 11 3" xfId="2726" xr:uid="{00000000-0005-0000-0000-0000951D0000}"/>
    <cellStyle name="Comma 11 3 10" xfId="2727" xr:uid="{00000000-0005-0000-0000-0000961D0000}"/>
    <cellStyle name="Comma 11 3 10 2" xfId="8912" xr:uid="{00000000-0005-0000-0000-0000971D0000}"/>
    <cellStyle name="Comma 11 3 11" xfId="8913" xr:uid="{00000000-0005-0000-0000-0000981D0000}"/>
    <cellStyle name="Comma 11 3 12" xfId="22103" xr:uid="{00000000-0005-0000-0000-0000991D0000}"/>
    <cellStyle name="Comma 11 3 2" xfId="2728" xr:uid="{00000000-0005-0000-0000-00009A1D0000}"/>
    <cellStyle name="Comma 11 3 2 2" xfId="8914" xr:uid="{00000000-0005-0000-0000-00009B1D0000}"/>
    <cellStyle name="Comma 11 3 2 2 2" xfId="22105" xr:uid="{00000000-0005-0000-0000-00009C1D0000}"/>
    <cellStyle name="Comma 11 3 2 3" xfId="22104" xr:uid="{00000000-0005-0000-0000-00009D1D0000}"/>
    <cellStyle name="Comma 11 3 3" xfId="2729" xr:uid="{00000000-0005-0000-0000-00009E1D0000}"/>
    <cellStyle name="Comma 11 3 3 2" xfId="8915" xr:uid="{00000000-0005-0000-0000-00009F1D0000}"/>
    <cellStyle name="Comma 11 3 3 2 2" xfId="22107" xr:uid="{00000000-0005-0000-0000-0000A01D0000}"/>
    <cellStyle name="Comma 11 3 3 3" xfId="22106" xr:uid="{00000000-0005-0000-0000-0000A11D0000}"/>
    <cellStyle name="Comma 11 3 4" xfId="2730" xr:uid="{00000000-0005-0000-0000-0000A21D0000}"/>
    <cellStyle name="Comma 11 3 4 2" xfId="8916" xr:uid="{00000000-0005-0000-0000-0000A31D0000}"/>
    <cellStyle name="Comma 11 3 4 3" xfId="22108" xr:uid="{00000000-0005-0000-0000-0000A41D0000}"/>
    <cellStyle name="Comma 11 3 5" xfId="2731" xr:uid="{00000000-0005-0000-0000-0000A51D0000}"/>
    <cellStyle name="Comma 11 3 5 2" xfId="8917" xr:uid="{00000000-0005-0000-0000-0000A61D0000}"/>
    <cellStyle name="Comma 11 3 6" xfId="2732" xr:uid="{00000000-0005-0000-0000-0000A71D0000}"/>
    <cellStyle name="Comma 11 3 6 2" xfId="8918" xr:uid="{00000000-0005-0000-0000-0000A81D0000}"/>
    <cellStyle name="Comma 11 3 7" xfId="2733" xr:uid="{00000000-0005-0000-0000-0000A91D0000}"/>
    <cellStyle name="Comma 11 3 7 2" xfId="8919" xr:uid="{00000000-0005-0000-0000-0000AA1D0000}"/>
    <cellStyle name="Comma 11 3 8" xfId="2734" xr:uid="{00000000-0005-0000-0000-0000AB1D0000}"/>
    <cellStyle name="Comma 11 3 8 2" xfId="8920" xr:uid="{00000000-0005-0000-0000-0000AC1D0000}"/>
    <cellStyle name="Comma 11 3 9" xfId="2735" xr:uid="{00000000-0005-0000-0000-0000AD1D0000}"/>
    <cellStyle name="Comma 11 3 9 2" xfId="8921" xr:uid="{00000000-0005-0000-0000-0000AE1D0000}"/>
    <cellStyle name="Comma 11 4" xfId="2736" xr:uid="{00000000-0005-0000-0000-0000AF1D0000}"/>
    <cellStyle name="Comma 11 4 10" xfId="2737" xr:uid="{00000000-0005-0000-0000-0000B01D0000}"/>
    <cellStyle name="Comma 11 4 10 2" xfId="8922" xr:uid="{00000000-0005-0000-0000-0000B11D0000}"/>
    <cellStyle name="Comma 11 4 11" xfId="8923" xr:uid="{00000000-0005-0000-0000-0000B21D0000}"/>
    <cellStyle name="Comma 11 4 12" xfId="22109" xr:uid="{00000000-0005-0000-0000-0000B31D0000}"/>
    <cellStyle name="Comma 11 4 2" xfId="2738" xr:uid="{00000000-0005-0000-0000-0000B41D0000}"/>
    <cellStyle name="Comma 11 4 2 2" xfId="8924" xr:uid="{00000000-0005-0000-0000-0000B51D0000}"/>
    <cellStyle name="Comma 11 4 2 2 2" xfId="22111" xr:uid="{00000000-0005-0000-0000-0000B61D0000}"/>
    <cellStyle name="Comma 11 4 2 3" xfId="22110" xr:uid="{00000000-0005-0000-0000-0000B71D0000}"/>
    <cellStyle name="Comma 11 4 3" xfId="2739" xr:uid="{00000000-0005-0000-0000-0000B81D0000}"/>
    <cellStyle name="Comma 11 4 3 2" xfId="8925" xr:uid="{00000000-0005-0000-0000-0000B91D0000}"/>
    <cellStyle name="Comma 11 4 3 3" xfId="22112" xr:uid="{00000000-0005-0000-0000-0000BA1D0000}"/>
    <cellStyle name="Comma 11 4 4" xfId="2740" xr:uid="{00000000-0005-0000-0000-0000BB1D0000}"/>
    <cellStyle name="Comma 11 4 4 2" xfId="8926" xr:uid="{00000000-0005-0000-0000-0000BC1D0000}"/>
    <cellStyle name="Comma 11 4 5" xfId="2741" xr:uid="{00000000-0005-0000-0000-0000BD1D0000}"/>
    <cellStyle name="Comma 11 4 5 2" xfId="8927" xr:uid="{00000000-0005-0000-0000-0000BE1D0000}"/>
    <cellStyle name="Comma 11 4 6" xfId="2742" xr:uid="{00000000-0005-0000-0000-0000BF1D0000}"/>
    <cellStyle name="Comma 11 4 6 2" xfId="8928" xr:uid="{00000000-0005-0000-0000-0000C01D0000}"/>
    <cellStyle name="Comma 11 4 7" xfId="2743" xr:uid="{00000000-0005-0000-0000-0000C11D0000}"/>
    <cellStyle name="Comma 11 4 7 2" xfId="8929" xr:uid="{00000000-0005-0000-0000-0000C21D0000}"/>
    <cellStyle name="Comma 11 4 8" xfId="2744" xr:uid="{00000000-0005-0000-0000-0000C31D0000}"/>
    <cellStyle name="Comma 11 4 8 2" xfId="8930" xr:uid="{00000000-0005-0000-0000-0000C41D0000}"/>
    <cellStyle name="Comma 11 4 9" xfId="2745" xr:uid="{00000000-0005-0000-0000-0000C51D0000}"/>
    <cellStyle name="Comma 11 4 9 2" xfId="8931" xr:uid="{00000000-0005-0000-0000-0000C61D0000}"/>
    <cellStyle name="Comma 11 5" xfId="2746" xr:uid="{00000000-0005-0000-0000-0000C71D0000}"/>
    <cellStyle name="Comma 11 5 10" xfId="2747" xr:uid="{00000000-0005-0000-0000-0000C81D0000}"/>
    <cellStyle name="Comma 11 5 10 2" xfId="8932" xr:uid="{00000000-0005-0000-0000-0000C91D0000}"/>
    <cellStyle name="Comma 11 5 11" xfId="8933" xr:uid="{00000000-0005-0000-0000-0000CA1D0000}"/>
    <cellStyle name="Comma 11 5 12" xfId="22113" xr:uid="{00000000-0005-0000-0000-0000CB1D0000}"/>
    <cellStyle name="Comma 11 5 2" xfId="2748" xr:uid="{00000000-0005-0000-0000-0000CC1D0000}"/>
    <cellStyle name="Comma 11 5 2 2" xfId="8934" xr:uid="{00000000-0005-0000-0000-0000CD1D0000}"/>
    <cellStyle name="Comma 11 5 2 3" xfId="22114" xr:uid="{00000000-0005-0000-0000-0000CE1D0000}"/>
    <cellStyle name="Comma 11 5 3" xfId="2749" xr:uid="{00000000-0005-0000-0000-0000CF1D0000}"/>
    <cellStyle name="Comma 11 5 3 2" xfId="8935" xr:uid="{00000000-0005-0000-0000-0000D01D0000}"/>
    <cellStyle name="Comma 11 5 4" xfId="2750" xr:uid="{00000000-0005-0000-0000-0000D11D0000}"/>
    <cellStyle name="Comma 11 5 4 2" xfId="8936" xr:uid="{00000000-0005-0000-0000-0000D21D0000}"/>
    <cellStyle name="Comma 11 5 5" xfId="2751" xr:uid="{00000000-0005-0000-0000-0000D31D0000}"/>
    <cellStyle name="Comma 11 5 5 2" xfId="8937" xr:uid="{00000000-0005-0000-0000-0000D41D0000}"/>
    <cellStyle name="Comma 11 5 6" xfId="2752" xr:uid="{00000000-0005-0000-0000-0000D51D0000}"/>
    <cellStyle name="Comma 11 5 6 2" xfId="8938" xr:uid="{00000000-0005-0000-0000-0000D61D0000}"/>
    <cellStyle name="Comma 11 5 7" xfId="2753" xr:uid="{00000000-0005-0000-0000-0000D71D0000}"/>
    <cellStyle name="Comma 11 5 7 2" xfId="8939" xr:uid="{00000000-0005-0000-0000-0000D81D0000}"/>
    <cellStyle name="Comma 11 5 8" xfId="2754" xr:uid="{00000000-0005-0000-0000-0000D91D0000}"/>
    <cellStyle name="Comma 11 5 8 2" xfId="8940" xr:uid="{00000000-0005-0000-0000-0000DA1D0000}"/>
    <cellStyle name="Comma 11 5 9" xfId="2755" xr:uid="{00000000-0005-0000-0000-0000DB1D0000}"/>
    <cellStyle name="Comma 11 5 9 2" xfId="8941" xr:uid="{00000000-0005-0000-0000-0000DC1D0000}"/>
    <cellStyle name="Comma 11 6" xfId="2756" xr:uid="{00000000-0005-0000-0000-0000DD1D0000}"/>
    <cellStyle name="Comma 11 6 10" xfId="2757" xr:uid="{00000000-0005-0000-0000-0000DE1D0000}"/>
    <cellStyle name="Comma 11 6 10 2" xfId="8942" xr:uid="{00000000-0005-0000-0000-0000DF1D0000}"/>
    <cellStyle name="Comma 11 6 11" xfId="8943" xr:uid="{00000000-0005-0000-0000-0000E01D0000}"/>
    <cellStyle name="Comma 11 6 2" xfId="2758" xr:uid="{00000000-0005-0000-0000-0000E11D0000}"/>
    <cellStyle name="Comma 11 6 2 2" xfId="8944" xr:uid="{00000000-0005-0000-0000-0000E21D0000}"/>
    <cellStyle name="Comma 11 6 3" xfId="2759" xr:uid="{00000000-0005-0000-0000-0000E31D0000}"/>
    <cellStyle name="Comma 11 6 3 2" xfId="8945" xr:uid="{00000000-0005-0000-0000-0000E41D0000}"/>
    <cellStyle name="Comma 11 6 4" xfId="2760" xr:uid="{00000000-0005-0000-0000-0000E51D0000}"/>
    <cellStyle name="Comma 11 6 4 2" xfId="8946" xr:uid="{00000000-0005-0000-0000-0000E61D0000}"/>
    <cellStyle name="Comma 11 6 5" xfId="2761" xr:uid="{00000000-0005-0000-0000-0000E71D0000}"/>
    <cellStyle name="Comma 11 6 5 2" xfId="8947" xr:uid="{00000000-0005-0000-0000-0000E81D0000}"/>
    <cellStyle name="Comma 11 6 6" xfId="2762" xr:uid="{00000000-0005-0000-0000-0000E91D0000}"/>
    <cellStyle name="Comma 11 6 6 2" xfId="8948" xr:uid="{00000000-0005-0000-0000-0000EA1D0000}"/>
    <cellStyle name="Comma 11 6 7" xfId="2763" xr:uid="{00000000-0005-0000-0000-0000EB1D0000}"/>
    <cellStyle name="Comma 11 6 7 2" xfId="8949" xr:uid="{00000000-0005-0000-0000-0000EC1D0000}"/>
    <cellStyle name="Comma 11 6 8" xfId="2764" xr:uid="{00000000-0005-0000-0000-0000ED1D0000}"/>
    <cellStyle name="Comma 11 6 8 2" xfId="8950" xr:uid="{00000000-0005-0000-0000-0000EE1D0000}"/>
    <cellStyle name="Comma 11 6 9" xfId="2765" xr:uid="{00000000-0005-0000-0000-0000EF1D0000}"/>
    <cellStyle name="Comma 11 6 9 2" xfId="8951" xr:uid="{00000000-0005-0000-0000-0000F01D0000}"/>
    <cellStyle name="Comma 11 7" xfId="2766" xr:uid="{00000000-0005-0000-0000-0000F11D0000}"/>
    <cellStyle name="Comma 11 7 10" xfId="2767" xr:uid="{00000000-0005-0000-0000-0000F21D0000}"/>
    <cellStyle name="Comma 11 7 10 2" xfId="8952" xr:uid="{00000000-0005-0000-0000-0000F31D0000}"/>
    <cellStyle name="Comma 11 7 11" xfId="8953" xr:uid="{00000000-0005-0000-0000-0000F41D0000}"/>
    <cellStyle name="Comma 11 7 12" xfId="22115" xr:uid="{00000000-0005-0000-0000-0000F51D0000}"/>
    <cellStyle name="Comma 11 7 2" xfId="2768" xr:uid="{00000000-0005-0000-0000-0000F61D0000}"/>
    <cellStyle name="Comma 11 7 2 2" xfId="8954" xr:uid="{00000000-0005-0000-0000-0000F71D0000}"/>
    <cellStyle name="Comma 11 7 3" xfId="2769" xr:uid="{00000000-0005-0000-0000-0000F81D0000}"/>
    <cellStyle name="Comma 11 7 3 2" xfId="8955" xr:uid="{00000000-0005-0000-0000-0000F91D0000}"/>
    <cellStyle name="Comma 11 7 4" xfId="2770" xr:uid="{00000000-0005-0000-0000-0000FA1D0000}"/>
    <cellStyle name="Comma 11 7 4 2" xfId="8956" xr:uid="{00000000-0005-0000-0000-0000FB1D0000}"/>
    <cellStyle name="Comma 11 7 5" xfId="2771" xr:uid="{00000000-0005-0000-0000-0000FC1D0000}"/>
    <cellStyle name="Comma 11 7 5 2" xfId="8957" xr:uid="{00000000-0005-0000-0000-0000FD1D0000}"/>
    <cellStyle name="Comma 11 7 6" xfId="2772" xr:uid="{00000000-0005-0000-0000-0000FE1D0000}"/>
    <cellStyle name="Comma 11 7 6 2" xfId="8958" xr:uid="{00000000-0005-0000-0000-0000FF1D0000}"/>
    <cellStyle name="Comma 11 7 7" xfId="2773" xr:uid="{00000000-0005-0000-0000-0000001E0000}"/>
    <cellStyle name="Comma 11 7 7 2" xfId="8959" xr:uid="{00000000-0005-0000-0000-0000011E0000}"/>
    <cellStyle name="Comma 11 7 8" xfId="2774" xr:uid="{00000000-0005-0000-0000-0000021E0000}"/>
    <cellStyle name="Comma 11 7 8 2" xfId="8960" xr:uid="{00000000-0005-0000-0000-0000031E0000}"/>
    <cellStyle name="Comma 11 7 9" xfId="2775" xr:uid="{00000000-0005-0000-0000-0000041E0000}"/>
    <cellStyle name="Comma 11 7 9 2" xfId="8961" xr:uid="{00000000-0005-0000-0000-0000051E0000}"/>
    <cellStyle name="Comma 11 8" xfId="2776" xr:uid="{00000000-0005-0000-0000-0000061E0000}"/>
    <cellStyle name="Comma 11 8 2" xfId="8962" xr:uid="{00000000-0005-0000-0000-0000071E0000}"/>
    <cellStyle name="Comma 11 8 3" xfId="22116" xr:uid="{00000000-0005-0000-0000-0000081E0000}"/>
    <cellStyle name="Comma 11 9" xfId="8963" xr:uid="{00000000-0005-0000-0000-0000091E0000}"/>
    <cellStyle name="Comma 110" xfId="22117" xr:uid="{00000000-0005-0000-0000-00000A1E0000}"/>
    <cellStyle name="Comma 110 2" xfId="22118" xr:uid="{00000000-0005-0000-0000-00000B1E0000}"/>
    <cellStyle name="Comma 110 2 2" xfId="22119" xr:uid="{00000000-0005-0000-0000-00000C1E0000}"/>
    <cellStyle name="Comma 110 3" xfId="22120" xr:uid="{00000000-0005-0000-0000-00000D1E0000}"/>
    <cellStyle name="Comma 110 4" xfId="22121" xr:uid="{00000000-0005-0000-0000-00000E1E0000}"/>
    <cellStyle name="Comma 111" xfId="22122" xr:uid="{00000000-0005-0000-0000-00000F1E0000}"/>
    <cellStyle name="Comma 111 2" xfId="22123" xr:uid="{00000000-0005-0000-0000-0000101E0000}"/>
    <cellStyle name="Comma 111 2 2" xfId="22124" xr:uid="{00000000-0005-0000-0000-0000111E0000}"/>
    <cellStyle name="Comma 111 3" xfId="22125" xr:uid="{00000000-0005-0000-0000-0000121E0000}"/>
    <cellStyle name="Comma 111 4" xfId="22126" xr:uid="{00000000-0005-0000-0000-0000131E0000}"/>
    <cellStyle name="Comma 112" xfId="22127" xr:uid="{00000000-0005-0000-0000-0000141E0000}"/>
    <cellStyle name="Comma 112 2" xfId="22128" xr:uid="{00000000-0005-0000-0000-0000151E0000}"/>
    <cellStyle name="Comma 112 3" xfId="22129" xr:uid="{00000000-0005-0000-0000-0000161E0000}"/>
    <cellStyle name="Comma 112 4" xfId="22130" xr:uid="{00000000-0005-0000-0000-0000171E0000}"/>
    <cellStyle name="Comma 113" xfId="22131" xr:uid="{00000000-0005-0000-0000-0000181E0000}"/>
    <cellStyle name="Comma 113 2" xfId="22132" xr:uid="{00000000-0005-0000-0000-0000191E0000}"/>
    <cellStyle name="Comma 113 3" xfId="22133" xr:uid="{00000000-0005-0000-0000-00001A1E0000}"/>
    <cellStyle name="Comma 113 4" xfId="22134" xr:uid="{00000000-0005-0000-0000-00001B1E0000}"/>
    <cellStyle name="Comma 114" xfId="22135" xr:uid="{00000000-0005-0000-0000-00001C1E0000}"/>
    <cellStyle name="Comma 114 2" xfId="22136" xr:uid="{00000000-0005-0000-0000-00001D1E0000}"/>
    <cellStyle name="Comma 114 3" xfId="22137" xr:uid="{00000000-0005-0000-0000-00001E1E0000}"/>
    <cellStyle name="Comma 114 4" xfId="22138" xr:uid="{00000000-0005-0000-0000-00001F1E0000}"/>
    <cellStyle name="Comma 115" xfId="22139" xr:uid="{00000000-0005-0000-0000-0000201E0000}"/>
    <cellStyle name="Comma 115 2" xfId="22140" xr:uid="{00000000-0005-0000-0000-0000211E0000}"/>
    <cellStyle name="Comma 115 3" xfId="22141" xr:uid="{00000000-0005-0000-0000-0000221E0000}"/>
    <cellStyle name="Comma 115 4" xfId="22142" xr:uid="{00000000-0005-0000-0000-0000231E0000}"/>
    <cellStyle name="Comma 116" xfId="22143" xr:uid="{00000000-0005-0000-0000-0000241E0000}"/>
    <cellStyle name="Comma 116 2" xfId="22144" xr:uid="{00000000-0005-0000-0000-0000251E0000}"/>
    <cellStyle name="Comma 116 3" xfId="22145" xr:uid="{00000000-0005-0000-0000-0000261E0000}"/>
    <cellStyle name="Comma 116 4" xfId="22146" xr:uid="{00000000-0005-0000-0000-0000271E0000}"/>
    <cellStyle name="Comma 117" xfId="22147" xr:uid="{00000000-0005-0000-0000-0000281E0000}"/>
    <cellStyle name="Comma 117 2" xfId="22148" xr:uid="{00000000-0005-0000-0000-0000291E0000}"/>
    <cellStyle name="Comma 117 3" xfId="22149" xr:uid="{00000000-0005-0000-0000-00002A1E0000}"/>
    <cellStyle name="Comma 117 4" xfId="22150" xr:uid="{00000000-0005-0000-0000-00002B1E0000}"/>
    <cellStyle name="Comma 118" xfId="22151" xr:uid="{00000000-0005-0000-0000-00002C1E0000}"/>
    <cellStyle name="Comma 118 2" xfId="22152" xr:uid="{00000000-0005-0000-0000-00002D1E0000}"/>
    <cellStyle name="Comma 118 3" xfId="22153" xr:uid="{00000000-0005-0000-0000-00002E1E0000}"/>
    <cellStyle name="Comma 118 4" xfId="22154" xr:uid="{00000000-0005-0000-0000-00002F1E0000}"/>
    <cellStyle name="Comma 119" xfId="22155" xr:uid="{00000000-0005-0000-0000-0000301E0000}"/>
    <cellStyle name="Comma 119 2" xfId="22156" xr:uid="{00000000-0005-0000-0000-0000311E0000}"/>
    <cellStyle name="Comma 119 3" xfId="22157" xr:uid="{00000000-0005-0000-0000-0000321E0000}"/>
    <cellStyle name="Comma 119 4" xfId="22158" xr:uid="{00000000-0005-0000-0000-0000331E0000}"/>
    <cellStyle name="Comma 12" xfId="2777" xr:uid="{00000000-0005-0000-0000-0000341E0000}"/>
    <cellStyle name="Comma 12 10" xfId="22160" xr:uid="{00000000-0005-0000-0000-0000351E0000}"/>
    <cellStyle name="Comma 12 11" xfId="22161" xr:uid="{00000000-0005-0000-0000-0000361E0000}"/>
    <cellStyle name="Comma 12 12" xfId="22162" xr:uid="{00000000-0005-0000-0000-0000371E0000}"/>
    <cellStyle name="Comma 12 13" xfId="22163" xr:uid="{00000000-0005-0000-0000-0000381E0000}"/>
    <cellStyle name="Comma 12 14" xfId="22164" xr:uid="{00000000-0005-0000-0000-0000391E0000}"/>
    <cellStyle name="Comma 12 15" xfId="22165" xr:uid="{00000000-0005-0000-0000-00003A1E0000}"/>
    <cellStyle name="Comma 12 16" xfId="22166" xr:uid="{00000000-0005-0000-0000-00003B1E0000}"/>
    <cellStyle name="Comma 12 17" xfId="22167" xr:uid="{00000000-0005-0000-0000-00003C1E0000}"/>
    <cellStyle name="Comma 12 18" xfId="22168" xr:uid="{00000000-0005-0000-0000-00003D1E0000}"/>
    <cellStyle name="Comma 12 19" xfId="22159" xr:uid="{00000000-0005-0000-0000-00003E1E0000}"/>
    <cellStyle name="Comma 12 2" xfId="2778" xr:uid="{00000000-0005-0000-0000-00003F1E0000}"/>
    <cellStyle name="Comma 12 2 10" xfId="22170" xr:uid="{00000000-0005-0000-0000-0000401E0000}"/>
    <cellStyle name="Comma 12 2 11" xfId="22171" xr:uid="{00000000-0005-0000-0000-0000411E0000}"/>
    <cellStyle name="Comma 12 2 12" xfId="22172" xr:uid="{00000000-0005-0000-0000-0000421E0000}"/>
    <cellStyle name="Comma 12 2 13" xfId="22173" xr:uid="{00000000-0005-0000-0000-0000431E0000}"/>
    <cellStyle name="Comma 12 2 14" xfId="22174" xr:uid="{00000000-0005-0000-0000-0000441E0000}"/>
    <cellStyle name="Comma 12 2 15" xfId="22175" xr:uid="{00000000-0005-0000-0000-0000451E0000}"/>
    <cellStyle name="Comma 12 2 16" xfId="22176" xr:uid="{00000000-0005-0000-0000-0000461E0000}"/>
    <cellStyle name="Comma 12 2 17" xfId="22177" xr:uid="{00000000-0005-0000-0000-0000471E0000}"/>
    <cellStyle name="Comma 12 2 18" xfId="22169" xr:uid="{00000000-0005-0000-0000-0000481E0000}"/>
    <cellStyle name="Comma 12 2 2" xfId="8964" xr:uid="{00000000-0005-0000-0000-0000491E0000}"/>
    <cellStyle name="Comma 12 2 2 2" xfId="22178" xr:uid="{00000000-0005-0000-0000-00004A1E0000}"/>
    <cellStyle name="Comma 12 2 3" xfId="22179" xr:uid="{00000000-0005-0000-0000-00004B1E0000}"/>
    <cellStyle name="Comma 12 2 4" xfId="22180" xr:uid="{00000000-0005-0000-0000-00004C1E0000}"/>
    <cellStyle name="Comma 12 2 5" xfId="22181" xr:uid="{00000000-0005-0000-0000-00004D1E0000}"/>
    <cellStyle name="Comma 12 2 6" xfId="22182" xr:uid="{00000000-0005-0000-0000-00004E1E0000}"/>
    <cellStyle name="Comma 12 2 7" xfId="22183" xr:uid="{00000000-0005-0000-0000-00004F1E0000}"/>
    <cellStyle name="Comma 12 2 8" xfId="22184" xr:uid="{00000000-0005-0000-0000-0000501E0000}"/>
    <cellStyle name="Comma 12 2 9" xfId="22185" xr:uid="{00000000-0005-0000-0000-0000511E0000}"/>
    <cellStyle name="Comma 12 3" xfId="8965" xr:uid="{00000000-0005-0000-0000-0000521E0000}"/>
    <cellStyle name="Comma 12 3 2" xfId="22187" xr:uid="{00000000-0005-0000-0000-0000531E0000}"/>
    <cellStyle name="Comma 12 3 2 2" xfId="22188" xr:uid="{00000000-0005-0000-0000-0000541E0000}"/>
    <cellStyle name="Comma 12 3 3" xfId="22189" xr:uid="{00000000-0005-0000-0000-0000551E0000}"/>
    <cellStyle name="Comma 12 3 4" xfId="22190" xr:uid="{00000000-0005-0000-0000-0000561E0000}"/>
    <cellStyle name="Comma 12 3 5" xfId="22186" xr:uid="{00000000-0005-0000-0000-0000571E0000}"/>
    <cellStyle name="Comma 12 4" xfId="22191" xr:uid="{00000000-0005-0000-0000-0000581E0000}"/>
    <cellStyle name="Comma 12 4 2" xfId="22192" xr:uid="{00000000-0005-0000-0000-0000591E0000}"/>
    <cellStyle name="Comma 12 4 3" xfId="22193" xr:uid="{00000000-0005-0000-0000-00005A1E0000}"/>
    <cellStyle name="Comma 12 5" xfId="22194" xr:uid="{00000000-0005-0000-0000-00005B1E0000}"/>
    <cellStyle name="Comma 12 6" xfId="22195" xr:uid="{00000000-0005-0000-0000-00005C1E0000}"/>
    <cellStyle name="Comma 12 7" xfId="22196" xr:uid="{00000000-0005-0000-0000-00005D1E0000}"/>
    <cellStyle name="Comma 12 8" xfId="22197" xr:uid="{00000000-0005-0000-0000-00005E1E0000}"/>
    <cellStyle name="Comma 12 9" xfId="22198" xr:uid="{00000000-0005-0000-0000-00005F1E0000}"/>
    <cellStyle name="Comma 120" xfId="22199" xr:uid="{00000000-0005-0000-0000-0000601E0000}"/>
    <cellStyle name="Comma 120 2" xfId="22200" xr:uid="{00000000-0005-0000-0000-0000611E0000}"/>
    <cellStyle name="Comma 120 3" xfId="22201" xr:uid="{00000000-0005-0000-0000-0000621E0000}"/>
    <cellStyle name="Comma 120 4" xfId="22202" xr:uid="{00000000-0005-0000-0000-0000631E0000}"/>
    <cellStyle name="Comma 121" xfId="22203" xr:uid="{00000000-0005-0000-0000-0000641E0000}"/>
    <cellStyle name="Comma 121 2" xfId="22204" xr:uid="{00000000-0005-0000-0000-0000651E0000}"/>
    <cellStyle name="Comma 121 3" xfId="22205" xr:uid="{00000000-0005-0000-0000-0000661E0000}"/>
    <cellStyle name="Comma 121 4" xfId="22206" xr:uid="{00000000-0005-0000-0000-0000671E0000}"/>
    <cellStyle name="Comma 122" xfId="22207" xr:uid="{00000000-0005-0000-0000-0000681E0000}"/>
    <cellStyle name="Comma 122 2" xfId="22208" xr:uid="{00000000-0005-0000-0000-0000691E0000}"/>
    <cellStyle name="Comma 122 3" xfId="22209" xr:uid="{00000000-0005-0000-0000-00006A1E0000}"/>
    <cellStyle name="Comma 122 4" xfId="22210" xr:uid="{00000000-0005-0000-0000-00006B1E0000}"/>
    <cellStyle name="Comma 123" xfId="22211" xr:uid="{00000000-0005-0000-0000-00006C1E0000}"/>
    <cellStyle name="Comma 123 2" xfId="22212" xr:uid="{00000000-0005-0000-0000-00006D1E0000}"/>
    <cellStyle name="Comma 123 3" xfId="22213" xr:uid="{00000000-0005-0000-0000-00006E1E0000}"/>
    <cellStyle name="Comma 123 4" xfId="22214" xr:uid="{00000000-0005-0000-0000-00006F1E0000}"/>
    <cellStyle name="Comma 124" xfId="22215" xr:uid="{00000000-0005-0000-0000-0000701E0000}"/>
    <cellStyle name="Comma 124 2" xfId="22216" xr:uid="{00000000-0005-0000-0000-0000711E0000}"/>
    <cellStyle name="Comma 124 3" xfId="22217" xr:uid="{00000000-0005-0000-0000-0000721E0000}"/>
    <cellStyle name="Comma 124 4" xfId="22218" xr:uid="{00000000-0005-0000-0000-0000731E0000}"/>
    <cellStyle name="Comma 125" xfId="22219" xr:uid="{00000000-0005-0000-0000-0000741E0000}"/>
    <cellStyle name="Comma 125 2" xfId="22220" xr:uid="{00000000-0005-0000-0000-0000751E0000}"/>
    <cellStyle name="Comma 125 3" xfId="22221" xr:uid="{00000000-0005-0000-0000-0000761E0000}"/>
    <cellStyle name="Comma 125 4" xfId="22222" xr:uid="{00000000-0005-0000-0000-0000771E0000}"/>
    <cellStyle name="Comma 126" xfId="22223" xr:uid="{00000000-0005-0000-0000-0000781E0000}"/>
    <cellStyle name="Comma 126 2" xfId="22224" xr:uid="{00000000-0005-0000-0000-0000791E0000}"/>
    <cellStyle name="Comma 126 3" xfId="22225" xr:uid="{00000000-0005-0000-0000-00007A1E0000}"/>
    <cellStyle name="Comma 126 4" xfId="22226" xr:uid="{00000000-0005-0000-0000-00007B1E0000}"/>
    <cellStyle name="Comma 127" xfId="22227" xr:uid="{00000000-0005-0000-0000-00007C1E0000}"/>
    <cellStyle name="Comma 127 2" xfId="22228" xr:uid="{00000000-0005-0000-0000-00007D1E0000}"/>
    <cellStyle name="Comma 127 3" xfId="22229" xr:uid="{00000000-0005-0000-0000-00007E1E0000}"/>
    <cellStyle name="Comma 127 4" xfId="22230" xr:uid="{00000000-0005-0000-0000-00007F1E0000}"/>
    <cellStyle name="Comma 128" xfId="22231" xr:uid="{00000000-0005-0000-0000-0000801E0000}"/>
    <cellStyle name="Comma 128 2" xfId="22232" xr:uid="{00000000-0005-0000-0000-0000811E0000}"/>
    <cellStyle name="Comma 128 3" xfId="22233" xr:uid="{00000000-0005-0000-0000-0000821E0000}"/>
    <cellStyle name="Comma 128 4" xfId="22234" xr:uid="{00000000-0005-0000-0000-0000831E0000}"/>
    <cellStyle name="Comma 129" xfId="22235" xr:uid="{00000000-0005-0000-0000-0000841E0000}"/>
    <cellStyle name="Comma 129 2" xfId="22236" xr:uid="{00000000-0005-0000-0000-0000851E0000}"/>
    <cellStyle name="Comma 129 3" xfId="22237" xr:uid="{00000000-0005-0000-0000-0000861E0000}"/>
    <cellStyle name="Comma 129 4" xfId="22238" xr:uid="{00000000-0005-0000-0000-0000871E0000}"/>
    <cellStyle name="Comma 13" xfId="2779" xr:uid="{00000000-0005-0000-0000-0000881E0000}"/>
    <cellStyle name="Comma 13 10" xfId="22240" xr:uid="{00000000-0005-0000-0000-0000891E0000}"/>
    <cellStyle name="Comma 13 10 2" xfId="22241" xr:uid="{00000000-0005-0000-0000-00008A1E0000}"/>
    <cellStyle name="Comma 13 10 2 2" xfId="22242" xr:uid="{00000000-0005-0000-0000-00008B1E0000}"/>
    <cellStyle name="Comma 13 10 3" xfId="22243" xr:uid="{00000000-0005-0000-0000-00008C1E0000}"/>
    <cellStyle name="Comma 13 10 4" xfId="22244" xr:uid="{00000000-0005-0000-0000-00008D1E0000}"/>
    <cellStyle name="Comma 13 11" xfId="22245" xr:uid="{00000000-0005-0000-0000-00008E1E0000}"/>
    <cellStyle name="Comma 13 11 2" xfId="22246" xr:uid="{00000000-0005-0000-0000-00008F1E0000}"/>
    <cellStyle name="Comma 13 11 2 2" xfId="22247" xr:uid="{00000000-0005-0000-0000-0000901E0000}"/>
    <cellStyle name="Comma 13 11 3" xfId="22248" xr:uid="{00000000-0005-0000-0000-0000911E0000}"/>
    <cellStyle name="Comma 13 11 4" xfId="22249" xr:uid="{00000000-0005-0000-0000-0000921E0000}"/>
    <cellStyle name="Comma 13 12" xfId="22250" xr:uid="{00000000-0005-0000-0000-0000931E0000}"/>
    <cellStyle name="Comma 13 12 2" xfId="22251" xr:uid="{00000000-0005-0000-0000-0000941E0000}"/>
    <cellStyle name="Comma 13 12 2 2" xfId="22252" xr:uid="{00000000-0005-0000-0000-0000951E0000}"/>
    <cellStyle name="Comma 13 12 3" xfId="22253" xr:uid="{00000000-0005-0000-0000-0000961E0000}"/>
    <cellStyle name="Comma 13 12 4" xfId="22254" xr:uid="{00000000-0005-0000-0000-0000971E0000}"/>
    <cellStyle name="Comma 13 13" xfId="22255" xr:uid="{00000000-0005-0000-0000-0000981E0000}"/>
    <cellStyle name="Comma 13 13 2" xfId="22256" xr:uid="{00000000-0005-0000-0000-0000991E0000}"/>
    <cellStyle name="Comma 13 13 2 2" xfId="22257" xr:uid="{00000000-0005-0000-0000-00009A1E0000}"/>
    <cellStyle name="Comma 13 13 3" xfId="22258" xr:uid="{00000000-0005-0000-0000-00009B1E0000}"/>
    <cellStyle name="Comma 13 13 4" xfId="22259" xr:uid="{00000000-0005-0000-0000-00009C1E0000}"/>
    <cellStyle name="Comma 13 14" xfId="22260" xr:uid="{00000000-0005-0000-0000-00009D1E0000}"/>
    <cellStyle name="Comma 13 14 2" xfId="22261" xr:uid="{00000000-0005-0000-0000-00009E1E0000}"/>
    <cellStyle name="Comma 13 14 2 2" xfId="22262" xr:uid="{00000000-0005-0000-0000-00009F1E0000}"/>
    <cellStyle name="Comma 13 14 3" xfId="22263" xr:uid="{00000000-0005-0000-0000-0000A01E0000}"/>
    <cellStyle name="Comma 13 14 4" xfId="22264" xr:uid="{00000000-0005-0000-0000-0000A11E0000}"/>
    <cellStyle name="Comma 13 15" xfId="22265" xr:uid="{00000000-0005-0000-0000-0000A21E0000}"/>
    <cellStyle name="Comma 13 15 2" xfId="22266" xr:uid="{00000000-0005-0000-0000-0000A31E0000}"/>
    <cellStyle name="Comma 13 15 2 2" xfId="22267" xr:uid="{00000000-0005-0000-0000-0000A41E0000}"/>
    <cellStyle name="Comma 13 15 3" xfId="22268" xr:uid="{00000000-0005-0000-0000-0000A51E0000}"/>
    <cellStyle name="Comma 13 15 4" xfId="22269" xr:uid="{00000000-0005-0000-0000-0000A61E0000}"/>
    <cellStyle name="Comma 13 16" xfId="22270" xr:uid="{00000000-0005-0000-0000-0000A71E0000}"/>
    <cellStyle name="Comma 13 16 2" xfId="22271" xr:uid="{00000000-0005-0000-0000-0000A81E0000}"/>
    <cellStyle name="Comma 13 16 2 2" xfId="22272" xr:uid="{00000000-0005-0000-0000-0000A91E0000}"/>
    <cellStyle name="Comma 13 16 3" xfId="22273" xr:uid="{00000000-0005-0000-0000-0000AA1E0000}"/>
    <cellStyle name="Comma 13 16 4" xfId="22274" xr:uid="{00000000-0005-0000-0000-0000AB1E0000}"/>
    <cellStyle name="Comma 13 17" xfId="22275" xr:uid="{00000000-0005-0000-0000-0000AC1E0000}"/>
    <cellStyle name="Comma 13 17 2" xfId="22276" xr:uid="{00000000-0005-0000-0000-0000AD1E0000}"/>
    <cellStyle name="Comma 13 17 2 2" xfId="22277" xr:uid="{00000000-0005-0000-0000-0000AE1E0000}"/>
    <cellStyle name="Comma 13 17 3" xfId="22278" xr:uid="{00000000-0005-0000-0000-0000AF1E0000}"/>
    <cellStyle name="Comma 13 18" xfId="22279" xr:uid="{00000000-0005-0000-0000-0000B01E0000}"/>
    <cellStyle name="Comma 13 18 2" xfId="22280" xr:uid="{00000000-0005-0000-0000-0000B11E0000}"/>
    <cellStyle name="Comma 13 18 2 2" xfId="22281" xr:uid="{00000000-0005-0000-0000-0000B21E0000}"/>
    <cellStyle name="Comma 13 18 3" xfId="22282" xr:uid="{00000000-0005-0000-0000-0000B31E0000}"/>
    <cellStyle name="Comma 13 19" xfId="22283" xr:uid="{00000000-0005-0000-0000-0000B41E0000}"/>
    <cellStyle name="Comma 13 19 2" xfId="22284" xr:uid="{00000000-0005-0000-0000-0000B51E0000}"/>
    <cellStyle name="Comma 13 19 2 2" xfId="22285" xr:uid="{00000000-0005-0000-0000-0000B61E0000}"/>
    <cellStyle name="Comma 13 19 3" xfId="22286" xr:uid="{00000000-0005-0000-0000-0000B71E0000}"/>
    <cellStyle name="Comma 13 2" xfId="2780" xr:uid="{00000000-0005-0000-0000-0000B81E0000}"/>
    <cellStyle name="Comma 13 2 10" xfId="22288" xr:uid="{00000000-0005-0000-0000-0000B91E0000}"/>
    <cellStyle name="Comma 13 2 11" xfId="22289" xr:uid="{00000000-0005-0000-0000-0000BA1E0000}"/>
    <cellStyle name="Comma 13 2 12" xfId="22290" xr:uid="{00000000-0005-0000-0000-0000BB1E0000}"/>
    <cellStyle name="Comma 13 2 13" xfId="22291" xr:uid="{00000000-0005-0000-0000-0000BC1E0000}"/>
    <cellStyle name="Comma 13 2 14" xfId="22292" xr:uid="{00000000-0005-0000-0000-0000BD1E0000}"/>
    <cellStyle name="Comma 13 2 15" xfId="22293" xr:uid="{00000000-0005-0000-0000-0000BE1E0000}"/>
    <cellStyle name="Comma 13 2 16" xfId="22294" xr:uid="{00000000-0005-0000-0000-0000BF1E0000}"/>
    <cellStyle name="Comma 13 2 17" xfId="22295" xr:uid="{00000000-0005-0000-0000-0000C01E0000}"/>
    <cellStyle name="Comma 13 2 18" xfId="22287" xr:uid="{00000000-0005-0000-0000-0000C11E0000}"/>
    <cellStyle name="Comma 13 2 2" xfId="8966" xr:uid="{00000000-0005-0000-0000-0000C21E0000}"/>
    <cellStyle name="Comma 13 2 2 2" xfId="22297" xr:uid="{00000000-0005-0000-0000-0000C31E0000}"/>
    <cellStyle name="Comma 13 2 2 2 2" xfId="22298" xr:uid="{00000000-0005-0000-0000-0000C41E0000}"/>
    <cellStyle name="Comma 13 2 2 3" xfId="22299" xr:uid="{00000000-0005-0000-0000-0000C51E0000}"/>
    <cellStyle name="Comma 13 2 2 4" xfId="22300" xr:uid="{00000000-0005-0000-0000-0000C61E0000}"/>
    <cellStyle name="Comma 13 2 2 5" xfId="22296" xr:uid="{00000000-0005-0000-0000-0000C71E0000}"/>
    <cellStyle name="Comma 13 2 3" xfId="22301" xr:uid="{00000000-0005-0000-0000-0000C81E0000}"/>
    <cellStyle name="Comma 13 2 3 2" xfId="22302" xr:uid="{00000000-0005-0000-0000-0000C91E0000}"/>
    <cellStyle name="Comma 13 2 3 2 2" xfId="22303" xr:uid="{00000000-0005-0000-0000-0000CA1E0000}"/>
    <cellStyle name="Comma 13 2 3 3" xfId="22304" xr:uid="{00000000-0005-0000-0000-0000CB1E0000}"/>
    <cellStyle name="Comma 13 2 3 4" xfId="22305" xr:uid="{00000000-0005-0000-0000-0000CC1E0000}"/>
    <cellStyle name="Comma 13 2 4" xfId="22306" xr:uid="{00000000-0005-0000-0000-0000CD1E0000}"/>
    <cellStyle name="Comma 13 2 4 2" xfId="22307" xr:uid="{00000000-0005-0000-0000-0000CE1E0000}"/>
    <cellStyle name="Comma 13 2 4 3" xfId="22308" xr:uid="{00000000-0005-0000-0000-0000CF1E0000}"/>
    <cellStyle name="Comma 13 2 5" xfId="22309" xr:uid="{00000000-0005-0000-0000-0000D01E0000}"/>
    <cellStyle name="Comma 13 2 6" xfId="22310" xr:uid="{00000000-0005-0000-0000-0000D11E0000}"/>
    <cellStyle name="Comma 13 2 7" xfId="22311" xr:uid="{00000000-0005-0000-0000-0000D21E0000}"/>
    <cellStyle name="Comma 13 2 8" xfId="22312" xr:uid="{00000000-0005-0000-0000-0000D31E0000}"/>
    <cellStyle name="Comma 13 2 9" xfId="22313" xr:uid="{00000000-0005-0000-0000-0000D41E0000}"/>
    <cellStyle name="Comma 13 20" xfId="22314" xr:uid="{00000000-0005-0000-0000-0000D51E0000}"/>
    <cellStyle name="Comma 13 20 2" xfId="22315" xr:uid="{00000000-0005-0000-0000-0000D61E0000}"/>
    <cellStyle name="Comma 13 20 2 2" xfId="22316" xr:uid="{00000000-0005-0000-0000-0000D71E0000}"/>
    <cellStyle name="Comma 13 20 3" xfId="22317" xr:uid="{00000000-0005-0000-0000-0000D81E0000}"/>
    <cellStyle name="Comma 13 21" xfId="22318" xr:uid="{00000000-0005-0000-0000-0000D91E0000}"/>
    <cellStyle name="Comma 13 21 2" xfId="22319" xr:uid="{00000000-0005-0000-0000-0000DA1E0000}"/>
    <cellStyle name="Comma 13 21 2 2" xfId="22320" xr:uid="{00000000-0005-0000-0000-0000DB1E0000}"/>
    <cellStyle name="Comma 13 21 3" xfId="22321" xr:uid="{00000000-0005-0000-0000-0000DC1E0000}"/>
    <cellStyle name="Comma 13 22" xfId="22322" xr:uid="{00000000-0005-0000-0000-0000DD1E0000}"/>
    <cellStyle name="Comma 13 22 2" xfId="22323" xr:uid="{00000000-0005-0000-0000-0000DE1E0000}"/>
    <cellStyle name="Comma 13 22 2 2" xfId="22324" xr:uid="{00000000-0005-0000-0000-0000DF1E0000}"/>
    <cellStyle name="Comma 13 22 3" xfId="22325" xr:uid="{00000000-0005-0000-0000-0000E01E0000}"/>
    <cellStyle name="Comma 13 23" xfId="22326" xr:uid="{00000000-0005-0000-0000-0000E11E0000}"/>
    <cellStyle name="Comma 13 23 2" xfId="22327" xr:uid="{00000000-0005-0000-0000-0000E21E0000}"/>
    <cellStyle name="Comma 13 23 2 2" xfId="22328" xr:uid="{00000000-0005-0000-0000-0000E31E0000}"/>
    <cellStyle name="Comma 13 23 3" xfId="22329" xr:uid="{00000000-0005-0000-0000-0000E41E0000}"/>
    <cellStyle name="Comma 13 24" xfId="22330" xr:uid="{00000000-0005-0000-0000-0000E51E0000}"/>
    <cellStyle name="Comma 13 24 2" xfId="22331" xr:uid="{00000000-0005-0000-0000-0000E61E0000}"/>
    <cellStyle name="Comma 13 24 2 2" xfId="22332" xr:uid="{00000000-0005-0000-0000-0000E71E0000}"/>
    <cellStyle name="Comma 13 24 3" xfId="22333" xr:uid="{00000000-0005-0000-0000-0000E81E0000}"/>
    <cellStyle name="Comma 13 25" xfId="22334" xr:uid="{00000000-0005-0000-0000-0000E91E0000}"/>
    <cellStyle name="Comma 13 25 2" xfId="22335" xr:uid="{00000000-0005-0000-0000-0000EA1E0000}"/>
    <cellStyle name="Comma 13 25 2 2" xfId="22336" xr:uid="{00000000-0005-0000-0000-0000EB1E0000}"/>
    <cellStyle name="Comma 13 25 3" xfId="22337" xr:uid="{00000000-0005-0000-0000-0000EC1E0000}"/>
    <cellStyle name="Comma 13 26" xfId="22338" xr:uid="{00000000-0005-0000-0000-0000ED1E0000}"/>
    <cellStyle name="Comma 13 26 2" xfId="22339" xr:uid="{00000000-0005-0000-0000-0000EE1E0000}"/>
    <cellStyle name="Comma 13 26 2 2" xfId="22340" xr:uid="{00000000-0005-0000-0000-0000EF1E0000}"/>
    <cellStyle name="Comma 13 26 3" xfId="22341" xr:uid="{00000000-0005-0000-0000-0000F01E0000}"/>
    <cellStyle name="Comma 13 27" xfId="22342" xr:uid="{00000000-0005-0000-0000-0000F11E0000}"/>
    <cellStyle name="Comma 13 27 2" xfId="22343" xr:uid="{00000000-0005-0000-0000-0000F21E0000}"/>
    <cellStyle name="Comma 13 27 2 2" xfId="22344" xr:uid="{00000000-0005-0000-0000-0000F31E0000}"/>
    <cellStyle name="Comma 13 27 3" xfId="22345" xr:uid="{00000000-0005-0000-0000-0000F41E0000}"/>
    <cellStyle name="Comma 13 28" xfId="22346" xr:uid="{00000000-0005-0000-0000-0000F51E0000}"/>
    <cellStyle name="Comma 13 28 2" xfId="22347" xr:uid="{00000000-0005-0000-0000-0000F61E0000}"/>
    <cellStyle name="Comma 13 28 2 2" xfId="22348" xr:uid="{00000000-0005-0000-0000-0000F71E0000}"/>
    <cellStyle name="Comma 13 28 3" xfId="22349" xr:uid="{00000000-0005-0000-0000-0000F81E0000}"/>
    <cellStyle name="Comma 13 29" xfId="22350" xr:uid="{00000000-0005-0000-0000-0000F91E0000}"/>
    <cellStyle name="Comma 13 29 2" xfId="22351" xr:uid="{00000000-0005-0000-0000-0000FA1E0000}"/>
    <cellStyle name="Comma 13 3" xfId="8967" xr:uid="{00000000-0005-0000-0000-0000FB1E0000}"/>
    <cellStyle name="Comma 13 3 2" xfId="22353" xr:uid="{00000000-0005-0000-0000-0000FC1E0000}"/>
    <cellStyle name="Comma 13 3 2 2" xfId="22354" xr:uid="{00000000-0005-0000-0000-0000FD1E0000}"/>
    <cellStyle name="Comma 13 3 3" xfId="22355" xr:uid="{00000000-0005-0000-0000-0000FE1E0000}"/>
    <cellStyle name="Comma 13 3 3 2" xfId="22356" xr:uid="{00000000-0005-0000-0000-0000FF1E0000}"/>
    <cellStyle name="Comma 13 3 3 2 2" xfId="22357" xr:uid="{00000000-0005-0000-0000-0000001F0000}"/>
    <cellStyle name="Comma 13 3 3 3" xfId="22358" xr:uid="{00000000-0005-0000-0000-0000011F0000}"/>
    <cellStyle name="Comma 13 3 4" xfId="22359" xr:uid="{00000000-0005-0000-0000-0000021F0000}"/>
    <cellStyle name="Comma 13 3 4 2" xfId="22360" xr:uid="{00000000-0005-0000-0000-0000031F0000}"/>
    <cellStyle name="Comma 13 3 5" xfId="22361" xr:uid="{00000000-0005-0000-0000-0000041F0000}"/>
    <cellStyle name="Comma 13 3 6" xfId="22362" xr:uid="{00000000-0005-0000-0000-0000051F0000}"/>
    <cellStyle name="Comma 13 3 7" xfId="22352" xr:uid="{00000000-0005-0000-0000-0000061F0000}"/>
    <cellStyle name="Comma 13 30" xfId="22363" xr:uid="{00000000-0005-0000-0000-0000071F0000}"/>
    <cellStyle name="Comma 13 30 2" xfId="22364" xr:uid="{00000000-0005-0000-0000-0000081F0000}"/>
    <cellStyle name="Comma 13 30 2 2" xfId="22365" xr:uid="{00000000-0005-0000-0000-0000091F0000}"/>
    <cellStyle name="Comma 13 30 3" xfId="22366" xr:uid="{00000000-0005-0000-0000-00000A1F0000}"/>
    <cellStyle name="Comma 13 31" xfId="22367" xr:uid="{00000000-0005-0000-0000-00000B1F0000}"/>
    <cellStyle name="Comma 13 31 2" xfId="22368" xr:uid="{00000000-0005-0000-0000-00000C1F0000}"/>
    <cellStyle name="Comma 13 32" xfId="22369" xr:uid="{00000000-0005-0000-0000-00000D1F0000}"/>
    <cellStyle name="Comma 13 32 2" xfId="22370" xr:uid="{00000000-0005-0000-0000-00000E1F0000}"/>
    <cellStyle name="Comma 13 33" xfId="22371" xr:uid="{00000000-0005-0000-0000-00000F1F0000}"/>
    <cellStyle name="Comma 13 34" xfId="22239" xr:uid="{00000000-0005-0000-0000-0000101F0000}"/>
    <cellStyle name="Comma 13 4" xfId="22372" xr:uid="{00000000-0005-0000-0000-0000111F0000}"/>
    <cellStyle name="Comma 13 4 2" xfId="22373" xr:uid="{00000000-0005-0000-0000-0000121F0000}"/>
    <cellStyle name="Comma 13 4 2 2" xfId="22374" xr:uid="{00000000-0005-0000-0000-0000131F0000}"/>
    <cellStyle name="Comma 13 4 3" xfId="22375" xr:uid="{00000000-0005-0000-0000-0000141F0000}"/>
    <cellStyle name="Comma 13 4 3 2" xfId="22376" xr:uid="{00000000-0005-0000-0000-0000151F0000}"/>
    <cellStyle name="Comma 13 4 3 2 2" xfId="22377" xr:uid="{00000000-0005-0000-0000-0000161F0000}"/>
    <cellStyle name="Comma 13 4 3 3" xfId="22378" xr:uid="{00000000-0005-0000-0000-0000171F0000}"/>
    <cellStyle name="Comma 13 4 4" xfId="22379" xr:uid="{00000000-0005-0000-0000-0000181F0000}"/>
    <cellStyle name="Comma 13 4 4 2" xfId="22380" xr:uid="{00000000-0005-0000-0000-0000191F0000}"/>
    <cellStyle name="Comma 13 4 5" xfId="22381" xr:uid="{00000000-0005-0000-0000-00001A1F0000}"/>
    <cellStyle name="Comma 13 4 6" xfId="22382" xr:uid="{00000000-0005-0000-0000-00001B1F0000}"/>
    <cellStyle name="Comma 13 5" xfId="22383" xr:uid="{00000000-0005-0000-0000-00001C1F0000}"/>
    <cellStyle name="Comma 13 5 2" xfId="22384" xr:uid="{00000000-0005-0000-0000-00001D1F0000}"/>
    <cellStyle name="Comma 13 5 2 2" xfId="22385" xr:uid="{00000000-0005-0000-0000-00001E1F0000}"/>
    <cellStyle name="Comma 13 5 3" xfId="22386" xr:uid="{00000000-0005-0000-0000-00001F1F0000}"/>
    <cellStyle name="Comma 13 5 3 2" xfId="22387" xr:uid="{00000000-0005-0000-0000-0000201F0000}"/>
    <cellStyle name="Comma 13 5 3 2 2" xfId="22388" xr:uid="{00000000-0005-0000-0000-0000211F0000}"/>
    <cellStyle name="Comma 13 5 3 3" xfId="22389" xr:uid="{00000000-0005-0000-0000-0000221F0000}"/>
    <cellStyle name="Comma 13 5 4" xfId="22390" xr:uid="{00000000-0005-0000-0000-0000231F0000}"/>
    <cellStyle name="Comma 13 5 5" xfId="22391" xr:uid="{00000000-0005-0000-0000-0000241F0000}"/>
    <cellStyle name="Comma 13 6" xfId="22392" xr:uid="{00000000-0005-0000-0000-0000251F0000}"/>
    <cellStyle name="Comma 13 6 2" xfId="22393" xr:uid="{00000000-0005-0000-0000-0000261F0000}"/>
    <cellStyle name="Comma 13 6 2 2" xfId="22394" xr:uid="{00000000-0005-0000-0000-0000271F0000}"/>
    <cellStyle name="Comma 13 6 3" xfId="22395" xr:uid="{00000000-0005-0000-0000-0000281F0000}"/>
    <cellStyle name="Comma 13 6 4" xfId="22396" xr:uid="{00000000-0005-0000-0000-0000291F0000}"/>
    <cellStyle name="Comma 13 7" xfId="22397" xr:uid="{00000000-0005-0000-0000-00002A1F0000}"/>
    <cellStyle name="Comma 13 7 2" xfId="22398" xr:uid="{00000000-0005-0000-0000-00002B1F0000}"/>
    <cellStyle name="Comma 13 7 2 2" xfId="22399" xr:uid="{00000000-0005-0000-0000-00002C1F0000}"/>
    <cellStyle name="Comma 13 7 3" xfId="22400" xr:uid="{00000000-0005-0000-0000-00002D1F0000}"/>
    <cellStyle name="Comma 13 7 4" xfId="22401" xr:uid="{00000000-0005-0000-0000-00002E1F0000}"/>
    <cellStyle name="Comma 13 8" xfId="22402" xr:uid="{00000000-0005-0000-0000-00002F1F0000}"/>
    <cellStyle name="Comma 13 8 2" xfId="22403" xr:uid="{00000000-0005-0000-0000-0000301F0000}"/>
    <cellStyle name="Comma 13 8 2 2" xfId="22404" xr:uid="{00000000-0005-0000-0000-0000311F0000}"/>
    <cellStyle name="Comma 13 8 3" xfId="22405" xr:uid="{00000000-0005-0000-0000-0000321F0000}"/>
    <cellStyle name="Comma 13 8 4" xfId="22406" xr:uid="{00000000-0005-0000-0000-0000331F0000}"/>
    <cellStyle name="Comma 13 9" xfId="22407" xr:uid="{00000000-0005-0000-0000-0000341F0000}"/>
    <cellStyle name="Comma 13 9 2" xfId="22408" xr:uid="{00000000-0005-0000-0000-0000351F0000}"/>
    <cellStyle name="Comma 13 9 2 2" xfId="22409" xr:uid="{00000000-0005-0000-0000-0000361F0000}"/>
    <cellStyle name="Comma 13 9 3" xfId="22410" xr:uid="{00000000-0005-0000-0000-0000371F0000}"/>
    <cellStyle name="Comma 13 9 4" xfId="22411" xr:uid="{00000000-0005-0000-0000-0000381F0000}"/>
    <cellStyle name="Comma 130" xfId="22412" xr:uid="{00000000-0005-0000-0000-0000391F0000}"/>
    <cellStyle name="Comma 130 2" xfId="22413" xr:uid="{00000000-0005-0000-0000-00003A1F0000}"/>
    <cellStyle name="Comma 130 3" xfId="22414" xr:uid="{00000000-0005-0000-0000-00003B1F0000}"/>
    <cellStyle name="Comma 130 4" xfId="22415" xr:uid="{00000000-0005-0000-0000-00003C1F0000}"/>
    <cellStyle name="Comma 131" xfId="22416" xr:uid="{00000000-0005-0000-0000-00003D1F0000}"/>
    <cellStyle name="Comma 131 2" xfId="22417" xr:uid="{00000000-0005-0000-0000-00003E1F0000}"/>
    <cellStyle name="Comma 131 3" xfId="22418" xr:uid="{00000000-0005-0000-0000-00003F1F0000}"/>
    <cellStyle name="Comma 131 4" xfId="22419" xr:uid="{00000000-0005-0000-0000-0000401F0000}"/>
    <cellStyle name="Comma 132" xfId="22420" xr:uid="{00000000-0005-0000-0000-0000411F0000}"/>
    <cellStyle name="Comma 132 2" xfId="22421" xr:uid="{00000000-0005-0000-0000-0000421F0000}"/>
    <cellStyle name="Comma 132 3" xfId="22422" xr:uid="{00000000-0005-0000-0000-0000431F0000}"/>
    <cellStyle name="Comma 132 4" xfId="22423" xr:uid="{00000000-0005-0000-0000-0000441F0000}"/>
    <cellStyle name="Comma 133" xfId="22424" xr:uid="{00000000-0005-0000-0000-0000451F0000}"/>
    <cellStyle name="Comma 133 2" xfId="22425" xr:uid="{00000000-0005-0000-0000-0000461F0000}"/>
    <cellStyle name="Comma 133 3" xfId="22426" xr:uid="{00000000-0005-0000-0000-0000471F0000}"/>
    <cellStyle name="Comma 134" xfId="22427" xr:uid="{00000000-0005-0000-0000-0000481F0000}"/>
    <cellStyle name="Comma 134 2" xfId="22428" xr:uid="{00000000-0005-0000-0000-0000491F0000}"/>
    <cellStyle name="Comma 134 3" xfId="22429" xr:uid="{00000000-0005-0000-0000-00004A1F0000}"/>
    <cellStyle name="Comma 135" xfId="22430" xr:uid="{00000000-0005-0000-0000-00004B1F0000}"/>
    <cellStyle name="Comma 135 2" xfId="22431" xr:uid="{00000000-0005-0000-0000-00004C1F0000}"/>
    <cellStyle name="Comma 135 3" xfId="22432" xr:uid="{00000000-0005-0000-0000-00004D1F0000}"/>
    <cellStyle name="Comma 136" xfId="22433" xr:uid="{00000000-0005-0000-0000-00004E1F0000}"/>
    <cellStyle name="Comma 136 2" xfId="22434" xr:uid="{00000000-0005-0000-0000-00004F1F0000}"/>
    <cellStyle name="Comma 136 3" xfId="22435" xr:uid="{00000000-0005-0000-0000-0000501F0000}"/>
    <cellStyle name="Comma 137" xfId="22436" xr:uid="{00000000-0005-0000-0000-0000511F0000}"/>
    <cellStyle name="Comma 137 2" xfId="22437" xr:uid="{00000000-0005-0000-0000-0000521F0000}"/>
    <cellStyle name="Comma 137 3" xfId="22438" xr:uid="{00000000-0005-0000-0000-0000531F0000}"/>
    <cellStyle name="Comma 138" xfId="22439" xr:uid="{00000000-0005-0000-0000-0000541F0000}"/>
    <cellStyle name="Comma 138 2" xfId="22440" xr:uid="{00000000-0005-0000-0000-0000551F0000}"/>
    <cellStyle name="Comma 138 3" xfId="22441" xr:uid="{00000000-0005-0000-0000-0000561F0000}"/>
    <cellStyle name="Comma 139" xfId="22442" xr:uid="{00000000-0005-0000-0000-0000571F0000}"/>
    <cellStyle name="Comma 139 2" xfId="22443" xr:uid="{00000000-0005-0000-0000-0000581F0000}"/>
    <cellStyle name="Comma 139 3" xfId="22444" xr:uid="{00000000-0005-0000-0000-0000591F0000}"/>
    <cellStyle name="Comma 14" xfId="2781" xr:uid="{00000000-0005-0000-0000-00005A1F0000}"/>
    <cellStyle name="Comma 14 10" xfId="22446" xr:uid="{00000000-0005-0000-0000-00005B1F0000}"/>
    <cellStyle name="Comma 14 10 2" xfId="22447" xr:uid="{00000000-0005-0000-0000-00005C1F0000}"/>
    <cellStyle name="Comma 14 10 2 2" xfId="22448" xr:uid="{00000000-0005-0000-0000-00005D1F0000}"/>
    <cellStyle name="Comma 14 10 3" xfId="22449" xr:uid="{00000000-0005-0000-0000-00005E1F0000}"/>
    <cellStyle name="Comma 14 11" xfId="22450" xr:uid="{00000000-0005-0000-0000-00005F1F0000}"/>
    <cellStyle name="Comma 14 11 2" xfId="22451" xr:uid="{00000000-0005-0000-0000-0000601F0000}"/>
    <cellStyle name="Comma 14 11 2 2" xfId="22452" xr:uid="{00000000-0005-0000-0000-0000611F0000}"/>
    <cellStyle name="Comma 14 11 3" xfId="22453" xr:uid="{00000000-0005-0000-0000-0000621F0000}"/>
    <cellStyle name="Comma 14 12" xfId="22454" xr:uid="{00000000-0005-0000-0000-0000631F0000}"/>
    <cellStyle name="Comma 14 12 2" xfId="22455" xr:uid="{00000000-0005-0000-0000-0000641F0000}"/>
    <cellStyle name="Comma 14 12 2 2" xfId="22456" xr:uid="{00000000-0005-0000-0000-0000651F0000}"/>
    <cellStyle name="Comma 14 12 3" xfId="22457" xr:uid="{00000000-0005-0000-0000-0000661F0000}"/>
    <cellStyle name="Comma 14 13" xfId="22458" xr:uid="{00000000-0005-0000-0000-0000671F0000}"/>
    <cellStyle name="Comma 14 13 2" xfId="22459" xr:uid="{00000000-0005-0000-0000-0000681F0000}"/>
    <cellStyle name="Comma 14 13 2 2" xfId="22460" xr:uid="{00000000-0005-0000-0000-0000691F0000}"/>
    <cellStyle name="Comma 14 13 3" xfId="22461" xr:uid="{00000000-0005-0000-0000-00006A1F0000}"/>
    <cellStyle name="Comma 14 14" xfId="22462" xr:uid="{00000000-0005-0000-0000-00006B1F0000}"/>
    <cellStyle name="Comma 14 14 2" xfId="22463" xr:uid="{00000000-0005-0000-0000-00006C1F0000}"/>
    <cellStyle name="Comma 14 14 2 2" xfId="22464" xr:uid="{00000000-0005-0000-0000-00006D1F0000}"/>
    <cellStyle name="Comma 14 14 3" xfId="22465" xr:uid="{00000000-0005-0000-0000-00006E1F0000}"/>
    <cellStyle name="Comma 14 15" xfId="22466" xr:uid="{00000000-0005-0000-0000-00006F1F0000}"/>
    <cellStyle name="Comma 14 15 2" xfId="22467" xr:uid="{00000000-0005-0000-0000-0000701F0000}"/>
    <cellStyle name="Comma 14 15 2 2" xfId="22468" xr:uid="{00000000-0005-0000-0000-0000711F0000}"/>
    <cellStyle name="Comma 14 15 3" xfId="22469" xr:uid="{00000000-0005-0000-0000-0000721F0000}"/>
    <cellStyle name="Comma 14 16" xfId="22470" xr:uid="{00000000-0005-0000-0000-0000731F0000}"/>
    <cellStyle name="Comma 14 16 2" xfId="22471" xr:uid="{00000000-0005-0000-0000-0000741F0000}"/>
    <cellStyle name="Comma 14 16 2 2" xfId="22472" xr:uid="{00000000-0005-0000-0000-0000751F0000}"/>
    <cellStyle name="Comma 14 16 3" xfId="22473" xr:uid="{00000000-0005-0000-0000-0000761F0000}"/>
    <cellStyle name="Comma 14 17" xfId="22474" xr:uid="{00000000-0005-0000-0000-0000771F0000}"/>
    <cellStyle name="Comma 14 17 2" xfId="22475" xr:uid="{00000000-0005-0000-0000-0000781F0000}"/>
    <cellStyle name="Comma 14 17 2 2" xfId="22476" xr:uid="{00000000-0005-0000-0000-0000791F0000}"/>
    <cellStyle name="Comma 14 17 3" xfId="22477" xr:uid="{00000000-0005-0000-0000-00007A1F0000}"/>
    <cellStyle name="Comma 14 18" xfId="22478" xr:uid="{00000000-0005-0000-0000-00007B1F0000}"/>
    <cellStyle name="Comma 14 18 2" xfId="22479" xr:uid="{00000000-0005-0000-0000-00007C1F0000}"/>
    <cellStyle name="Comma 14 18 2 2" xfId="22480" xr:uid="{00000000-0005-0000-0000-00007D1F0000}"/>
    <cellStyle name="Comma 14 18 3" xfId="22481" xr:uid="{00000000-0005-0000-0000-00007E1F0000}"/>
    <cellStyle name="Comma 14 19" xfId="22482" xr:uid="{00000000-0005-0000-0000-00007F1F0000}"/>
    <cellStyle name="Comma 14 19 2" xfId="22483" xr:uid="{00000000-0005-0000-0000-0000801F0000}"/>
    <cellStyle name="Comma 14 19 2 2" xfId="22484" xr:uid="{00000000-0005-0000-0000-0000811F0000}"/>
    <cellStyle name="Comma 14 19 3" xfId="22485" xr:uid="{00000000-0005-0000-0000-0000821F0000}"/>
    <cellStyle name="Comma 14 2" xfId="2782" xr:uid="{00000000-0005-0000-0000-0000831F0000}"/>
    <cellStyle name="Comma 14 2 2" xfId="8968" xr:uid="{00000000-0005-0000-0000-0000841F0000}"/>
    <cellStyle name="Comma 14 2 2 2" xfId="22488" xr:uid="{00000000-0005-0000-0000-0000851F0000}"/>
    <cellStyle name="Comma 14 2 2 3" xfId="22487" xr:uid="{00000000-0005-0000-0000-0000861F0000}"/>
    <cellStyle name="Comma 14 2 3" xfId="22489" xr:uid="{00000000-0005-0000-0000-0000871F0000}"/>
    <cellStyle name="Comma 14 2 3 2" xfId="22490" xr:uid="{00000000-0005-0000-0000-0000881F0000}"/>
    <cellStyle name="Comma 14 2 3 2 2" xfId="22491" xr:uid="{00000000-0005-0000-0000-0000891F0000}"/>
    <cellStyle name="Comma 14 2 3 3" xfId="22492" xr:uid="{00000000-0005-0000-0000-00008A1F0000}"/>
    <cellStyle name="Comma 14 2 4" xfId="22493" xr:uid="{00000000-0005-0000-0000-00008B1F0000}"/>
    <cellStyle name="Comma 14 2 4 2" xfId="22494" xr:uid="{00000000-0005-0000-0000-00008C1F0000}"/>
    <cellStyle name="Comma 14 2 5" xfId="22495" xr:uid="{00000000-0005-0000-0000-00008D1F0000}"/>
    <cellStyle name="Comma 14 2 6" xfId="22496" xr:uid="{00000000-0005-0000-0000-00008E1F0000}"/>
    <cellStyle name="Comma 14 2 7" xfId="22486" xr:uid="{00000000-0005-0000-0000-00008F1F0000}"/>
    <cellStyle name="Comma 14 20" xfId="22497" xr:uid="{00000000-0005-0000-0000-0000901F0000}"/>
    <cellStyle name="Comma 14 20 2" xfId="22498" xr:uid="{00000000-0005-0000-0000-0000911F0000}"/>
    <cellStyle name="Comma 14 20 2 2" xfId="22499" xr:uid="{00000000-0005-0000-0000-0000921F0000}"/>
    <cellStyle name="Comma 14 20 3" xfId="22500" xr:uid="{00000000-0005-0000-0000-0000931F0000}"/>
    <cellStyle name="Comma 14 21" xfId="22501" xr:uid="{00000000-0005-0000-0000-0000941F0000}"/>
    <cellStyle name="Comma 14 21 2" xfId="22502" xr:uid="{00000000-0005-0000-0000-0000951F0000}"/>
    <cellStyle name="Comma 14 21 2 2" xfId="22503" xr:uid="{00000000-0005-0000-0000-0000961F0000}"/>
    <cellStyle name="Comma 14 21 3" xfId="22504" xr:uid="{00000000-0005-0000-0000-0000971F0000}"/>
    <cellStyle name="Comma 14 22" xfId="22505" xr:uid="{00000000-0005-0000-0000-0000981F0000}"/>
    <cellStyle name="Comma 14 22 2" xfId="22506" xr:uid="{00000000-0005-0000-0000-0000991F0000}"/>
    <cellStyle name="Comma 14 22 2 2" xfId="22507" xr:uid="{00000000-0005-0000-0000-00009A1F0000}"/>
    <cellStyle name="Comma 14 22 3" xfId="22508" xr:uid="{00000000-0005-0000-0000-00009B1F0000}"/>
    <cellStyle name="Comma 14 23" xfId="22509" xr:uid="{00000000-0005-0000-0000-00009C1F0000}"/>
    <cellStyle name="Comma 14 23 2" xfId="22510" xr:uid="{00000000-0005-0000-0000-00009D1F0000}"/>
    <cellStyle name="Comma 14 23 2 2" xfId="22511" xr:uid="{00000000-0005-0000-0000-00009E1F0000}"/>
    <cellStyle name="Comma 14 23 3" xfId="22512" xr:uid="{00000000-0005-0000-0000-00009F1F0000}"/>
    <cellStyle name="Comma 14 24" xfId="22513" xr:uid="{00000000-0005-0000-0000-0000A01F0000}"/>
    <cellStyle name="Comma 14 24 2" xfId="22514" xr:uid="{00000000-0005-0000-0000-0000A11F0000}"/>
    <cellStyle name="Comma 14 24 2 2" xfId="22515" xr:uid="{00000000-0005-0000-0000-0000A21F0000}"/>
    <cellStyle name="Comma 14 24 3" xfId="22516" xr:uid="{00000000-0005-0000-0000-0000A31F0000}"/>
    <cellStyle name="Comma 14 25" xfId="22517" xr:uid="{00000000-0005-0000-0000-0000A41F0000}"/>
    <cellStyle name="Comma 14 25 2" xfId="22518" xr:uid="{00000000-0005-0000-0000-0000A51F0000}"/>
    <cellStyle name="Comma 14 25 2 2" xfId="22519" xr:uid="{00000000-0005-0000-0000-0000A61F0000}"/>
    <cellStyle name="Comma 14 25 3" xfId="22520" xr:uid="{00000000-0005-0000-0000-0000A71F0000}"/>
    <cellStyle name="Comma 14 26" xfId="22521" xr:uid="{00000000-0005-0000-0000-0000A81F0000}"/>
    <cellStyle name="Comma 14 26 2" xfId="22522" xr:uid="{00000000-0005-0000-0000-0000A91F0000}"/>
    <cellStyle name="Comma 14 26 2 2" xfId="22523" xr:uid="{00000000-0005-0000-0000-0000AA1F0000}"/>
    <cellStyle name="Comma 14 26 3" xfId="22524" xr:uid="{00000000-0005-0000-0000-0000AB1F0000}"/>
    <cellStyle name="Comma 14 27" xfId="22525" xr:uid="{00000000-0005-0000-0000-0000AC1F0000}"/>
    <cellStyle name="Comma 14 27 2" xfId="22526" xr:uid="{00000000-0005-0000-0000-0000AD1F0000}"/>
    <cellStyle name="Comma 14 27 2 2" xfId="22527" xr:uid="{00000000-0005-0000-0000-0000AE1F0000}"/>
    <cellStyle name="Comma 14 27 3" xfId="22528" xr:uid="{00000000-0005-0000-0000-0000AF1F0000}"/>
    <cellStyle name="Comma 14 28" xfId="22529" xr:uid="{00000000-0005-0000-0000-0000B01F0000}"/>
    <cellStyle name="Comma 14 28 2" xfId="22530" xr:uid="{00000000-0005-0000-0000-0000B11F0000}"/>
    <cellStyle name="Comma 14 28 2 2" xfId="22531" xr:uid="{00000000-0005-0000-0000-0000B21F0000}"/>
    <cellStyle name="Comma 14 28 3" xfId="22532" xr:uid="{00000000-0005-0000-0000-0000B31F0000}"/>
    <cellStyle name="Comma 14 29" xfId="22533" xr:uid="{00000000-0005-0000-0000-0000B41F0000}"/>
    <cellStyle name="Comma 14 29 2" xfId="22534" xr:uid="{00000000-0005-0000-0000-0000B51F0000}"/>
    <cellStyle name="Comma 14 3" xfId="8969" xr:uid="{00000000-0005-0000-0000-0000B61F0000}"/>
    <cellStyle name="Comma 14 3 2" xfId="22536" xr:uid="{00000000-0005-0000-0000-0000B71F0000}"/>
    <cellStyle name="Comma 14 3 2 2" xfId="22537" xr:uid="{00000000-0005-0000-0000-0000B81F0000}"/>
    <cellStyle name="Comma 14 3 3" xfId="22538" xr:uid="{00000000-0005-0000-0000-0000B91F0000}"/>
    <cellStyle name="Comma 14 3 3 2" xfId="22539" xr:uid="{00000000-0005-0000-0000-0000BA1F0000}"/>
    <cellStyle name="Comma 14 3 3 2 2" xfId="22540" xr:uid="{00000000-0005-0000-0000-0000BB1F0000}"/>
    <cellStyle name="Comma 14 3 3 3" xfId="22541" xr:uid="{00000000-0005-0000-0000-0000BC1F0000}"/>
    <cellStyle name="Comma 14 3 4" xfId="22542" xr:uid="{00000000-0005-0000-0000-0000BD1F0000}"/>
    <cellStyle name="Comma 14 3 5" xfId="22535" xr:uid="{00000000-0005-0000-0000-0000BE1F0000}"/>
    <cellStyle name="Comma 14 30" xfId="22543" xr:uid="{00000000-0005-0000-0000-0000BF1F0000}"/>
    <cellStyle name="Comma 14 30 2" xfId="22544" xr:uid="{00000000-0005-0000-0000-0000C01F0000}"/>
    <cellStyle name="Comma 14 30 2 2" xfId="22545" xr:uid="{00000000-0005-0000-0000-0000C11F0000}"/>
    <cellStyle name="Comma 14 30 3" xfId="22546" xr:uid="{00000000-0005-0000-0000-0000C21F0000}"/>
    <cellStyle name="Comma 14 31" xfId="22547" xr:uid="{00000000-0005-0000-0000-0000C31F0000}"/>
    <cellStyle name="Comma 14 31 2" xfId="22548" xr:uid="{00000000-0005-0000-0000-0000C41F0000}"/>
    <cellStyle name="Comma 14 32" xfId="22549" xr:uid="{00000000-0005-0000-0000-0000C51F0000}"/>
    <cellStyle name="Comma 14 33" xfId="22550" xr:uid="{00000000-0005-0000-0000-0000C61F0000}"/>
    <cellStyle name="Comma 14 34" xfId="22445" xr:uid="{00000000-0005-0000-0000-0000C71F0000}"/>
    <cellStyle name="Comma 14 4" xfId="22551" xr:uid="{00000000-0005-0000-0000-0000C81F0000}"/>
    <cellStyle name="Comma 14 4 2" xfId="22552" xr:uid="{00000000-0005-0000-0000-0000C91F0000}"/>
    <cellStyle name="Comma 14 4 2 2" xfId="22553" xr:uid="{00000000-0005-0000-0000-0000CA1F0000}"/>
    <cellStyle name="Comma 14 4 3" xfId="22554" xr:uid="{00000000-0005-0000-0000-0000CB1F0000}"/>
    <cellStyle name="Comma 14 4 3 2" xfId="22555" xr:uid="{00000000-0005-0000-0000-0000CC1F0000}"/>
    <cellStyle name="Comma 14 4 3 2 2" xfId="22556" xr:uid="{00000000-0005-0000-0000-0000CD1F0000}"/>
    <cellStyle name="Comma 14 4 3 3" xfId="22557" xr:uid="{00000000-0005-0000-0000-0000CE1F0000}"/>
    <cellStyle name="Comma 14 4 4" xfId="22558" xr:uid="{00000000-0005-0000-0000-0000CF1F0000}"/>
    <cellStyle name="Comma 14 5" xfId="22559" xr:uid="{00000000-0005-0000-0000-0000D01F0000}"/>
    <cellStyle name="Comma 14 5 2" xfId="22560" xr:uid="{00000000-0005-0000-0000-0000D11F0000}"/>
    <cellStyle name="Comma 14 5 2 2" xfId="22561" xr:uid="{00000000-0005-0000-0000-0000D21F0000}"/>
    <cellStyle name="Comma 14 5 3" xfId="22562" xr:uid="{00000000-0005-0000-0000-0000D31F0000}"/>
    <cellStyle name="Comma 14 5 3 2" xfId="22563" xr:uid="{00000000-0005-0000-0000-0000D41F0000}"/>
    <cellStyle name="Comma 14 5 3 2 2" xfId="22564" xr:uid="{00000000-0005-0000-0000-0000D51F0000}"/>
    <cellStyle name="Comma 14 5 3 3" xfId="22565" xr:uid="{00000000-0005-0000-0000-0000D61F0000}"/>
    <cellStyle name="Comma 14 5 4" xfId="22566" xr:uid="{00000000-0005-0000-0000-0000D71F0000}"/>
    <cellStyle name="Comma 14 6" xfId="22567" xr:uid="{00000000-0005-0000-0000-0000D81F0000}"/>
    <cellStyle name="Comma 14 6 2" xfId="22568" xr:uid="{00000000-0005-0000-0000-0000D91F0000}"/>
    <cellStyle name="Comma 14 6 2 2" xfId="22569" xr:uid="{00000000-0005-0000-0000-0000DA1F0000}"/>
    <cellStyle name="Comma 14 6 3" xfId="22570" xr:uid="{00000000-0005-0000-0000-0000DB1F0000}"/>
    <cellStyle name="Comma 14 7" xfId="22571" xr:uid="{00000000-0005-0000-0000-0000DC1F0000}"/>
    <cellStyle name="Comma 14 7 2" xfId="22572" xr:uid="{00000000-0005-0000-0000-0000DD1F0000}"/>
    <cellStyle name="Comma 14 7 2 2" xfId="22573" xr:uid="{00000000-0005-0000-0000-0000DE1F0000}"/>
    <cellStyle name="Comma 14 7 3" xfId="22574" xr:uid="{00000000-0005-0000-0000-0000DF1F0000}"/>
    <cellStyle name="Comma 14 8" xfId="22575" xr:uid="{00000000-0005-0000-0000-0000E01F0000}"/>
    <cellStyle name="Comma 14 8 2" xfId="22576" xr:uid="{00000000-0005-0000-0000-0000E11F0000}"/>
    <cellStyle name="Comma 14 8 2 2" xfId="22577" xr:uid="{00000000-0005-0000-0000-0000E21F0000}"/>
    <cellStyle name="Comma 14 8 3" xfId="22578" xr:uid="{00000000-0005-0000-0000-0000E31F0000}"/>
    <cellStyle name="Comma 14 9" xfId="22579" xr:uid="{00000000-0005-0000-0000-0000E41F0000}"/>
    <cellStyle name="Comma 14 9 2" xfId="22580" xr:uid="{00000000-0005-0000-0000-0000E51F0000}"/>
    <cellStyle name="Comma 14 9 2 2" xfId="22581" xr:uid="{00000000-0005-0000-0000-0000E61F0000}"/>
    <cellStyle name="Comma 14 9 3" xfId="22582" xr:uid="{00000000-0005-0000-0000-0000E71F0000}"/>
    <cellStyle name="Comma 140" xfId="22583" xr:uid="{00000000-0005-0000-0000-0000E81F0000}"/>
    <cellStyle name="Comma 140 2" xfId="22584" xr:uid="{00000000-0005-0000-0000-0000E91F0000}"/>
    <cellStyle name="Comma 140 3" xfId="22585" xr:uid="{00000000-0005-0000-0000-0000EA1F0000}"/>
    <cellStyle name="Comma 141" xfId="22586" xr:uid="{00000000-0005-0000-0000-0000EB1F0000}"/>
    <cellStyle name="Comma 141 2" xfId="22587" xr:uid="{00000000-0005-0000-0000-0000EC1F0000}"/>
    <cellStyle name="Comma 141 3" xfId="22588" xr:uid="{00000000-0005-0000-0000-0000ED1F0000}"/>
    <cellStyle name="Comma 142" xfId="22589" xr:uid="{00000000-0005-0000-0000-0000EE1F0000}"/>
    <cellStyle name="Comma 142 2" xfId="22590" xr:uid="{00000000-0005-0000-0000-0000EF1F0000}"/>
    <cellStyle name="Comma 142 3" xfId="22591" xr:uid="{00000000-0005-0000-0000-0000F01F0000}"/>
    <cellStyle name="Comma 143" xfId="22592" xr:uid="{00000000-0005-0000-0000-0000F11F0000}"/>
    <cellStyle name="Comma 143 2" xfId="22593" xr:uid="{00000000-0005-0000-0000-0000F21F0000}"/>
    <cellStyle name="Comma 143 3" xfId="22594" xr:uid="{00000000-0005-0000-0000-0000F31F0000}"/>
    <cellStyle name="Comma 144" xfId="22595" xr:uid="{00000000-0005-0000-0000-0000F41F0000}"/>
    <cellStyle name="Comma 144 2" xfId="22596" xr:uid="{00000000-0005-0000-0000-0000F51F0000}"/>
    <cellStyle name="Comma 144 3" xfId="22597" xr:uid="{00000000-0005-0000-0000-0000F61F0000}"/>
    <cellStyle name="Comma 145" xfId="22598" xr:uid="{00000000-0005-0000-0000-0000F71F0000}"/>
    <cellStyle name="Comma 145 2" xfId="22599" xr:uid="{00000000-0005-0000-0000-0000F81F0000}"/>
    <cellStyle name="Comma 145 3" xfId="22600" xr:uid="{00000000-0005-0000-0000-0000F91F0000}"/>
    <cellStyle name="Comma 146" xfId="22601" xr:uid="{00000000-0005-0000-0000-0000FA1F0000}"/>
    <cellStyle name="Comma 146 2" xfId="22602" xr:uid="{00000000-0005-0000-0000-0000FB1F0000}"/>
    <cellStyle name="Comma 146 3" xfId="22603" xr:uid="{00000000-0005-0000-0000-0000FC1F0000}"/>
    <cellStyle name="Comma 147" xfId="22604" xr:uid="{00000000-0005-0000-0000-0000FD1F0000}"/>
    <cellStyle name="Comma 147 2" xfId="22605" xr:uid="{00000000-0005-0000-0000-0000FE1F0000}"/>
    <cellStyle name="Comma 147 3" xfId="22606" xr:uid="{00000000-0005-0000-0000-0000FF1F0000}"/>
    <cellStyle name="Comma 148" xfId="22607" xr:uid="{00000000-0005-0000-0000-000000200000}"/>
    <cellStyle name="Comma 148 2" xfId="22608" xr:uid="{00000000-0005-0000-0000-000001200000}"/>
    <cellStyle name="Comma 148 3" xfId="22609" xr:uid="{00000000-0005-0000-0000-000002200000}"/>
    <cellStyle name="Comma 149" xfId="22610" xr:uid="{00000000-0005-0000-0000-000003200000}"/>
    <cellStyle name="Comma 149 2" xfId="22611" xr:uid="{00000000-0005-0000-0000-000004200000}"/>
    <cellStyle name="Comma 149 3" xfId="22612" xr:uid="{00000000-0005-0000-0000-000005200000}"/>
    <cellStyle name="Comma 15" xfId="2783" xr:uid="{00000000-0005-0000-0000-000006200000}"/>
    <cellStyle name="Comma 15 10" xfId="22614" xr:uid="{00000000-0005-0000-0000-000007200000}"/>
    <cellStyle name="Comma 15 10 2" xfId="22615" xr:uid="{00000000-0005-0000-0000-000008200000}"/>
    <cellStyle name="Comma 15 10 2 2" xfId="22616" xr:uid="{00000000-0005-0000-0000-000009200000}"/>
    <cellStyle name="Comma 15 10 3" xfId="22617" xr:uid="{00000000-0005-0000-0000-00000A200000}"/>
    <cellStyle name="Comma 15 11" xfId="22618" xr:uid="{00000000-0005-0000-0000-00000B200000}"/>
    <cellStyle name="Comma 15 11 2" xfId="22619" xr:uid="{00000000-0005-0000-0000-00000C200000}"/>
    <cellStyle name="Comma 15 11 2 2" xfId="22620" xr:uid="{00000000-0005-0000-0000-00000D200000}"/>
    <cellStyle name="Comma 15 11 3" xfId="22621" xr:uid="{00000000-0005-0000-0000-00000E200000}"/>
    <cellStyle name="Comma 15 12" xfId="22622" xr:uid="{00000000-0005-0000-0000-00000F200000}"/>
    <cellStyle name="Comma 15 12 2" xfId="22623" xr:uid="{00000000-0005-0000-0000-000010200000}"/>
    <cellStyle name="Comma 15 12 2 2" xfId="22624" xr:uid="{00000000-0005-0000-0000-000011200000}"/>
    <cellStyle name="Comma 15 12 3" xfId="22625" xr:uid="{00000000-0005-0000-0000-000012200000}"/>
    <cellStyle name="Comma 15 13" xfId="22626" xr:uid="{00000000-0005-0000-0000-000013200000}"/>
    <cellStyle name="Comma 15 13 2" xfId="22627" xr:uid="{00000000-0005-0000-0000-000014200000}"/>
    <cellStyle name="Comma 15 13 2 2" xfId="22628" xr:uid="{00000000-0005-0000-0000-000015200000}"/>
    <cellStyle name="Comma 15 13 3" xfId="22629" xr:uid="{00000000-0005-0000-0000-000016200000}"/>
    <cellStyle name="Comma 15 14" xfId="22630" xr:uid="{00000000-0005-0000-0000-000017200000}"/>
    <cellStyle name="Comma 15 14 2" xfId="22631" xr:uid="{00000000-0005-0000-0000-000018200000}"/>
    <cellStyle name="Comma 15 14 2 2" xfId="22632" xr:uid="{00000000-0005-0000-0000-000019200000}"/>
    <cellStyle name="Comma 15 14 3" xfId="22633" xr:uid="{00000000-0005-0000-0000-00001A200000}"/>
    <cellStyle name="Comma 15 15" xfId="22634" xr:uid="{00000000-0005-0000-0000-00001B200000}"/>
    <cellStyle name="Comma 15 15 2" xfId="22635" xr:uid="{00000000-0005-0000-0000-00001C200000}"/>
    <cellStyle name="Comma 15 15 2 2" xfId="22636" xr:uid="{00000000-0005-0000-0000-00001D200000}"/>
    <cellStyle name="Comma 15 15 3" xfId="22637" xr:uid="{00000000-0005-0000-0000-00001E200000}"/>
    <cellStyle name="Comma 15 16" xfId="22638" xr:uid="{00000000-0005-0000-0000-00001F200000}"/>
    <cellStyle name="Comma 15 16 2" xfId="22639" xr:uid="{00000000-0005-0000-0000-000020200000}"/>
    <cellStyle name="Comma 15 16 2 2" xfId="22640" xr:uid="{00000000-0005-0000-0000-000021200000}"/>
    <cellStyle name="Comma 15 16 3" xfId="22641" xr:uid="{00000000-0005-0000-0000-000022200000}"/>
    <cellStyle name="Comma 15 17" xfId="22642" xr:uid="{00000000-0005-0000-0000-000023200000}"/>
    <cellStyle name="Comma 15 17 2" xfId="22643" xr:uid="{00000000-0005-0000-0000-000024200000}"/>
    <cellStyle name="Comma 15 17 2 2" xfId="22644" xr:uid="{00000000-0005-0000-0000-000025200000}"/>
    <cellStyle name="Comma 15 17 3" xfId="22645" xr:uid="{00000000-0005-0000-0000-000026200000}"/>
    <cellStyle name="Comma 15 18" xfId="22646" xr:uid="{00000000-0005-0000-0000-000027200000}"/>
    <cellStyle name="Comma 15 18 2" xfId="22647" xr:uid="{00000000-0005-0000-0000-000028200000}"/>
    <cellStyle name="Comma 15 18 2 2" xfId="22648" xr:uid="{00000000-0005-0000-0000-000029200000}"/>
    <cellStyle name="Comma 15 18 3" xfId="22649" xr:uid="{00000000-0005-0000-0000-00002A200000}"/>
    <cellStyle name="Comma 15 19" xfId="22650" xr:uid="{00000000-0005-0000-0000-00002B200000}"/>
    <cellStyle name="Comma 15 19 2" xfId="22651" xr:uid="{00000000-0005-0000-0000-00002C200000}"/>
    <cellStyle name="Comma 15 19 2 2" xfId="22652" xr:uid="{00000000-0005-0000-0000-00002D200000}"/>
    <cellStyle name="Comma 15 19 3" xfId="22653" xr:uid="{00000000-0005-0000-0000-00002E200000}"/>
    <cellStyle name="Comma 15 2" xfId="2784" xr:uid="{00000000-0005-0000-0000-00002F200000}"/>
    <cellStyle name="Comma 15 2 2" xfId="8970" xr:uid="{00000000-0005-0000-0000-000030200000}"/>
    <cellStyle name="Comma 15 2 2 2" xfId="22656" xr:uid="{00000000-0005-0000-0000-000031200000}"/>
    <cellStyle name="Comma 15 2 2 2 2" xfId="22657" xr:uid="{00000000-0005-0000-0000-000032200000}"/>
    <cellStyle name="Comma 15 2 2 3" xfId="22658" xr:uid="{00000000-0005-0000-0000-000033200000}"/>
    <cellStyle name="Comma 15 2 2 4" xfId="22655" xr:uid="{00000000-0005-0000-0000-000034200000}"/>
    <cellStyle name="Comma 15 2 3" xfId="22659" xr:uid="{00000000-0005-0000-0000-000035200000}"/>
    <cellStyle name="Comma 15 2 3 2" xfId="22660" xr:uid="{00000000-0005-0000-0000-000036200000}"/>
    <cellStyle name="Comma 15 2 3 2 2" xfId="22661" xr:uid="{00000000-0005-0000-0000-000037200000}"/>
    <cellStyle name="Comma 15 2 3 3" xfId="22662" xr:uid="{00000000-0005-0000-0000-000038200000}"/>
    <cellStyle name="Comma 15 2 4" xfId="22663" xr:uid="{00000000-0005-0000-0000-000039200000}"/>
    <cellStyle name="Comma 15 2 4 2" xfId="22664" xr:uid="{00000000-0005-0000-0000-00003A200000}"/>
    <cellStyle name="Comma 15 2 5" xfId="22665" xr:uid="{00000000-0005-0000-0000-00003B200000}"/>
    <cellStyle name="Comma 15 2 6" xfId="22654" xr:uid="{00000000-0005-0000-0000-00003C200000}"/>
    <cellStyle name="Comma 15 20" xfId="22666" xr:uid="{00000000-0005-0000-0000-00003D200000}"/>
    <cellStyle name="Comma 15 20 2" xfId="22667" xr:uid="{00000000-0005-0000-0000-00003E200000}"/>
    <cellStyle name="Comma 15 20 2 2" xfId="22668" xr:uid="{00000000-0005-0000-0000-00003F200000}"/>
    <cellStyle name="Comma 15 20 3" xfId="22669" xr:uid="{00000000-0005-0000-0000-000040200000}"/>
    <cellStyle name="Comma 15 21" xfId="22670" xr:uid="{00000000-0005-0000-0000-000041200000}"/>
    <cellStyle name="Comma 15 21 2" xfId="22671" xr:uid="{00000000-0005-0000-0000-000042200000}"/>
    <cellStyle name="Comma 15 21 2 2" xfId="22672" xr:uid="{00000000-0005-0000-0000-000043200000}"/>
    <cellStyle name="Comma 15 21 3" xfId="22673" xr:uid="{00000000-0005-0000-0000-000044200000}"/>
    <cellStyle name="Comma 15 22" xfId="22674" xr:uid="{00000000-0005-0000-0000-000045200000}"/>
    <cellStyle name="Comma 15 22 2" xfId="22675" xr:uid="{00000000-0005-0000-0000-000046200000}"/>
    <cellStyle name="Comma 15 22 2 2" xfId="22676" xr:uid="{00000000-0005-0000-0000-000047200000}"/>
    <cellStyle name="Comma 15 22 3" xfId="22677" xr:uid="{00000000-0005-0000-0000-000048200000}"/>
    <cellStyle name="Comma 15 23" xfId="22678" xr:uid="{00000000-0005-0000-0000-000049200000}"/>
    <cellStyle name="Comma 15 23 2" xfId="22679" xr:uid="{00000000-0005-0000-0000-00004A200000}"/>
    <cellStyle name="Comma 15 23 2 2" xfId="22680" xr:uid="{00000000-0005-0000-0000-00004B200000}"/>
    <cellStyle name="Comma 15 23 3" xfId="22681" xr:uid="{00000000-0005-0000-0000-00004C200000}"/>
    <cellStyle name="Comma 15 24" xfId="22682" xr:uid="{00000000-0005-0000-0000-00004D200000}"/>
    <cellStyle name="Comma 15 24 2" xfId="22683" xr:uid="{00000000-0005-0000-0000-00004E200000}"/>
    <cellStyle name="Comma 15 24 2 2" xfId="22684" xr:uid="{00000000-0005-0000-0000-00004F200000}"/>
    <cellStyle name="Comma 15 24 3" xfId="22685" xr:uid="{00000000-0005-0000-0000-000050200000}"/>
    <cellStyle name="Comma 15 25" xfId="22686" xr:uid="{00000000-0005-0000-0000-000051200000}"/>
    <cellStyle name="Comma 15 25 2" xfId="22687" xr:uid="{00000000-0005-0000-0000-000052200000}"/>
    <cellStyle name="Comma 15 25 2 2" xfId="22688" xr:uid="{00000000-0005-0000-0000-000053200000}"/>
    <cellStyle name="Comma 15 25 3" xfId="22689" xr:uid="{00000000-0005-0000-0000-000054200000}"/>
    <cellStyle name="Comma 15 26" xfId="22690" xr:uid="{00000000-0005-0000-0000-000055200000}"/>
    <cellStyle name="Comma 15 26 2" xfId="22691" xr:uid="{00000000-0005-0000-0000-000056200000}"/>
    <cellStyle name="Comma 15 26 2 2" xfId="22692" xr:uid="{00000000-0005-0000-0000-000057200000}"/>
    <cellStyle name="Comma 15 26 3" xfId="22693" xr:uid="{00000000-0005-0000-0000-000058200000}"/>
    <cellStyle name="Comma 15 27" xfId="22694" xr:uid="{00000000-0005-0000-0000-000059200000}"/>
    <cellStyle name="Comma 15 27 2" xfId="22695" xr:uid="{00000000-0005-0000-0000-00005A200000}"/>
    <cellStyle name="Comma 15 27 2 2" xfId="22696" xr:uid="{00000000-0005-0000-0000-00005B200000}"/>
    <cellStyle name="Comma 15 27 3" xfId="22697" xr:uid="{00000000-0005-0000-0000-00005C200000}"/>
    <cellStyle name="Comma 15 28" xfId="22698" xr:uid="{00000000-0005-0000-0000-00005D200000}"/>
    <cellStyle name="Comma 15 28 2" xfId="22699" xr:uid="{00000000-0005-0000-0000-00005E200000}"/>
    <cellStyle name="Comma 15 28 2 2" xfId="22700" xr:uid="{00000000-0005-0000-0000-00005F200000}"/>
    <cellStyle name="Comma 15 28 3" xfId="22701" xr:uid="{00000000-0005-0000-0000-000060200000}"/>
    <cellStyle name="Comma 15 29" xfId="22702" xr:uid="{00000000-0005-0000-0000-000061200000}"/>
    <cellStyle name="Comma 15 29 2" xfId="22703" xr:uid="{00000000-0005-0000-0000-000062200000}"/>
    <cellStyle name="Comma 15 3" xfId="8971" xr:uid="{00000000-0005-0000-0000-000063200000}"/>
    <cellStyle name="Comma 15 3 2" xfId="22705" xr:uid="{00000000-0005-0000-0000-000064200000}"/>
    <cellStyle name="Comma 15 3 2 2" xfId="22706" xr:uid="{00000000-0005-0000-0000-000065200000}"/>
    <cellStyle name="Comma 15 3 3" xfId="22707" xr:uid="{00000000-0005-0000-0000-000066200000}"/>
    <cellStyle name="Comma 15 3 3 2" xfId="22708" xr:uid="{00000000-0005-0000-0000-000067200000}"/>
    <cellStyle name="Comma 15 3 3 2 2" xfId="22709" xr:uid="{00000000-0005-0000-0000-000068200000}"/>
    <cellStyle name="Comma 15 3 3 3" xfId="22710" xr:uid="{00000000-0005-0000-0000-000069200000}"/>
    <cellStyle name="Comma 15 3 4" xfId="22711" xr:uid="{00000000-0005-0000-0000-00006A200000}"/>
    <cellStyle name="Comma 15 3 4 2" xfId="22712" xr:uid="{00000000-0005-0000-0000-00006B200000}"/>
    <cellStyle name="Comma 15 3 5" xfId="22713" xr:uid="{00000000-0005-0000-0000-00006C200000}"/>
    <cellStyle name="Comma 15 3 6" xfId="22704" xr:uid="{00000000-0005-0000-0000-00006D200000}"/>
    <cellStyle name="Comma 15 30" xfId="22714" xr:uid="{00000000-0005-0000-0000-00006E200000}"/>
    <cellStyle name="Comma 15 30 2" xfId="22715" xr:uid="{00000000-0005-0000-0000-00006F200000}"/>
    <cellStyle name="Comma 15 31" xfId="22716" xr:uid="{00000000-0005-0000-0000-000070200000}"/>
    <cellStyle name="Comma 15 31 2" xfId="22717" xr:uid="{00000000-0005-0000-0000-000071200000}"/>
    <cellStyle name="Comma 15 31 2 2" xfId="22718" xr:uid="{00000000-0005-0000-0000-000072200000}"/>
    <cellStyle name="Comma 15 31 3" xfId="22719" xr:uid="{00000000-0005-0000-0000-000073200000}"/>
    <cellStyle name="Comma 15 32" xfId="22720" xr:uid="{00000000-0005-0000-0000-000074200000}"/>
    <cellStyle name="Comma 15 32 2" xfId="22721" xr:uid="{00000000-0005-0000-0000-000075200000}"/>
    <cellStyle name="Comma 15 33" xfId="22722" xr:uid="{00000000-0005-0000-0000-000076200000}"/>
    <cellStyle name="Comma 15 34" xfId="22613" xr:uid="{00000000-0005-0000-0000-000077200000}"/>
    <cellStyle name="Comma 15 4" xfId="22723" xr:uid="{00000000-0005-0000-0000-000078200000}"/>
    <cellStyle name="Comma 15 4 2" xfId="22724" xr:uid="{00000000-0005-0000-0000-000079200000}"/>
    <cellStyle name="Comma 15 4 2 2" xfId="22725" xr:uid="{00000000-0005-0000-0000-00007A200000}"/>
    <cellStyle name="Comma 15 4 3" xfId="22726" xr:uid="{00000000-0005-0000-0000-00007B200000}"/>
    <cellStyle name="Comma 15 4 3 2" xfId="22727" xr:uid="{00000000-0005-0000-0000-00007C200000}"/>
    <cellStyle name="Comma 15 4 3 2 2" xfId="22728" xr:uid="{00000000-0005-0000-0000-00007D200000}"/>
    <cellStyle name="Comma 15 4 3 3" xfId="22729" xr:uid="{00000000-0005-0000-0000-00007E200000}"/>
    <cellStyle name="Comma 15 4 4" xfId="22730" xr:uid="{00000000-0005-0000-0000-00007F200000}"/>
    <cellStyle name="Comma 15 4 4 2" xfId="22731" xr:uid="{00000000-0005-0000-0000-000080200000}"/>
    <cellStyle name="Comma 15 4 5" xfId="22732" xr:uid="{00000000-0005-0000-0000-000081200000}"/>
    <cellStyle name="Comma 15 4 6" xfId="22733" xr:uid="{00000000-0005-0000-0000-000082200000}"/>
    <cellStyle name="Comma 15 5" xfId="22734" xr:uid="{00000000-0005-0000-0000-000083200000}"/>
    <cellStyle name="Comma 15 5 2" xfId="22735" xr:uid="{00000000-0005-0000-0000-000084200000}"/>
    <cellStyle name="Comma 15 5 2 2" xfId="22736" xr:uid="{00000000-0005-0000-0000-000085200000}"/>
    <cellStyle name="Comma 15 5 3" xfId="22737" xr:uid="{00000000-0005-0000-0000-000086200000}"/>
    <cellStyle name="Comma 15 5 3 2" xfId="22738" xr:uid="{00000000-0005-0000-0000-000087200000}"/>
    <cellStyle name="Comma 15 5 3 2 2" xfId="22739" xr:uid="{00000000-0005-0000-0000-000088200000}"/>
    <cellStyle name="Comma 15 5 3 3" xfId="22740" xr:uid="{00000000-0005-0000-0000-000089200000}"/>
    <cellStyle name="Comma 15 5 4" xfId="22741" xr:uid="{00000000-0005-0000-0000-00008A200000}"/>
    <cellStyle name="Comma 15 6" xfId="22742" xr:uid="{00000000-0005-0000-0000-00008B200000}"/>
    <cellStyle name="Comma 15 6 2" xfId="22743" xr:uid="{00000000-0005-0000-0000-00008C200000}"/>
    <cellStyle name="Comma 15 6 2 2" xfId="22744" xr:uid="{00000000-0005-0000-0000-00008D200000}"/>
    <cellStyle name="Comma 15 6 3" xfId="22745" xr:uid="{00000000-0005-0000-0000-00008E200000}"/>
    <cellStyle name="Comma 15 7" xfId="22746" xr:uid="{00000000-0005-0000-0000-00008F200000}"/>
    <cellStyle name="Comma 15 7 2" xfId="22747" xr:uid="{00000000-0005-0000-0000-000090200000}"/>
    <cellStyle name="Comma 15 7 2 2" xfId="22748" xr:uid="{00000000-0005-0000-0000-000091200000}"/>
    <cellStyle name="Comma 15 7 3" xfId="22749" xr:uid="{00000000-0005-0000-0000-000092200000}"/>
    <cellStyle name="Comma 15 8" xfId="22750" xr:uid="{00000000-0005-0000-0000-000093200000}"/>
    <cellStyle name="Comma 15 8 2" xfId="22751" xr:uid="{00000000-0005-0000-0000-000094200000}"/>
    <cellStyle name="Comma 15 8 2 2" xfId="22752" xr:uid="{00000000-0005-0000-0000-000095200000}"/>
    <cellStyle name="Comma 15 8 3" xfId="22753" xr:uid="{00000000-0005-0000-0000-000096200000}"/>
    <cellStyle name="Comma 15 9" xfId="22754" xr:uid="{00000000-0005-0000-0000-000097200000}"/>
    <cellStyle name="Comma 15 9 2" xfId="22755" xr:uid="{00000000-0005-0000-0000-000098200000}"/>
    <cellStyle name="Comma 15 9 2 2" xfId="22756" xr:uid="{00000000-0005-0000-0000-000099200000}"/>
    <cellStyle name="Comma 15 9 3" xfId="22757" xr:uid="{00000000-0005-0000-0000-00009A200000}"/>
    <cellStyle name="Comma 150" xfId="22758" xr:uid="{00000000-0005-0000-0000-00009B200000}"/>
    <cellStyle name="Comma 150 2" xfId="22759" xr:uid="{00000000-0005-0000-0000-00009C200000}"/>
    <cellStyle name="Comma 150 3" xfId="22760" xr:uid="{00000000-0005-0000-0000-00009D200000}"/>
    <cellStyle name="Comma 151" xfId="22761" xr:uid="{00000000-0005-0000-0000-00009E200000}"/>
    <cellStyle name="Comma 151 2" xfId="22762" xr:uid="{00000000-0005-0000-0000-00009F200000}"/>
    <cellStyle name="Comma 151 3" xfId="22763" xr:uid="{00000000-0005-0000-0000-0000A0200000}"/>
    <cellStyle name="Comma 152" xfId="22764" xr:uid="{00000000-0005-0000-0000-0000A1200000}"/>
    <cellStyle name="Comma 152 2" xfId="22765" xr:uid="{00000000-0005-0000-0000-0000A2200000}"/>
    <cellStyle name="Comma 152 3" xfId="22766" xr:uid="{00000000-0005-0000-0000-0000A3200000}"/>
    <cellStyle name="Comma 153" xfId="22767" xr:uid="{00000000-0005-0000-0000-0000A4200000}"/>
    <cellStyle name="Comma 153 2" xfId="22768" xr:uid="{00000000-0005-0000-0000-0000A5200000}"/>
    <cellStyle name="Comma 153 3" xfId="22769" xr:uid="{00000000-0005-0000-0000-0000A6200000}"/>
    <cellStyle name="Comma 154" xfId="22770" xr:uid="{00000000-0005-0000-0000-0000A7200000}"/>
    <cellStyle name="Comma 154 2" xfId="22771" xr:uid="{00000000-0005-0000-0000-0000A8200000}"/>
    <cellStyle name="Comma 154 3" xfId="22772" xr:uid="{00000000-0005-0000-0000-0000A9200000}"/>
    <cellStyle name="Comma 155" xfId="22773" xr:uid="{00000000-0005-0000-0000-0000AA200000}"/>
    <cellStyle name="Comma 155 2" xfId="22774" xr:uid="{00000000-0005-0000-0000-0000AB200000}"/>
    <cellStyle name="Comma 155 3" xfId="22775" xr:uid="{00000000-0005-0000-0000-0000AC200000}"/>
    <cellStyle name="Comma 156" xfId="22776" xr:uid="{00000000-0005-0000-0000-0000AD200000}"/>
    <cellStyle name="Comma 156 2" xfId="22777" xr:uid="{00000000-0005-0000-0000-0000AE200000}"/>
    <cellStyle name="Comma 156 3" xfId="22778" xr:uid="{00000000-0005-0000-0000-0000AF200000}"/>
    <cellStyle name="Comma 157" xfId="22779" xr:uid="{00000000-0005-0000-0000-0000B0200000}"/>
    <cellStyle name="Comma 157 2" xfId="22780" xr:uid="{00000000-0005-0000-0000-0000B1200000}"/>
    <cellStyle name="Comma 157 3" xfId="22781" xr:uid="{00000000-0005-0000-0000-0000B2200000}"/>
    <cellStyle name="Comma 158" xfId="22782" xr:uid="{00000000-0005-0000-0000-0000B3200000}"/>
    <cellStyle name="Comma 158 2" xfId="22783" xr:uid="{00000000-0005-0000-0000-0000B4200000}"/>
    <cellStyle name="Comma 158 3" xfId="22784" xr:uid="{00000000-0005-0000-0000-0000B5200000}"/>
    <cellStyle name="Comma 159" xfId="22785" xr:uid="{00000000-0005-0000-0000-0000B6200000}"/>
    <cellStyle name="Comma 159 2" xfId="22786" xr:uid="{00000000-0005-0000-0000-0000B7200000}"/>
    <cellStyle name="Comma 159 3" xfId="22787" xr:uid="{00000000-0005-0000-0000-0000B8200000}"/>
    <cellStyle name="Comma 16" xfId="2785" xr:uid="{00000000-0005-0000-0000-0000B9200000}"/>
    <cellStyle name="Comma 16 10" xfId="22789" xr:uid="{00000000-0005-0000-0000-0000BA200000}"/>
    <cellStyle name="Comma 16 10 2" xfId="22790" xr:uid="{00000000-0005-0000-0000-0000BB200000}"/>
    <cellStyle name="Comma 16 10 2 2" xfId="22791" xr:uid="{00000000-0005-0000-0000-0000BC200000}"/>
    <cellStyle name="Comma 16 10 3" xfId="22792" xr:uid="{00000000-0005-0000-0000-0000BD200000}"/>
    <cellStyle name="Comma 16 11" xfId="22793" xr:uid="{00000000-0005-0000-0000-0000BE200000}"/>
    <cellStyle name="Comma 16 11 2" xfId="22794" xr:uid="{00000000-0005-0000-0000-0000BF200000}"/>
    <cellStyle name="Comma 16 11 2 2" xfId="22795" xr:uid="{00000000-0005-0000-0000-0000C0200000}"/>
    <cellStyle name="Comma 16 11 3" xfId="22796" xr:uid="{00000000-0005-0000-0000-0000C1200000}"/>
    <cellStyle name="Comma 16 12" xfId="22797" xr:uid="{00000000-0005-0000-0000-0000C2200000}"/>
    <cellStyle name="Comma 16 12 2" xfId="22798" xr:uid="{00000000-0005-0000-0000-0000C3200000}"/>
    <cellStyle name="Comma 16 12 2 2" xfId="22799" xr:uid="{00000000-0005-0000-0000-0000C4200000}"/>
    <cellStyle name="Comma 16 12 3" xfId="22800" xr:uid="{00000000-0005-0000-0000-0000C5200000}"/>
    <cellStyle name="Comma 16 13" xfId="22801" xr:uid="{00000000-0005-0000-0000-0000C6200000}"/>
    <cellStyle name="Comma 16 13 2" xfId="22802" xr:uid="{00000000-0005-0000-0000-0000C7200000}"/>
    <cellStyle name="Comma 16 13 2 2" xfId="22803" xr:uid="{00000000-0005-0000-0000-0000C8200000}"/>
    <cellStyle name="Comma 16 13 3" xfId="22804" xr:uid="{00000000-0005-0000-0000-0000C9200000}"/>
    <cellStyle name="Comma 16 14" xfId="22805" xr:uid="{00000000-0005-0000-0000-0000CA200000}"/>
    <cellStyle name="Comma 16 14 2" xfId="22806" xr:uid="{00000000-0005-0000-0000-0000CB200000}"/>
    <cellStyle name="Comma 16 14 2 2" xfId="22807" xr:uid="{00000000-0005-0000-0000-0000CC200000}"/>
    <cellStyle name="Comma 16 14 3" xfId="22808" xr:uid="{00000000-0005-0000-0000-0000CD200000}"/>
    <cellStyle name="Comma 16 15" xfId="22809" xr:uid="{00000000-0005-0000-0000-0000CE200000}"/>
    <cellStyle name="Comma 16 15 2" xfId="22810" xr:uid="{00000000-0005-0000-0000-0000CF200000}"/>
    <cellStyle name="Comma 16 15 2 2" xfId="22811" xr:uid="{00000000-0005-0000-0000-0000D0200000}"/>
    <cellStyle name="Comma 16 15 3" xfId="22812" xr:uid="{00000000-0005-0000-0000-0000D1200000}"/>
    <cellStyle name="Comma 16 16" xfId="22813" xr:uid="{00000000-0005-0000-0000-0000D2200000}"/>
    <cellStyle name="Comma 16 16 2" xfId="22814" xr:uid="{00000000-0005-0000-0000-0000D3200000}"/>
    <cellStyle name="Comma 16 16 2 2" xfId="22815" xr:uid="{00000000-0005-0000-0000-0000D4200000}"/>
    <cellStyle name="Comma 16 16 3" xfId="22816" xr:uid="{00000000-0005-0000-0000-0000D5200000}"/>
    <cellStyle name="Comma 16 17" xfId="22817" xr:uid="{00000000-0005-0000-0000-0000D6200000}"/>
    <cellStyle name="Comma 16 17 2" xfId="22818" xr:uid="{00000000-0005-0000-0000-0000D7200000}"/>
    <cellStyle name="Comma 16 17 2 2" xfId="22819" xr:uid="{00000000-0005-0000-0000-0000D8200000}"/>
    <cellStyle name="Comma 16 17 3" xfId="22820" xr:uid="{00000000-0005-0000-0000-0000D9200000}"/>
    <cellStyle name="Comma 16 18" xfId="22821" xr:uid="{00000000-0005-0000-0000-0000DA200000}"/>
    <cellStyle name="Comma 16 18 2" xfId="22822" xr:uid="{00000000-0005-0000-0000-0000DB200000}"/>
    <cellStyle name="Comma 16 18 2 2" xfId="22823" xr:uid="{00000000-0005-0000-0000-0000DC200000}"/>
    <cellStyle name="Comma 16 18 3" xfId="22824" xr:uid="{00000000-0005-0000-0000-0000DD200000}"/>
    <cellStyle name="Comma 16 19" xfId="22825" xr:uid="{00000000-0005-0000-0000-0000DE200000}"/>
    <cellStyle name="Comma 16 19 2" xfId="22826" xr:uid="{00000000-0005-0000-0000-0000DF200000}"/>
    <cellStyle name="Comma 16 19 2 2" xfId="22827" xr:uid="{00000000-0005-0000-0000-0000E0200000}"/>
    <cellStyle name="Comma 16 19 3" xfId="22828" xr:uid="{00000000-0005-0000-0000-0000E1200000}"/>
    <cellStyle name="Comma 16 2" xfId="2786" xr:uid="{00000000-0005-0000-0000-0000E2200000}"/>
    <cellStyle name="Comma 16 2 2" xfId="8972" xr:uid="{00000000-0005-0000-0000-0000E3200000}"/>
    <cellStyle name="Comma 16 2 2 2" xfId="22831" xr:uid="{00000000-0005-0000-0000-0000E4200000}"/>
    <cellStyle name="Comma 16 2 2 3" xfId="22830" xr:uid="{00000000-0005-0000-0000-0000E5200000}"/>
    <cellStyle name="Comma 16 2 3" xfId="22832" xr:uid="{00000000-0005-0000-0000-0000E6200000}"/>
    <cellStyle name="Comma 16 2 3 2" xfId="22833" xr:uid="{00000000-0005-0000-0000-0000E7200000}"/>
    <cellStyle name="Comma 16 2 3 2 2" xfId="22834" xr:uid="{00000000-0005-0000-0000-0000E8200000}"/>
    <cellStyle name="Comma 16 2 3 3" xfId="22835" xr:uid="{00000000-0005-0000-0000-0000E9200000}"/>
    <cellStyle name="Comma 16 2 4" xfId="22836" xr:uid="{00000000-0005-0000-0000-0000EA200000}"/>
    <cellStyle name="Comma 16 2 4 2" xfId="22837" xr:uid="{00000000-0005-0000-0000-0000EB200000}"/>
    <cellStyle name="Comma 16 2 5" xfId="22838" xr:uid="{00000000-0005-0000-0000-0000EC200000}"/>
    <cellStyle name="Comma 16 2 6" xfId="22839" xr:uid="{00000000-0005-0000-0000-0000ED200000}"/>
    <cellStyle name="Comma 16 2 7" xfId="22829" xr:uid="{00000000-0005-0000-0000-0000EE200000}"/>
    <cellStyle name="Comma 16 20" xfId="22840" xr:uid="{00000000-0005-0000-0000-0000EF200000}"/>
    <cellStyle name="Comma 16 20 2" xfId="22841" xr:uid="{00000000-0005-0000-0000-0000F0200000}"/>
    <cellStyle name="Comma 16 20 2 2" xfId="22842" xr:uid="{00000000-0005-0000-0000-0000F1200000}"/>
    <cellStyle name="Comma 16 20 3" xfId="22843" xr:uid="{00000000-0005-0000-0000-0000F2200000}"/>
    <cellStyle name="Comma 16 21" xfId="22844" xr:uid="{00000000-0005-0000-0000-0000F3200000}"/>
    <cellStyle name="Comma 16 21 2" xfId="22845" xr:uid="{00000000-0005-0000-0000-0000F4200000}"/>
    <cellStyle name="Comma 16 21 2 2" xfId="22846" xr:uid="{00000000-0005-0000-0000-0000F5200000}"/>
    <cellStyle name="Comma 16 21 3" xfId="22847" xr:uid="{00000000-0005-0000-0000-0000F6200000}"/>
    <cellStyle name="Comma 16 22" xfId="22848" xr:uid="{00000000-0005-0000-0000-0000F7200000}"/>
    <cellStyle name="Comma 16 22 2" xfId="22849" xr:uid="{00000000-0005-0000-0000-0000F8200000}"/>
    <cellStyle name="Comma 16 22 2 2" xfId="22850" xr:uid="{00000000-0005-0000-0000-0000F9200000}"/>
    <cellStyle name="Comma 16 22 3" xfId="22851" xr:uid="{00000000-0005-0000-0000-0000FA200000}"/>
    <cellStyle name="Comma 16 23" xfId="22852" xr:uid="{00000000-0005-0000-0000-0000FB200000}"/>
    <cellStyle name="Comma 16 23 2" xfId="22853" xr:uid="{00000000-0005-0000-0000-0000FC200000}"/>
    <cellStyle name="Comma 16 23 2 2" xfId="22854" xr:uid="{00000000-0005-0000-0000-0000FD200000}"/>
    <cellStyle name="Comma 16 23 3" xfId="22855" xr:uid="{00000000-0005-0000-0000-0000FE200000}"/>
    <cellStyle name="Comma 16 24" xfId="22856" xr:uid="{00000000-0005-0000-0000-0000FF200000}"/>
    <cellStyle name="Comma 16 24 2" xfId="22857" xr:uid="{00000000-0005-0000-0000-000000210000}"/>
    <cellStyle name="Comma 16 24 2 2" xfId="22858" xr:uid="{00000000-0005-0000-0000-000001210000}"/>
    <cellStyle name="Comma 16 24 3" xfId="22859" xr:uid="{00000000-0005-0000-0000-000002210000}"/>
    <cellStyle name="Comma 16 25" xfId="22860" xr:uid="{00000000-0005-0000-0000-000003210000}"/>
    <cellStyle name="Comma 16 25 2" xfId="22861" xr:uid="{00000000-0005-0000-0000-000004210000}"/>
    <cellStyle name="Comma 16 25 2 2" xfId="22862" xr:uid="{00000000-0005-0000-0000-000005210000}"/>
    <cellStyle name="Comma 16 25 3" xfId="22863" xr:uid="{00000000-0005-0000-0000-000006210000}"/>
    <cellStyle name="Comma 16 26" xfId="22864" xr:uid="{00000000-0005-0000-0000-000007210000}"/>
    <cellStyle name="Comma 16 26 2" xfId="22865" xr:uid="{00000000-0005-0000-0000-000008210000}"/>
    <cellStyle name="Comma 16 26 2 2" xfId="22866" xr:uid="{00000000-0005-0000-0000-000009210000}"/>
    <cellStyle name="Comma 16 26 3" xfId="22867" xr:uid="{00000000-0005-0000-0000-00000A210000}"/>
    <cellStyle name="Comma 16 27" xfId="22868" xr:uid="{00000000-0005-0000-0000-00000B210000}"/>
    <cellStyle name="Comma 16 27 2" xfId="22869" xr:uid="{00000000-0005-0000-0000-00000C210000}"/>
    <cellStyle name="Comma 16 27 2 2" xfId="22870" xr:uid="{00000000-0005-0000-0000-00000D210000}"/>
    <cellStyle name="Comma 16 27 3" xfId="22871" xr:uid="{00000000-0005-0000-0000-00000E210000}"/>
    <cellStyle name="Comma 16 28" xfId="22872" xr:uid="{00000000-0005-0000-0000-00000F210000}"/>
    <cellStyle name="Comma 16 28 2" xfId="22873" xr:uid="{00000000-0005-0000-0000-000010210000}"/>
    <cellStyle name="Comma 16 28 2 2" xfId="22874" xr:uid="{00000000-0005-0000-0000-000011210000}"/>
    <cellStyle name="Comma 16 28 3" xfId="22875" xr:uid="{00000000-0005-0000-0000-000012210000}"/>
    <cellStyle name="Comma 16 29" xfId="22876" xr:uid="{00000000-0005-0000-0000-000013210000}"/>
    <cellStyle name="Comma 16 29 2" xfId="22877" xr:uid="{00000000-0005-0000-0000-000014210000}"/>
    <cellStyle name="Comma 16 3" xfId="8973" xr:uid="{00000000-0005-0000-0000-000015210000}"/>
    <cellStyle name="Comma 16 3 2" xfId="22879" xr:uid="{00000000-0005-0000-0000-000016210000}"/>
    <cellStyle name="Comma 16 3 2 2" xfId="22880" xr:uid="{00000000-0005-0000-0000-000017210000}"/>
    <cellStyle name="Comma 16 3 3" xfId="22881" xr:uid="{00000000-0005-0000-0000-000018210000}"/>
    <cellStyle name="Comma 16 3 3 2" xfId="22882" xr:uid="{00000000-0005-0000-0000-000019210000}"/>
    <cellStyle name="Comma 16 3 3 2 2" xfId="22883" xr:uid="{00000000-0005-0000-0000-00001A210000}"/>
    <cellStyle name="Comma 16 3 3 3" xfId="22884" xr:uid="{00000000-0005-0000-0000-00001B210000}"/>
    <cellStyle name="Comma 16 3 4" xfId="22885" xr:uid="{00000000-0005-0000-0000-00001C210000}"/>
    <cellStyle name="Comma 16 3 5" xfId="22878" xr:uid="{00000000-0005-0000-0000-00001D210000}"/>
    <cellStyle name="Comma 16 30" xfId="22886" xr:uid="{00000000-0005-0000-0000-00001E210000}"/>
    <cellStyle name="Comma 16 30 2" xfId="22887" xr:uid="{00000000-0005-0000-0000-00001F210000}"/>
    <cellStyle name="Comma 16 30 2 2" xfId="22888" xr:uid="{00000000-0005-0000-0000-000020210000}"/>
    <cellStyle name="Comma 16 30 3" xfId="22889" xr:uid="{00000000-0005-0000-0000-000021210000}"/>
    <cellStyle name="Comma 16 31" xfId="22890" xr:uid="{00000000-0005-0000-0000-000022210000}"/>
    <cellStyle name="Comma 16 31 2" xfId="22891" xr:uid="{00000000-0005-0000-0000-000023210000}"/>
    <cellStyle name="Comma 16 32" xfId="22892" xr:uid="{00000000-0005-0000-0000-000024210000}"/>
    <cellStyle name="Comma 16 33" xfId="22893" xr:uid="{00000000-0005-0000-0000-000025210000}"/>
    <cellStyle name="Comma 16 34" xfId="22788" xr:uid="{00000000-0005-0000-0000-000026210000}"/>
    <cellStyle name="Comma 16 4" xfId="22894" xr:uid="{00000000-0005-0000-0000-000027210000}"/>
    <cellStyle name="Comma 16 4 2" xfId="22895" xr:uid="{00000000-0005-0000-0000-000028210000}"/>
    <cellStyle name="Comma 16 4 2 2" xfId="22896" xr:uid="{00000000-0005-0000-0000-000029210000}"/>
    <cellStyle name="Comma 16 4 3" xfId="22897" xr:uid="{00000000-0005-0000-0000-00002A210000}"/>
    <cellStyle name="Comma 16 4 3 2" xfId="22898" xr:uid="{00000000-0005-0000-0000-00002B210000}"/>
    <cellStyle name="Comma 16 4 3 2 2" xfId="22899" xr:uid="{00000000-0005-0000-0000-00002C210000}"/>
    <cellStyle name="Comma 16 4 3 3" xfId="22900" xr:uid="{00000000-0005-0000-0000-00002D210000}"/>
    <cellStyle name="Comma 16 4 4" xfId="22901" xr:uid="{00000000-0005-0000-0000-00002E210000}"/>
    <cellStyle name="Comma 16 5" xfId="22902" xr:uid="{00000000-0005-0000-0000-00002F210000}"/>
    <cellStyle name="Comma 16 5 2" xfId="22903" xr:uid="{00000000-0005-0000-0000-000030210000}"/>
    <cellStyle name="Comma 16 5 2 2" xfId="22904" xr:uid="{00000000-0005-0000-0000-000031210000}"/>
    <cellStyle name="Comma 16 5 3" xfId="22905" xr:uid="{00000000-0005-0000-0000-000032210000}"/>
    <cellStyle name="Comma 16 5 3 2" xfId="22906" xr:uid="{00000000-0005-0000-0000-000033210000}"/>
    <cellStyle name="Comma 16 5 3 2 2" xfId="22907" xr:uid="{00000000-0005-0000-0000-000034210000}"/>
    <cellStyle name="Comma 16 5 3 3" xfId="22908" xr:uid="{00000000-0005-0000-0000-000035210000}"/>
    <cellStyle name="Comma 16 5 4" xfId="22909" xr:uid="{00000000-0005-0000-0000-000036210000}"/>
    <cellStyle name="Comma 16 6" xfId="22910" xr:uid="{00000000-0005-0000-0000-000037210000}"/>
    <cellStyle name="Comma 16 6 2" xfId="22911" xr:uid="{00000000-0005-0000-0000-000038210000}"/>
    <cellStyle name="Comma 16 6 2 2" xfId="22912" xr:uid="{00000000-0005-0000-0000-000039210000}"/>
    <cellStyle name="Comma 16 6 3" xfId="22913" xr:uid="{00000000-0005-0000-0000-00003A210000}"/>
    <cellStyle name="Comma 16 7" xfId="22914" xr:uid="{00000000-0005-0000-0000-00003B210000}"/>
    <cellStyle name="Comma 16 7 2" xfId="22915" xr:uid="{00000000-0005-0000-0000-00003C210000}"/>
    <cellStyle name="Comma 16 7 2 2" xfId="22916" xr:uid="{00000000-0005-0000-0000-00003D210000}"/>
    <cellStyle name="Comma 16 7 3" xfId="22917" xr:uid="{00000000-0005-0000-0000-00003E210000}"/>
    <cellStyle name="Comma 16 8" xfId="22918" xr:uid="{00000000-0005-0000-0000-00003F210000}"/>
    <cellStyle name="Comma 16 8 2" xfId="22919" xr:uid="{00000000-0005-0000-0000-000040210000}"/>
    <cellStyle name="Comma 16 8 2 2" xfId="22920" xr:uid="{00000000-0005-0000-0000-000041210000}"/>
    <cellStyle name="Comma 16 8 3" xfId="22921" xr:uid="{00000000-0005-0000-0000-000042210000}"/>
    <cellStyle name="Comma 16 9" xfId="22922" xr:uid="{00000000-0005-0000-0000-000043210000}"/>
    <cellStyle name="Comma 16 9 2" xfId="22923" xr:uid="{00000000-0005-0000-0000-000044210000}"/>
    <cellStyle name="Comma 16 9 2 2" xfId="22924" xr:uid="{00000000-0005-0000-0000-000045210000}"/>
    <cellStyle name="Comma 16 9 3" xfId="22925" xr:uid="{00000000-0005-0000-0000-000046210000}"/>
    <cellStyle name="Comma 160" xfId="22926" xr:uid="{00000000-0005-0000-0000-000047210000}"/>
    <cellStyle name="Comma 160 2" xfId="22927" xr:uid="{00000000-0005-0000-0000-000048210000}"/>
    <cellStyle name="Comma 160 3" xfId="22928" xr:uid="{00000000-0005-0000-0000-000049210000}"/>
    <cellStyle name="Comma 161" xfId="22929" xr:uid="{00000000-0005-0000-0000-00004A210000}"/>
    <cellStyle name="Comma 161 2" xfId="22930" xr:uid="{00000000-0005-0000-0000-00004B210000}"/>
    <cellStyle name="Comma 161 3" xfId="22931" xr:uid="{00000000-0005-0000-0000-00004C210000}"/>
    <cellStyle name="Comma 162" xfId="22932" xr:uid="{00000000-0005-0000-0000-00004D210000}"/>
    <cellStyle name="Comma 162 2" xfId="22933" xr:uid="{00000000-0005-0000-0000-00004E210000}"/>
    <cellStyle name="Comma 162 3" xfId="22934" xr:uid="{00000000-0005-0000-0000-00004F210000}"/>
    <cellStyle name="Comma 163" xfId="22935" xr:uid="{00000000-0005-0000-0000-000050210000}"/>
    <cellStyle name="Comma 163 2" xfId="22936" xr:uid="{00000000-0005-0000-0000-000051210000}"/>
    <cellStyle name="Comma 163 3" xfId="22937" xr:uid="{00000000-0005-0000-0000-000052210000}"/>
    <cellStyle name="Comma 164" xfId="22938" xr:uid="{00000000-0005-0000-0000-000053210000}"/>
    <cellStyle name="Comma 164 2" xfId="22939" xr:uid="{00000000-0005-0000-0000-000054210000}"/>
    <cellStyle name="Comma 164 3" xfId="22940" xr:uid="{00000000-0005-0000-0000-000055210000}"/>
    <cellStyle name="Comma 165" xfId="22941" xr:uid="{00000000-0005-0000-0000-000056210000}"/>
    <cellStyle name="Comma 165 2" xfId="22942" xr:uid="{00000000-0005-0000-0000-000057210000}"/>
    <cellStyle name="Comma 165 3" xfId="22943" xr:uid="{00000000-0005-0000-0000-000058210000}"/>
    <cellStyle name="Comma 166" xfId="22944" xr:uid="{00000000-0005-0000-0000-000059210000}"/>
    <cellStyle name="Comma 166 2" xfId="22945" xr:uid="{00000000-0005-0000-0000-00005A210000}"/>
    <cellStyle name="Comma 166 3" xfId="22946" xr:uid="{00000000-0005-0000-0000-00005B210000}"/>
    <cellStyle name="Comma 167" xfId="22947" xr:uid="{00000000-0005-0000-0000-00005C210000}"/>
    <cellStyle name="Comma 167 2" xfId="22948" xr:uid="{00000000-0005-0000-0000-00005D210000}"/>
    <cellStyle name="Comma 167 3" xfId="22949" xr:uid="{00000000-0005-0000-0000-00005E210000}"/>
    <cellStyle name="Comma 168" xfId="22950" xr:uid="{00000000-0005-0000-0000-00005F210000}"/>
    <cellStyle name="Comma 168 2" xfId="22951" xr:uid="{00000000-0005-0000-0000-000060210000}"/>
    <cellStyle name="Comma 168 3" xfId="22952" xr:uid="{00000000-0005-0000-0000-000061210000}"/>
    <cellStyle name="Comma 169" xfId="22953" xr:uid="{00000000-0005-0000-0000-000062210000}"/>
    <cellStyle name="Comma 169 2" xfId="22954" xr:uid="{00000000-0005-0000-0000-000063210000}"/>
    <cellStyle name="Comma 169 3" xfId="22955" xr:uid="{00000000-0005-0000-0000-000064210000}"/>
    <cellStyle name="Comma 17" xfId="2787" xr:uid="{00000000-0005-0000-0000-000065210000}"/>
    <cellStyle name="Comma 17 10" xfId="22957" xr:uid="{00000000-0005-0000-0000-000066210000}"/>
    <cellStyle name="Comma 17 10 2" xfId="22958" xr:uid="{00000000-0005-0000-0000-000067210000}"/>
    <cellStyle name="Comma 17 10 2 2" xfId="22959" xr:uid="{00000000-0005-0000-0000-000068210000}"/>
    <cellStyle name="Comma 17 10 3" xfId="22960" xr:uid="{00000000-0005-0000-0000-000069210000}"/>
    <cellStyle name="Comma 17 11" xfId="22961" xr:uid="{00000000-0005-0000-0000-00006A210000}"/>
    <cellStyle name="Comma 17 11 2" xfId="22962" xr:uid="{00000000-0005-0000-0000-00006B210000}"/>
    <cellStyle name="Comma 17 11 2 2" xfId="22963" xr:uid="{00000000-0005-0000-0000-00006C210000}"/>
    <cellStyle name="Comma 17 11 3" xfId="22964" xr:uid="{00000000-0005-0000-0000-00006D210000}"/>
    <cellStyle name="Comma 17 12" xfId="22965" xr:uid="{00000000-0005-0000-0000-00006E210000}"/>
    <cellStyle name="Comma 17 12 2" xfId="22966" xr:uid="{00000000-0005-0000-0000-00006F210000}"/>
    <cellStyle name="Comma 17 12 2 2" xfId="22967" xr:uid="{00000000-0005-0000-0000-000070210000}"/>
    <cellStyle name="Comma 17 12 3" xfId="22968" xr:uid="{00000000-0005-0000-0000-000071210000}"/>
    <cellStyle name="Comma 17 13" xfId="22969" xr:uid="{00000000-0005-0000-0000-000072210000}"/>
    <cellStyle name="Comma 17 13 2" xfId="22970" xr:uid="{00000000-0005-0000-0000-000073210000}"/>
    <cellStyle name="Comma 17 13 2 2" xfId="22971" xr:uid="{00000000-0005-0000-0000-000074210000}"/>
    <cellStyle name="Comma 17 13 3" xfId="22972" xr:uid="{00000000-0005-0000-0000-000075210000}"/>
    <cellStyle name="Comma 17 14" xfId="22973" xr:uid="{00000000-0005-0000-0000-000076210000}"/>
    <cellStyle name="Comma 17 14 2" xfId="22974" xr:uid="{00000000-0005-0000-0000-000077210000}"/>
    <cellStyle name="Comma 17 14 2 2" xfId="22975" xr:uid="{00000000-0005-0000-0000-000078210000}"/>
    <cellStyle name="Comma 17 14 3" xfId="22976" xr:uid="{00000000-0005-0000-0000-000079210000}"/>
    <cellStyle name="Comma 17 15" xfId="22977" xr:uid="{00000000-0005-0000-0000-00007A210000}"/>
    <cellStyle name="Comma 17 15 2" xfId="22978" xr:uid="{00000000-0005-0000-0000-00007B210000}"/>
    <cellStyle name="Comma 17 15 2 2" xfId="22979" xr:uid="{00000000-0005-0000-0000-00007C210000}"/>
    <cellStyle name="Comma 17 15 3" xfId="22980" xr:uid="{00000000-0005-0000-0000-00007D210000}"/>
    <cellStyle name="Comma 17 16" xfId="22981" xr:uid="{00000000-0005-0000-0000-00007E210000}"/>
    <cellStyle name="Comma 17 16 2" xfId="22982" xr:uid="{00000000-0005-0000-0000-00007F210000}"/>
    <cellStyle name="Comma 17 16 2 2" xfId="22983" xr:uid="{00000000-0005-0000-0000-000080210000}"/>
    <cellStyle name="Comma 17 16 3" xfId="22984" xr:uid="{00000000-0005-0000-0000-000081210000}"/>
    <cellStyle name="Comma 17 17" xfId="22985" xr:uid="{00000000-0005-0000-0000-000082210000}"/>
    <cellStyle name="Comma 17 17 2" xfId="22986" xr:uid="{00000000-0005-0000-0000-000083210000}"/>
    <cellStyle name="Comma 17 17 2 2" xfId="22987" xr:uid="{00000000-0005-0000-0000-000084210000}"/>
    <cellStyle name="Comma 17 17 3" xfId="22988" xr:uid="{00000000-0005-0000-0000-000085210000}"/>
    <cellStyle name="Comma 17 18" xfId="22989" xr:uid="{00000000-0005-0000-0000-000086210000}"/>
    <cellStyle name="Comma 17 18 2" xfId="22990" xr:uid="{00000000-0005-0000-0000-000087210000}"/>
    <cellStyle name="Comma 17 18 2 2" xfId="22991" xr:uid="{00000000-0005-0000-0000-000088210000}"/>
    <cellStyle name="Comma 17 18 3" xfId="22992" xr:uid="{00000000-0005-0000-0000-000089210000}"/>
    <cellStyle name="Comma 17 19" xfId="22993" xr:uid="{00000000-0005-0000-0000-00008A210000}"/>
    <cellStyle name="Comma 17 19 2" xfId="22994" xr:uid="{00000000-0005-0000-0000-00008B210000}"/>
    <cellStyle name="Comma 17 19 2 2" xfId="22995" xr:uid="{00000000-0005-0000-0000-00008C210000}"/>
    <cellStyle name="Comma 17 19 3" xfId="22996" xr:uid="{00000000-0005-0000-0000-00008D210000}"/>
    <cellStyle name="Comma 17 2" xfId="2788" xr:uid="{00000000-0005-0000-0000-00008E210000}"/>
    <cellStyle name="Comma 17 2 2" xfId="2789" xr:uid="{00000000-0005-0000-0000-00008F210000}"/>
    <cellStyle name="Comma 17 2 2 2" xfId="8974" xr:uid="{00000000-0005-0000-0000-000090210000}"/>
    <cellStyle name="Comma 17 2 2 2 2" xfId="22999" xr:uid="{00000000-0005-0000-0000-000091210000}"/>
    <cellStyle name="Comma 17 2 2 3" xfId="22998" xr:uid="{00000000-0005-0000-0000-000092210000}"/>
    <cellStyle name="Comma 17 2 3" xfId="8975" xr:uid="{00000000-0005-0000-0000-000093210000}"/>
    <cellStyle name="Comma 17 2 3 2" xfId="23001" xr:uid="{00000000-0005-0000-0000-000094210000}"/>
    <cellStyle name="Comma 17 2 3 2 2" xfId="23002" xr:uid="{00000000-0005-0000-0000-000095210000}"/>
    <cellStyle name="Comma 17 2 3 3" xfId="23003" xr:uid="{00000000-0005-0000-0000-000096210000}"/>
    <cellStyle name="Comma 17 2 3 4" xfId="23000" xr:uid="{00000000-0005-0000-0000-000097210000}"/>
    <cellStyle name="Comma 17 2 4" xfId="23004" xr:uid="{00000000-0005-0000-0000-000098210000}"/>
    <cellStyle name="Comma 17 2 4 2" xfId="23005" xr:uid="{00000000-0005-0000-0000-000099210000}"/>
    <cellStyle name="Comma 17 2 5" xfId="23006" xr:uid="{00000000-0005-0000-0000-00009A210000}"/>
    <cellStyle name="Comma 17 2 6" xfId="23007" xr:uid="{00000000-0005-0000-0000-00009B210000}"/>
    <cellStyle name="Comma 17 2 7" xfId="22997" xr:uid="{00000000-0005-0000-0000-00009C210000}"/>
    <cellStyle name="Comma 17 20" xfId="23008" xr:uid="{00000000-0005-0000-0000-00009D210000}"/>
    <cellStyle name="Comma 17 20 2" xfId="23009" xr:uid="{00000000-0005-0000-0000-00009E210000}"/>
    <cellStyle name="Comma 17 20 2 2" xfId="23010" xr:uid="{00000000-0005-0000-0000-00009F210000}"/>
    <cellStyle name="Comma 17 20 3" xfId="23011" xr:uid="{00000000-0005-0000-0000-0000A0210000}"/>
    <cellStyle name="Comma 17 21" xfId="23012" xr:uid="{00000000-0005-0000-0000-0000A1210000}"/>
    <cellStyle name="Comma 17 21 2" xfId="23013" xr:uid="{00000000-0005-0000-0000-0000A2210000}"/>
    <cellStyle name="Comma 17 21 2 2" xfId="23014" xr:uid="{00000000-0005-0000-0000-0000A3210000}"/>
    <cellStyle name="Comma 17 21 3" xfId="23015" xr:uid="{00000000-0005-0000-0000-0000A4210000}"/>
    <cellStyle name="Comma 17 22" xfId="23016" xr:uid="{00000000-0005-0000-0000-0000A5210000}"/>
    <cellStyle name="Comma 17 22 2" xfId="23017" xr:uid="{00000000-0005-0000-0000-0000A6210000}"/>
    <cellStyle name="Comma 17 22 2 2" xfId="23018" xr:uid="{00000000-0005-0000-0000-0000A7210000}"/>
    <cellStyle name="Comma 17 22 3" xfId="23019" xr:uid="{00000000-0005-0000-0000-0000A8210000}"/>
    <cellStyle name="Comma 17 23" xfId="23020" xr:uid="{00000000-0005-0000-0000-0000A9210000}"/>
    <cellStyle name="Comma 17 23 2" xfId="23021" xr:uid="{00000000-0005-0000-0000-0000AA210000}"/>
    <cellStyle name="Comma 17 23 2 2" xfId="23022" xr:uid="{00000000-0005-0000-0000-0000AB210000}"/>
    <cellStyle name="Comma 17 23 3" xfId="23023" xr:uid="{00000000-0005-0000-0000-0000AC210000}"/>
    <cellStyle name="Comma 17 24" xfId="23024" xr:uid="{00000000-0005-0000-0000-0000AD210000}"/>
    <cellStyle name="Comma 17 24 2" xfId="23025" xr:uid="{00000000-0005-0000-0000-0000AE210000}"/>
    <cellStyle name="Comma 17 24 2 2" xfId="23026" xr:uid="{00000000-0005-0000-0000-0000AF210000}"/>
    <cellStyle name="Comma 17 24 3" xfId="23027" xr:uid="{00000000-0005-0000-0000-0000B0210000}"/>
    <cellStyle name="Comma 17 25" xfId="23028" xr:uid="{00000000-0005-0000-0000-0000B1210000}"/>
    <cellStyle name="Comma 17 25 2" xfId="23029" xr:uid="{00000000-0005-0000-0000-0000B2210000}"/>
    <cellStyle name="Comma 17 25 2 2" xfId="23030" xr:uid="{00000000-0005-0000-0000-0000B3210000}"/>
    <cellStyle name="Comma 17 25 3" xfId="23031" xr:uid="{00000000-0005-0000-0000-0000B4210000}"/>
    <cellStyle name="Comma 17 26" xfId="23032" xr:uid="{00000000-0005-0000-0000-0000B5210000}"/>
    <cellStyle name="Comma 17 26 2" xfId="23033" xr:uid="{00000000-0005-0000-0000-0000B6210000}"/>
    <cellStyle name="Comma 17 26 2 2" xfId="23034" xr:uid="{00000000-0005-0000-0000-0000B7210000}"/>
    <cellStyle name="Comma 17 26 3" xfId="23035" xr:uid="{00000000-0005-0000-0000-0000B8210000}"/>
    <cellStyle name="Comma 17 27" xfId="23036" xr:uid="{00000000-0005-0000-0000-0000B9210000}"/>
    <cellStyle name="Comma 17 27 2" xfId="23037" xr:uid="{00000000-0005-0000-0000-0000BA210000}"/>
    <cellStyle name="Comma 17 27 2 2" xfId="23038" xr:uid="{00000000-0005-0000-0000-0000BB210000}"/>
    <cellStyle name="Comma 17 27 3" xfId="23039" xr:uid="{00000000-0005-0000-0000-0000BC210000}"/>
    <cellStyle name="Comma 17 28" xfId="23040" xr:uid="{00000000-0005-0000-0000-0000BD210000}"/>
    <cellStyle name="Comma 17 28 2" xfId="23041" xr:uid="{00000000-0005-0000-0000-0000BE210000}"/>
    <cellStyle name="Comma 17 28 2 2" xfId="23042" xr:uid="{00000000-0005-0000-0000-0000BF210000}"/>
    <cellStyle name="Comma 17 28 3" xfId="23043" xr:uid="{00000000-0005-0000-0000-0000C0210000}"/>
    <cellStyle name="Comma 17 29" xfId="23044" xr:uid="{00000000-0005-0000-0000-0000C1210000}"/>
    <cellStyle name="Comma 17 29 2" xfId="23045" xr:uid="{00000000-0005-0000-0000-0000C2210000}"/>
    <cellStyle name="Comma 17 3" xfId="8976" xr:uid="{00000000-0005-0000-0000-0000C3210000}"/>
    <cellStyle name="Comma 17 3 2" xfId="23047" xr:uid="{00000000-0005-0000-0000-0000C4210000}"/>
    <cellStyle name="Comma 17 3 2 2" xfId="23048" xr:uid="{00000000-0005-0000-0000-0000C5210000}"/>
    <cellStyle name="Comma 17 3 3" xfId="23049" xr:uid="{00000000-0005-0000-0000-0000C6210000}"/>
    <cellStyle name="Comma 17 3 3 2" xfId="23050" xr:uid="{00000000-0005-0000-0000-0000C7210000}"/>
    <cellStyle name="Comma 17 3 3 2 2" xfId="23051" xr:uid="{00000000-0005-0000-0000-0000C8210000}"/>
    <cellStyle name="Comma 17 3 3 3" xfId="23052" xr:uid="{00000000-0005-0000-0000-0000C9210000}"/>
    <cellStyle name="Comma 17 3 4" xfId="23053" xr:uid="{00000000-0005-0000-0000-0000CA210000}"/>
    <cellStyle name="Comma 17 3 5" xfId="23046" xr:uid="{00000000-0005-0000-0000-0000CB210000}"/>
    <cellStyle name="Comma 17 30" xfId="23054" xr:uid="{00000000-0005-0000-0000-0000CC210000}"/>
    <cellStyle name="Comma 17 30 2" xfId="23055" xr:uid="{00000000-0005-0000-0000-0000CD210000}"/>
    <cellStyle name="Comma 17 30 2 2" xfId="23056" xr:uid="{00000000-0005-0000-0000-0000CE210000}"/>
    <cellStyle name="Comma 17 30 3" xfId="23057" xr:uid="{00000000-0005-0000-0000-0000CF210000}"/>
    <cellStyle name="Comma 17 31" xfId="23058" xr:uid="{00000000-0005-0000-0000-0000D0210000}"/>
    <cellStyle name="Comma 17 31 2" xfId="23059" xr:uid="{00000000-0005-0000-0000-0000D1210000}"/>
    <cellStyle name="Comma 17 32" xfId="23060" xr:uid="{00000000-0005-0000-0000-0000D2210000}"/>
    <cellStyle name="Comma 17 32 2" xfId="23061" xr:uid="{00000000-0005-0000-0000-0000D3210000}"/>
    <cellStyle name="Comma 17 33" xfId="23062" xr:uid="{00000000-0005-0000-0000-0000D4210000}"/>
    <cellStyle name="Comma 17 34" xfId="22956" xr:uid="{00000000-0005-0000-0000-0000D5210000}"/>
    <cellStyle name="Comma 17 4" xfId="23063" xr:uid="{00000000-0005-0000-0000-0000D6210000}"/>
    <cellStyle name="Comma 17 4 2" xfId="23064" xr:uid="{00000000-0005-0000-0000-0000D7210000}"/>
    <cellStyle name="Comma 17 4 2 2" xfId="23065" xr:uid="{00000000-0005-0000-0000-0000D8210000}"/>
    <cellStyle name="Comma 17 4 3" xfId="23066" xr:uid="{00000000-0005-0000-0000-0000D9210000}"/>
    <cellStyle name="Comma 17 4 3 2" xfId="23067" xr:uid="{00000000-0005-0000-0000-0000DA210000}"/>
    <cellStyle name="Comma 17 4 3 2 2" xfId="23068" xr:uid="{00000000-0005-0000-0000-0000DB210000}"/>
    <cellStyle name="Comma 17 4 3 3" xfId="23069" xr:uid="{00000000-0005-0000-0000-0000DC210000}"/>
    <cellStyle name="Comma 17 4 4" xfId="23070" xr:uid="{00000000-0005-0000-0000-0000DD210000}"/>
    <cellStyle name="Comma 17 5" xfId="23071" xr:uid="{00000000-0005-0000-0000-0000DE210000}"/>
    <cellStyle name="Comma 17 5 2" xfId="23072" xr:uid="{00000000-0005-0000-0000-0000DF210000}"/>
    <cellStyle name="Comma 17 5 2 2" xfId="23073" xr:uid="{00000000-0005-0000-0000-0000E0210000}"/>
    <cellStyle name="Comma 17 5 3" xfId="23074" xr:uid="{00000000-0005-0000-0000-0000E1210000}"/>
    <cellStyle name="Comma 17 5 3 2" xfId="23075" xr:uid="{00000000-0005-0000-0000-0000E2210000}"/>
    <cellStyle name="Comma 17 5 3 2 2" xfId="23076" xr:uid="{00000000-0005-0000-0000-0000E3210000}"/>
    <cellStyle name="Comma 17 5 3 3" xfId="23077" xr:uid="{00000000-0005-0000-0000-0000E4210000}"/>
    <cellStyle name="Comma 17 5 4" xfId="23078" xr:uid="{00000000-0005-0000-0000-0000E5210000}"/>
    <cellStyle name="Comma 17 6" xfId="23079" xr:uid="{00000000-0005-0000-0000-0000E6210000}"/>
    <cellStyle name="Comma 17 6 2" xfId="23080" xr:uid="{00000000-0005-0000-0000-0000E7210000}"/>
    <cellStyle name="Comma 17 6 2 2" xfId="23081" xr:uid="{00000000-0005-0000-0000-0000E8210000}"/>
    <cellStyle name="Comma 17 6 3" xfId="23082" xr:uid="{00000000-0005-0000-0000-0000E9210000}"/>
    <cellStyle name="Comma 17 7" xfId="23083" xr:uid="{00000000-0005-0000-0000-0000EA210000}"/>
    <cellStyle name="Comma 17 7 2" xfId="23084" xr:uid="{00000000-0005-0000-0000-0000EB210000}"/>
    <cellStyle name="Comma 17 7 2 2" xfId="23085" xr:uid="{00000000-0005-0000-0000-0000EC210000}"/>
    <cellStyle name="Comma 17 7 3" xfId="23086" xr:uid="{00000000-0005-0000-0000-0000ED210000}"/>
    <cellStyle name="Comma 17 8" xfId="23087" xr:uid="{00000000-0005-0000-0000-0000EE210000}"/>
    <cellStyle name="Comma 17 8 2" xfId="23088" xr:uid="{00000000-0005-0000-0000-0000EF210000}"/>
    <cellStyle name="Comma 17 8 2 2" xfId="23089" xr:uid="{00000000-0005-0000-0000-0000F0210000}"/>
    <cellStyle name="Comma 17 8 3" xfId="23090" xr:uid="{00000000-0005-0000-0000-0000F1210000}"/>
    <cellStyle name="Comma 17 9" xfId="23091" xr:uid="{00000000-0005-0000-0000-0000F2210000}"/>
    <cellStyle name="Comma 17 9 2" xfId="23092" xr:uid="{00000000-0005-0000-0000-0000F3210000}"/>
    <cellStyle name="Comma 17 9 2 2" xfId="23093" xr:uid="{00000000-0005-0000-0000-0000F4210000}"/>
    <cellStyle name="Comma 17 9 3" xfId="23094" xr:uid="{00000000-0005-0000-0000-0000F5210000}"/>
    <cellStyle name="Comma 170" xfId="23095" xr:uid="{00000000-0005-0000-0000-0000F6210000}"/>
    <cellStyle name="Comma 170 2" xfId="23096" xr:uid="{00000000-0005-0000-0000-0000F7210000}"/>
    <cellStyle name="Comma 170 3" xfId="23097" xr:uid="{00000000-0005-0000-0000-0000F8210000}"/>
    <cellStyle name="Comma 171" xfId="23098" xr:uid="{00000000-0005-0000-0000-0000F9210000}"/>
    <cellStyle name="Comma 171 2" xfId="23099" xr:uid="{00000000-0005-0000-0000-0000FA210000}"/>
    <cellStyle name="Comma 171 3" xfId="23100" xr:uid="{00000000-0005-0000-0000-0000FB210000}"/>
    <cellStyle name="Comma 172" xfId="23101" xr:uid="{00000000-0005-0000-0000-0000FC210000}"/>
    <cellStyle name="Comma 172 2" xfId="23102" xr:uid="{00000000-0005-0000-0000-0000FD210000}"/>
    <cellStyle name="Comma 172 3" xfId="23103" xr:uid="{00000000-0005-0000-0000-0000FE210000}"/>
    <cellStyle name="Comma 173" xfId="23104" xr:uid="{00000000-0005-0000-0000-0000FF210000}"/>
    <cellStyle name="Comma 173 2" xfId="23105" xr:uid="{00000000-0005-0000-0000-000000220000}"/>
    <cellStyle name="Comma 173 3" xfId="23106" xr:uid="{00000000-0005-0000-0000-000001220000}"/>
    <cellStyle name="Comma 174" xfId="23107" xr:uid="{00000000-0005-0000-0000-000002220000}"/>
    <cellStyle name="Comma 174 2" xfId="23108" xr:uid="{00000000-0005-0000-0000-000003220000}"/>
    <cellStyle name="Comma 174 3" xfId="23109" xr:uid="{00000000-0005-0000-0000-000004220000}"/>
    <cellStyle name="Comma 175" xfId="23110" xr:uid="{00000000-0005-0000-0000-000005220000}"/>
    <cellStyle name="Comma 175 2" xfId="23111" xr:uid="{00000000-0005-0000-0000-000006220000}"/>
    <cellStyle name="Comma 175 3" xfId="23112" xr:uid="{00000000-0005-0000-0000-000007220000}"/>
    <cellStyle name="Comma 176" xfId="23113" xr:uid="{00000000-0005-0000-0000-000008220000}"/>
    <cellStyle name="Comma 176 2" xfId="23114" xr:uid="{00000000-0005-0000-0000-000009220000}"/>
    <cellStyle name="Comma 176 3" xfId="23115" xr:uid="{00000000-0005-0000-0000-00000A220000}"/>
    <cellStyle name="Comma 177" xfId="23116" xr:uid="{00000000-0005-0000-0000-00000B220000}"/>
    <cellStyle name="Comma 177 2" xfId="23117" xr:uid="{00000000-0005-0000-0000-00000C220000}"/>
    <cellStyle name="Comma 177 3" xfId="23118" xr:uid="{00000000-0005-0000-0000-00000D220000}"/>
    <cellStyle name="Comma 178" xfId="23119" xr:uid="{00000000-0005-0000-0000-00000E220000}"/>
    <cellStyle name="Comma 178 2" xfId="23120" xr:uid="{00000000-0005-0000-0000-00000F220000}"/>
    <cellStyle name="Comma 178 3" xfId="23121" xr:uid="{00000000-0005-0000-0000-000010220000}"/>
    <cellStyle name="Comma 179" xfId="23122" xr:uid="{00000000-0005-0000-0000-000011220000}"/>
    <cellStyle name="Comma 179 2" xfId="23123" xr:uid="{00000000-0005-0000-0000-000012220000}"/>
    <cellStyle name="Comma 179 3" xfId="23124" xr:uid="{00000000-0005-0000-0000-000013220000}"/>
    <cellStyle name="Comma 18" xfId="2790" xr:uid="{00000000-0005-0000-0000-000014220000}"/>
    <cellStyle name="Comma 18 10" xfId="23126" xr:uid="{00000000-0005-0000-0000-000015220000}"/>
    <cellStyle name="Comma 18 10 2" xfId="23127" xr:uid="{00000000-0005-0000-0000-000016220000}"/>
    <cellStyle name="Comma 18 10 2 2" xfId="23128" xr:uid="{00000000-0005-0000-0000-000017220000}"/>
    <cellStyle name="Comma 18 10 3" xfId="23129" xr:uid="{00000000-0005-0000-0000-000018220000}"/>
    <cellStyle name="Comma 18 11" xfId="23130" xr:uid="{00000000-0005-0000-0000-000019220000}"/>
    <cellStyle name="Comma 18 11 2" xfId="23131" xr:uid="{00000000-0005-0000-0000-00001A220000}"/>
    <cellStyle name="Comma 18 11 2 2" xfId="23132" xr:uid="{00000000-0005-0000-0000-00001B220000}"/>
    <cellStyle name="Comma 18 11 3" xfId="23133" xr:uid="{00000000-0005-0000-0000-00001C220000}"/>
    <cellStyle name="Comma 18 12" xfId="23134" xr:uid="{00000000-0005-0000-0000-00001D220000}"/>
    <cellStyle name="Comma 18 12 2" xfId="23135" xr:uid="{00000000-0005-0000-0000-00001E220000}"/>
    <cellStyle name="Comma 18 12 2 2" xfId="23136" xr:uid="{00000000-0005-0000-0000-00001F220000}"/>
    <cellStyle name="Comma 18 12 3" xfId="23137" xr:uid="{00000000-0005-0000-0000-000020220000}"/>
    <cellStyle name="Comma 18 13" xfId="23138" xr:uid="{00000000-0005-0000-0000-000021220000}"/>
    <cellStyle name="Comma 18 13 2" xfId="23139" xr:uid="{00000000-0005-0000-0000-000022220000}"/>
    <cellStyle name="Comma 18 13 2 2" xfId="23140" xr:uid="{00000000-0005-0000-0000-000023220000}"/>
    <cellStyle name="Comma 18 13 3" xfId="23141" xr:uid="{00000000-0005-0000-0000-000024220000}"/>
    <cellStyle name="Comma 18 14" xfId="23142" xr:uid="{00000000-0005-0000-0000-000025220000}"/>
    <cellStyle name="Comma 18 14 2" xfId="23143" xr:uid="{00000000-0005-0000-0000-000026220000}"/>
    <cellStyle name="Comma 18 14 2 2" xfId="23144" xr:uid="{00000000-0005-0000-0000-000027220000}"/>
    <cellStyle name="Comma 18 14 3" xfId="23145" xr:uid="{00000000-0005-0000-0000-000028220000}"/>
    <cellStyle name="Comma 18 15" xfId="23146" xr:uid="{00000000-0005-0000-0000-000029220000}"/>
    <cellStyle name="Comma 18 15 2" xfId="23147" xr:uid="{00000000-0005-0000-0000-00002A220000}"/>
    <cellStyle name="Comma 18 15 2 2" xfId="23148" xr:uid="{00000000-0005-0000-0000-00002B220000}"/>
    <cellStyle name="Comma 18 15 3" xfId="23149" xr:uid="{00000000-0005-0000-0000-00002C220000}"/>
    <cellStyle name="Comma 18 16" xfId="23150" xr:uid="{00000000-0005-0000-0000-00002D220000}"/>
    <cellStyle name="Comma 18 16 2" xfId="23151" xr:uid="{00000000-0005-0000-0000-00002E220000}"/>
    <cellStyle name="Comma 18 16 2 2" xfId="23152" xr:uid="{00000000-0005-0000-0000-00002F220000}"/>
    <cellStyle name="Comma 18 16 3" xfId="23153" xr:uid="{00000000-0005-0000-0000-000030220000}"/>
    <cellStyle name="Comma 18 17" xfId="23154" xr:uid="{00000000-0005-0000-0000-000031220000}"/>
    <cellStyle name="Comma 18 17 2" xfId="23155" xr:uid="{00000000-0005-0000-0000-000032220000}"/>
    <cellStyle name="Comma 18 17 2 2" xfId="23156" xr:uid="{00000000-0005-0000-0000-000033220000}"/>
    <cellStyle name="Comma 18 17 3" xfId="23157" xr:uid="{00000000-0005-0000-0000-000034220000}"/>
    <cellStyle name="Comma 18 18" xfId="23158" xr:uid="{00000000-0005-0000-0000-000035220000}"/>
    <cellStyle name="Comma 18 18 2" xfId="23159" xr:uid="{00000000-0005-0000-0000-000036220000}"/>
    <cellStyle name="Comma 18 18 2 2" xfId="23160" xr:uid="{00000000-0005-0000-0000-000037220000}"/>
    <cellStyle name="Comma 18 18 3" xfId="23161" xr:uid="{00000000-0005-0000-0000-000038220000}"/>
    <cellStyle name="Comma 18 19" xfId="23162" xr:uid="{00000000-0005-0000-0000-000039220000}"/>
    <cellStyle name="Comma 18 19 2" xfId="23163" xr:uid="{00000000-0005-0000-0000-00003A220000}"/>
    <cellStyle name="Comma 18 19 2 2" xfId="23164" xr:uid="{00000000-0005-0000-0000-00003B220000}"/>
    <cellStyle name="Comma 18 19 3" xfId="23165" xr:uid="{00000000-0005-0000-0000-00003C220000}"/>
    <cellStyle name="Comma 18 2" xfId="2791" xr:uid="{00000000-0005-0000-0000-00003D220000}"/>
    <cellStyle name="Comma 18 2 2" xfId="8977" xr:uid="{00000000-0005-0000-0000-00003E220000}"/>
    <cellStyle name="Comma 18 2 2 2" xfId="23168" xr:uid="{00000000-0005-0000-0000-00003F220000}"/>
    <cellStyle name="Comma 18 2 2 3" xfId="23167" xr:uid="{00000000-0005-0000-0000-000040220000}"/>
    <cellStyle name="Comma 18 2 3" xfId="23169" xr:uid="{00000000-0005-0000-0000-000041220000}"/>
    <cellStyle name="Comma 18 2 3 2" xfId="23170" xr:uid="{00000000-0005-0000-0000-000042220000}"/>
    <cellStyle name="Comma 18 2 3 2 2" xfId="23171" xr:uid="{00000000-0005-0000-0000-000043220000}"/>
    <cellStyle name="Comma 18 2 3 3" xfId="23172" xr:uid="{00000000-0005-0000-0000-000044220000}"/>
    <cellStyle name="Comma 18 2 4" xfId="23173" xr:uid="{00000000-0005-0000-0000-000045220000}"/>
    <cellStyle name="Comma 18 2 4 2" xfId="23174" xr:uid="{00000000-0005-0000-0000-000046220000}"/>
    <cellStyle name="Comma 18 2 5" xfId="23175" xr:uid="{00000000-0005-0000-0000-000047220000}"/>
    <cellStyle name="Comma 18 2 6" xfId="23176" xr:uid="{00000000-0005-0000-0000-000048220000}"/>
    <cellStyle name="Comma 18 2 7" xfId="23166" xr:uid="{00000000-0005-0000-0000-000049220000}"/>
    <cellStyle name="Comma 18 20" xfId="23177" xr:uid="{00000000-0005-0000-0000-00004A220000}"/>
    <cellStyle name="Comma 18 20 2" xfId="23178" xr:uid="{00000000-0005-0000-0000-00004B220000}"/>
    <cellStyle name="Comma 18 20 2 2" xfId="23179" xr:uid="{00000000-0005-0000-0000-00004C220000}"/>
    <cellStyle name="Comma 18 20 3" xfId="23180" xr:uid="{00000000-0005-0000-0000-00004D220000}"/>
    <cellStyle name="Comma 18 21" xfId="23181" xr:uid="{00000000-0005-0000-0000-00004E220000}"/>
    <cellStyle name="Comma 18 21 2" xfId="23182" xr:uid="{00000000-0005-0000-0000-00004F220000}"/>
    <cellStyle name="Comma 18 21 2 2" xfId="23183" xr:uid="{00000000-0005-0000-0000-000050220000}"/>
    <cellStyle name="Comma 18 21 3" xfId="23184" xr:uid="{00000000-0005-0000-0000-000051220000}"/>
    <cellStyle name="Comma 18 22" xfId="23185" xr:uid="{00000000-0005-0000-0000-000052220000}"/>
    <cellStyle name="Comma 18 22 2" xfId="23186" xr:uid="{00000000-0005-0000-0000-000053220000}"/>
    <cellStyle name="Comma 18 22 2 2" xfId="23187" xr:uid="{00000000-0005-0000-0000-000054220000}"/>
    <cellStyle name="Comma 18 22 3" xfId="23188" xr:uid="{00000000-0005-0000-0000-000055220000}"/>
    <cellStyle name="Comma 18 23" xfId="23189" xr:uid="{00000000-0005-0000-0000-000056220000}"/>
    <cellStyle name="Comma 18 23 2" xfId="23190" xr:uid="{00000000-0005-0000-0000-000057220000}"/>
    <cellStyle name="Comma 18 23 2 2" xfId="23191" xr:uid="{00000000-0005-0000-0000-000058220000}"/>
    <cellStyle name="Comma 18 23 3" xfId="23192" xr:uid="{00000000-0005-0000-0000-000059220000}"/>
    <cellStyle name="Comma 18 24" xfId="23193" xr:uid="{00000000-0005-0000-0000-00005A220000}"/>
    <cellStyle name="Comma 18 24 2" xfId="23194" xr:uid="{00000000-0005-0000-0000-00005B220000}"/>
    <cellStyle name="Comma 18 24 2 2" xfId="23195" xr:uid="{00000000-0005-0000-0000-00005C220000}"/>
    <cellStyle name="Comma 18 24 3" xfId="23196" xr:uid="{00000000-0005-0000-0000-00005D220000}"/>
    <cellStyle name="Comma 18 25" xfId="23197" xr:uid="{00000000-0005-0000-0000-00005E220000}"/>
    <cellStyle name="Comma 18 25 2" xfId="23198" xr:uid="{00000000-0005-0000-0000-00005F220000}"/>
    <cellStyle name="Comma 18 25 2 2" xfId="23199" xr:uid="{00000000-0005-0000-0000-000060220000}"/>
    <cellStyle name="Comma 18 25 3" xfId="23200" xr:uid="{00000000-0005-0000-0000-000061220000}"/>
    <cellStyle name="Comma 18 26" xfId="23201" xr:uid="{00000000-0005-0000-0000-000062220000}"/>
    <cellStyle name="Comma 18 26 2" xfId="23202" xr:uid="{00000000-0005-0000-0000-000063220000}"/>
    <cellStyle name="Comma 18 26 2 2" xfId="23203" xr:uid="{00000000-0005-0000-0000-000064220000}"/>
    <cellStyle name="Comma 18 26 3" xfId="23204" xr:uid="{00000000-0005-0000-0000-000065220000}"/>
    <cellStyle name="Comma 18 27" xfId="23205" xr:uid="{00000000-0005-0000-0000-000066220000}"/>
    <cellStyle name="Comma 18 27 2" xfId="23206" xr:uid="{00000000-0005-0000-0000-000067220000}"/>
    <cellStyle name="Comma 18 27 2 2" xfId="23207" xr:uid="{00000000-0005-0000-0000-000068220000}"/>
    <cellStyle name="Comma 18 27 3" xfId="23208" xr:uid="{00000000-0005-0000-0000-000069220000}"/>
    <cellStyle name="Comma 18 28" xfId="23209" xr:uid="{00000000-0005-0000-0000-00006A220000}"/>
    <cellStyle name="Comma 18 28 2" xfId="23210" xr:uid="{00000000-0005-0000-0000-00006B220000}"/>
    <cellStyle name="Comma 18 28 2 2" xfId="23211" xr:uid="{00000000-0005-0000-0000-00006C220000}"/>
    <cellStyle name="Comma 18 28 3" xfId="23212" xr:uid="{00000000-0005-0000-0000-00006D220000}"/>
    <cellStyle name="Comma 18 29" xfId="23213" xr:uid="{00000000-0005-0000-0000-00006E220000}"/>
    <cellStyle name="Comma 18 29 2" xfId="23214" xr:uid="{00000000-0005-0000-0000-00006F220000}"/>
    <cellStyle name="Comma 18 3" xfId="8978" xr:uid="{00000000-0005-0000-0000-000070220000}"/>
    <cellStyle name="Comma 18 3 2" xfId="23216" xr:uid="{00000000-0005-0000-0000-000071220000}"/>
    <cellStyle name="Comma 18 3 2 2" xfId="23217" xr:uid="{00000000-0005-0000-0000-000072220000}"/>
    <cellStyle name="Comma 18 3 3" xfId="23218" xr:uid="{00000000-0005-0000-0000-000073220000}"/>
    <cellStyle name="Comma 18 3 3 2" xfId="23219" xr:uid="{00000000-0005-0000-0000-000074220000}"/>
    <cellStyle name="Comma 18 3 3 2 2" xfId="23220" xr:uid="{00000000-0005-0000-0000-000075220000}"/>
    <cellStyle name="Comma 18 3 3 3" xfId="23221" xr:uid="{00000000-0005-0000-0000-000076220000}"/>
    <cellStyle name="Comma 18 3 4" xfId="23222" xr:uid="{00000000-0005-0000-0000-000077220000}"/>
    <cellStyle name="Comma 18 3 5" xfId="23215" xr:uid="{00000000-0005-0000-0000-000078220000}"/>
    <cellStyle name="Comma 18 30" xfId="23223" xr:uid="{00000000-0005-0000-0000-000079220000}"/>
    <cellStyle name="Comma 18 30 2" xfId="23224" xr:uid="{00000000-0005-0000-0000-00007A220000}"/>
    <cellStyle name="Comma 18 30 2 2" xfId="23225" xr:uid="{00000000-0005-0000-0000-00007B220000}"/>
    <cellStyle name="Comma 18 30 3" xfId="23226" xr:uid="{00000000-0005-0000-0000-00007C220000}"/>
    <cellStyle name="Comma 18 31" xfId="23227" xr:uid="{00000000-0005-0000-0000-00007D220000}"/>
    <cellStyle name="Comma 18 31 2" xfId="23228" xr:uid="{00000000-0005-0000-0000-00007E220000}"/>
    <cellStyle name="Comma 18 32" xfId="23229" xr:uid="{00000000-0005-0000-0000-00007F220000}"/>
    <cellStyle name="Comma 18 33" xfId="23230" xr:uid="{00000000-0005-0000-0000-000080220000}"/>
    <cellStyle name="Comma 18 34" xfId="23125" xr:uid="{00000000-0005-0000-0000-000081220000}"/>
    <cellStyle name="Comma 18 4" xfId="23231" xr:uid="{00000000-0005-0000-0000-000082220000}"/>
    <cellStyle name="Comma 18 4 2" xfId="23232" xr:uid="{00000000-0005-0000-0000-000083220000}"/>
    <cellStyle name="Comma 18 4 2 2" xfId="23233" xr:uid="{00000000-0005-0000-0000-000084220000}"/>
    <cellStyle name="Comma 18 4 3" xfId="23234" xr:uid="{00000000-0005-0000-0000-000085220000}"/>
    <cellStyle name="Comma 18 4 3 2" xfId="23235" xr:uid="{00000000-0005-0000-0000-000086220000}"/>
    <cellStyle name="Comma 18 4 3 2 2" xfId="23236" xr:uid="{00000000-0005-0000-0000-000087220000}"/>
    <cellStyle name="Comma 18 4 3 3" xfId="23237" xr:uid="{00000000-0005-0000-0000-000088220000}"/>
    <cellStyle name="Comma 18 4 4" xfId="23238" xr:uid="{00000000-0005-0000-0000-000089220000}"/>
    <cellStyle name="Comma 18 5" xfId="23239" xr:uid="{00000000-0005-0000-0000-00008A220000}"/>
    <cellStyle name="Comma 18 5 2" xfId="23240" xr:uid="{00000000-0005-0000-0000-00008B220000}"/>
    <cellStyle name="Comma 18 5 2 2" xfId="23241" xr:uid="{00000000-0005-0000-0000-00008C220000}"/>
    <cellStyle name="Comma 18 5 3" xfId="23242" xr:uid="{00000000-0005-0000-0000-00008D220000}"/>
    <cellStyle name="Comma 18 5 3 2" xfId="23243" xr:uid="{00000000-0005-0000-0000-00008E220000}"/>
    <cellStyle name="Comma 18 5 3 2 2" xfId="23244" xr:uid="{00000000-0005-0000-0000-00008F220000}"/>
    <cellStyle name="Comma 18 5 3 3" xfId="23245" xr:uid="{00000000-0005-0000-0000-000090220000}"/>
    <cellStyle name="Comma 18 5 4" xfId="23246" xr:uid="{00000000-0005-0000-0000-000091220000}"/>
    <cellStyle name="Comma 18 6" xfId="23247" xr:uid="{00000000-0005-0000-0000-000092220000}"/>
    <cellStyle name="Comma 18 6 2" xfId="23248" xr:uid="{00000000-0005-0000-0000-000093220000}"/>
    <cellStyle name="Comma 18 6 2 2" xfId="23249" xr:uid="{00000000-0005-0000-0000-000094220000}"/>
    <cellStyle name="Comma 18 6 3" xfId="23250" xr:uid="{00000000-0005-0000-0000-000095220000}"/>
    <cellStyle name="Comma 18 7" xfId="23251" xr:uid="{00000000-0005-0000-0000-000096220000}"/>
    <cellStyle name="Comma 18 7 2" xfId="23252" xr:uid="{00000000-0005-0000-0000-000097220000}"/>
    <cellStyle name="Comma 18 7 2 2" xfId="23253" xr:uid="{00000000-0005-0000-0000-000098220000}"/>
    <cellStyle name="Comma 18 7 3" xfId="23254" xr:uid="{00000000-0005-0000-0000-000099220000}"/>
    <cellStyle name="Comma 18 8" xfId="23255" xr:uid="{00000000-0005-0000-0000-00009A220000}"/>
    <cellStyle name="Comma 18 8 2" xfId="23256" xr:uid="{00000000-0005-0000-0000-00009B220000}"/>
    <cellStyle name="Comma 18 8 2 2" xfId="23257" xr:uid="{00000000-0005-0000-0000-00009C220000}"/>
    <cellStyle name="Comma 18 8 3" xfId="23258" xr:uid="{00000000-0005-0000-0000-00009D220000}"/>
    <cellStyle name="Comma 18 9" xfId="23259" xr:uid="{00000000-0005-0000-0000-00009E220000}"/>
    <cellStyle name="Comma 18 9 2" xfId="23260" xr:uid="{00000000-0005-0000-0000-00009F220000}"/>
    <cellStyle name="Comma 18 9 2 2" xfId="23261" xr:uid="{00000000-0005-0000-0000-0000A0220000}"/>
    <cellStyle name="Comma 18 9 3" xfId="23262" xr:uid="{00000000-0005-0000-0000-0000A1220000}"/>
    <cellStyle name="Comma 180" xfId="23263" xr:uid="{00000000-0005-0000-0000-0000A2220000}"/>
    <cellStyle name="Comma 180 2" xfId="23264" xr:uid="{00000000-0005-0000-0000-0000A3220000}"/>
    <cellStyle name="Comma 180 3" xfId="23265" xr:uid="{00000000-0005-0000-0000-0000A4220000}"/>
    <cellStyle name="Comma 181" xfId="23266" xr:uid="{00000000-0005-0000-0000-0000A5220000}"/>
    <cellStyle name="Comma 181 2" xfId="23267" xr:uid="{00000000-0005-0000-0000-0000A6220000}"/>
    <cellStyle name="Comma 181 3" xfId="23268" xr:uid="{00000000-0005-0000-0000-0000A7220000}"/>
    <cellStyle name="Comma 182" xfId="23269" xr:uid="{00000000-0005-0000-0000-0000A8220000}"/>
    <cellStyle name="Comma 182 2" xfId="23270" xr:uid="{00000000-0005-0000-0000-0000A9220000}"/>
    <cellStyle name="Comma 182 3" xfId="23271" xr:uid="{00000000-0005-0000-0000-0000AA220000}"/>
    <cellStyle name="Comma 183" xfId="23272" xr:uid="{00000000-0005-0000-0000-0000AB220000}"/>
    <cellStyle name="Comma 183 2" xfId="23273" xr:uid="{00000000-0005-0000-0000-0000AC220000}"/>
    <cellStyle name="Comma 183 3" xfId="23274" xr:uid="{00000000-0005-0000-0000-0000AD220000}"/>
    <cellStyle name="Comma 184" xfId="23275" xr:uid="{00000000-0005-0000-0000-0000AE220000}"/>
    <cellStyle name="Comma 184 2" xfId="23276" xr:uid="{00000000-0005-0000-0000-0000AF220000}"/>
    <cellStyle name="Comma 184 3" xfId="23277" xr:uid="{00000000-0005-0000-0000-0000B0220000}"/>
    <cellStyle name="Comma 185" xfId="23278" xr:uid="{00000000-0005-0000-0000-0000B1220000}"/>
    <cellStyle name="Comma 185 2" xfId="23279" xr:uid="{00000000-0005-0000-0000-0000B2220000}"/>
    <cellStyle name="Comma 185 3" xfId="23280" xr:uid="{00000000-0005-0000-0000-0000B3220000}"/>
    <cellStyle name="Comma 186" xfId="23281" xr:uid="{00000000-0005-0000-0000-0000B4220000}"/>
    <cellStyle name="Comma 186 2" xfId="23282" xr:uid="{00000000-0005-0000-0000-0000B5220000}"/>
    <cellStyle name="Comma 186 3" xfId="23283" xr:uid="{00000000-0005-0000-0000-0000B6220000}"/>
    <cellStyle name="Comma 187" xfId="23284" xr:uid="{00000000-0005-0000-0000-0000B7220000}"/>
    <cellStyle name="Comma 187 2" xfId="23285" xr:uid="{00000000-0005-0000-0000-0000B8220000}"/>
    <cellStyle name="Comma 187 3" xfId="23286" xr:uid="{00000000-0005-0000-0000-0000B9220000}"/>
    <cellStyle name="Comma 188" xfId="23287" xr:uid="{00000000-0005-0000-0000-0000BA220000}"/>
    <cellStyle name="Comma 188 2" xfId="23288" xr:uid="{00000000-0005-0000-0000-0000BB220000}"/>
    <cellStyle name="Comma 188 3" xfId="23289" xr:uid="{00000000-0005-0000-0000-0000BC220000}"/>
    <cellStyle name="Comma 189" xfId="23290" xr:uid="{00000000-0005-0000-0000-0000BD220000}"/>
    <cellStyle name="Comma 189 2" xfId="23291" xr:uid="{00000000-0005-0000-0000-0000BE220000}"/>
    <cellStyle name="Comma 189 3" xfId="23292" xr:uid="{00000000-0005-0000-0000-0000BF220000}"/>
    <cellStyle name="Comma 19" xfId="2792" xr:uid="{00000000-0005-0000-0000-0000C0220000}"/>
    <cellStyle name="Comma 19 10" xfId="23294" xr:uid="{00000000-0005-0000-0000-0000C1220000}"/>
    <cellStyle name="Comma 19 10 2" xfId="23295" xr:uid="{00000000-0005-0000-0000-0000C2220000}"/>
    <cellStyle name="Comma 19 10 2 2" xfId="23296" xr:uid="{00000000-0005-0000-0000-0000C3220000}"/>
    <cellStyle name="Comma 19 10 3" xfId="23297" xr:uid="{00000000-0005-0000-0000-0000C4220000}"/>
    <cellStyle name="Comma 19 11" xfId="23298" xr:uid="{00000000-0005-0000-0000-0000C5220000}"/>
    <cellStyle name="Comma 19 11 2" xfId="23299" xr:uid="{00000000-0005-0000-0000-0000C6220000}"/>
    <cellStyle name="Comma 19 11 2 2" xfId="23300" xr:uid="{00000000-0005-0000-0000-0000C7220000}"/>
    <cellStyle name="Comma 19 11 3" xfId="23301" xr:uid="{00000000-0005-0000-0000-0000C8220000}"/>
    <cellStyle name="Comma 19 12" xfId="23302" xr:uid="{00000000-0005-0000-0000-0000C9220000}"/>
    <cellStyle name="Comma 19 12 2" xfId="23303" xr:uid="{00000000-0005-0000-0000-0000CA220000}"/>
    <cellStyle name="Comma 19 12 2 2" xfId="23304" xr:uid="{00000000-0005-0000-0000-0000CB220000}"/>
    <cellStyle name="Comma 19 12 3" xfId="23305" xr:uid="{00000000-0005-0000-0000-0000CC220000}"/>
    <cellStyle name="Comma 19 13" xfId="23306" xr:uid="{00000000-0005-0000-0000-0000CD220000}"/>
    <cellStyle name="Comma 19 13 2" xfId="23307" xr:uid="{00000000-0005-0000-0000-0000CE220000}"/>
    <cellStyle name="Comma 19 13 2 2" xfId="23308" xr:uid="{00000000-0005-0000-0000-0000CF220000}"/>
    <cellStyle name="Comma 19 13 3" xfId="23309" xr:uid="{00000000-0005-0000-0000-0000D0220000}"/>
    <cellStyle name="Comma 19 14" xfId="23310" xr:uid="{00000000-0005-0000-0000-0000D1220000}"/>
    <cellStyle name="Comma 19 14 2" xfId="23311" xr:uid="{00000000-0005-0000-0000-0000D2220000}"/>
    <cellStyle name="Comma 19 14 2 2" xfId="23312" xr:uid="{00000000-0005-0000-0000-0000D3220000}"/>
    <cellStyle name="Comma 19 14 3" xfId="23313" xr:uid="{00000000-0005-0000-0000-0000D4220000}"/>
    <cellStyle name="Comma 19 15" xfId="23314" xr:uid="{00000000-0005-0000-0000-0000D5220000}"/>
    <cellStyle name="Comma 19 15 2" xfId="23315" xr:uid="{00000000-0005-0000-0000-0000D6220000}"/>
    <cellStyle name="Comma 19 15 2 2" xfId="23316" xr:uid="{00000000-0005-0000-0000-0000D7220000}"/>
    <cellStyle name="Comma 19 15 3" xfId="23317" xr:uid="{00000000-0005-0000-0000-0000D8220000}"/>
    <cellStyle name="Comma 19 16" xfId="23318" xr:uid="{00000000-0005-0000-0000-0000D9220000}"/>
    <cellStyle name="Comma 19 16 2" xfId="23319" xr:uid="{00000000-0005-0000-0000-0000DA220000}"/>
    <cellStyle name="Comma 19 16 2 2" xfId="23320" xr:uid="{00000000-0005-0000-0000-0000DB220000}"/>
    <cellStyle name="Comma 19 16 3" xfId="23321" xr:uid="{00000000-0005-0000-0000-0000DC220000}"/>
    <cellStyle name="Comma 19 17" xfId="23322" xr:uid="{00000000-0005-0000-0000-0000DD220000}"/>
    <cellStyle name="Comma 19 17 2" xfId="23323" xr:uid="{00000000-0005-0000-0000-0000DE220000}"/>
    <cellStyle name="Comma 19 17 2 2" xfId="23324" xr:uid="{00000000-0005-0000-0000-0000DF220000}"/>
    <cellStyle name="Comma 19 17 3" xfId="23325" xr:uid="{00000000-0005-0000-0000-0000E0220000}"/>
    <cellStyle name="Comma 19 18" xfId="23326" xr:uid="{00000000-0005-0000-0000-0000E1220000}"/>
    <cellStyle name="Comma 19 18 2" xfId="23327" xr:uid="{00000000-0005-0000-0000-0000E2220000}"/>
    <cellStyle name="Comma 19 18 2 2" xfId="23328" xr:uid="{00000000-0005-0000-0000-0000E3220000}"/>
    <cellStyle name="Comma 19 18 3" xfId="23329" xr:uid="{00000000-0005-0000-0000-0000E4220000}"/>
    <cellStyle name="Comma 19 19" xfId="23330" xr:uid="{00000000-0005-0000-0000-0000E5220000}"/>
    <cellStyle name="Comma 19 19 2" xfId="23331" xr:uid="{00000000-0005-0000-0000-0000E6220000}"/>
    <cellStyle name="Comma 19 19 2 2" xfId="23332" xr:uid="{00000000-0005-0000-0000-0000E7220000}"/>
    <cellStyle name="Comma 19 19 3" xfId="23333" xr:uid="{00000000-0005-0000-0000-0000E8220000}"/>
    <cellStyle name="Comma 19 2" xfId="2793" xr:uid="{00000000-0005-0000-0000-0000E9220000}"/>
    <cellStyle name="Comma 19 2 2" xfId="8979" xr:uid="{00000000-0005-0000-0000-0000EA220000}"/>
    <cellStyle name="Comma 19 2 2 2" xfId="23336" xr:uid="{00000000-0005-0000-0000-0000EB220000}"/>
    <cellStyle name="Comma 19 2 2 3" xfId="23335" xr:uid="{00000000-0005-0000-0000-0000EC220000}"/>
    <cellStyle name="Comma 19 2 3" xfId="23337" xr:uid="{00000000-0005-0000-0000-0000ED220000}"/>
    <cellStyle name="Comma 19 2 3 2" xfId="23338" xr:uid="{00000000-0005-0000-0000-0000EE220000}"/>
    <cellStyle name="Comma 19 2 3 2 2" xfId="23339" xr:uid="{00000000-0005-0000-0000-0000EF220000}"/>
    <cellStyle name="Comma 19 2 3 3" xfId="23340" xr:uid="{00000000-0005-0000-0000-0000F0220000}"/>
    <cellStyle name="Comma 19 2 4" xfId="23341" xr:uid="{00000000-0005-0000-0000-0000F1220000}"/>
    <cellStyle name="Comma 19 2 4 2" xfId="23342" xr:uid="{00000000-0005-0000-0000-0000F2220000}"/>
    <cellStyle name="Comma 19 2 5" xfId="23343" xr:uid="{00000000-0005-0000-0000-0000F3220000}"/>
    <cellStyle name="Comma 19 2 6" xfId="23344" xr:uid="{00000000-0005-0000-0000-0000F4220000}"/>
    <cellStyle name="Comma 19 2 7" xfId="23334" xr:uid="{00000000-0005-0000-0000-0000F5220000}"/>
    <cellStyle name="Comma 19 20" xfId="23345" xr:uid="{00000000-0005-0000-0000-0000F6220000}"/>
    <cellStyle name="Comma 19 20 2" xfId="23346" xr:uid="{00000000-0005-0000-0000-0000F7220000}"/>
    <cellStyle name="Comma 19 20 2 2" xfId="23347" xr:uid="{00000000-0005-0000-0000-0000F8220000}"/>
    <cellStyle name="Comma 19 20 3" xfId="23348" xr:uid="{00000000-0005-0000-0000-0000F9220000}"/>
    <cellStyle name="Comma 19 21" xfId="23349" xr:uid="{00000000-0005-0000-0000-0000FA220000}"/>
    <cellStyle name="Comma 19 21 2" xfId="23350" xr:uid="{00000000-0005-0000-0000-0000FB220000}"/>
    <cellStyle name="Comma 19 21 2 2" xfId="23351" xr:uid="{00000000-0005-0000-0000-0000FC220000}"/>
    <cellStyle name="Comma 19 21 3" xfId="23352" xr:uid="{00000000-0005-0000-0000-0000FD220000}"/>
    <cellStyle name="Comma 19 22" xfId="23353" xr:uid="{00000000-0005-0000-0000-0000FE220000}"/>
    <cellStyle name="Comma 19 22 2" xfId="23354" xr:uid="{00000000-0005-0000-0000-0000FF220000}"/>
    <cellStyle name="Comma 19 22 2 2" xfId="23355" xr:uid="{00000000-0005-0000-0000-000000230000}"/>
    <cellStyle name="Comma 19 22 3" xfId="23356" xr:uid="{00000000-0005-0000-0000-000001230000}"/>
    <cellStyle name="Comma 19 23" xfId="23357" xr:uid="{00000000-0005-0000-0000-000002230000}"/>
    <cellStyle name="Comma 19 23 2" xfId="23358" xr:uid="{00000000-0005-0000-0000-000003230000}"/>
    <cellStyle name="Comma 19 23 2 2" xfId="23359" xr:uid="{00000000-0005-0000-0000-000004230000}"/>
    <cellStyle name="Comma 19 23 3" xfId="23360" xr:uid="{00000000-0005-0000-0000-000005230000}"/>
    <cellStyle name="Comma 19 24" xfId="23361" xr:uid="{00000000-0005-0000-0000-000006230000}"/>
    <cellStyle name="Comma 19 24 2" xfId="23362" xr:uid="{00000000-0005-0000-0000-000007230000}"/>
    <cellStyle name="Comma 19 24 2 2" xfId="23363" xr:uid="{00000000-0005-0000-0000-000008230000}"/>
    <cellStyle name="Comma 19 24 3" xfId="23364" xr:uid="{00000000-0005-0000-0000-000009230000}"/>
    <cellStyle name="Comma 19 25" xfId="23365" xr:uid="{00000000-0005-0000-0000-00000A230000}"/>
    <cellStyle name="Comma 19 25 2" xfId="23366" xr:uid="{00000000-0005-0000-0000-00000B230000}"/>
    <cellStyle name="Comma 19 25 2 2" xfId="23367" xr:uid="{00000000-0005-0000-0000-00000C230000}"/>
    <cellStyle name="Comma 19 25 3" xfId="23368" xr:uid="{00000000-0005-0000-0000-00000D230000}"/>
    <cellStyle name="Comma 19 26" xfId="23369" xr:uid="{00000000-0005-0000-0000-00000E230000}"/>
    <cellStyle name="Comma 19 26 2" xfId="23370" xr:uid="{00000000-0005-0000-0000-00000F230000}"/>
    <cellStyle name="Comma 19 26 2 2" xfId="23371" xr:uid="{00000000-0005-0000-0000-000010230000}"/>
    <cellStyle name="Comma 19 26 3" xfId="23372" xr:uid="{00000000-0005-0000-0000-000011230000}"/>
    <cellStyle name="Comma 19 27" xfId="23373" xr:uid="{00000000-0005-0000-0000-000012230000}"/>
    <cellStyle name="Comma 19 27 2" xfId="23374" xr:uid="{00000000-0005-0000-0000-000013230000}"/>
    <cellStyle name="Comma 19 27 2 2" xfId="23375" xr:uid="{00000000-0005-0000-0000-000014230000}"/>
    <cellStyle name="Comma 19 27 3" xfId="23376" xr:uid="{00000000-0005-0000-0000-000015230000}"/>
    <cellStyle name="Comma 19 28" xfId="23377" xr:uid="{00000000-0005-0000-0000-000016230000}"/>
    <cellStyle name="Comma 19 28 2" xfId="23378" xr:uid="{00000000-0005-0000-0000-000017230000}"/>
    <cellStyle name="Comma 19 28 2 2" xfId="23379" xr:uid="{00000000-0005-0000-0000-000018230000}"/>
    <cellStyle name="Comma 19 28 3" xfId="23380" xr:uid="{00000000-0005-0000-0000-000019230000}"/>
    <cellStyle name="Comma 19 29" xfId="23381" xr:uid="{00000000-0005-0000-0000-00001A230000}"/>
    <cellStyle name="Comma 19 29 2" xfId="23382" xr:uid="{00000000-0005-0000-0000-00001B230000}"/>
    <cellStyle name="Comma 19 3" xfId="8980" xr:uid="{00000000-0005-0000-0000-00001C230000}"/>
    <cellStyle name="Comma 19 3 2" xfId="23384" xr:uid="{00000000-0005-0000-0000-00001D230000}"/>
    <cellStyle name="Comma 19 3 2 2" xfId="23385" xr:uid="{00000000-0005-0000-0000-00001E230000}"/>
    <cellStyle name="Comma 19 3 3" xfId="23386" xr:uid="{00000000-0005-0000-0000-00001F230000}"/>
    <cellStyle name="Comma 19 3 3 2" xfId="23387" xr:uid="{00000000-0005-0000-0000-000020230000}"/>
    <cellStyle name="Comma 19 3 3 2 2" xfId="23388" xr:uid="{00000000-0005-0000-0000-000021230000}"/>
    <cellStyle name="Comma 19 3 3 3" xfId="23389" xr:uid="{00000000-0005-0000-0000-000022230000}"/>
    <cellStyle name="Comma 19 3 4" xfId="23390" xr:uid="{00000000-0005-0000-0000-000023230000}"/>
    <cellStyle name="Comma 19 3 5" xfId="23383" xr:uid="{00000000-0005-0000-0000-000024230000}"/>
    <cellStyle name="Comma 19 30" xfId="23391" xr:uid="{00000000-0005-0000-0000-000025230000}"/>
    <cellStyle name="Comma 19 30 2" xfId="23392" xr:uid="{00000000-0005-0000-0000-000026230000}"/>
    <cellStyle name="Comma 19 30 2 2" xfId="23393" xr:uid="{00000000-0005-0000-0000-000027230000}"/>
    <cellStyle name="Comma 19 30 3" xfId="23394" xr:uid="{00000000-0005-0000-0000-000028230000}"/>
    <cellStyle name="Comma 19 31" xfId="23395" xr:uid="{00000000-0005-0000-0000-000029230000}"/>
    <cellStyle name="Comma 19 31 2" xfId="23396" xr:uid="{00000000-0005-0000-0000-00002A230000}"/>
    <cellStyle name="Comma 19 32" xfId="23397" xr:uid="{00000000-0005-0000-0000-00002B230000}"/>
    <cellStyle name="Comma 19 33" xfId="23398" xr:uid="{00000000-0005-0000-0000-00002C230000}"/>
    <cellStyle name="Comma 19 34" xfId="23293" xr:uid="{00000000-0005-0000-0000-00002D230000}"/>
    <cellStyle name="Comma 19 4" xfId="23399" xr:uid="{00000000-0005-0000-0000-00002E230000}"/>
    <cellStyle name="Comma 19 4 2" xfId="23400" xr:uid="{00000000-0005-0000-0000-00002F230000}"/>
    <cellStyle name="Comma 19 4 2 2" xfId="23401" xr:uid="{00000000-0005-0000-0000-000030230000}"/>
    <cellStyle name="Comma 19 4 3" xfId="23402" xr:uid="{00000000-0005-0000-0000-000031230000}"/>
    <cellStyle name="Comma 19 4 3 2" xfId="23403" xr:uid="{00000000-0005-0000-0000-000032230000}"/>
    <cellStyle name="Comma 19 4 3 2 2" xfId="23404" xr:uid="{00000000-0005-0000-0000-000033230000}"/>
    <cellStyle name="Comma 19 4 3 3" xfId="23405" xr:uid="{00000000-0005-0000-0000-000034230000}"/>
    <cellStyle name="Comma 19 4 4" xfId="23406" xr:uid="{00000000-0005-0000-0000-000035230000}"/>
    <cellStyle name="Comma 19 5" xfId="23407" xr:uid="{00000000-0005-0000-0000-000036230000}"/>
    <cellStyle name="Comma 19 5 2" xfId="23408" xr:uid="{00000000-0005-0000-0000-000037230000}"/>
    <cellStyle name="Comma 19 5 2 2" xfId="23409" xr:uid="{00000000-0005-0000-0000-000038230000}"/>
    <cellStyle name="Comma 19 5 3" xfId="23410" xr:uid="{00000000-0005-0000-0000-000039230000}"/>
    <cellStyle name="Comma 19 5 3 2" xfId="23411" xr:uid="{00000000-0005-0000-0000-00003A230000}"/>
    <cellStyle name="Comma 19 5 3 2 2" xfId="23412" xr:uid="{00000000-0005-0000-0000-00003B230000}"/>
    <cellStyle name="Comma 19 5 3 3" xfId="23413" xr:uid="{00000000-0005-0000-0000-00003C230000}"/>
    <cellStyle name="Comma 19 5 4" xfId="23414" xr:uid="{00000000-0005-0000-0000-00003D230000}"/>
    <cellStyle name="Comma 19 6" xfId="23415" xr:uid="{00000000-0005-0000-0000-00003E230000}"/>
    <cellStyle name="Comma 19 6 2" xfId="23416" xr:uid="{00000000-0005-0000-0000-00003F230000}"/>
    <cellStyle name="Comma 19 6 2 2" xfId="23417" xr:uid="{00000000-0005-0000-0000-000040230000}"/>
    <cellStyle name="Comma 19 6 3" xfId="23418" xr:uid="{00000000-0005-0000-0000-000041230000}"/>
    <cellStyle name="Comma 19 7" xfId="23419" xr:uid="{00000000-0005-0000-0000-000042230000}"/>
    <cellStyle name="Comma 19 7 2" xfId="23420" xr:uid="{00000000-0005-0000-0000-000043230000}"/>
    <cellStyle name="Comma 19 7 2 2" xfId="23421" xr:uid="{00000000-0005-0000-0000-000044230000}"/>
    <cellStyle name="Comma 19 7 3" xfId="23422" xr:uid="{00000000-0005-0000-0000-000045230000}"/>
    <cellStyle name="Comma 19 8" xfId="23423" xr:uid="{00000000-0005-0000-0000-000046230000}"/>
    <cellStyle name="Comma 19 8 2" xfId="23424" xr:uid="{00000000-0005-0000-0000-000047230000}"/>
    <cellStyle name="Comma 19 8 2 2" xfId="23425" xr:uid="{00000000-0005-0000-0000-000048230000}"/>
    <cellStyle name="Comma 19 8 3" xfId="23426" xr:uid="{00000000-0005-0000-0000-000049230000}"/>
    <cellStyle name="Comma 19 9" xfId="23427" xr:uid="{00000000-0005-0000-0000-00004A230000}"/>
    <cellStyle name="Comma 19 9 2" xfId="23428" xr:uid="{00000000-0005-0000-0000-00004B230000}"/>
    <cellStyle name="Comma 19 9 2 2" xfId="23429" xr:uid="{00000000-0005-0000-0000-00004C230000}"/>
    <cellStyle name="Comma 19 9 3" xfId="23430" xr:uid="{00000000-0005-0000-0000-00004D230000}"/>
    <cellStyle name="Comma 190" xfId="23431" xr:uid="{00000000-0005-0000-0000-00004E230000}"/>
    <cellStyle name="Comma 190 2" xfId="23432" xr:uid="{00000000-0005-0000-0000-00004F230000}"/>
    <cellStyle name="Comma 190 3" xfId="23433" xr:uid="{00000000-0005-0000-0000-000050230000}"/>
    <cellStyle name="Comma 191" xfId="23434" xr:uid="{00000000-0005-0000-0000-000051230000}"/>
    <cellStyle name="Comma 191 2" xfId="23435" xr:uid="{00000000-0005-0000-0000-000052230000}"/>
    <cellStyle name="Comma 191 3" xfId="23436" xr:uid="{00000000-0005-0000-0000-000053230000}"/>
    <cellStyle name="Comma 192" xfId="23437" xr:uid="{00000000-0005-0000-0000-000054230000}"/>
    <cellStyle name="Comma 192 2" xfId="23438" xr:uid="{00000000-0005-0000-0000-000055230000}"/>
    <cellStyle name="Comma 192 3" xfId="23439" xr:uid="{00000000-0005-0000-0000-000056230000}"/>
    <cellStyle name="Comma 193" xfId="23440" xr:uid="{00000000-0005-0000-0000-000057230000}"/>
    <cellStyle name="Comma 193 2" xfId="23441" xr:uid="{00000000-0005-0000-0000-000058230000}"/>
    <cellStyle name="Comma 193 3" xfId="23442" xr:uid="{00000000-0005-0000-0000-000059230000}"/>
    <cellStyle name="Comma 194" xfId="23443" xr:uid="{00000000-0005-0000-0000-00005A230000}"/>
    <cellStyle name="Comma 194 2" xfId="23444" xr:uid="{00000000-0005-0000-0000-00005B230000}"/>
    <cellStyle name="Comma 194 3" xfId="23445" xr:uid="{00000000-0005-0000-0000-00005C230000}"/>
    <cellStyle name="Comma 195" xfId="23446" xr:uid="{00000000-0005-0000-0000-00005D230000}"/>
    <cellStyle name="Comma 195 2" xfId="23447" xr:uid="{00000000-0005-0000-0000-00005E230000}"/>
    <cellStyle name="Comma 195 3" xfId="23448" xr:uid="{00000000-0005-0000-0000-00005F230000}"/>
    <cellStyle name="Comma 196" xfId="23449" xr:uid="{00000000-0005-0000-0000-000060230000}"/>
    <cellStyle name="Comma 196 2" xfId="23450" xr:uid="{00000000-0005-0000-0000-000061230000}"/>
    <cellStyle name="Comma 196 3" xfId="23451" xr:uid="{00000000-0005-0000-0000-000062230000}"/>
    <cellStyle name="Comma 197" xfId="23452" xr:uid="{00000000-0005-0000-0000-000063230000}"/>
    <cellStyle name="Comma 197 2" xfId="23453" xr:uid="{00000000-0005-0000-0000-000064230000}"/>
    <cellStyle name="Comma 197 3" xfId="23454" xr:uid="{00000000-0005-0000-0000-000065230000}"/>
    <cellStyle name="Comma 198" xfId="23455" xr:uid="{00000000-0005-0000-0000-000066230000}"/>
    <cellStyle name="Comma 198 2" xfId="23456" xr:uid="{00000000-0005-0000-0000-000067230000}"/>
    <cellStyle name="Comma 198 3" xfId="23457" xr:uid="{00000000-0005-0000-0000-000068230000}"/>
    <cellStyle name="Comma 199" xfId="23458" xr:uid="{00000000-0005-0000-0000-000069230000}"/>
    <cellStyle name="Comma 199 2" xfId="23459" xr:uid="{00000000-0005-0000-0000-00006A230000}"/>
    <cellStyle name="Comma 199 3" xfId="23460" xr:uid="{00000000-0005-0000-0000-00006B230000}"/>
    <cellStyle name="Comma 2" xfId="3" xr:uid="{00000000-0005-0000-0000-00006C230000}"/>
    <cellStyle name="Comma 2 10" xfId="30" xr:uid="{00000000-0005-0000-0000-00006D230000}"/>
    <cellStyle name="Comma 2 10 2" xfId="8981" xr:uid="{00000000-0005-0000-0000-00006E230000}"/>
    <cellStyle name="Comma 2 10 2 2" xfId="23463" xr:uid="{00000000-0005-0000-0000-00006F230000}"/>
    <cellStyle name="Comma 2 10 2 3" xfId="23462" xr:uid="{00000000-0005-0000-0000-000070230000}"/>
    <cellStyle name="Comma 2 10 3" xfId="23464" xr:uid="{00000000-0005-0000-0000-000071230000}"/>
    <cellStyle name="Comma 2 10 3 2" xfId="23465" xr:uid="{00000000-0005-0000-0000-000072230000}"/>
    <cellStyle name="Comma 2 10 4" xfId="23466" xr:uid="{00000000-0005-0000-0000-000073230000}"/>
    <cellStyle name="Comma 2 10 4 2" xfId="23467" xr:uid="{00000000-0005-0000-0000-000074230000}"/>
    <cellStyle name="Comma 2 10 5" xfId="23468" xr:uid="{00000000-0005-0000-0000-000075230000}"/>
    <cellStyle name="Comma 2 10 5 2" xfId="23469" xr:uid="{00000000-0005-0000-0000-000076230000}"/>
    <cellStyle name="Comma 2 10 6" xfId="23461" xr:uid="{00000000-0005-0000-0000-000077230000}"/>
    <cellStyle name="Comma 2 11" xfId="2795" xr:uid="{00000000-0005-0000-0000-000078230000}"/>
    <cellStyle name="Comma 2 11 2" xfId="8982" xr:uid="{00000000-0005-0000-0000-000079230000}"/>
    <cellStyle name="Comma 2 11 2 2" xfId="23472" xr:uid="{00000000-0005-0000-0000-00007A230000}"/>
    <cellStyle name="Comma 2 11 2 3" xfId="23471" xr:uid="{00000000-0005-0000-0000-00007B230000}"/>
    <cellStyle name="Comma 2 11 3" xfId="23473" xr:uid="{00000000-0005-0000-0000-00007C230000}"/>
    <cellStyle name="Comma 2 11 3 2" xfId="23474" xr:uid="{00000000-0005-0000-0000-00007D230000}"/>
    <cellStyle name="Comma 2 11 4" xfId="23475" xr:uid="{00000000-0005-0000-0000-00007E230000}"/>
    <cellStyle name="Comma 2 11 4 2" xfId="23476" xr:uid="{00000000-0005-0000-0000-00007F230000}"/>
    <cellStyle name="Comma 2 11 5" xfId="23477" xr:uid="{00000000-0005-0000-0000-000080230000}"/>
    <cellStyle name="Comma 2 11 5 2" xfId="23478" xr:uid="{00000000-0005-0000-0000-000081230000}"/>
    <cellStyle name="Comma 2 11 6" xfId="23479" xr:uid="{00000000-0005-0000-0000-000082230000}"/>
    <cellStyle name="Comma 2 11 7" xfId="23470" xr:uid="{00000000-0005-0000-0000-000083230000}"/>
    <cellStyle name="Comma 2 12" xfId="2796" xr:uid="{00000000-0005-0000-0000-000084230000}"/>
    <cellStyle name="Comma 2 12 2" xfId="8983" xr:uid="{00000000-0005-0000-0000-000085230000}"/>
    <cellStyle name="Comma 2 12 2 2" xfId="23482" xr:uid="{00000000-0005-0000-0000-000086230000}"/>
    <cellStyle name="Comma 2 12 2 3" xfId="23481" xr:uid="{00000000-0005-0000-0000-000087230000}"/>
    <cellStyle name="Comma 2 12 3" xfId="23483" xr:uid="{00000000-0005-0000-0000-000088230000}"/>
    <cellStyle name="Comma 2 12 3 2" xfId="23484" xr:uid="{00000000-0005-0000-0000-000089230000}"/>
    <cellStyle name="Comma 2 12 4" xfId="23485" xr:uid="{00000000-0005-0000-0000-00008A230000}"/>
    <cellStyle name="Comma 2 12 4 2" xfId="23486" xr:uid="{00000000-0005-0000-0000-00008B230000}"/>
    <cellStyle name="Comma 2 12 5" xfId="23487" xr:uid="{00000000-0005-0000-0000-00008C230000}"/>
    <cellStyle name="Comma 2 12 5 2" xfId="23488" xr:uid="{00000000-0005-0000-0000-00008D230000}"/>
    <cellStyle name="Comma 2 12 6" xfId="23489" xr:uid="{00000000-0005-0000-0000-00008E230000}"/>
    <cellStyle name="Comma 2 12 7" xfId="23480" xr:uid="{00000000-0005-0000-0000-00008F230000}"/>
    <cellStyle name="Comma 2 13" xfId="2797" xr:uid="{00000000-0005-0000-0000-000090230000}"/>
    <cellStyle name="Comma 2 13 2" xfId="8984" xr:uid="{00000000-0005-0000-0000-000091230000}"/>
    <cellStyle name="Comma 2 13 2 2" xfId="23492" xr:uid="{00000000-0005-0000-0000-000092230000}"/>
    <cellStyle name="Comma 2 13 2 3" xfId="23491" xr:uid="{00000000-0005-0000-0000-000093230000}"/>
    <cellStyle name="Comma 2 13 3" xfId="23493" xr:uid="{00000000-0005-0000-0000-000094230000}"/>
    <cellStyle name="Comma 2 13 3 2" xfId="23494" xr:uid="{00000000-0005-0000-0000-000095230000}"/>
    <cellStyle name="Comma 2 13 4" xfId="23495" xr:uid="{00000000-0005-0000-0000-000096230000}"/>
    <cellStyle name="Comma 2 13 4 2" xfId="23496" xr:uid="{00000000-0005-0000-0000-000097230000}"/>
    <cellStyle name="Comma 2 13 5" xfId="23497" xr:uid="{00000000-0005-0000-0000-000098230000}"/>
    <cellStyle name="Comma 2 13 5 2" xfId="23498" xr:uid="{00000000-0005-0000-0000-000099230000}"/>
    <cellStyle name="Comma 2 13 6" xfId="23499" xr:uid="{00000000-0005-0000-0000-00009A230000}"/>
    <cellStyle name="Comma 2 13 7" xfId="23490" xr:uid="{00000000-0005-0000-0000-00009B230000}"/>
    <cellStyle name="Comma 2 14" xfId="2798" xr:uid="{00000000-0005-0000-0000-00009C230000}"/>
    <cellStyle name="Comma 2 14 2" xfId="8985" xr:uid="{00000000-0005-0000-0000-00009D230000}"/>
    <cellStyle name="Comma 2 14 2 2" xfId="23502" xr:uid="{00000000-0005-0000-0000-00009E230000}"/>
    <cellStyle name="Comma 2 14 2 3" xfId="23501" xr:uid="{00000000-0005-0000-0000-00009F230000}"/>
    <cellStyle name="Comma 2 14 3" xfId="23503" xr:uid="{00000000-0005-0000-0000-0000A0230000}"/>
    <cellStyle name="Comma 2 14 3 2" xfId="23504" xr:uid="{00000000-0005-0000-0000-0000A1230000}"/>
    <cellStyle name="Comma 2 14 4" xfId="23505" xr:uid="{00000000-0005-0000-0000-0000A2230000}"/>
    <cellStyle name="Comma 2 14 4 2" xfId="23506" xr:uid="{00000000-0005-0000-0000-0000A3230000}"/>
    <cellStyle name="Comma 2 14 5" xfId="23507" xr:uid="{00000000-0005-0000-0000-0000A4230000}"/>
    <cellStyle name="Comma 2 14 5 2" xfId="23508" xr:uid="{00000000-0005-0000-0000-0000A5230000}"/>
    <cellStyle name="Comma 2 14 6" xfId="23509" xr:uid="{00000000-0005-0000-0000-0000A6230000}"/>
    <cellStyle name="Comma 2 14 7" xfId="23500" xr:uid="{00000000-0005-0000-0000-0000A7230000}"/>
    <cellStyle name="Comma 2 15" xfId="2799" xr:uid="{00000000-0005-0000-0000-0000A8230000}"/>
    <cellStyle name="Comma 2 15 2" xfId="8986" xr:uid="{00000000-0005-0000-0000-0000A9230000}"/>
    <cellStyle name="Comma 2 16" xfId="2800" xr:uid="{00000000-0005-0000-0000-0000AA230000}"/>
    <cellStyle name="Comma 2 16 2" xfId="8987" xr:uid="{00000000-0005-0000-0000-0000AB230000}"/>
    <cellStyle name="Comma 2 17" xfId="2801" xr:uid="{00000000-0005-0000-0000-0000AC230000}"/>
    <cellStyle name="Comma 2 17 2" xfId="8988" xr:uid="{00000000-0005-0000-0000-0000AD230000}"/>
    <cellStyle name="Comma 2 18" xfId="2802" xr:uid="{00000000-0005-0000-0000-0000AE230000}"/>
    <cellStyle name="Comma 2 18 2" xfId="8989" xr:uid="{00000000-0005-0000-0000-0000AF230000}"/>
    <cellStyle name="Comma 2 19" xfId="2803" xr:uid="{00000000-0005-0000-0000-0000B0230000}"/>
    <cellStyle name="Comma 2 19 2" xfId="8990" xr:uid="{00000000-0005-0000-0000-0000B1230000}"/>
    <cellStyle name="Comma 2 2" xfId="31" xr:uid="{00000000-0005-0000-0000-0000B2230000}"/>
    <cellStyle name="Comma 2 2 10" xfId="23511" xr:uid="{00000000-0005-0000-0000-0000B3230000}"/>
    <cellStyle name="Comma 2 2 10 2" xfId="23512" xr:uid="{00000000-0005-0000-0000-0000B4230000}"/>
    <cellStyle name="Comma 2 2 11" xfId="23513" xr:uid="{00000000-0005-0000-0000-0000B5230000}"/>
    <cellStyle name="Comma 2 2 11 2" xfId="23514" xr:uid="{00000000-0005-0000-0000-0000B6230000}"/>
    <cellStyle name="Comma 2 2 12" xfId="23515" xr:uid="{00000000-0005-0000-0000-0000B7230000}"/>
    <cellStyle name="Comma 2 2 12 2" xfId="23516" xr:uid="{00000000-0005-0000-0000-0000B8230000}"/>
    <cellStyle name="Comma 2 2 13" xfId="23517" xr:uid="{00000000-0005-0000-0000-0000B9230000}"/>
    <cellStyle name="Comma 2 2 13 2" xfId="23518" xr:uid="{00000000-0005-0000-0000-0000BA230000}"/>
    <cellStyle name="Comma 2 2 14" xfId="23519" xr:uid="{00000000-0005-0000-0000-0000BB230000}"/>
    <cellStyle name="Comma 2 2 15" xfId="23520" xr:uid="{00000000-0005-0000-0000-0000BC230000}"/>
    <cellStyle name="Comma 2 2 16" xfId="23510" xr:uid="{00000000-0005-0000-0000-0000BD230000}"/>
    <cellStyle name="Comma 2 2 17" xfId="2804" xr:uid="{00000000-0005-0000-0000-0000BE230000}"/>
    <cellStyle name="Comma 2 2 2" xfId="8991" xr:uid="{00000000-0005-0000-0000-0000BF230000}"/>
    <cellStyle name="Comma 2 2 2 10" xfId="23522" xr:uid="{00000000-0005-0000-0000-0000C0230000}"/>
    <cellStyle name="Comma 2 2 2 11" xfId="23523" xr:uid="{00000000-0005-0000-0000-0000C1230000}"/>
    <cellStyle name="Comma 2 2 2 12" xfId="23521" xr:uid="{00000000-0005-0000-0000-0000C2230000}"/>
    <cellStyle name="Comma 2 2 2 2" xfId="23524" xr:uid="{00000000-0005-0000-0000-0000C3230000}"/>
    <cellStyle name="Comma 2 2 2 2 10" xfId="23525" xr:uid="{00000000-0005-0000-0000-0000C4230000}"/>
    <cellStyle name="Comma 2 2 2 2 11" xfId="23526" xr:uid="{00000000-0005-0000-0000-0000C5230000}"/>
    <cellStyle name="Comma 2 2 2 2 2" xfId="23527" xr:uid="{00000000-0005-0000-0000-0000C6230000}"/>
    <cellStyle name="Comma 2 2 2 2 2 2" xfId="23528" xr:uid="{00000000-0005-0000-0000-0000C7230000}"/>
    <cellStyle name="Comma 2 2 2 2 2 2 2" xfId="23529" xr:uid="{00000000-0005-0000-0000-0000C8230000}"/>
    <cellStyle name="Comma 2 2 2 2 2 2 2 2" xfId="23530" xr:uid="{00000000-0005-0000-0000-0000C9230000}"/>
    <cellStyle name="Comma 2 2 2 2 2 2 3" xfId="23531" xr:uid="{00000000-0005-0000-0000-0000CA230000}"/>
    <cellStyle name="Comma 2 2 2 2 2 3" xfId="23532" xr:uid="{00000000-0005-0000-0000-0000CB230000}"/>
    <cellStyle name="Comma 2 2 2 2 3" xfId="23533" xr:uid="{00000000-0005-0000-0000-0000CC230000}"/>
    <cellStyle name="Comma 2 2 2 2 3 2" xfId="23534" xr:uid="{00000000-0005-0000-0000-0000CD230000}"/>
    <cellStyle name="Comma 2 2 2 2 4" xfId="23535" xr:uid="{00000000-0005-0000-0000-0000CE230000}"/>
    <cellStyle name="Comma 2 2 2 2 4 2" xfId="23536" xr:uid="{00000000-0005-0000-0000-0000CF230000}"/>
    <cellStyle name="Comma 2 2 2 2 5" xfId="23537" xr:uid="{00000000-0005-0000-0000-0000D0230000}"/>
    <cellStyle name="Comma 2 2 2 2 5 2" xfId="23538" xr:uid="{00000000-0005-0000-0000-0000D1230000}"/>
    <cellStyle name="Comma 2 2 2 2 6" xfId="23539" xr:uid="{00000000-0005-0000-0000-0000D2230000}"/>
    <cellStyle name="Comma 2 2 2 2 6 2" xfId="23540" xr:uid="{00000000-0005-0000-0000-0000D3230000}"/>
    <cellStyle name="Comma 2 2 2 2 7" xfId="23541" xr:uid="{00000000-0005-0000-0000-0000D4230000}"/>
    <cellStyle name="Comma 2 2 2 2 7 2" xfId="23542" xr:uid="{00000000-0005-0000-0000-0000D5230000}"/>
    <cellStyle name="Comma 2 2 2 2 8" xfId="23543" xr:uid="{00000000-0005-0000-0000-0000D6230000}"/>
    <cellStyle name="Comma 2 2 2 2 8 2" xfId="23544" xr:uid="{00000000-0005-0000-0000-0000D7230000}"/>
    <cellStyle name="Comma 2 2 2 2 9" xfId="23545" xr:uid="{00000000-0005-0000-0000-0000D8230000}"/>
    <cellStyle name="Comma 2 2 2 2 9 2" xfId="23546" xr:uid="{00000000-0005-0000-0000-0000D9230000}"/>
    <cellStyle name="Comma 2 2 2 3" xfId="23547" xr:uid="{00000000-0005-0000-0000-0000DA230000}"/>
    <cellStyle name="Comma 2 2 2 3 2" xfId="23548" xr:uid="{00000000-0005-0000-0000-0000DB230000}"/>
    <cellStyle name="Comma 2 2 2 3 2 2" xfId="23549" xr:uid="{00000000-0005-0000-0000-0000DC230000}"/>
    <cellStyle name="Comma 2 2 2 3 2 2 2" xfId="23550" xr:uid="{00000000-0005-0000-0000-0000DD230000}"/>
    <cellStyle name="Comma 2 2 2 3 2 3" xfId="23551" xr:uid="{00000000-0005-0000-0000-0000DE230000}"/>
    <cellStyle name="Comma 2 2 2 3 3" xfId="23552" xr:uid="{00000000-0005-0000-0000-0000DF230000}"/>
    <cellStyle name="Comma 2 2 2 3 3 2" xfId="23553" xr:uid="{00000000-0005-0000-0000-0000E0230000}"/>
    <cellStyle name="Comma 2 2 2 3 4" xfId="23554" xr:uid="{00000000-0005-0000-0000-0000E1230000}"/>
    <cellStyle name="Comma 2 2 2 3 4 2" xfId="23555" xr:uid="{00000000-0005-0000-0000-0000E2230000}"/>
    <cellStyle name="Comma 2 2 2 3 5" xfId="23556" xr:uid="{00000000-0005-0000-0000-0000E3230000}"/>
    <cellStyle name="Comma 2 2 2 4" xfId="23557" xr:uid="{00000000-0005-0000-0000-0000E4230000}"/>
    <cellStyle name="Comma 2 2 2 4 2" xfId="23558" xr:uid="{00000000-0005-0000-0000-0000E5230000}"/>
    <cellStyle name="Comma 2 2 2 5" xfId="23559" xr:uid="{00000000-0005-0000-0000-0000E6230000}"/>
    <cellStyle name="Comma 2 2 2 5 2" xfId="23560" xr:uid="{00000000-0005-0000-0000-0000E7230000}"/>
    <cellStyle name="Comma 2 2 2 6" xfId="23561" xr:uid="{00000000-0005-0000-0000-0000E8230000}"/>
    <cellStyle name="Comma 2 2 2 6 2" xfId="23562" xr:uid="{00000000-0005-0000-0000-0000E9230000}"/>
    <cellStyle name="Comma 2 2 2 7" xfId="23563" xr:uid="{00000000-0005-0000-0000-0000EA230000}"/>
    <cellStyle name="Comma 2 2 2 7 2" xfId="23564" xr:uid="{00000000-0005-0000-0000-0000EB230000}"/>
    <cellStyle name="Comma 2 2 2 8" xfId="23565" xr:uid="{00000000-0005-0000-0000-0000EC230000}"/>
    <cellStyle name="Comma 2 2 2 8 2" xfId="23566" xr:uid="{00000000-0005-0000-0000-0000ED230000}"/>
    <cellStyle name="Comma 2 2 2 9" xfId="23567" xr:uid="{00000000-0005-0000-0000-0000EE230000}"/>
    <cellStyle name="Comma 2 2 2 9 2" xfId="23568" xr:uid="{00000000-0005-0000-0000-0000EF230000}"/>
    <cellStyle name="Comma 2 2 3" xfId="23569" xr:uid="{00000000-0005-0000-0000-0000F0230000}"/>
    <cellStyle name="Comma 2 2 3 2" xfId="23570" xr:uid="{00000000-0005-0000-0000-0000F1230000}"/>
    <cellStyle name="Comma 2 2 3 2 2" xfId="23571" xr:uid="{00000000-0005-0000-0000-0000F2230000}"/>
    <cellStyle name="Comma 2 2 3 2 2 2" xfId="23572" xr:uid="{00000000-0005-0000-0000-0000F3230000}"/>
    <cellStyle name="Comma 2 2 3 2 3" xfId="23573" xr:uid="{00000000-0005-0000-0000-0000F4230000}"/>
    <cellStyle name="Comma 2 2 3 3" xfId="23574" xr:uid="{00000000-0005-0000-0000-0000F5230000}"/>
    <cellStyle name="Comma 2 2 3 4" xfId="23575" xr:uid="{00000000-0005-0000-0000-0000F6230000}"/>
    <cellStyle name="Comma 2 2 3 5" xfId="23576" xr:uid="{00000000-0005-0000-0000-0000F7230000}"/>
    <cellStyle name="Comma 2 2 4" xfId="23577" xr:uid="{00000000-0005-0000-0000-0000F8230000}"/>
    <cellStyle name="Comma 2 2 4 2" xfId="23578" xr:uid="{00000000-0005-0000-0000-0000F9230000}"/>
    <cellStyle name="Comma 2 2 4 3" xfId="23579" xr:uid="{00000000-0005-0000-0000-0000FA230000}"/>
    <cellStyle name="Comma 2 2 4 4" xfId="23580" xr:uid="{00000000-0005-0000-0000-0000FB230000}"/>
    <cellStyle name="Comma 2 2 5" xfId="23581" xr:uid="{00000000-0005-0000-0000-0000FC230000}"/>
    <cellStyle name="Comma 2 2 5 2" xfId="23582" xr:uid="{00000000-0005-0000-0000-0000FD230000}"/>
    <cellStyle name="Comma 2 2 5 2 2" xfId="23583" xr:uid="{00000000-0005-0000-0000-0000FE230000}"/>
    <cellStyle name="Comma 2 2 5 3" xfId="23584" xr:uid="{00000000-0005-0000-0000-0000FF230000}"/>
    <cellStyle name="Comma 2 2 6" xfId="23585" xr:uid="{00000000-0005-0000-0000-000000240000}"/>
    <cellStyle name="Comma 2 2 6 2" xfId="23586" xr:uid="{00000000-0005-0000-0000-000001240000}"/>
    <cellStyle name="Comma 2 2 6 3" xfId="23587" xr:uid="{00000000-0005-0000-0000-000002240000}"/>
    <cellStyle name="Comma 2 2 7" xfId="23588" xr:uid="{00000000-0005-0000-0000-000003240000}"/>
    <cellStyle name="Comma 2 2 7 2" xfId="23589" xr:uid="{00000000-0005-0000-0000-000004240000}"/>
    <cellStyle name="Comma 2 2 8" xfId="23590" xr:uid="{00000000-0005-0000-0000-000005240000}"/>
    <cellStyle name="Comma 2 2 8 2" xfId="23591" xr:uid="{00000000-0005-0000-0000-000006240000}"/>
    <cellStyle name="Comma 2 2 9" xfId="23592" xr:uid="{00000000-0005-0000-0000-000007240000}"/>
    <cellStyle name="Comma 2 2 9 2" xfId="23593" xr:uid="{00000000-0005-0000-0000-000008240000}"/>
    <cellStyle name="Comma 2 20" xfId="2805" xr:uid="{00000000-0005-0000-0000-000009240000}"/>
    <cellStyle name="Comma 2 20 2" xfId="8992" xr:uid="{00000000-0005-0000-0000-00000A240000}"/>
    <cellStyle name="Comma 2 21" xfId="2806" xr:uid="{00000000-0005-0000-0000-00000B240000}"/>
    <cellStyle name="Comma 2 21 2" xfId="8993" xr:uid="{00000000-0005-0000-0000-00000C240000}"/>
    <cellStyle name="Comma 2 22" xfId="2807" xr:uid="{00000000-0005-0000-0000-00000D240000}"/>
    <cellStyle name="Comma 2 22 2" xfId="8994" xr:uid="{00000000-0005-0000-0000-00000E240000}"/>
    <cellStyle name="Comma 2 23" xfId="2808" xr:uid="{00000000-0005-0000-0000-00000F240000}"/>
    <cellStyle name="Comma 2 23 2" xfId="2809" xr:uid="{00000000-0005-0000-0000-000010240000}"/>
    <cellStyle name="Comma 2 23 3" xfId="2810" xr:uid="{00000000-0005-0000-0000-000011240000}"/>
    <cellStyle name="Comma 2 24" xfId="2811" xr:uid="{00000000-0005-0000-0000-000012240000}"/>
    <cellStyle name="Comma 2 25" xfId="38381" xr:uid="{00000000-0005-0000-0000-000013240000}"/>
    <cellStyle name="Comma 2 26" xfId="19274" xr:uid="{00000000-0005-0000-0000-000014240000}"/>
    <cellStyle name="Comma 2 27" xfId="2794" xr:uid="{00000000-0005-0000-0000-000015240000}"/>
    <cellStyle name="Comma 2 3" xfId="2812" xr:uid="{00000000-0005-0000-0000-000016240000}"/>
    <cellStyle name="Comma 2 3 10" xfId="23595" xr:uid="{00000000-0005-0000-0000-000017240000}"/>
    <cellStyle name="Comma 2 3 11" xfId="23596" xr:uid="{00000000-0005-0000-0000-000018240000}"/>
    <cellStyle name="Comma 2 3 12" xfId="23597" xr:uid="{00000000-0005-0000-0000-000019240000}"/>
    <cellStyle name="Comma 2 3 13" xfId="23598" xr:uid="{00000000-0005-0000-0000-00001A240000}"/>
    <cellStyle name="Comma 2 3 14" xfId="23599" xr:uid="{00000000-0005-0000-0000-00001B240000}"/>
    <cellStyle name="Comma 2 3 15" xfId="23600" xr:uid="{00000000-0005-0000-0000-00001C240000}"/>
    <cellStyle name="Comma 2 3 16" xfId="23601" xr:uid="{00000000-0005-0000-0000-00001D240000}"/>
    <cellStyle name="Comma 2 3 17" xfId="23602" xr:uid="{00000000-0005-0000-0000-00001E240000}"/>
    <cellStyle name="Comma 2 3 18" xfId="23603" xr:uid="{00000000-0005-0000-0000-00001F240000}"/>
    <cellStyle name="Comma 2 3 19" xfId="23594" xr:uid="{00000000-0005-0000-0000-000020240000}"/>
    <cellStyle name="Comma 2 3 2" xfId="8995" xr:uid="{00000000-0005-0000-0000-000021240000}"/>
    <cellStyle name="Comma 2 3 2 2" xfId="23605" xr:uid="{00000000-0005-0000-0000-000022240000}"/>
    <cellStyle name="Comma 2 3 2 2 2" xfId="23606" xr:uid="{00000000-0005-0000-0000-000023240000}"/>
    <cellStyle name="Comma 2 3 2 2 2 2" xfId="23607" xr:uid="{00000000-0005-0000-0000-000024240000}"/>
    <cellStyle name="Comma 2 3 2 2 2 2 2" xfId="23608" xr:uid="{00000000-0005-0000-0000-000025240000}"/>
    <cellStyle name="Comma 2 3 2 2 2 2 2 2" xfId="23609" xr:uid="{00000000-0005-0000-0000-000026240000}"/>
    <cellStyle name="Comma 2 3 2 2 2 2 3" xfId="23610" xr:uid="{00000000-0005-0000-0000-000027240000}"/>
    <cellStyle name="Comma 2 3 2 2 2 3" xfId="23611" xr:uid="{00000000-0005-0000-0000-000028240000}"/>
    <cellStyle name="Comma 2 3 2 2 2 3 2" xfId="23612" xr:uid="{00000000-0005-0000-0000-000029240000}"/>
    <cellStyle name="Comma 2 3 2 2 2 4" xfId="23613" xr:uid="{00000000-0005-0000-0000-00002A240000}"/>
    <cellStyle name="Comma 2 3 2 2 2 4 2" xfId="23614" xr:uid="{00000000-0005-0000-0000-00002B240000}"/>
    <cellStyle name="Comma 2 3 2 2 2 5" xfId="23615" xr:uid="{00000000-0005-0000-0000-00002C240000}"/>
    <cellStyle name="Comma 2 3 2 2 3" xfId="23616" xr:uid="{00000000-0005-0000-0000-00002D240000}"/>
    <cellStyle name="Comma 2 3 2 2 3 2" xfId="23617" xr:uid="{00000000-0005-0000-0000-00002E240000}"/>
    <cellStyle name="Comma 2 3 2 2 3 2 2" xfId="23618" xr:uid="{00000000-0005-0000-0000-00002F240000}"/>
    <cellStyle name="Comma 2 3 2 2 3 3" xfId="23619" xr:uid="{00000000-0005-0000-0000-000030240000}"/>
    <cellStyle name="Comma 2 3 2 2 3 3 2" xfId="23620" xr:uid="{00000000-0005-0000-0000-000031240000}"/>
    <cellStyle name="Comma 2 3 2 2 3 4" xfId="23621" xr:uid="{00000000-0005-0000-0000-000032240000}"/>
    <cellStyle name="Comma 2 3 2 2 4" xfId="23622" xr:uid="{00000000-0005-0000-0000-000033240000}"/>
    <cellStyle name="Comma 2 3 2 2 4 2" xfId="23623" xr:uid="{00000000-0005-0000-0000-000034240000}"/>
    <cellStyle name="Comma 2 3 2 2 5" xfId="23624" xr:uid="{00000000-0005-0000-0000-000035240000}"/>
    <cellStyle name="Comma 2 3 2 2 5 2" xfId="23625" xr:uid="{00000000-0005-0000-0000-000036240000}"/>
    <cellStyle name="Comma 2 3 2 2 6" xfId="23626" xr:uid="{00000000-0005-0000-0000-000037240000}"/>
    <cellStyle name="Comma 2 3 2 3" xfId="23627" xr:uid="{00000000-0005-0000-0000-000038240000}"/>
    <cellStyle name="Comma 2 3 2 3 2" xfId="23628" xr:uid="{00000000-0005-0000-0000-000039240000}"/>
    <cellStyle name="Comma 2 3 2 3 2 2" xfId="23629" xr:uid="{00000000-0005-0000-0000-00003A240000}"/>
    <cellStyle name="Comma 2 3 2 3 2 2 2" xfId="23630" xr:uid="{00000000-0005-0000-0000-00003B240000}"/>
    <cellStyle name="Comma 2 3 2 3 2 3" xfId="23631" xr:uid="{00000000-0005-0000-0000-00003C240000}"/>
    <cellStyle name="Comma 2 3 2 3 2 3 2" xfId="23632" xr:uid="{00000000-0005-0000-0000-00003D240000}"/>
    <cellStyle name="Comma 2 3 2 3 2 4" xfId="23633" xr:uid="{00000000-0005-0000-0000-00003E240000}"/>
    <cellStyle name="Comma 2 3 2 3 3" xfId="23634" xr:uid="{00000000-0005-0000-0000-00003F240000}"/>
    <cellStyle name="Comma 2 3 2 3 3 2" xfId="23635" xr:uid="{00000000-0005-0000-0000-000040240000}"/>
    <cellStyle name="Comma 2 3 2 3 4" xfId="23636" xr:uid="{00000000-0005-0000-0000-000041240000}"/>
    <cellStyle name="Comma 2 3 2 3 4 2" xfId="23637" xr:uid="{00000000-0005-0000-0000-000042240000}"/>
    <cellStyle name="Comma 2 3 2 3 5" xfId="23638" xr:uid="{00000000-0005-0000-0000-000043240000}"/>
    <cellStyle name="Comma 2 3 2 4" xfId="23639" xr:uid="{00000000-0005-0000-0000-000044240000}"/>
    <cellStyle name="Comma 2 3 2 4 2" xfId="23640" xr:uid="{00000000-0005-0000-0000-000045240000}"/>
    <cellStyle name="Comma 2 3 2 4 2 2" xfId="23641" xr:uid="{00000000-0005-0000-0000-000046240000}"/>
    <cellStyle name="Comma 2 3 2 4 3" xfId="23642" xr:uid="{00000000-0005-0000-0000-000047240000}"/>
    <cellStyle name="Comma 2 3 2 4 3 2" xfId="23643" xr:uid="{00000000-0005-0000-0000-000048240000}"/>
    <cellStyle name="Comma 2 3 2 4 4" xfId="23644" xr:uid="{00000000-0005-0000-0000-000049240000}"/>
    <cellStyle name="Comma 2 3 2 5" xfId="23645" xr:uid="{00000000-0005-0000-0000-00004A240000}"/>
    <cellStyle name="Comma 2 3 2 5 2" xfId="23646" xr:uid="{00000000-0005-0000-0000-00004B240000}"/>
    <cellStyle name="Comma 2 3 2 6" xfId="23647" xr:uid="{00000000-0005-0000-0000-00004C240000}"/>
    <cellStyle name="Comma 2 3 2 6 2" xfId="23648" xr:uid="{00000000-0005-0000-0000-00004D240000}"/>
    <cellStyle name="Comma 2 3 2 7" xfId="23649" xr:uid="{00000000-0005-0000-0000-00004E240000}"/>
    <cellStyle name="Comma 2 3 2 8" xfId="23650" xr:uid="{00000000-0005-0000-0000-00004F240000}"/>
    <cellStyle name="Comma 2 3 2 8 2" xfId="39184" xr:uid="{00000000-0005-0000-0000-000050240000}"/>
    <cellStyle name="Comma 2 3 2 9" xfId="23604" xr:uid="{00000000-0005-0000-0000-000051240000}"/>
    <cellStyle name="Comma 2 3 3" xfId="23651" xr:uid="{00000000-0005-0000-0000-000052240000}"/>
    <cellStyle name="Comma 2 3 3 2" xfId="23652" xr:uid="{00000000-0005-0000-0000-000053240000}"/>
    <cellStyle name="Comma 2 3 3 2 2" xfId="23653" xr:uid="{00000000-0005-0000-0000-000054240000}"/>
    <cellStyle name="Comma 2 3 3 2 2 2" xfId="23654" xr:uid="{00000000-0005-0000-0000-000055240000}"/>
    <cellStyle name="Comma 2 3 3 2 3" xfId="23655" xr:uid="{00000000-0005-0000-0000-000056240000}"/>
    <cellStyle name="Comma 2 3 3 2 3 2" xfId="23656" xr:uid="{00000000-0005-0000-0000-000057240000}"/>
    <cellStyle name="Comma 2 3 3 2 4" xfId="23657" xr:uid="{00000000-0005-0000-0000-000058240000}"/>
    <cellStyle name="Comma 2 3 3 3" xfId="23658" xr:uid="{00000000-0005-0000-0000-000059240000}"/>
    <cellStyle name="Comma 2 3 3 3 2" xfId="23659" xr:uid="{00000000-0005-0000-0000-00005A240000}"/>
    <cellStyle name="Comma 2 3 3 3 2 2" xfId="23660" xr:uid="{00000000-0005-0000-0000-00005B240000}"/>
    <cellStyle name="Comma 2 3 3 3 3" xfId="23661" xr:uid="{00000000-0005-0000-0000-00005C240000}"/>
    <cellStyle name="Comma 2 3 3 4" xfId="23662" xr:uid="{00000000-0005-0000-0000-00005D240000}"/>
    <cellStyle name="Comma 2 3 3 4 2" xfId="23663" xr:uid="{00000000-0005-0000-0000-00005E240000}"/>
    <cellStyle name="Comma 2 3 3 5" xfId="23664" xr:uid="{00000000-0005-0000-0000-00005F240000}"/>
    <cellStyle name="Comma 2 3 3 6" xfId="23665" xr:uid="{00000000-0005-0000-0000-000060240000}"/>
    <cellStyle name="Comma 2 3 3 6 2" xfId="39185" xr:uid="{00000000-0005-0000-0000-000061240000}"/>
    <cellStyle name="Comma 2 3 4" xfId="23666" xr:uid="{00000000-0005-0000-0000-000062240000}"/>
    <cellStyle name="Comma 2 3 4 2" xfId="23667" xr:uid="{00000000-0005-0000-0000-000063240000}"/>
    <cellStyle name="Comma 2 3 4 2 2" xfId="23668" xr:uid="{00000000-0005-0000-0000-000064240000}"/>
    <cellStyle name="Comma 2 3 4 2 2 2" xfId="23669" xr:uid="{00000000-0005-0000-0000-000065240000}"/>
    <cellStyle name="Comma 2 3 4 2 3" xfId="23670" xr:uid="{00000000-0005-0000-0000-000066240000}"/>
    <cellStyle name="Comma 2 3 4 3" xfId="23671" xr:uid="{00000000-0005-0000-0000-000067240000}"/>
    <cellStyle name="Comma 2 3 4 3 2" xfId="23672" xr:uid="{00000000-0005-0000-0000-000068240000}"/>
    <cellStyle name="Comma 2 3 4 4" xfId="23673" xr:uid="{00000000-0005-0000-0000-000069240000}"/>
    <cellStyle name="Comma 2 3 4 5" xfId="23674" xr:uid="{00000000-0005-0000-0000-00006A240000}"/>
    <cellStyle name="Comma 2 3 5" xfId="23675" xr:uid="{00000000-0005-0000-0000-00006B240000}"/>
    <cellStyle name="Comma 2 3 5 2" xfId="23676" xr:uid="{00000000-0005-0000-0000-00006C240000}"/>
    <cellStyle name="Comma 2 3 5 2 2" xfId="23677" xr:uid="{00000000-0005-0000-0000-00006D240000}"/>
    <cellStyle name="Comma 2 3 5 3" xfId="23678" xr:uid="{00000000-0005-0000-0000-00006E240000}"/>
    <cellStyle name="Comma 2 3 6" xfId="23679" xr:uid="{00000000-0005-0000-0000-00006F240000}"/>
    <cellStyle name="Comma 2 3 6 2" xfId="23680" xr:uid="{00000000-0005-0000-0000-000070240000}"/>
    <cellStyle name="Comma 2 3 7" xfId="23681" xr:uid="{00000000-0005-0000-0000-000071240000}"/>
    <cellStyle name="Comma 2 3 7 2" xfId="23682" xr:uid="{00000000-0005-0000-0000-000072240000}"/>
    <cellStyle name="Comma 2 3 7 3" xfId="23683" xr:uid="{00000000-0005-0000-0000-000073240000}"/>
    <cellStyle name="Comma 2 3 8" xfId="23684" xr:uid="{00000000-0005-0000-0000-000074240000}"/>
    <cellStyle name="Comma 2 3 8 2" xfId="23685" xr:uid="{00000000-0005-0000-0000-000075240000}"/>
    <cellStyle name="Comma 2 3 8 3" xfId="23686" xr:uid="{00000000-0005-0000-0000-000076240000}"/>
    <cellStyle name="Comma 2 3 9" xfId="23687" xr:uid="{00000000-0005-0000-0000-000077240000}"/>
    <cellStyle name="Comma 2 3 9 2" xfId="23688" xr:uid="{00000000-0005-0000-0000-000078240000}"/>
    <cellStyle name="Comma 2 4" xfId="2813" xr:uid="{00000000-0005-0000-0000-000079240000}"/>
    <cellStyle name="Comma 2 4 10" xfId="23690" xr:uid="{00000000-0005-0000-0000-00007A240000}"/>
    <cellStyle name="Comma 2 4 11" xfId="23691" xr:uid="{00000000-0005-0000-0000-00007B240000}"/>
    <cellStyle name="Comma 2 4 12" xfId="23689" xr:uid="{00000000-0005-0000-0000-00007C240000}"/>
    <cellStyle name="Comma 2 4 2" xfId="8996" xr:uid="{00000000-0005-0000-0000-00007D240000}"/>
    <cellStyle name="Comma 2 4 2 2" xfId="23692" xr:uid="{00000000-0005-0000-0000-00007E240000}"/>
    <cellStyle name="Comma 2 4 2 2 2" xfId="23693" xr:uid="{00000000-0005-0000-0000-00007F240000}"/>
    <cellStyle name="Comma 2 4 2 2 2 2" xfId="23694" xr:uid="{00000000-0005-0000-0000-000080240000}"/>
    <cellStyle name="Comma 2 4 2 2 2 2 2" xfId="23695" xr:uid="{00000000-0005-0000-0000-000081240000}"/>
    <cellStyle name="Comma 2 4 2 2 2 3" xfId="23696" xr:uid="{00000000-0005-0000-0000-000082240000}"/>
    <cellStyle name="Comma 2 4 2 2 2 3 2" xfId="23697" xr:uid="{00000000-0005-0000-0000-000083240000}"/>
    <cellStyle name="Comma 2 4 2 2 2 4" xfId="23698" xr:uid="{00000000-0005-0000-0000-000084240000}"/>
    <cellStyle name="Comma 2 4 2 2 3" xfId="23699" xr:uid="{00000000-0005-0000-0000-000085240000}"/>
    <cellStyle name="Comma 2 4 2 2 3 2" xfId="23700" xr:uid="{00000000-0005-0000-0000-000086240000}"/>
    <cellStyle name="Comma 2 4 2 2 3 2 2" xfId="23701" xr:uid="{00000000-0005-0000-0000-000087240000}"/>
    <cellStyle name="Comma 2 4 2 2 3 3" xfId="23702" xr:uid="{00000000-0005-0000-0000-000088240000}"/>
    <cellStyle name="Comma 2 4 2 2 4" xfId="23703" xr:uid="{00000000-0005-0000-0000-000089240000}"/>
    <cellStyle name="Comma 2 4 2 2 4 2" xfId="23704" xr:uid="{00000000-0005-0000-0000-00008A240000}"/>
    <cellStyle name="Comma 2 4 2 2 5" xfId="23705" xr:uid="{00000000-0005-0000-0000-00008B240000}"/>
    <cellStyle name="Comma 2 4 2 3" xfId="23706" xr:uid="{00000000-0005-0000-0000-00008C240000}"/>
    <cellStyle name="Comma 2 4 2 3 2" xfId="23707" xr:uid="{00000000-0005-0000-0000-00008D240000}"/>
    <cellStyle name="Comma 2 4 2 3 2 2" xfId="23708" xr:uid="{00000000-0005-0000-0000-00008E240000}"/>
    <cellStyle name="Comma 2 4 2 3 2 2 2" xfId="23709" xr:uid="{00000000-0005-0000-0000-00008F240000}"/>
    <cellStyle name="Comma 2 4 2 3 2 3" xfId="23710" xr:uid="{00000000-0005-0000-0000-000090240000}"/>
    <cellStyle name="Comma 2 4 2 3 3" xfId="23711" xr:uid="{00000000-0005-0000-0000-000091240000}"/>
    <cellStyle name="Comma 2 4 2 3 3 2" xfId="23712" xr:uid="{00000000-0005-0000-0000-000092240000}"/>
    <cellStyle name="Comma 2 4 2 3 4" xfId="23713" xr:uid="{00000000-0005-0000-0000-000093240000}"/>
    <cellStyle name="Comma 2 4 2 4" xfId="23714" xr:uid="{00000000-0005-0000-0000-000094240000}"/>
    <cellStyle name="Comma 2 4 2 4 2" xfId="23715" xr:uid="{00000000-0005-0000-0000-000095240000}"/>
    <cellStyle name="Comma 2 4 2 4 2 2" xfId="23716" xr:uid="{00000000-0005-0000-0000-000096240000}"/>
    <cellStyle name="Comma 2 4 2 4 3" xfId="23717" xr:uid="{00000000-0005-0000-0000-000097240000}"/>
    <cellStyle name="Comma 2 4 2 5" xfId="23718" xr:uid="{00000000-0005-0000-0000-000098240000}"/>
    <cellStyle name="Comma 2 4 2 5 2" xfId="23719" xr:uid="{00000000-0005-0000-0000-000099240000}"/>
    <cellStyle name="Comma 2 4 2 6" xfId="23720" xr:uid="{00000000-0005-0000-0000-00009A240000}"/>
    <cellStyle name="Comma 2 4 2 6 2" xfId="23721" xr:uid="{00000000-0005-0000-0000-00009B240000}"/>
    <cellStyle name="Comma 2 4 2 7" xfId="23722" xr:uid="{00000000-0005-0000-0000-00009C240000}"/>
    <cellStyle name="Comma 2 4 3" xfId="23723" xr:uid="{00000000-0005-0000-0000-00009D240000}"/>
    <cellStyle name="Comma 2 4 3 2" xfId="23724" xr:uid="{00000000-0005-0000-0000-00009E240000}"/>
    <cellStyle name="Comma 2 4 3 2 2" xfId="23725" xr:uid="{00000000-0005-0000-0000-00009F240000}"/>
    <cellStyle name="Comma 2 4 3 2 2 2" xfId="23726" xr:uid="{00000000-0005-0000-0000-0000A0240000}"/>
    <cellStyle name="Comma 2 4 3 2 2 2 2" xfId="23727" xr:uid="{00000000-0005-0000-0000-0000A1240000}"/>
    <cellStyle name="Comma 2 4 3 2 2 3" xfId="23728" xr:uid="{00000000-0005-0000-0000-0000A2240000}"/>
    <cellStyle name="Comma 2 4 3 2 3" xfId="23729" xr:uid="{00000000-0005-0000-0000-0000A3240000}"/>
    <cellStyle name="Comma 2 4 3 2 3 2" xfId="23730" xr:uid="{00000000-0005-0000-0000-0000A4240000}"/>
    <cellStyle name="Comma 2 4 3 2 4" xfId="23731" xr:uid="{00000000-0005-0000-0000-0000A5240000}"/>
    <cellStyle name="Comma 2 4 3 2 4 2" xfId="23732" xr:uid="{00000000-0005-0000-0000-0000A6240000}"/>
    <cellStyle name="Comma 2 4 3 2 5" xfId="23733" xr:uid="{00000000-0005-0000-0000-0000A7240000}"/>
    <cellStyle name="Comma 2 4 3 3" xfId="23734" xr:uid="{00000000-0005-0000-0000-0000A8240000}"/>
    <cellStyle name="Comma 2 4 3 3 2" xfId="23735" xr:uid="{00000000-0005-0000-0000-0000A9240000}"/>
    <cellStyle name="Comma 2 4 3 3 2 2" xfId="23736" xr:uid="{00000000-0005-0000-0000-0000AA240000}"/>
    <cellStyle name="Comma 2 4 3 3 3" xfId="23737" xr:uid="{00000000-0005-0000-0000-0000AB240000}"/>
    <cellStyle name="Comma 2 4 3 3 3 2" xfId="23738" xr:uid="{00000000-0005-0000-0000-0000AC240000}"/>
    <cellStyle name="Comma 2 4 3 3 4" xfId="23739" xr:uid="{00000000-0005-0000-0000-0000AD240000}"/>
    <cellStyle name="Comma 2 4 3 4" xfId="23740" xr:uid="{00000000-0005-0000-0000-0000AE240000}"/>
    <cellStyle name="Comma 2 4 3 4 2" xfId="23741" xr:uid="{00000000-0005-0000-0000-0000AF240000}"/>
    <cellStyle name="Comma 2 4 3 5" xfId="23742" xr:uid="{00000000-0005-0000-0000-0000B0240000}"/>
    <cellStyle name="Comma 2 4 3 5 2" xfId="23743" xr:uid="{00000000-0005-0000-0000-0000B1240000}"/>
    <cellStyle name="Comma 2 4 3 6" xfId="23744" xr:uid="{00000000-0005-0000-0000-0000B2240000}"/>
    <cellStyle name="Comma 2 4 4" xfId="23745" xr:uid="{00000000-0005-0000-0000-0000B3240000}"/>
    <cellStyle name="Comma 2 4 4 2" xfId="23746" xr:uid="{00000000-0005-0000-0000-0000B4240000}"/>
    <cellStyle name="Comma 2 4 4 2 2" xfId="23747" xr:uid="{00000000-0005-0000-0000-0000B5240000}"/>
    <cellStyle name="Comma 2 4 4 2 2 2" xfId="23748" xr:uid="{00000000-0005-0000-0000-0000B6240000}"/>
    <cellStyle name="Comma 2 4 4 2 3" xfId="23749" xr:uid="{00000000-0005-0000-0000-0000B7240000}"/>
    <cellStyle name="Comma 2 4 4 2 3 2" xfId="23750" xr:uid="{00000000-0005-0000-0000-0000B8240000}"/>
    <cellStyle name="Comma 2 4 4 2 4" xfId="23751" xr:uid="{00000000-0005-0000-0000-0000B9240000}"/>
    <cellStyle name="Comma 2 4 4 3" xfId="23752" xr:uid="{00000000-0005-0000-0000-0000BA240000}"/>
    <cellStyle name="Comma 2 4 4 3 2" xfId="23753" xr:uid="{00000000-0005-0000-0000-0000BB240000}"/>
    <cellStyle name="Comma 2 4 4 4" xfId="23754" xr:uid="{00000000-0005-0000-0000-0000BC240000}"/>
    <cellStyle name="Comma 2 4 4 4 2" xfId="23755" xr:uid="{00000000-0005-0000-0000-0000BD240000}"/>
    <cellStyle name="Comma 2 4 4 5" xfId="23756" xr:uid="{00000000-0005-0000-0000-0000BE240000}"/>
    <cellStyle name="Comma 2 4 5" xfId="23757" xr:uid="{00000000-0005-0000-0000-0000BF240000}"/>
    <cellStyle name="Comma 2 4 5 2" xfId="23758" xr:uid="{00000000-0005-0000-0000-0000C0240000}"/>
    <cellStyle name="Comma 2 4 5 2 2" xfId="23759" xr:uid="{00000000-0005-0000-0000-0000C1240000}"/>
    <cellStyle name="Comma 2 4 5 3" xfId="23760" xr:uid="{00000000-0005-0000-0000-0000C2240000}"/>
    <cellStyle name="Comma 2 4 5 3 2" xfId="23761" xr:uid="{00000000-0005-0000-0000-0000C3240000}"/>
    <cellStyle name="Comma 2 4 5 4" xfId="23762" xr:uid="{00000000-0005-0000-0000-0000C4240000}"/>
    <cellStyle name="Comma 2 4 6" xfId="23763" xr:uid="{00000000-0005-0000-0000-0000C5240000}"/>
    <cellStyle name="Comma 2 4 6 2" xfId="23764" xr:uid="{00000000-0005-0000-0000-0000C6240000}"/>
    <cellStyle name="Comma 2 4 7" xfId="23765" xr:uid="{00000000-0005-0000-0000-0000C7240000}"/>
    <cellStyle name="Comma 2 4 7 2" xfId="23766" xr:uid="{00000000-0005-0000-0000-0000C8240000}"/>
    <cellStyle name="Comma 2 4 8" xfId="23767" xr:uid="{00000000-0005-0000-0000-0000C9240000}"/>
    <cellStyle name="Comma 2 4 8 2" xfId="23768" xr:uid="{00000000-0005-0000-0000-0000CA240000}"/>
    <cellStyle name="Comma 2 4 9" xfId="23769" xr:uid="{00000000-0005-0000-0000-0000CB240000}"/>
    <cellStyle name="Comma 2 4 9 2" xfId="23770" xr:uid="{00000000-0005-0000-0000-0000CC240000}"/>
    <cellStyle name="Comma 2 5" xfId="2814" xr:uid="{00000000-0005-0000-0000-0000CD240000}"/>
    <cellStyle name="Comma 2 5 10" xfId="23772" xr:uid="{00000000-0005-0000-0000-0000CE240000}"/>
    <cellStyle name="Comma 2 5 11" xfId="23771" xr:uid="{00000000-0005-0000-0000-0000CF240000}"/>
    <cellStyle name="Comma 2 5 2" xfId="8997" xr:uid="{00000000-0005-0000-0000-0000D0240000}"/>
    <cellStyle name="Comma 2 5 2 2" xfId="23774" xr:uid="{00000000-0005-0000-0000-0000D1240000}"/>
    <cellStyle name="Comma 2 5 2 2 2" xfId="23775" xr:uid="{00000000-0005-0000-0000-0000D2240000}"/>
    <cellStyle name="Comma 2 5 2 2 2 2" xfId="23776" xr:uid="{00000000-0005-0000-0000-0000D3240000}"/>
    <cellStyle name="Comma 2 5 2 2 2 2 2" xfId="23777" xr:uid="{00000000-0005-0000-0000-0000D4240000}"/>
    <cellStyle name="Comma 2 5 2 2 2 3" xfId="23778" xr:uid="{00000000-0005-0000-0000-0000D5240000}"/>
    <cellStyle name="Comma 2 5 2 2 3" xfId="23779" xr:uid="{00000000-0005-0000-0000-0000D6240000}"/>
    <cellStyle name="Comma 2 5 2 2 3 2" xfId="23780" xr:uid="{00000000-0005-0000-0000-0000D7240000}"/>
    <cellStyle name="Comma 2 5 2 2 4" xfId="23781" xr:uid="{00000000-0005-0000-0000-0000D8240000}"/>
    <cellStyle name="Comma 2 5 2 2 4 2" xfId="23782" xr:uid="{00000000-0005-0000-0000-0000D9240000}"/>
    <cellStyle name="Comma 2 5 2 2 5" xfId="23783" xr:uid="{00000000-0005-0000-0000-0000DA240000}"/>
    <cellStyle name="Comma 2 5 2 3" xfId="23784" xr:uid="{00000000-0005-0000-0000-0000DB240000}"/>
    <cellStyle name="Comma 2 5 2 3 2" xfId="23785" xr:uid="{00000000-0005-0000-0000-0000DC240000}"/>
    <cellStyle name="Comma 2 5 2 3 2 2" xfId="23786" xr:uid="{00000000-0005-0000-0000-0000DD240000}"/>
    <cellStyle name="Comma 2 5 2 3 3" xfId="23787" xr:uid="{00000000-0005-0000-0000-0000DE240000}"/>
    <cellStyle name="Comma 2 5 2 3 3 2" xfId="23788" xr:uid="{00000000-0005-0000-0000-0000DF240000}"/>
    <cellStyle name="Comma 2 5 2 3 4" xfId="23789" xr:uid="{00000000-0005-0000-0000-0000E0240000}"/>
    <cellStyle name="Comma 2 5 2 4" xfId="23790" xr:uid="{00000000-0005-0000-0000-0000E1240000}"/>
    <cellStyle name="Comma 2 5 2 4 2" xfId="23791" xr:uid="{00000000-0005-0000-0000-0000E2240000}"/>
    <cellStyle name="Comma 2 5 2 5" xfId="23792" xr:uid="{00000000-0005-0000-0000-0000E3240000}"/>
    <cellStyle name="Comma 2 5 2 5 2" xfId="23793" xr:uid="{00000000-0005-0000-0000-0000E4240000}"/>
    <cellStyle name="Comma 2 5 2 6" xfId="23794" xr:uid="{00000000-0005-0000-0000-0000E5240000}"/>
    <cellStyle name="Comma 2 5 2 7" xfId="23773" xr:uid="{00000000-0005-0000-0000-0000E6240000}"/>
    <cellStyle name="Comma 2 5 3" xfId="23795" xr:uid="{00000000-0005-0000-0000-0000E7240000}"/>
    <cellStyle name="Comma 2 5 3 2" xfId="23796" xr:uid="{00000000-0005-0000-0000-0000E8240000}"/>
    <cellStyle name="Comma 2 5 3 2 2" xfId="23797" xr:uid="{00000000-0005-0000-0000-0000E9240000}"/>
    <cellStyle name="Comma 2 5 3 2 2 2" xfId="23798" xr:uid="{00000000-0005-0000-0000-0000EA240000}"/>
    <cellStyle name="Comma 2 5 3 2 3" xfId="23799" xr:uid="{00000000-0005-0000-0000-0000EB240000}"/>
    <cellStyle name="Comma 2 5 3 2 3 2" xfId="23800" xr:uid="{00000000-0005-0000-0000-0000EC240000}"/>
    <cellStyle name="Comma 2 5 3 2 4" xfId="23801" xr:uid="{00000000-0005-0000-0000-0000ED240000}"/>
    <cellStyle name="Comma 2 5 3 3" xfId="23802" xr:uid="{00000000-0005-0000-0000-0000EE240000}"/>
    <cellStyle name="Comma 2 5 3 3 2" xfId="23803" xr:uid="{00000000-0005-0000-0000-0000EF240000}"/>
    <cellStyle name="Comma 2 5 3 4" xfId="23804" xr:uid="{00000000-0005-0000-0000-0000F0240000}"/>
    <cellStyle name="Comma 2 5 3 4 2" xfId="23805" xr:uid="{00000000-0005-0000-0000-0000F1240000}"/>
    <cellStyle name="Comma 2 5 3 5" xfId="23806" xr:uid="{00000000-0005-0000-0000-0000F2240000}"/>
    <cellStyle name="Comma 2 5 4" xfId="23807" xr:uid="{00000000-0005-0000-0000-0000F3240000}"/>
    <cellStyle name="Comma 2 5 4 2" xfId="23808" xr:uid="{00000000-0005-0000-0000-0000F4240000}"/>
    <cellStyle name="Comma 2 5 4 2 2" xfId="23809" xr:uid="{00000000-0005-0000-0000-0000F5240000}"/>
    <cellStyle name="Comma 2 5 4 3" xfId="23810" xr:uid="{00000000-0005-0000-0000-0000F6240000}"/>
    <cellStyle name="Comma 2 5 4 3 2" xfId="23811" xr:uid="{00000000-0005-0000-0000-0000F7240000}"/>
    <cellStyle name="Comma 2 5 4 4" xfId="23812" xr:uid="{00000000-0005-0000-0000-0000F8240000}"/>
    <cellStyle name="Comma 2 5 5" xfId="23813" xr:uid="{00000000-0005-0000-0000-0000F9240000}"/>
    <cellStyle name="Comma 2 5 5 2" xfId="23814" xr:uid="{00000000-0005-0000-0000-0000FA240000}"/>
    <cellStyle name="Comma 2 5 6" xfId="23815" xr:uid="{00000000-0005-0000-0000-0000FB240000}"/>
    <cellStyle name="Comma 2 5 6 2" xfId="23816" xr:uid="{00000000-0005-0000-0000-0000FC240000}"/>
    <cellStyle name="Comma 2 5 7" xfId="23817" xr:uid="{00000000-0005-0000-0000-0000FD240000}"/>
    <cellStyle name="Comma 2 5 7 2" xfId="23818" xr:uid="{00000000-0005-0000-0000-0000FE240000}"/>
    <cellStyle name="Comma 2 5 8" xfId="23819" xr:uid="{00000000-0005-0000-0000-0000FF240000}"/>
    <cellStyle name="Comma 2 5 8 2" xfId="23820" xr:uid="{00000000-0005-0000-0000-000000250000}"/>
    <cellStyle name="Comma 2 5 9" xfId="23821" xr:uid="{00000000-0005-0000-0000-000001250000}"/>
    <cellStyle name="Comma 2 6" xfId="2815" xr:uid="{00000000-0005-0000-0000-000002250000}"/>
    <cellStyle name="Comma 2 6 10" xfId="23823" xr:uid="{00000000-0005-0000-0000-000003250000}"/>
    <cellStyle name="Comma 2 6 11" xfId="23822" xr:uid="{00000000-0005-0000-0000-000004250000}"/>
    <cellStyle name="Comma 2 6 2" xfId="8998" xr:uid="{00000000-0005-0000-0000-000005250000}"/>
    <cellStyle name="Comma 2 6 2 2" xfId="23825" xr:uid="{00000000-0005-0000-0000-000006250000}"/>
    <cellStyle name="Comma 2 6 2 2 2" xfId="23826" xr:uid="{00000000-0005-0000-0000-000007250000}"/>
    <cellStyle name="Comma 2 6 2 2 2 2" xfId="23827" xr:uid="{00000000-0005-0000-0000-000008250000}"/>
    <cellStyle name="Comma 2 6 2 2 3" xfId="23828" xr:uid="{00000000-0005-0000-0000-000009250000}"/>
    <cellStyle name="Comma 2 6 2 2 3 2" xfId="23829" xr:uid="{00000000-0005-0000-0000-00000A250000}"/>
    <cellStyle name="Comma 2 6 2 2 4" xfId="23830" xr:uid="{00000000-0005-0000-0000-00000B250000}"/>
    <cellStyle name="Comma 2 6 2 3" xfId="23831" xr:uid="{00000000-0005-0000-0000-00000C250000}"/>
    <cellStyle name="Comma 2 6 2 3 2" xfId="23832" xr:uid="{00000000-0005-0000-0000-00000D250000}"/>
    <cellStyle name="Comma 2 6 2 4" xfId="23833" xr:uid="{00000000-0005-0000-0000-00000E250000}"/>
    <cellStyle name="Comma 2 6 2 4 2" xfId="23834" xr:uid="{00000000-0005-0000-0000-00000F250000}"/>
    <cellStyle name="Comma 2 6 2 5" xfId="23835" xr:uid="{00000000-0005-0000-0000-000010250000}"/>
    <cellStyle name="Comma 2 6 2 6" xfId="23824" xr:uid="{00000000-0005-0000-0000-000011250000}"/>
    <cellStyle name="Comma 2 6 3" xfId="23836" xr:uid="{00000000-0005-0000-0000-000012250000}"/>
    <cellStyle name="Comma 2 6 3 2" xfId="23837" xr:uid="{00000000-0005-0000-0000-000013250000}"/>
    <cellStyle name="Comma 2 6 3 2 2" xfId="23838" xr:uid="{00000000-0005-0000-0000-000014250000}"/>
    <cellStyle name="Comma 2 6 3 3" xfId="23839" xr:uid="{00000000-0005-0000-0000-000015250000}"/>
    <cellStyle name="Comma 2 6 3 3 2" xfId="23840" xr:uid="{00000000-0005-0000-0000-000016250000}"/>
    <cellStyle name="Comma 2 6 3 4" xfId="23841" xr:uid="{00000000-0005-0000-0000-000017250000}"/>
    <cellStyle name="Comma 2 6 4" xfId="23842" xr:uid="{00000000-0005-0000-0000-000018250000}"/>
    <cellStyle name="Comma 2 6 4 2" xfId="23843" xr:uid="{00000000-0005-0000-0000-000019250000}"/>
    <cellStyle name="Comma 2 6 4 2 2" xfId="23844" xr:uid="{00000000-0005-0000-0000-00001A250000}"/>
    <cellStyle name="Comma 2 6 4 3" xfId="23845" xr:uid="{00000000-0005-0000-0000-00001B250000}"/>
    <cellStyle name="Comma 2 6 5" xfId="23846" xr:uid="{00000000-0005-0000-0000-00001C250000}"/>
    <cellStyle name="Comma 2 6 5 2" xfId="23847" xr:uid="{00000000-0005-0000-0000-00001D250000}"/>
    <cellStyle name="Comma 2 6 6" xfId="23848" xr:uid="{00000000-0005-0000-0000-00001E250000}"/>
    <cellStyle name="Comma 2 6 6 2" xfId="23849" xr:uid="{00000000-0005-0000-0000-00001F250000}"/>
    <cellStyle name="Comma 2 6 7" xfId="23850" xr:uid="{00000000-0005-0000-0000-000020250000}"/>
    <cellStyle name="Comma 2 6 7 2" xfId="23851" xr:uid="{00000000-0005-0000-0000-000021250000}"/>
    <cellStyle name="Comma 2 6 8" xfId="23852" xr:uid="{00000000-0005-0000-0000-000022250000}"/>
    <cellStyle name="Comma 2 6 8 2" xfId="23853" xr:uid="{00000000-0005-0000-0000-000023250000}"/>
    <cellStyle name="Comma 2 6 9" xfId="23854" xr:uid="{00000000-0005-0000-0000-000024250000}"/>
    <cellStyle name="Comma 2 7" xfId="2816" xr:uid="{00000000-0005-0000-0000-000025250000}"/>
    <cellStyle name="Comma 2 7 10" xfId="23855" xr:uid="{00000000-0005-0000-0000-000026250000}"/>
    <cellStyle name="Comma 2 7 2" xfId="8999" xr:uid="{00000000-0005-0000-0000-000027250000}"/>
    <cellStyle name="Comma 2 7 2 2" xfId="23857" xr:uid="{00000000-0005-0000-0000-000028250000}"/>
    <cellStyle name="Comma 2 7 2 3" xfId="23856" xr:uid="{00000000-0005-0000-0000-000029250000}"/>
    <cellStyle name="Comma 2 7 3" xfId="23858" xr:uid="{00000000-0005-0000-0000-00002A250000}"/>
    <cellStyle name="Comma 2 7 3 2" xfId="23859" xr:uid="{00000000-0005-0000-0000-00002B250000}"/>
    <cellStyle name="Comma 2 7 3 2 2" xfId="23860" xr:uid="{00000000-0005-0000-0000-00002C250000}"/>
    <cellStyle name="Comma 2 7 3 3" xfId="23861" xr:uid="{00000000-0005-0000-0000-00002D250000}"/>
    <cellStyle name="Comma 2 7 3 3 2" xfId="23862" xr:uid="{00000000-0005-0000-0000-00002E250000}"/>
    <cellStyle name="Comma 2 7 3 4" xfId="23863" xr:uid="{00000000-0005-0000-0000-00002F250000}"/>
    <cellStyle name="Comma 2 7 4" xfId="23864" xr:uid="{00000000-0005-0000-0000-000030250000}"/>
    <cellStyle name="Comma 2 7 4 2" xfId="23865" xr:uid="{00000000-0005-0000-0000-000031250000}"/>
    <cellStyle name="Comma 2 7 4 2 2" xfId="23866" xr:uid="{00000000-0005-0000-0000-000032250000}"/>
    <cellStyle name="Comma 2 7 4 3" xfId="23867" xr:uid="{00000000-0005-0000-0000-000033250000}"/>
    <cellStyle name="Comma 2 7 5" xfId="23868" xr:uid="{00000000-0005-0000-0000-000034250000}"/>
    <cellStyle name="Comma 2 7 5 2" xfId="23869" xr:uid="{00000000-0005-0000-0000-000035250000}"/>
    <cellStyle name="Comma 2 7 6" xfId="23870" xr:uid="{00000000-0005-0000-0000-000036250000}"/>
    <cellStyle name="Comma 2 7 6 2" xfId="23871" xr:uid="{00000000-0005-0000-0000-000037250000}"/>
    <cellStyle name="Comma 2 7 7" xfId="23872" xr:uid="{00000000-0005-0000-0000-000038250000}"/>
    <cellStyle name="Comma 2 7 7 2" xfId="23873" xr:uid="{00000000-0005-0000-0000-000039250000}"/>
    <cellStyle name="Comma 2 7 8" xfId="23874" xr:uid="{00000000-0005-0000-0000-00003A250000}"/>
    <cellStyle name="Comma 2 7 8 2" xfId="23875" xr:uid="{00000000-0005-0000-0000-00003B250000}"/>
    <cellStyle name="Comma 2 7 9" xfId="23876" xr:uid="{00000000-0005-0000-0000-00003C250000}"/>
    <cellStyle name="Comma 2 8" xfId="2817" xr:uid="{00000000-0005-0000-0000-00003D250000}"/>
    <cellStyle name="Comma 2 8 2" xfId="9000" xr:uid="{00000000-0005-0000-0000-00003E250000}"/>
    <cellStyle name="Comma 2 8 2 2" xfId="23879" xr:uid="{00000000-0005-0000-0000-00003F250000}"/>
    <cellStyle name="Comma 2 8 2 2 2" xfId="23880" xr:uid="{00000000-0005-0000-0000-000040250000}"/>
    <cellStyle name="Comma 2 8 2 2 2 2" xfId="23881" xr:uid="{00000000-0005-0000-0000-000041250000}"/>
    <cellStyle name="Comma 2 8 2 2 3" xfId="23882" xr:uid="{00000000-0005-0000-0000-000042250000}"/>
    <cellStyle name="Comma 2 8 2 2 3 2" xfId="23883" xr:uid="{00000000-0005-0000-0000-000043250000}"/>
    <cellStyle name="Comma 2 8 2 2 4" xfId="23884" xr:uid="{00000000-0005-0000-0000-000044250000}"/>
    <cellStyle name="Comma 2 8 2 3" xfId="23885" xr:uid="{00000000-0005-0000-0000-000045250000}"/>
    <cellStyle name="Comma 2 8 2 3 2" xfId="23886" xr:uid="{00000000-0005-0000-0000-000046250000}"/>
    <cellStyle name="Comma 2 8 2 3 2 2" xfId="23887" xr:uid="{00000000-0005-0000-0000-000047250000}"/>
    <cellStyle name="Comma 2 8 2 3 3" xfId="23888" xr:uid="{00000000-0005-0000-0000-000048250000}"/>
    <cellStyle name="Comma 2 8 2 4" xfId="23889" xr:uid="{00000000-0005-0000-0000-000049250000}"/>
    <cellStyle name="Comma 2 8 2 4 2" xfId="23890" xr:uid="{00000000-0005-0000-0000-00004A250000}"/>
    <cellStyle name="Comma 2 8 2 5" xfId="23891" xr:uid="{00000000-0005-0000-0000-00004B250000}"/>
    <cellStyle name="Comma 2 8 2 5 2" xfId="23892" xr:uid="{00000000-0005-0000-0000-00004C250000}"/>
    <cellStyle name="Comma 2 8 2 6" xfId="23893" xr:uid="{00000000-0005-0000-0000-00004D250000}"/>
    <cellStyle name="Comma 2 8 2 7" xfId="23878" xr:uid="{00000000-0005-0000-0000-00004E250000}"/>
    <cellStyle name="Comma 2 8 3" xfId="23894" xr:uid="{00000000-0005-0000-0000-00004F250000}"/>
    <cellStyle name="Comma 2 8 3 2" xfId="23895" xr:uid="{00000000-0005-0000-0000-000050250000}"/>
    <cellStyle name="Comma 2 8 3 2 2" xfId="23896" xr:uid="{00000000-0005-0000-0000-000051250000}"/>
    <cellStyle name="Comma 2 8 3 3" xfId="23897" xr:uid="{00000000-0005-0000-0000-000052250000}"/>
    <cellStyle name="Comma 2 8 3 3 2" xfId="23898" xr:uid="{00000000-0005-0000-0000-000053250000}"/>
    <cellStyle name="Comma 2 8 3 4" xfId="23899" xr:uid="{00000000-0005-0000-0000-000054250000}"/>
    <cellStyle name="Comma 2 8 4" xfId="23900" xr:uid="{00000000-0005-0000-0000-000055250000}"/>
    <cellStyle name="Comma 2 8 4 2" xfId="23901" xr:uid="{00000000-0005-0000-0000-000056250000}"/>
    <cellStyle name="Comma 2 8 4 2 2" xfId="23902" xr:uid="{00000000-0005-0000-0000-000057250000}"/>
    <cellStyle name="Comma 2 8 4 3" xfId="23903" xr:uid="{00000000-0005-0000-0000-000058250000}"/>
    <cellStyle name="Comma 2 8 5" xfId="23904" xr:uid="{00000000-0005-0000-0000-000059250000}"/>
    <cellStyle name="Comma 2 8 5 2" xfId="23905" xr:uid="{00000000-0005-0000-0000-00005A250000}"/>
    <cellStyle name="Comma 2 8 6" xfId="23906" xr:uid="{00000000-0005-0000-0000-00005B250000}"/>
    <cellStyle name="Comma 2 8 6 2" xfId="23907" xr:uid="{00000000-0005-0000-0000-00005C250000}"/>
    <cellStyle name="Comma 2 8 7" xfId="23908" xr:uid="{00000000-0005-0000-0000-00005D250000}"/>
    <cellStyle name="Comma 2 8 7 2" xfId="23909" xr:uid="{00000000-0005-0000-0000-00005E250000}"/>
    <cellStyle name="Comma 2 8 8" xfId="23910" xr:uid="{00000000-0005-0000-0000-00005F250000}"/>
    <cellStyle name="Comma 2 8 9" xfId="23877" xr:uid="{00000000-0005-0000-0000-000060250000}"/>
    <cellStyle name="Comma 2 9" xfId="2818" xr:uid="{00000000-0005-0000-0000-000061250000}"/>
    <cellStyle name="Comma 2 9 2" xfId="9001" xr:uid="{00000000-0005-0000-0000-000062250000}"/>
    <cellStyle name="Comma 2 9 2 2" xfId="23912" xr:uid="{00000000-0005-0000-0000-000063250000}"/>
    <cellStyle name="Comma 2 9 2 3" xfId="23911" xr:uid="{00000000-0005-0000-0000-000064250000}"/>
    <cellStyle name="Comma 2 9 3" xfId="23913" xr:uid="{00000000-0005-0000-0000-000065250000}"/>
    <cellStyle name="Comma 2 9 3 2" xfId="23914" xr:uid="{00000000-0005-0000-0000-000066250000}"/>
    <cellStyle name="Comma 2 9 4" xfId="23915" xr:uid="{00000000-0005-0000-0000-000067250000}"/>
    <cellStyle name="Comma 2 9 4 2" xfId="23916" xr:uid="{00000000-0005-0000-0000-000068250000}"/>
    <cellStyle name="Comma 2 9 5" xfId="23917" xr:uid="{00000000-0005-0000-0000-000069250000}"/>
    <cellStyle name="Comma 2 9 5 2" xfId="23918" xr:uid="{00000000-0005-0000-0000-00006A250000}"/>
    <cellStyle name="Comma 2 9 6" xfId="23919" xr:uid="{00000000-0005-0000-0000-00006B250000}"/>
    <cellStyle name="Comma 2 9 6 2" xfId="23920" xr:uid="{00000000-0005-0000-0000-00006C250000}"/>
    <cellStyle name="Comma 2 9 7" xfId="23921" xr:uid="{00000000-0005-0000-0000-00006D250000}"/>
    <cellStyle name="Comma 20" xfId="2819" xr:uid="{00000000-0005-0000-0000-00006E250000}"/>
    <cellStyle name="Comma 20 10" xfId="23923" xr:uid="{00000000-0005-0000-0000-00006F250000}"/>
    <cellStyle name="Comma 20 10 2" xfId="23924" xr:uid="{00000000-0005-0000-0000-000070250000}"/>
    <cellStyle name="Comma 20 10 2 2" xfId="23925" xr:uid="{00000000-0005-0000-0000-000071250000}"/>
    <cellStyle name="Comma 20 10 3" xfId="23926" xr:uid="{00000000-0005-0000-0000-000072250000}"/>
    <cellStyle name="Comma 20 11" xfId="23927" xr:uid="{00000000-0005-0000-0000-000073250000}"/>
    <cellStyle name="Comma 20 11 2" xfId="23928" xr:uid="{00000000-0005-0000-0000-000074250000}"/>
    <cellStyle name="Comma 20 11 2 2" xfId="23929" xr:uid="{00000000-0005-0000-0000-000075250000}"/>
    <cellStyle name="Comma 20 11 3" xfId="23930" xr:uid="{00000000-0005-0000-0000-000076250000}"/>
    <cellStyle name="Comma 20 12" xfId="23931" xr:uid="{00000000-0005-0000-0000-000077250000}"/>
    <cellStyle name="Comma 20 12 2" xfId="23932" xr:uid="{00000000-0005-0000-0000-000078250000}"/>
    <cellStyle name="Comma 20 12 2 2" xfId="23933" xr:uid="{00000000-0005-0000-0000-000079250000}"/>
    <cellStyle name="Comma 20 12 3" xfId="23934" xr:uid="{00000000-0005-0000-0000-00007A250000}"/>
    <cellStyle name="Comma 20 13" xfId="23935" xr:uid="{00000000-0005-0000-0000-00007B250000}"/>
    <cellStyle name="Comma 20 13 2" xfId="23936" xr:uid="{00000000-0005-0000-0000-00007C250000}"/>
    <cellStyle name="Comma 20 13 2 2" xfId="23937" xr:uid="{00000000-0005-0000-0000-00007D250000}"/>
    <cellStyle name="Comma 20 13 3" xfId="23938" xr:uid="{00000000-0005-0000-0000-00007E250000}"/>
    <cellStyle name="Comma 20 14" xfId="23939" xr:uid="{00000000-0005-0000-0000-00007F250000}"/>
    <cellStyle name="Comma 20 14 2" xfId="23940" xr:uid="{00000000-0005-0000-0000-000080250000}"/>
    <cellStyle name="Comma 20 14 2 2" xfId="23941" xr:uid="{00000000-0005-0000-0000-000081250000}"/>
    <cellStyle name="Comma 20 14 3" xfId="23942" xr:uid="{00000000-0005-0000-0000-000082250000}"/>
    <cellStyle name="Comma 20 15" xfId="23943" xr:uid="{00000000-0005-0000-0000-000083250000}"/>
    <cellStyle name="Comma 20 15 2" xfId="23944" xr:uid="{00000000-0005-0000-0000-000084250000}"/>
    <cellStyle name="Comma 20 15 2 2" xfId="23945" xr:uid="{00000000-0005-0000-0000-000085250000}"/>
    <cellStyle name="Comma 20 15 3" xfId="23946" xr:uid="{00000000-0005-0000-0000-000086250000}"/>
    <cellStyle name="Comma 20 16" xfId="23947" xr:uid="{00000000-0005-0000-0000-000087250000}"/>
    <cellStyle name="Comma 20 16 2" xfId="23948" xr:uid="{00000000-0005-0000-0000-000088250000}"/>
    <cellStyle name="Comma 20 16 2 2" xfId="23949" xr:uid="{00000000-0005-0000-0000-000089250000}"/>
    <cellStyle name="Comma 20 16 3" xfId="23950" xr:uid="{00000000-0005-0000-0000-00008A250000}"/>
    <cellStyle name="Comma 20 17" xfId="23951" xr:uid="{00000000-0005-0000-0000-00008B250000}"/>
    <cellStyle name="Comma 20 17 2" xfId="23952" xr:uid="{00000000-0005-0000-0000-00008C250000}"/>
    <cellStyle name="Comma 20 17 2 2" xfId="23953" xr:uid="{00000000-0005-0000-0000-00008D250000}"/>
    <cellStyle name="Comma 20 17 3" xfId="23954" xr:uid="{00000000-0005-0000-0000-00008E250000}"/>
    <cellStyle name="Comma 20 18" xfId="23955" xr:uid="{00000000-0005-0000-0000-00008F250000}"/>
    <cellStyle name="Comma 20 18 2" xfId="23956" xr:uid="{00000000-0005-0000-0000-000090250000}"/>
    <cellStyle name="Comma 20 18 2 2" xfId="23957" xr:uid="{00000000-0005-0000-0000-000091250000}"/>
    <cellStyle name="Comma 20 18 3" xfId="23958" xr:uid="{00000000-0005-0000-0000-000092250000}"/>
    <cellStyle name="Comma 20 19" xfId="23959" xr:uid="{00000000-0005-0000-0000-000093250000}"/>
    <cellStyle name="Comma 20 19 2" xfId="23960" xr:uid="{00000000-0005-0000-0000-000094250000}"/>
    <cellStyle name="Comma 20 19 2 2" xfId="23961" xr:uid="{00000000-0005-0000-0000-000095250000}"/>
    <cellStyle name="Comma 20 19 3" xfId="23962" xr:uid="{00000000-0005-0000-0000-000096250000}"/>
    <cellStyle name="Comma 20 2" xfId="2820" xr:uid="{00000000-0005-0000-0000-000097250000}"/>
    <cellStyle name="Comma 20 2 2" xfId="9002" xr:uid="{00000000-0005-0000-0000-000098250000}"/>
    <cellStyle name="Comma 20 2 2 2" xfId="23965" xr:uid="{00000000-0005-0000-0000-000099250000}"/>
    <cellStyle name="Comma 20 2 2 3" xfId="23964" xr:uid="{00000000-0005-0000-0000-00009A250000}"/>
    <cellStyle name="Comma 20 2 3" xfId="23966" xr:uid="{00000000-0005-0000-0000-00009B250000}"/>
    <cellStyle name="Comma 20 2 3 2" xfId="23967" xr:uid="{00000000-0005-0000-0000-00009C250000}"/>
    <cellStyle name="Comma 20 2 3 2 2" xfId="23968" xr:uid="{00000000-0005-0000-0000-00009D250000}"/>
    <cellStyle name="Comma 20 2 3 3" xfId="23969" xr:uid="{00000000-0005-0000-0000-00009E250000}"/>
    <cellStyle name="Comma 20 2 4" xfId="23970" xr:uid="{00000000-0005-0000-0000-00009F250000}"/>
    <cellStyle name="Comma 20 2 4 2" xfId="23971" xr:uid="{00000000-0005-0000-0000-0000A0250000}"/>
    <cellStyle name="Comma 20 2 5" xfId="23972" xr:uid="{00000000-0005-0000-0000-0000A1250000}"/>
    <cellStyle name="Comma 20 2 6" xfId="23973" xr:uid="{00000000-0005-0000-0000-0000A2250000}"/>
    <cellStyle name="Comma 20 2 7" xfId="23963" xr:uid="{00000000-0005-0000-0000-0000A3250000}"/>
    <cellStyle name="Comma 20 20" xfId="23974" xr:uid="{00000000-0005-0000-0000-0000A4250000}"/>
    <cellStyle name="Comma 20 20 2" xfId="23975" xr:uid="{00000000-0005-0000-0000-0000A5250000}"/>
    <cellStyle name="Comma 20 20 2 2" xfId="23976" xr:uid="{00000000-0005-0000-0000-0000A6250000}"/>
    <cellStyle name="Comma 20 20 3" xfId="23977" xr:uid="{00000000-0005-0000-0000-0000A7250000}"/>
    <cellStyle name="Comma 20 21" xfId="23978" xr:uid="{00000000-0005-0000-0000-0000A8250000}"/>
    <cellStyle name="Comma 20 21 2" xfId="23979" xr:uid="{00000000-0005-0000-0000-0000A9250000}"/>
    <cellStyle name="Comma 20 21 2 2" xfId="23980" xr:uid="{00000000-0005-0000-0000-0000AA250000}"/>
    <cellStyle name="Comma 20 21 3" xfId="23981" xr:uid="{00000000-0005-0000-0000-0000AB250000}"/>
    <cellStyle name="Comma 20 22" xfId="23982" xr:uid="{00000000-0005-0000-0000-0000AC250000}"/>
    <cellStyle name="Comma 20 22 2" xfId="23983" xr:uid="{00000000-0005-0000-0000-0000AD250000}"/>
    <cellStyle name="Comma 20 22 2 2" xfId="23984" xr:uid="{00000000-0005-0000-0000-0000AE250000}"/>
    <cellStyle name="Comma 20 22 3" xfId="23985" xr:uid="{00000000-0005-0000-0000-0000AF250000}"/>
    <cellStyle name="Comma 20 23" xfId="23986" xr:uid="{00000000-0005-0000-0000-0000B0250000}"/>
    <cellStyle name="Comma 20 23 2" xfId="23987" xr:uid="{00000000-0005-0000-0000-0000B1250000}"/>
    <cellStyle name="Comma 20 23 2 2" xfId="23988" xr:uid="{00000000-0005-0000-0000-0000B2250000}"/>
    <cellStyle name="Comma 20 23 3" xfId="23989" xr:uid="{00000000-0005-0000-0000-0000B3250000}"/>
    <cellStyle name="Comma 20 24" xfId="23990" xr:uid="{00000000-0005-0000-0000-0000B4250000}"/>
    <cellStyle name="Comma 20 24 2" xfId="23991" xr:uid="{00000000-0005-0000-0000-0000B5250000}"/>
    <cellStyle name="Comma 20 24 2 2" xfId="23992" xr:uid="{00000000-0005-0000-0000-0000B6250000}"/>
    <cellStyle name="Comma 20 24 3" xfId="23993" xr:uid="{00000000-0005-0000-0000-0000B7250000}"/>
    <cellStyle name="Comma 20 25" xfId="23994" xr:uid="{00000000-0005-0000-0000-0000B8250000}"/>
    <cellStyle name="Comma 20 25 2" xfId="23995" xr:uid="{00000000-0005-0000-0000-0000B9250000}"/>
    <cellStyle name="Comma 20 25 2 2" xfId="23996" xr:uid="{00000000-0005-0000-0000-0000BA250000}"/>
    <cellStyle name="Comma 20 25 3" xfId="23997" xr:uid="{00000000-0005-0000-0000-0000BB250000}"/>
    <cellStyle name="Comma 20 26" xfId="23998" xr:uid="{00000000-0005-0000-0000-0000BC250000}"/>
    <cellStyle name="Comma 20 26 2" xfId="23999" xr:uid="{00000000-0005-0000-0000-0000BD250000}"/>
    <cellStyle name="Comma 20 26 2 2" xfId="24000" xr:uid="{00000000-0005-0000-0000-0000BE250000}"/>
    <cellStyle name="Comma 20 26 3" xfId="24001" xr:uid="{00000000-0005-0000-0000-0000BF250000}"/>
    <cellStyle name="Comma 20 27" xfId="24002" xr:uid="{00000000-0005-0000-0000-0000C0250000}"/>
    <cellStyle name="Comma 20 27 2" xfId="24003" xr:uid="{00000000-0005-0000-0000-0000C1250000}"/>
    <cellStyle name="Comma 20 27 2 2" xfId="24004" xr:uid="{00000000-0005-0000-0000-0000C2250000}"/>
    <cellStyle name="Comma 20 27 3" xfId="24005" xr:uid="{00000000-0005-0000-0000-0000C3250000}"/>
    <cellStyle name="Comma 20 28" xfId="24006" xr:uid="{00000000-0005-0000-0000-0000C4250000}"/>
    <cellStyle name="Comma 20 28 2" xfId="24007" xr:uid="{00000000-0005-0000-0000-0000C5250000}"/>
    <cellStyle name="Comma 20 28 2 2" xfId="24008" xr:uid="{00000000-0005-0000-0000-0000C6250000}"/>
    <cellStyle name="Comma 20 28 3" xfId="24009" xr:uid="{00000000-0005-0000-0000-0000C7250000}"/>
    <cellStyle name="Comma 20 29" xfId="24010" xr:uid="{00000000-0005-0000-0000-0000C8250000}"/>
    <cellStyle name="Comma 20 29 2" xfId="24011" xr:uid="{00000000-0005-0000-0000-0000C9250000}"/>
    <cellStyle name="Comma 20 3" xfId="9003" xr:uid="{00000000-0005-0000-0000-0000CA250000}"/>
    <cellStyle name="Comma 20 3 2" xfId="24013" xr:uid="{00000000-0005-0000-0000-0000CB250000}"/>
    <cellStyle name="Comma 20 3 2 2" xfId="24014" xr:uid="{00000000-0005-0000-0000-0000CC250000}"/>
    <cellStyle name="Comma 20 3 3" xfId="24015" xr:uid="{00000000-0005-0000-0000-0000CD250000}"/>
    <cellStyle name="Comma 20 3 3 2" xfId="24016" xr:uid="{00000000-0005-0000-0000-0000CE250000}"/>
    <cellStyle name="Comma 20 3 3 2 2" xfId="24017" xr:uid="{00000000-0005-0000-0000-0000CF250000}"/>
    <cellStyle name="Comma 20 3 3 3" xfId="24018" xr:uid="{00000000-0005-0000-0000-0000D0250000}"/>
    <cellStyle name="Comma 20 3 4" xfId="24019" xr:uid="{00000000-0005-0000-0000-0000D1250000}"/>
    <cellStyle name="Comma 20 3 5" xfId="24012" xr:uid="{00000000-0005-0000-0000-0000D2250000}"/>
    <cellStyle name="Comma 20 30" xfId="24020" xr:uid="{00000000-0005-0000-0000-0000D3250000}"/>
    <cellStyle name="Comma 20 30 2" xfId="24021" xr:uid="{00000000-0005-0000-0000-0000D4250000}"/>
    <cellStyle name="Comma 20 30 2 2" xfId="24022" xr:uid="{00000000-0005-0000-0000-0000D5250000}"/>
    <cellStyle name="Comma 20 30 3" xfId="24023" xr:uid="{00000000-0005-0000-0000-0000D6250000}"/>
    <cellStyle name="Comma 20 31" xfId="24024" xr:uid="{00000000-0005-0000-0000-0000D7250000}"/>
    <cellStyle name="Comma 20 31 2" xfId="24025" xr:uid="{00000000-0005-0000-0000-0000D8250000}"/>
    <cellStyle name="Comma 20 32" xfId="24026" xr:uid="{00000000-0005-0000-0000-0000D9250000}"/>
    <cellStyle name="Comma 20 33" xfId="24027" xr:uid="{00000000-0005-0000-0000-0000DA250000}"/>
    <cellStyle name="Comma 20 34" xfId="23922" xr:uid="{00000000-0005-0000-0000-0000DB250000}"/>
    <cellStyle name="Comma 20 4" xfId="24028" xr:uid="{00000000-0005-0000-0000-0000DC250000}"/>
    <cellStyle name="Comma 20 4 2" xfId="24029" xr:uid="{00000000-0005-0000-0000-0000DD250000}"/>
    <cellStyle name="Comma 20 4 2 2" xfId="24030" xr:uid="{00000000-0005-0000-0000-0000DE250000}"/>
    <cellStyle name="Comma 20 4 3" xfId="24031" xr:uid="{00000000-0005-0000-0000-0000DF250000}"/>
    <cellStyle name="Comma 20 4 3 2" xfId="24032" xr:uid="{00000000-0005-0000-0000-0000E0250000}"/>
    <cellStyle name="Comma 20 4 3 2 2" xfId="24033" xr:uid="{00000000-0005-0000-0000-0000E1250000}"/>
    <cellStyle name="Comma 20 4 3 3" xfId="24034" xr:uid="{00000000-0005-0000-0000-0000E2250000}"/>
    <cellStyle name="Comma 20 4 4" xfId="24035" xr:uid="{00000000-0005-0000-0000-0000E3250000}"/>
    <cellStyle name="Comma 20 5" xfId="24036" xr:uid="{00000000-0005-0000-0000-0000E4250000}"/>
    <cellStyle name="Comma 20 5 2" xfId="24037" xr:uid="{00000000-0005-0000-0000-0000E5250000}"/>
    <cellStyle name="Comma 20 5 2 2" xfId="24038" xr:uid="{00000000-0005-0000-0000-0000E6250000}"/>
    <cellStyle name="Comma 20 5 3" xfId="24039" xr:uid="{00000000-0005-0000-0000-0000E7250000}"/>
    <cellStyle name="Comma 20 5 3 2" xfId="24040" xr:uid="{00000000-0005-0000-0000-0000E8250000}"/>
    <cellStyle name="Comma 20 5 3 2 2" xfId="24041" xr:uid="{00000000-0005-0000-0000-0000E9250000}"/>
    <cellStyle name="Comma 20 5 3 3" xfId="24042" xr:uid="{00000000-0005-0000-0000-0000EA250000}"/>
    <cellStyle name="Comma 20 5 4" xfId="24043" xr:uid="{00000000-0005-0000-0000-0000EB250000}"/>
    <cellStyle name="Comma 20 6" xfId="24044" xr:uid="{00000000-0005-0000-0000-0000EC250000}"/>
    <cellStyle name="Comma 20 6 2" xfId="24045" xr:uid="{00000000-0005-0000-0000-0000ED250000}"/>
    <cellStyle name="Comma 20 6 2 2" xfId="24046" xr:uid="{00000000-0005-0000-0000-0000EE250000}"/>
    <cellStyle name="Comma 20 6 3" xfId="24047" xr:uid="{00000000-0005-0000-0000-0000EF250000}"/>
    <cellStyle name="Comma 20 7" xfId="24048" xr:uid="{00000000-0005-0000-0000-0000F0250000}"/>
    <cellStyle name="Comma 20 7 2" xfId="24049" xr:uid="{00000000-0005-0000-0000-0000F1250000}"/>
    <cellStyle name="Comma 20 7 2 2" xfId="24050" xr:uid="{00000000-0005-0000-0000-0000F2250000}"/>
    <cellStyle name="Comma 20 7 3" xfId="24051" xr:uid="{00000000-0005-0000-0000-0000F3250000}"/>
    <cellStyle name="Comma 20 8" xfId="24052" xr:uid="{00000000-0005-0000-0000-0000F4250000}"/>
    <cellStyle name="Comma 20 8 2" xfId="24053" xr:uid="{00000000-0005-0000-0000-0000F5250000}"/>
    <cellStyle name="Comma 20 8 2 2" xfId="24054" xr:uid="{00000000-0005-0000-0000-0000F6250000}"/>
    <cellStyle name="Comma 20 8 3" xfId="24055" xr:uid="{00000000-0005-0000-0000-0000F7250000}"/>
    <cellStyle name="Comma 20 9" xfId="24056" xr:uid="{00000000-0005-0000-0000-0000F8250000}"/>
    <cellStyle name="Comma 20 9 2" xfId="24057" xr:uid="{00000000-0005-0000-0000-0000F9250000}"/>
    <cellStyle name="Comma 20 9 2 2" xfId="24058" xr:uid="{00000000-0005-0000-0000-0000FA250000}"/>
    <cellStyle name="Comma 20 9 3" xfId="24059" xr:uid="{00000000-0005-0000-0000-0000FB250000}"/>
    <cellStyle name="Comma 200" xfId="24060" xr:uid="{00000000-0005-0000-0000-0000FC250000}"/>
    <cellStyle name="Comma 200 2" xfId="24061" xr:uid="{00000000-0005-0000-0000-0000FD250000}"/>
    <cellStyle name="Comma 200 3" xfId="24062" xr:uid="{00000000-0005-0000-0000-0000FE250000}"/>
    <cellStyle name="Comma 201" xfId="24063" xr:uid="{00000000-0005-0000-0000-0000FF250000}"/>
    <cellStyle name="Comma 201 2" xfId="24064" xr:uid="{00000000-0005-0000-0000-000000260000}"/>
    <cellStyle name="Comma 201 3" xfId="24065" xr:uid="{00000000-0005-0000-0000-000001260000}"/>
    <cellStyle name="Comma 202" xfId="24066" xr:uid="{00000000-0005-0000-0000-000002260000}"/>
    <cellStyle name="Comma 202 2" xfId="24067" xr:uid="{00000000-0005-0000-0000-000003260000}"/>
    <cellStyle name="Comma 202 3" xfId="24068" xr:uid="{00000000-0005-0000-0000-000004260000}"/>
    <cellStyle name="Comma 203" xfId="24069" xr:uid="{00000000-0005-0000-0000-000005260000}"/>
    <cellStyle name="Comma 203 2" xfId="24070" xr:uid="{00000000-0005-0000-0000-000006260000}"/>
    <cellStyle name="Comma 203 3" xfId="24071" xr:uid="{00000000-0005-0000-0000-000007260000}"/>
    <cellStyle name="Comma 204" xfId="24072" xr:uid="{00000000-0005-0000-0000-000008260000}"/>
    <cellStyle name="Comma 204 2" xfId="24073" xr:uid="{00000000-0005-0000-0000-000009260000}"/>
    <cellStyle name="Comma 204 3" xfId="24074" xr:uid="{00000000-0005-0000-0000-00000A260000}"/>
    <cellStyle name="Comma 205" xfId="24075" xr:uid="{00000000-0005-0000-0000-00000B260000}"/>
    <cellStyle name="Comma 205 2" xfId="24076" xr:uid="{00000000-0005-0000-0000-00000C260000}"/>
    <cellStyle name="Comma 205 3" xfId="24077" xr:uid="{00000000-0005-0000-0000-00000D260000}"/>
    <cellStyle name="Comma 206" xfId="24078" xr:uid="{00000000-0005-0000-0000-00000E260000}"/>
    <cellStyle name="Comma 206 2" xfId="24079" xr:uid="{00000000-0005-0000-0000-00000F260000}"/>
    <cellStyle name="Comma 206 3" xfId="24080" xr:uid="{00000000-0005-0000-0000-000010260000}"/>
    <cellStyle name="Comma 207" xfId="24081" xr:uid="{00000000-0005-0000-0000-000011260000}"/>
    <cellStyle name="Comma 207 2" xfId="24082" xr:uid="{00000000-0005-0000-0000-000012260000}"/>
    <cellStyle name="Comma 207 3" xfId="24083" xr:uid="{00000000-0005-0000-0000-000013260000}"/>
    <cellStyle name="Comma 208" xfId="24084" xr:uid="{00000000-0005-0000-0000-000014260000}"/>
    <cellStyle name="Comma 208 2" xfId="24085" xr:uid="{00000000-0005-0000-0000-000015260000}"/>
    <cellStyle name="Comma 208 3" xfId="24086" xr:uid="{00000000-0005-0000-0000-000016260000}"/>
    <cellStyle name="Comma 209" xfId="24087" xr:uid="{00000000-0005-0000-0000-000017260000}"/>
    <cellStyle name="Comma 209 2" xfId="24088" xr:uid="{00000000-0005-0000-0000-000018260000}"/>
    <cellStyle name="Comma 209 3" xfId="24089" xr:uid="{00000000-0005-0000-0000-000019260000}"/>
    <cellStyle name="Comma 21" xfId="2821" xr:uid="{00000000-0005-0000-0000-00001A260000}"/>
    <cellStyle name="Comma 21 10" xfId="24091" xr:uid="{00000000-0005-0000-0000-00001B260000}"/>
    <cellStyle name="Comma 21 10 2" xfId="24092" xr:uid="{00000000-0005-0000-0000-00001C260000}"/>
    <cellStyle name="Comma 21 10 2 2" xfId="24093" xr:uid="{00000000-0005-0000-0000-00001D260000}"/>
    <cellStyle name="Comma 21 10 3" xfId="24094" xr:uid="{00000000-0005-0000-0000-00001E260000}"/>
    <cellStyle name="Comma 21 11" xfId="24095" xr:uid="{00000000-0005-0000-0000-00001F260000}"/>
    <cellStyle name="Comma 21 11 2" xfId="24096" xr:uid="{00000000-0005-0000-0000-000020260000}"/>
    <cellStyle name="Comma 21 11 2 2" xfId="24097" xr:uid="{00000000-0005-0000-0000-000021260000}"/>
    <cellStyle name="Comma 21 11 3" xfId="24098" xr:uid="{00000000-0005-0000-0000-000022260000}"/>
    <cellStyle name="Comma 21 12" xfId="24099" xr:uid="{00000000-0005-0000-0000-000023260000}"/>
    <cellStyle name="Comma 21 12 2" xfId="24100" xr:uid="{00000000-0005-0000-0000-000024260000}"/>
    <cellStyle name="Comma 21 12 2 2" xfId="24101" xr:uid="{00000000-0005-0000-0000-000025260000}"/>
    <cellStyle name="Comma 21 12 3" xfId="24102" xr:uid="{00000000-0005-0000-0000-000026260000}"/>
    <cellStyle name="Comma 21 13" xfId="24103" xr:uid="{00000000-0005-0000-0000-000027260000}"/>
    <cellStyle name="Comma 21 13 2" xfId="24104" xr:uid="{00000000-0005-0000-0000-000028260000}"/>
    <cellStyle name="Comma 21 13 2 2" xfId="24105" xr:uid="{00000000-0005-0000-0000-000029260000}"/>
    <cellStyle name="Comma 21 13 3" xfId="24106" xr:uid="{00000000-0005-0000-0000-00002A260000}"/>
    <cellStyle name="Comma 21 14" xfId="24107" xr:uid="{00000000-0005-0000-0000-00002B260000}"/>
    <cellStyle name="Comma 21 14 2" xfId="24108" xr:uid="{00000000-0005-0000-0000-00002C260000}"/>
    <cellStyle name="Comma 21 14 2 2" xfId="24109" xr:uid="{00000000-0005-0000-0000-00002D260000}"/>
    <cellStyle name="Comma 21 14 3" xfId="24110" xr:uid="{00000000-0005-0000-0000-00002E260000}"/>
    <cellStyle name="Comma 21 15" xfId="24111" xr:uid="{00000000-0005-0000-0000-00002F260000}"/>
    <cellStyle name="Comma 21 15 2" xfId="24112" xr:uid="{00000000-0005-0000-0000-000030260000}"/>
    <cellStyle name="Comma 21 15 2 2" xfId="24113" xr:uid="{00000000-0005-0000-0000-000031260000}"/>
    <cellStyle name="Comma 21 15 3" xfId="24114" xr:uid="{00000000-0005-0000-0000-000032260000}"/>
    <cellStyle name="Comma 21 16" xfId="24115" xr:uid="{00000000-0005-0000-0000-000033260000}"/>
    <cellStyle name="Comma 21 16 2" xfId="24116" xr:uid="{00000000-0005-0000-0000-000034260000}"/>
    <cellStyle name="Comma 21 16 2 2" xfId="24117" xr:uid="{00000000-0005-0000-0000-000035260000}"/>
    <cellStyle name="Comma 21 16 3" xfId="24118" xr:uid="{00000000-0005-0000-0000-000036260000}"/>
    <cellStyle name="Comma 21 17" xfId="24119" xr:uid="{00000000-0005-0000-0000-000037260000}"/>
    <cellStyle name="Comma 21 17 2" xfId="24120" xr:uid="{00000000-0005-0000-0000-000038260000}"/>
    <cellStyle name="Comma 21 17 2 2" xfId="24121" xr:uid="{00000000-0005-0000-0000-000039260000}"/>
    <cellStyle name="Comma 21 17 3" xfId="24122" xr:uid="{00000000-0005-0000-0000-00003A260000}"/>
    <cellStyle name="Comma 21 18" xfId="24123" xr:uid="{00000000-0005-0000-0000-00003B260000}"/>
    <cellStyle name="Comma 21 18 2" xfId="24124" xr:uid="{00000000-0005-0000-0000-00003C260000}"/>
    <cellStyle name="Comma 21 18 2 2" xfId="24125" xr:uid="{00000000-0005-0000-0000-00003D260000}"/>
    <cellStyle name="Comma 21 18 3" xfId="24126" xr:uid="{00000000-0005-0000-0000-00003E260000}"/>
    <cellStyle name="Comma 21 19" xfId="24127" xr:uid="{00000000-0005-0000-0000-00003F260000}"/>
    <cellStyle name="Comma 21 19 2" xfId="24128" xr:uid="{00000000-0005-0000-0000-000040260000}"/>
    <cellStyle name="Comma 21 19 2 2" xfId="24129" xr:uid="{00000000-0005-0000-0000-000041260000}"/>
    <cellStyle name="Comma 21 19 3" xfId="24130" xr:uid="{00000000-0005-0000-0000-000042260000}"/>
    <cellStyle name="Comma 21 2" xfId="2822" xr:uid="{00000000-0005-0000-0000-000043260000}"/>
    <cellStyle name="Comma 21 2 2" xfId="9004" xr:uid="{00000000-0005-0000-0000-000044260000}"/>
    <cellStyle name="Comma 21 2 2 2" xfId="24133" xr:uid="{00000000-0005-0000-0000-000045260000}"/>
    <cellStyle name="Comma 21 2 2 3" xfId="24132" xr:uid="{00000000-0005-0000-0000-000046260000}"/>
    <cellStyle name="Comma 21 2 3" xfId="24134" xr:uid="{00000000-0005-0000-0000-000047260000}"/>
    <cellStyle name="Comma 21 2 3 2" xfId="24135" xr:uid="{00000000-0005-0000-0000-000048260000}"/>
    <cellStyle name="Comma 21 2 3 2 2" xfId="24136" xr:uid="{00000000-0005-0000-0000-000049260000}"/>
    <cellStyle name="Comma 21 2 3 3" xfId="24137" xr:uid="{00000000-0005-0000-0000-00004A260000}"/>
    <cellStyle name="Comma 21 2 4" xfId="24138" xr:uid="{00000000-0005-0000-0000-00004B260000}"/>
    <cellStyle name="Comma 21 2 4 2" xfId="24139" xr:uid="{00000000-0005-0000-0000-00004C260000}"/>
    <cellStyle name="Comma 21 2 5" xfId="24140" xr:uid="{00000000-0005-0000-0000-00004D260000}"/>
    <cellStyle name="Comma 21 2 6" xfId="24141" xr:uid="{00000000-0005-0000-0000-00004E260000}"/>
    <cellStyle name="Comma 21 2 7" xfId="24131" xr:uid="{00000000-0005-0000-0000-00004F260000}"/>
    <cellStyle name="Comma 21 20" xfId="24142" xr:uid="{00000000-0005-0000-0000-000050260000}"/>
    <cellStyle name="Comma 21 20 2" xfId="24143" xr:uid="{00000000-0005-0000-0000-000051260000}"/>
    <cellStyle name="Comma 21 20 2 2" xfId="24144" xr:uid="{00000000-0005-0000-0000-000052260000}"/>
    <cellStyle name="Comma 21 20 3" xfId="24145" xr:uid="{00000000-0005-0000-0000-000053260000}"/>
    <cellStyle name="Comma 21 21" xfId="24146" xr:uid="{00000000-0005-0000-0000-000054260000}"/>
    <cellStyle name="Comma 21 21 2" xfId="24147" xr:uid="{00000000-0005-0000-0000-000055260000}"/>
    <cellStyle name="Comma 21 21 2 2" xfId="24148" xr:uid="{00000000-0005-0000-0000-000056260000}"/>
    <cellStyle name="Comma 21 21 3" xfId="24149" xr:uid="{00000000-0005-0000-0000-000057260000}"/>
    <cellStyle name="Comma 21 22" xfId="24150" xr:uid="{00000000-0005-0000-0000-000058260000}"/>
    <cellStyle name="Comma 21 22 2" xfId="24151" xr:uid="{00000000-0005-0000-0000-000059260000}"/>
    <cellStyle name="Comma 21 22 2 2" xfId="24152" xr:uid="{00000000-0005-0000-0000-00005A260000}"/>
    <cellStyle name="Comma 21 22 3" xfId="24153" xr:uid="{00000000-0005-0000-0000-00005B260000}"/>
    <cellStyle name="Comma 21 23" xfId="24154" xr:uid="{00000000-0005-0000-0000-00005C260000}"/>
    <cellStyle name="Comma 21 23 2" xfId="24155" xr:uid="{00000000-0005-0000-0000-00005D260000}"/>
    <cellStyle name="Comma 21 23 2 2" xfId="24156" xr:uid="{00000000-0005-0000-0000-00005E260000}"/>
    <cellStyle name="Comma 21 23 3" xfId="24157" xr:uid="{00000000-0005-0000-0000-00005F260000}"/>
    <cellStyle name="Comma 21 24" xfId="24158" xr:uid="{00000000-0005-0000-0000-000060260000}"/>
    <cellStyle name="Comma 21 24 2" xfId="24159" xr:uid="{00000000-0005-0000-0000-000061260000}"/>
    <cellStyle name="Comma 21 24 2 2" xfId="24160" xr:uid="{00000000-0005-0000-0000-000062260000}"/>
    <cellStyle name="Comma 21 24 3" xfId="24161" xr:uid="{00000000-0005-0000-0000-000063260000}"/>
    <cellStyle name="Comma 21 25" xfId="24162" xr:uid="{00000000-0005-0000-0000-000064260000}"/>
    <cellStyle name="Comma 21 25 2" xfId="24163" xr:uid="{00000000-0005-0000-0000-000065260000}"/>
    <cellStyle name="Comma 21 25 2 2" xfId="24164" xr:uid="{00000000-0005-0000-0000-000066260000}"/>
    <cellStyle name="Comma 21 25 3" xfId="24165" xr:uid="{00000000-0005-0000-0000-000067260000}"/>
    <cellStyle name="Comma 21 26" xfId="24166" xr:uid="{00000000-0005-0000-0000-000068260000}"/>
    <cellStyle name="Comma 21 26 2" xfId="24167" xr:uid="{00000000-0005-0000-0000-000069260000}"/>
    <cellStyle name="Comma 21 26 2 2" xfId="24168" xr:uid="{00000000-0005-0000-0000-00006A260000}"/>
    <cellStyle name="Comma 21 26 3" xfId="24169" xr:uid="{00000000-0005-0000-0000-00006B260000}"/>
    <cellStyle name="Comma 21 27" xfId="24170" xr:uid="{00000000-0005-0000-0000-00006C260000}"/>
    <cellStyle name="Comma 21 27 2" xfId="24171" xr:uid="{00000000-0005-0000-0000-00006D260000}"/>
    <cellStyle name="Comma 21 27 2 2" xfId="24172" xr:uid="{00000000-0005-0000-0000-00006E260000}"/>
    <cellStyle name="Comma 21 27 3" xfId="24173" xr:uid="{00000000-0005-0000-0000-00006F260000}"/>
    <cellStyle name="Comma 21 28" xfId="24174" xr:uid="{00000000-0005-0000-0000-000070260000}"/>
    <cellStyle name="Comma 21 28 2" xfId="24175" xr:uid="{00000000-0005-0000-0000-000071260000}"/>
    <cellStyle name="Comma 21 28 2 2" xfId="24176" xr:uid="{00000000-0005-0000-0000-000072260000}"/>
    <cellStyle name="Comma 21 28 3" xfId="24177" xr:uid="{00000000-0005-0000-0000-000073260000}"/>
    <cellStyle name="Comma 21 29" xfId="24178" xr:uid="{00000000-0005-0000-0000-000074260000}"/>
    <cellStyle name="Comma 21 29 2" xfId="24179" xr:uid="{00000000-0005-0000-0000-000075260000}"/>
    <cellStyle name="Comma 21 3" xfId="9005" xr:uid="{00000000-0005-0000-0000-000076260000}"/>
    <cellStyle name="Comma 21 3 2" xfId="24181" xr:uid="{00000000-0005-0000-0000-000077260000}"/>
    <cellStyle name="Comma 21 3 2 2" xfId="24182" xr:uid="{00000000-0005-0000-0000-000078260000}"/>
    <cellStyle name="Comma 21 3 3" xfId="24183" xr:uid="{00000000-0005-0000-0000-000079260000}"/>
    <cellStyle name="Comma 21 3 3 2" xfId="24184" xr:uid="{00000000-0005-0000-0000-00007A260000}"/>
    <cellStyle name="Comma 21 3 3 2 2" xfId="24185" xr:uid="{00000000-0005-0000-0000-00007B260000}"/>
    <cellStyle name="Comma 21 3 3 3" xfId="24186" xr:uid="{00000000-0005-0000-0000-00007C260000}"/>
    <cellStyle name="Comma 21 3 4" xfId="24187" xr:uid="{00000000-0005-0000-0000-00007D260000}"/>
    <cellStyle name="Comma 21 3 4 2" xfId="24188" xr:uid="{00000000-0005-0000-0000-00007E260000}"/>
    <cellStyle name="Comma 21 3 5" xfId="24189" xr:uid="{00000000-0005-0000-0000-00007F260000}"/>
    <cellStyle name="Comma 21 3 6" xfId="24190" xr:uid="{00000000-0005-0000-0000-000080260000}"/>
    <cellStyle name="Comma 21 3 7" xfId="24180" xr:uid="{00000000-0005-0000-0000-000081260000}"/>
    <cellStyle name="Comma 21 30" xfId="24191" xr:uid="{00000000-0005-0000-0000-000082260000}"/>
    <cellStyle name="Comma 21 30 2" xfId="24192" xr:uid="{00000000-0005-0000-0000-000083260000}"/>
    <cellStyle name="Comma 21 30 2 2" xfId="24193" xr:uid="{00000000-0005-0000-0000-000084260000}"/>
    <cellStyle name="Comma 21 30 3" xfId="24194" xr:uid="{00000000-0005-0000-0000-000085260000}"/>
    <cellStyle name="Comma 21 31" xfId="24195" xr:uid="{00000000-0005-0000-0000-000086260000}"/>
    <cellStyle name="Comma 21 31 2" xfId="24196" xr:uid="{00000000-0005-0000-0000-000087260000}"/>
    <cellStyle name="Comma 21 32" xfId="24197" xr:uid="{00000000-0005-0000-0000-000088260000}"/>
    <cellStyle name="Comma 21 32 2" xfId="24198" xr:uid="{00000000-0005-0000-0000-000089260000}"/>
    <cellStyle name="Comma 21 33" xfId="24199" xr:uid="{00000000-0005-0000-0000-00008A260000}"/>
    <cellStyle name="Comma 21 34" xfId="24200" xr:uid="{00000000-0005-0000-0000-00008B260000}"/>
    <cellStyle name="Comma 21 35" xfId="24201" xr:uid="{00000000-0005-0000-0000-00008C260000}"/>
    <cellStyle name="Comma 21 36" xfId="24090" xr:uid="{00000000-0005-0000-0000-00008D260000}"/>
    <cellStyle name="Comma 21 4" xfId="24202" xr:uid="{00000000-0005-0000-0000-00008E260000}"/>
    <cellStyle name="Comma 21 4 2" xfId="24203" xr:uid="{00000000-0005-0000-0000-00008F260000}"/>
    <cellStyle name="Comma 21 4 2 2" xfId="24204" xr:uid="{00000000-0005-0000-0000-000090260000}"/>
    <cellStyle name="Comma 21 4 3" xfId="24205" xr:uid="{00000000-0005-0000-0000-000091260000}"/>
    <cellStyle name="Comma 21 4 3 2" xfId="24206" xr:uid="{00000000-0005-0000-0000-000092260000}"/>
    <cellStyle name="Comma 21 4 3 2 2" xfId="24207" xr:uid="{00000000-0005-0000-0000-000093260000}"/>
    <cellStyle name="Comma 21 4 3 3" xfId="24208" xr:uid="{00000000-0005-0000-0000-000094260000}"/>
    <cellStyle name="Comma 21 4 4" xfId="24209" xr:uid="{00000000-0005-0000-0000-000095260000}"/>
    <cellStyle name="Comma 21 5" xfId="24210" xr:uid="{00000000-0005-0000-0000-000096260000}"/>
    <cellStyle name="Comma 21 5 2" xfId="24211" xr:uid="{00000000-0005-0000-0000-000097260000}"/>
    <cellStyle name="Comma 21 5 2 2" xfId="24212" xr:uid="{00000000-0005-0000-0000-000098260000}"/>
    <cellStyle name="Comma 21 5 3" xfId="24213" xr:uid="{00000000-0005-0000-0000-000099260000}"/>
    <cellStyle name="Comma 21 5 3 2" xfId="24214" xr:uid="{00000000-0005-0000-0000-00009A260000}"/>
    <cellStyle name="Comma 21 5 3 2 2" xfId="24215" xr:uid="{00000000-0005-0000-0000-00009B260000}"/>
    <cellStyle name="Comma 21 5 3 3" xfId="24216" xr:uid="{00000000-0005-0000-0000-00009C260000}"/>
    <cellStyle name="Comma 21 5 4" xfId="24217" xr:uid="{00000000-0005-0000-0000-00009D260000}"/>
    <cellStyle name="Comma 21 6" xfId="24218" xr:uid="{00000000-0005-0000-0000-00009E260000}"/>
    <cellStyle name="Comma 21 6 2" xfId="24219" xr:uid="{00000000-0005-0000-0000-00009F260000}"/>
    <cellStyle name="Comma 21 6 2 2" xfId="24220" xr:uid="{00000000-0005-0000-0000-0000A0260000}"/>
    <cellStyle name="Comma 21 6 3" xfId="24221" xr:uid="{00000000-0005-0000-0000-0000A1260000}"/>
    <cellStyle name="Comma 21 7" xfId="24222" xr:uid="{00000000-0005-0000-0000-0000A2260000}"/>
    <cellStyle name="Comma 21 7 2" xfId="24223" xr:uid="{00000000-0005-0000-0000-0000A3260000}"/>
    <cellStyle name="Comma 21 7 2 2" xfId="24224" xr:uid="{00000000-0005-0000-0000-0000A4260000}"/>
    <cellStyle name="Comma 21 7 3" xfId="24225" xr:uid="{00000000-0005-0000-0000-0000A5260000}"/>
    <cellStyle name="Comma 21 8" xfId="24226" xr:uid="{00000000-0005-0000-0000-0000A6260000}"/>
    <cellStyle name="Comma 21 8 2" xfId="24227" xr:uid="{00000000-0005-0000-0000-0000A7260000}"/>
    <cellStyle name="Comma 21 8 2 2" xfId="24228" xr:uid="{00000000-0005-0000-0000-0000A8260000}"/>
    <cellStyle name="Comma 21 8 3" xfId="24229" xr:uid="{00000000-0005-0000-0000-0000A9260000}"/>
    <cellStyle name="Comma 21 9" xfId="24230" xr:uid="{00000000-0005-0000-0000-0000AA260000}"/>
    <cellStyle name="Comma 21 9 2" xfId="24231" xr:uid="{00000000-0005-0000-0000-0000AB260000}"/>
    <cellStyle name="Comma 21 9 2 2" xfId="24232" xr:uid="{00000000-0005-0000-0000-0000AC260000}"/>
    <cellStyle name="Comma 21 9 3" xfId="24233" xr:uid="{00000000-0005-0000-0000-0000AD260000}"/>
    <cellStyle name="Comma 210" xfId="24234" xr:uid="{00000000-0005-0000-0000-0000AE260000}"/>
    <cellStyle name="Comma 210 2" xfId="24235" xr:uid="{00000000-0005-0000-0000-0000AF260000}"/>
    <cellStyle name="Comma 210 3" xfId="24236" xr:uid="{00000000-0005-0000-0000-0000B0260000}"/>
    <cellStyle name="Comma 211" xfId="24237" xr:uid="{00000000-0005-0000-0000-0000B1260000}"/>
    <cellStyle name="Comma 211 2" xfId="24238" xr:uid="{00000000-0005-0000-0000-0000B2260000}"/>
    <cellStyle name="Comma 211 3" xfId="24239" xr:uid="{00000000-0005-0000-0000-0000B3260000}"/>
    <cellStyle name="Comma 212" xfId="24240" xr:uid="{00000000-0005-0000-0000-0000B4260000}"/>
    <cellStyle name="Comma 212 2" xfId="24241" xr:uid="{00000000-0005-0000-0000-0000B5260000}"/>
    <cellStyle name="Comma 212 3" xfId="24242" xr:uid="{00000000-0005-0000-0000-0000B6260000}"/>
    <cellStyle name="Comma 213" xfId="24243" xr:uid="{00000000-0005-0000-0000-0000B7260000}"/>
    <cellStyle name="Comma 213 2" xfId="24244" xr:uid="{00000000-0005-0000-0000-0000B8260000}"/>
    <cellStyle name="Comma 213 3" xfId="24245" xr:uid="{00000000-0005-0000-0000-0000B9260000}"/>
    <cellStyle name="Comma 214" xfId="24246" xr:uid="{00000000-0005-0000-0000-0000BA260000}"/>
    <cellStyle name="Comma 214 2" xfId="24247" xr:uid="{00000000-0005-0000-0000-0000BB260000}"/>
    <cellStyle name="Comma 214 3" xfId="24248" xr:uid="{00000000-0005-0000-0000-0000BC260000}"/>
    <cellStyle name="Comma 215" xfId="24249" xr:uid="{00000000-0005-0000-0000-0000BD260000}"/>
    <cellStyle name="Comma 215 2" xfId="24250" xr:uid="{00000000-0005-0000-0000-0000BE260000}"/>
    <cellStyle name="Comma 215 3" xfId="24251" xr:uid="{00000000-0005-0000-0000-0000BF260000}"/>
    <cellStyle name="Comma 216" xfId="24252" xr:uid="{00000000-0005-0000-0000-0000C0260000}"/>
    <cellStyle name="Comma 216 2" xfId="24253" xr:uid="{00000000-0005-0000-0000-0000C1260000}"/>
    <cellStyle name="Comma 216 3" xfId="24254" xr:uid="{00000000-0005-0000-0000-0000C2260000}"/>
    <cellStyle name="Comma 217" xfId="24255" xr:uid="{00000000-0005-0000-0000-0000C3260000}"/>
    <cellStyle name="Comma 217 2" xfId="24256" xr:uid="{00000000-0005-0000-0000-0000C4260000}"/>
    <cellStyle name="Comma 217 3" xfId="24257" xr:uid="{00000000-0005-0000-0000-0000C5260000}"/>
    <cellStyle name="Comma 218" xfId="24258" xr:uid="{00000000-0005-0000-0000-0000C6260000}"/>
    <cellStyle name="Comma 218 2" xfId="24259" xr:uid="{00000000-0005-0000-0000-0000C7260000}"/>
    <cellStyle name="Comma 218 3" xfId="24260" xr:uid="{00000000-0005-0000-0000-0000C8260000}"/>
    <cellStyle name="Comma 219" xfId="24261" xr:uid="{00000000-0005-0000-0000-0000C9260000}"/>
    <cellStyle name="Comma 219 2" xfId="24262" xr:uid="{00000000-0005-0000-0000-0000CA260000}"/>
    <cellStyle name="Comma 219 3" xfId="24263" xr:uid="{00000000-0005-0000-0000-0000CB260000}"/>
    <cellStyle name="Comma 22" xfId="2823" xr:uid="{00000000-0005-0000-0000-0000CC260000}"/>
    <cellStyle name="Comma 22 10" xfId="24265" xr:uid="{00000000-0005-0000-0000-0000CD260000}"/>
    <cellStyle name="Comma 22 10 2" xfId="24266" xr:uid="{00000000-0005-0000-0000-0000CE260000}"/>
    <cellStyle name="Comma 22 10 2 2" xfId="24267" xr:uid="{00000000-0005-0000-0000-0000CF260000}"/>
    <cellStyle name="Comma 22 10 3" xfId="24268" xr:uid="{00000000-0005-0000-0000-0000D0260000}"/>
    <cellStyle name="Comma 22 11" xfId="24269" xr:uid="{00000000-0005-0000-0000-0000D1260000}"/>
    <cellStyle name="Comma 22 11 2" xfId="24270" xr:uid="{00000000-0005-0000-0000-0000D2260000}"/>
    <cellStyle name="Comma 22 11 2 2" xfId="24271" xr:uid="{00000000-0005-0000-0000-0000D3260000}"/>
    <cellStyle name="Comma 22 11 3" xfId="24272" xr:uid="{00000000-0005-0000-0000-0000D4260000}"/>
    <cellStyle name="Comma 22 12" xfId="24273" xr:uid="{00000000-0005-0000-0000-0000D5260000}"/>
    <cellStyle name="Comma 22 12 2" xfId="24274" xr:uid="{00000000-0005-0000-0000-0000D6260000}"/>
    <cellStyle name="Comma 22 12 2 2" xfId="24275" xr:uid="{00000000-0005-0000-0000-0000D7260000}"/>
    <cellStyle name="Comma 22 12 3" xfId="24276" xr:uid="{00000000-0005-0000-0000-0000D8260000}"/>
    <cellStyle name="Comma 22 13" xfId="24277" xr:uid="{00000000-0005-0000-0000-0000D9260000}"/>
    <cellStyle name="Comma 22 13 2" xfId="24278" xr:uid="{00000000-0005-0000-0000-0000DA260000}"/>
    <cellStyle name="Comma 22 13 2 2" xfId="24279" xr:uid="{00000000-0005-0000-0000-0000DB260000}"/>
    <cellStyle name="Comma 22 13 3" xfId="24280" xr:uid="{00000000-0005-0000-0000-0000DC260000}"/>
    <cellStyle name="Comma 22 14" xfId="24281" xr:uid="{00000000-0005-0000-0000-0000DD260000}"/>
    <cellStyle name="Comma 22 14 2" xfId="24282" xr:uid="{00000000-0005-0000-0000-0000DE260000}"/>
    <cellStyle name="Comma 22 14 2 2" xfId="24283" xr:uid="{00000000-0005-0000-0000-0000DF260000}"/>
    <cellStyle name="Comma 22 14 3" xfId="24284" xr:uid="{00000000-0005-0000-0000-0000E0260000}"/>
    <cellStyle name="Comma 22 15" xfId="24285" xr:uid="{00000000-0005-0000-0000-0000E1260000}"/>
    <cellStyle name="Comma 22 15 2" xfId="24286" xr:uid="{00000000-0005-0000-0000-0000E2260000}"/>
    <cellStyle name="Comma 22 15 2 2" xfId="24287" xr:uid="{00000000-0005-0000-0000-0000E3260000}"/>
    <cellStyle name="Comma 22 15 3" xfId="24288" xr:uid="{00000000-0005-0000-0000-0000E4260000}"/>
    <cellStyle name="Comma 22 16" xfId="24289" xr:uid="{00000000-0005-0000-0000-0000E5260000}"/>
    <cellStyle name="Comma 22 16 2" xfId="24290" xr:uid="{00000000-0005-0000-0000-0000E6260000}"/>
    <cellStyle name="Comma 22 16 2 2" xfId="24291" xr:uid="{00000000-0005-0000-0000-0000E7260000}"/>
    <cellStyle name="Comma 22 16 3" xfId="24292" xr:uid="{00000000-0005-0000-0000-0000E8260000}"/>
    <cellStyle name="Comma 22 17" xfId="24293" xr:uid="{00000000-0005-0000-0000-0000E9260000}"/>
    <cellStyle name="Comma 22 17 2" xfId="24294" xr:uid="{00000000-0005-0000-0000-0000EA260000}"/>
    <cellStyle name="Comma 22 17 2 2" xfId="24295" xr:uid="{00000000-0005-0000-0000-0000EB260000}"/>
    <cellStyle name="Comma 22 17 3" xfId="24296" xr:uid="{00000000-0005-0000-0000-0000EC260000}"/>
    <cellStyle name="Comma 22 18" xfId="24297" xr:uid="{00000000-0005-0000-0000-0000ED260000}"/>
    <cellStyle name="Comma 22 18 2" xfId="24298" xr:uid="{00000000-0005-0000-0000-0000EE260000}"/>
    <cellStyle name="Comma 22 18 2 2" xfId="24299" xr:uid="{00000000-0005-0000-0000-0000EF260000}"/>
    <cellStyle name="Comma 22 18 3" xfId="24300" xr:uid="{00000000-0005-0000-0000-0000F0260000}"/>
    <cellStyle name="Comma 22 19" xfId="24301" xr:uid="{00000000-0005-0000-0000-0000F1260000}"/>
    <cellStyle name="Comma 22 19 2" xfId="24302" xr:uid="{00000000-0005-0000-0000-0000F2260000}"/>
    <cellStyle name="Comma 22 19 2 2" xfId="24303" xr:uid="{00000000-0005-0000-0000-0000F3260000}"/>
    <cellStyle name="Comma 22 19 3" xfId="24304" xr:uid="{00000000-0005-0000-0000-0000F4260000}"/>
    <cellStyle name="Comma 22 2" xfId="2824" xr:uid="{00000000-0005-0000-0000-0000F5260000}"/>
    <cellStyle name="Comma 22 2 2" xfId="9006" xr:uid="{00000000-0005-0000-0000-0000F6260000}"/>
    <cellStyle name="Comma 22 2 2 2" xfId="24307" xr:uid="{00000000-0005-0000-0000-0000F7260000}"/>
    <cellStyle name="Comma 22 2 2 3" xfId="24306" xr:uid="{00000000-0005-0000-0000-0000F8260000}"/>
    <cellStyle name="Comma 22 2 3" xfId="24308" xr:uid="{00000000-0005-0000-0000-0000F9260000}"/>
    <cellStyle name="Comma 22 2 3 2" xfId="24309" xr:uid="{00000000-0005-0000-0000-0000FA260000}"/>
    <cellStyle name="Comma 22 2 3 2 2" xfId="24310" xr:uid="{00000000-0005-0000-0000-0000FB260000}"/>
    <cellStyle name="Comma 22 2 3 3" xfId="24311" xr:uid="{00000000-0005-0000-0000-0000FC260000}"/>
    <cellStyle name="Comma 22 2 4" xfId="24312" xr:uid="{00000000-0005-0000-0000-0000FD260000}"/>
    <cellStyle name="Comma 22 2 4 2" xfId="24313" xr:uid="{00000000-0005-0000-0000-0000FE260000}"/>
    <cellStyle name="Comma 22 2 5" xfId="24314" xr:uid="{00000000-0005-0000-0000-0000FF260000}"/>
    <cellStyle name="Comma 22 2 6" xfId="24315" xr:uid="{00000000-0005-0000-0000-000000270000}"/>
    <cellStyle name="Comma 22 2 7" xfId="24305" xr:uid="{00000000-0005-0000-0000-000001270000}"/>
    <cellStyle name="Comma 22 20" xfId="24316" xr:uid="{00000000-0005-0000-0000-000002270000}"/>
    <cellStyle name="Comma 22 20 2" xfId="24317" xr:uid="{00000000-0005-0000-0000-000003270000}"/>
    <cellStyle name="Comma 22 20 2 2" xfId="24318" xr:uid="{00000000-0005-0000-0000-000004270000}"/>
    <cellStyle name="Comma 22 20 3" xfId="24319" xr:uid="{00000000-0005-0000-0000-000005270000}"/>
    <cellStyle name="Comma 22 21" xfId="24320" xr:uid="{00000000-0005-0000-0000-000006270000}"/>
    <cellStyle name="Comma 22 21 2" xfId="24321" xr:uid="{00000000-0005-0000-0000-000007270000}"/>
    <cellStyle name="Comma 22 21 2 2" xfId="24322" xr:uid="{00000000-0005-0000-0000-000008270000}"/>
    <cellStyle name="Comma 22 21 3" xfId="24323" xr:uid="{00000000-0005-0000-0000-000009270000}"/>
    <cellStyle name="Comma 22 22" xfId="24324" xr:uid="{00000000-0005-0000-0000-00000A270000}"/>
    <cellStyle name="Comma 22 22 2" xfId="24325" xr:uid="{00000000-0005-0000-0000-00000B270000}"/>
    <cellStyle name="Comma 22 22 2 2" xfId="24326" xr:uid="{00000000-0005-0000-0000-00000C270000}"/>
    <cellStyle name="Comma 22 22 3" xfId="24327" xr:uid="{00000000-0005-0000-0000-00000D270000}"/>
    <cellStyle name="Comma 22 23" xfId="24328" xr:uid="{00000000-0005-0000-0000-00000E270000}"/>
    <cellStyle name="Comma 22 23 2" xfId="24329" xr:uid="{00000000-0005-0000-0000-00000F270000}"/>
    <cellStyle name="Comma 22 23 2 2" xfId="24330" xr:uid="{00000000-0005-0000-0000-000010270000}"/>
    <cellStyle name="Comma 22 23 3" xfId="24331" xr:uid="{00000000-0005-0000-0000-000011270000}"/>
    <cellStyle name="Comma 22 24" xfId="24332" xr:uid="{00000000-0005-0000-0000-000012270000}"/>
    <cellStyle name="Comma 22 24 2" xfId="24333" xr:uid="{00000000-0005-0000-0000-000013270000}"/>
    <cellStyle name="Comma 22 24 2 2" xfId="24334" xr:uid="{00000000-0005-0000-0000-000014270000}"/>
    <cellStyle name="Comma 22 24 3" xfId="24335" xr:uid="{00000000-0005-0000-0000-000015270000}"/>
    <cellStyle name="Comma 22 25" xfId="24336" xr:uid="{00000000-0005-0000-0000-000016270000}"/>
    <cellStyle name="Comma 22 25 2" xfId="24337" xr:uid="{00000000-0005-0000-0000-000017270000}"/>
    <cellStyle name="Comma 22 25 2 2" xfId="24338" xr:uid="{00000000-0005-0000-0000-000018270000}"/>
    <cellStyle name="Comma 22 25 3" xfId="24339" xr:uid="{00000000-0005-0000-0000-000019270000}"/>
    <cellStyle name="Comma 22 26" xfId="24340" xr:uid="{00000000-0005-0000-0000-00001A270000}"/>
    <cellStyle name="Comma 22 26 2" xfId="24341" xr:uid="{00000000-0005-0000-0000-00001B270000}"/>
    <cellStyle name="Comma 22 26 2 2" xfId="24342" xr:uid="{00000000-0005-0000-0000-00001C270000}"/>
    <cellStyle name="Comma 22 26 3" xfId="24343" xr:uid="{00000000-0005-0000-0000-00001D270000}"/>
    <cellStyle name="Comma 22 27" xfId="24344" xr:uid="{00000000-0005-0000-0000-00001E270000}"/>
    <cellStyle name="Comma 22 27 2" xfId="24345" xr:uid="{00000000-0005-0000-0000-00001F270000}"/>
    <cellStyle name="Comma 22 27 2 2" xfId="24346" xr:uid="{00000000-0005-0000-0000-000020270000}"/>
    <cellStyle name="Comma 22 27 3" xfId="24347" xr:uid="{00000000-0005-0000-0000-000021270000}"/>
    <cellStyle name="Comma 22 28" xfId="24348" xr:uid="{00000000-0005-0000-0000-000022270000}"/>
    <cellStyle name="Comma 22 28 2" xfId="24349" xr:uid="{00000000-0005-0000-0000-000023270000}"/>
    <cellStyle name="Comma 22 28 2 2" xfId="24350" xr:uid="{00000000-0005-0000-0000-000024270000}"/>
    <cellStyle name="Comma 22 28 3" xfId="24351" xr:uid="{00000000-0005-0000-0000-000025270000}"/>
    <cellStyle name="Comma 22 29" xfId="24352" xr:uid="{00000000-0005-0000-0000-000026270000}"/>
    <cellStyle name="Comma 22 29 2" xfId="24353" xr:uid="{00000000-0005-0000-0000-000027270000}"/>
    <cellStyle name="Comma 22 3" xfId="9007" xr:uid="{00000000-0005-0000-0000-000028270000}"/>
    <cellStyle name="Comma 22 3 2" xfId="24355" xr:uid="{00000000-0005-0000-0000-000029270000}"/>
    <cellStyle name="Comma 22 3 2 2" xfId="24356" xr:uid="{00000000-0005-0000-0000-00002A270000}"/>
    <cellStyle name="Comma 22 3 3" xfId="24357" xr:uid="{00000000-0005-0000-0000-00002B270000}"/>
    <cellStyle name="Comma 22 3 3 2" xfId="24358" xr:uid="{00000000-0005-0000-0000-00002C270000}"/>
    <cellStyle name="Comma 22 3 3 2 2" xfId="24359" xr:uid="{00000000-0005-0000-0000-00002D270000}"/>
    <cellStyle name="Comma 22 3 3 3" xfId="24360" xr:uid="{00000000-0005-0000-0000-00002E270000}"/>
    <cellStyle name="Comma 22 3 4" xfId="24361" xr:uid="{00000000-0005-0000-0000-00002F270000}"/>
    <cellStyle name="Comma 22 3 5" xfId="24354" xr:uid="{00000000-0005-0000-0000-000030270000}"/>
    <cellStyle name="Comma 22 30" xfId="24362" xr:uid="{00000000-0005-0000-0000-000031270000}"/>
    <cellStyle name="Comma 22 30 2" xfId="24363" xr:uid="{00000000-0005-0000-0000-000032270000}"/>
    <cellStyle name="Comma 22 30 2 2" xfId="24364" xr:uid="{00000000-0005-0000-0000-000033270000}"/>
    <cellStyle name="Comma 22 30 3" xfId="24365" xr:uid="{00000000-0005-0000-0000-000034270000}"/>
    <cellStyle name="Comma 22 31" xfId="24366" xr:uid="{00000000-0005-0000-0000-000035270000}"/>
    <cellStyle name="Comma 22 31 2" xfId="24367" xr:uid="{00000000-0005-0000-0000-000036270000}"/>
    <cellStyle name="Comma 22 32" xfId="24368" xr:uid="{00000000-0005-0000-0000-000037270000}"/>
    <cellStyle name="Comma 22 33" xfId="24369" xr:uid="{00000000-0005-0000-0000-000038270000}"/>
    <cellStyle name="Comma 22 34" xfId="24370" xr:uid="{00000000-0005-0000-0000-000039270000}"/>
    <cellStyle name="Comma 22 35" xfId="24264" xr:uid="{00000000-0005-0000-0000-00003A270000}"/>
    <cellStyle name="Comma 22 4" xfId="24371" xr:uid="{00000000-0005-0000-0000-00003B270000}"/>
    <cellStyle name="Comma 22 4 2" xfId="24372" xr:uid="{00000000-0005-0000-0000-00003C270000}"/>
    <cellStyle name="Comma 22 4 2 2" xfId="24373" xr:uid="{00000000-0005-0000-0000-00003D270000}"/>
    <cellStyle name="Comma 22 4 3" xfId="24374" xr:uid="{00000000-0005-0000-0000-00003E270000}"/>
    <cellStyle name="Comma 22 4 3 2" xfId="24375" xr:uid="{00000000-0005-0000-0000-00003F270000}"/>
    <cellStyle name="Comma 22 4 3 2 2" xfId="24376" xr:uid="{00000000-0005-0000-0000-000040270000}"/>
    <cellStyle name="Comma 22 4 3 3" xfId="24377" xr:uid="{00000000-0005-0000-0000-000041270000}"/>
    <cellStyle name="Comma 22 4 4" xfId="24378" xr:uid="{00000000-0005-0000-0000-000042270000}"/>
    <cellStyle name="Comma 22 5" xfId="24379" xr:uid="{00000000-0005-0000-0000-000043270000}"/>
    <cellStyle name="Comma 22 5 2" xfId="24380" xr:uid="{00000000-0005-0000-0000-000044270000}"/>
    <cellStyle name="Comma 22 5 2 2" xfId="24381" xr:uid="{00000000-0005-0000-0000-000045270000}"/>
    <cellStyle name="Comma 22 5 3" xfId="24382" xr:uid="{00000000-0005-0000-0000-000046270000}"/>
    <cellStyle name="Comma 22 5 3 2" xfId="24383" xr:uid="{00000000-0005-0000-0000-000047270000}"/>
    <cellStyle name="Comma 22 5 3 2 2" xfId="24384" xr:uid="{00000000-0005-0000-0000-000048270000}"/>
    <cellStyle name="Comma 22 5 3 3" xfId="24385" xr:uid="{00000000-0005-0000-0000-000049270000}"/>
    <cellStyle name="Comma 22 5 4" xfId="24386" xr:uid="{00000000-0005-0000-0000-00004A270000}"/>
    <cellStyle name="Comma 22 6" xfId="24387" xr:uid="{00000000-0005-0000-0000-00004B270000}"/>
    <cellStyle name="Comma 22 6 2" xfId="24388" xr:uid="{00000000-0005-0000-0000-00004C270000}"/>
    <cellStyle name="Comma 22 6 2 2" xfId="24389" xr:uid="{00000000-0005-0000-0000-00004D270000}"/>
    <cellStyle name="Comma 22 6 3" xfId="24390" xr:uid="{00000000-0005-0000-0000-00004E270000}"/>
    <cellStyle name="Comma 22 7" xfId="24391" xr:uid="{00000000-0005-0000-0000-00004F270000}"/>
    <cellStyle name="Comma 22 7 2" xfId="24392" xr:uid="{00000000-0005-0000-0000-000050270000}"/>
    <cellStyle name="Comma 22 7 2 2" xfId="24393" xr:uid="{00000000-0005-0000-0000-000051270000}"/>
    <cellStyle name="Comma 22 7 3" xfId="24394" xr:uid="{00000000-0005-0000-0000-000052270000}"/>
    <cellStyle name="Comma 22 8" xfId="24395" xr:uid="{00000000-0005-0000-0000-000053270000}"/>
    <cellStyle name="Comma 22 8 2" xfId="24396" xr:uid="{00000000-0005-0000-0000-000054270000}"/>
    <cellStyle name="Comma 22 8 2 2" xfId="24397" xr:uid="{00000000-0005-0000-0000-000055270000}"/>
    <cellStyle name="Comma 22 8 3" xfId="24398" xr:uid="{00000000-0005-0000-0000-000056270000}"/>
    <cellStyle name="Comma 22 9" xfId="24399" xr:uid="{00000000-0005-0000-0000-000057270000}"/>
    <cellStyle name="Comma 22 9 2" xfId="24400" xr:uid="{00000000-0005-0000-0000-000058270000}"/>
    <cellStyle name="Comma 22 9 2 2" xfId="24401" xr:uid="{00000000-0005-0000-0000-000059270000}"/>
    <cellStyle name="Comma 22 9 3" xfId="24402" xr:uid="{00000000-0005-0000-0000-00005A270000}"/>
    <cellStyle name="Comma 220" xfId="24403" xr:uid="{00000000-0005-0000-0000-00005B270000}"/>
    <cellStyle name="Comma 220 2" xfId="24404" xr:uid="{00000000-0005-0000-0000-00005C270000}"/>
    <cellStyle name="Comma 220 3" xfId="24405" xr:uid="{00000000-0005-0000-0000-00005D270000}"/>
    <cellStyle name="Comma 221" xfId="24406" xr:uid="{00000000-0005-0000-0000-00005E270000}"/>
    <cellStyle name="Comma 221 2" xfId="24407" xr:uid="{00000000-0005-0000-0000-00005F270000}"/>
    <cellStyle name="Comma 221 3" xfId="24408" xr:uid="{00000000-0005-0000-0000-000060270000}"/>
    <cellStyle name="Comma 222" xfId="24409" xr:uid="{00000000-0005-0000-0000-000061270000}"/>
    <cellStyle name="Comma 222 2" xfId="24410" xr:uid="{00000000-0005-0000-0000-000062270000}"/>
    <cellStyle name="Comma 222 3" xfId="24411" xr:uid="{00000000-0005-0000-0000-000063270000}"/>
    <cellStyle name="Comma 223" xfId="24412" xr:uid="{00000000-0005-0000-0000-000064270000}"/>
    <cellStyle name="Comma 223 2" xfId="24413" xr:uid="{00000000-0005-0000-0000-000065270000}"/>
    <cellStyle name="Comma 223 3" xfId="24414" xr:uid="{00000000-0005-0000-0000-000066270000}"/>
    <cellStyle name="Comma 224" xfId="24415" xr:uid="{00000000-0005-0000-0000-000067270000}"/>
    <cellStyle name="Comma 224 2" xfId="24416" xr:uid="{00000000-0005-0000-0000-000068270000}"/>
    <cellStyle name="Comma 224 3" xfId="24417" xr:uid="{00000000-0005-0000-0000-000069270000}"/>
    <cellStyle name="Comma 225" xfId="24418" xr:uid="{00000000-0005-0000-0000-00006A270000}"/>
    <cellStyle name="Comma 225 2" xfId="24419" xr:uid="{00000000-0005-0000-0000-00006B270000}"/>
    <cellStyle name="Comma 225 3" xfId="24420" xr:uid="{00000000-0005-0000-0000-00006C270000}"/>
    <cellStyle name="Comma 226" xfId="24421" xr:uid="{00000000-0005-0000-0000-00006D270000}"/>
    <cellStyle name="Comma 226 2" xfId="24422" xr:uid="{00000000-0005-0000-0000-00006E270000}"/>
    <cellStyle name="Comma 226 3" xfId="24423" xr:uid="{00000000-0005-0000-0000-00006F270000}"/>
    <cellStyle name="Comma 227" xfId="24424" xr:uid="{00000000-0005-0000-0000-000070270000}"/>
    <cellStyle name="Comma 227 2" xfId="24425" xr:uid="{00000000-0005-0000-0000-000071270000}"/>
    <cellStyle name="Comma 227 3" xfId="24426" xr:uid="{00000000-0005-0000-0000-000072270000}"/>
    <cellStyle name="Comma 228" xfId="24427" xr:uid="{00000000-0005-0000-0000-000073270000}"/>
    <cellStyle name="Comma 228 2" xfId="24428" xr:uid="{00000000-0005-0000-0000-000074270000}"/>
    <cellStyle name="Comma 228 3" xfId="24429" xr:uid="{00000000-0005-0000-0000-000075270000}"/>
    <cellStyle name="Comma 229" xfId="24430" xr:uid="{00000000-0005-0000-0000-000076270000}"/>
    <cellStyle name="Comma 229 2" xfId="24431" xr:uid="{00000000-0005-0000-0000-000077270000}"/>
    <cellStyle name="Comma 229 3" xfId="24432" xr:uid="{00000000-0005-0000-0000-000078270000}"/>
    <cellStyle name="Comma 23" xfId="2825" xr:uid="{00000000-0005-0000-0000-000079270000}"/>
    <cellStyle name="Comma 23 10" xfId="24433" xr:uid="{00000000-0005-0000-0000-00007A270000}"/>
    <cellStyle name="Comma 23 10 2" xfId="24434" xr:uid="{00000000-0005-0000-0000-00007B270000}"/>
    <cellStyle name="Comma 23 10 2 2" xfId="24435" xr:uid="{00000000-0005-0000-0000-00007C270000}"/>
    <cellStyle name="Comma 23 10 3" xfId="24436" xr:uid="{00000000-0005-0000-0000-00007D270000}"/>
    <cellStyle name="Comma 23 11" xfId="24437" xr:uid="{00000000-0005-0000-0000-00007E270000}"/>
    <cellStyle name="Comma 23 11 2" xfId="24438" xr:uid="{00000000-0005-0000-0000-00007F270000}"/>
    <cellStyle name="Comma 23 11 2 2" xfId="24439" xr:uid="{00000000-0005-0000-0000-000080270000}"/>
    <cellStyle name="Comma 23 11 3" xfId="24440" xr:uid="{00000000-0005-0000-0000-000081270000}"/>
    <cellStyle name="Comma 23 12" xfId="24441" xr:uid="{00000000-0005-0000-0000-000082270000}"/>
    <cellStyle name="Comma 23 12 2" xfId="24442" xr:uid="{00000000-0005-0000-0000-000083270000}"/>
    <cellStyle name="Comma 23 12 2 2" xfId="24443" xr:uid="{00000000-0005-0000-0000-000084270000}"/>
    <cellStyle name="Comma 23 12 3" xfId="24444" xr:uid="{00000000-0005-0000-0000-000085270000}"/>
    <cellStyle name="Comma 23 13" xfId="24445" xr:uid="{00000000-0005-0000-0000-000086270000}"/>
    <cellStyle name="Comma 23 13 2" xfId="24446" xr:uid="{00000000-0005-0000-0000-000087270000}"/>
    <cellStyle name="Comma 23 13 2 2" xfId="24447" xr:uid="{00000000-0005-0000-0000-000088270000}"/>
    <cellStyle name="Comma 23 13 3" xfId="24448" xr:uid="{00000000-0005-0000-0000-000089270000}"/>
    <cellStyle name="Comma 23 14" xfId="24449" xr:uid="{00000000-0005-0000-0000-00008A270000}"/>
    <cellStyle name="Comma 23 14 2" xfId="24450" xr:uid="{00000000-0005-0000-0000-00008B270000}"/>
    <cellStyle name="Comma 23 14 2 2" xfId="24451" xr:uid="{00000000-0005-0000-0000-00008C270000}"/>
    <cellStyle name="Comma 23 14 3" xfId="24452" xr:uid="{00000000-0005-0000-0000-00008D270000}"/>
    <cellStyle name="Comma 23 15" xfId="24453" xr:uid="{00000000-0005-0000-0000-00008E270000}"/>
    <cellStyle name="Comma 23 15 2" xfId="24454" xr:uid="{00000000-0005-0000-0000-00008F270000}"/>
    <cellStyle name="Comma 23 15 2 2" xfId="24455" xr:uid="{00000000-0005-0000-0000-000090270000}"/>
    <cellStyle name="Comma 23 15 3" xfId="24456" xr:uid="{00000000-0005-0000-0000-000091270000}"/>
    <cellStyle name="Comma 23 16" xfId="24457" xr:uid="{00000000-0005-0000-0000-000092270000}"/>
    <cellStyle name="Comma 23 16 2" xfId="24458" xr:uid="{00000000-0005-0000-0000-000093270000}"/>
    <cellStyle name="Comma 23 16 2 2" xfId="24459" xr:uid="{00000000-0005-0000-0000-000094270000}"/>
    <cellStyle name="Comma 23 16 3" xfId="24460" xr:uid="{00000000-0005-0000-0000-000095270000}"/>
    <cellStyle name="Comma 23 17" xfId="24461" xr:uid="{00000000-0005-0000-0000-000096270000}"/>
    <cellStyle name="Comma 23 17 2" xfId="24462" xr:uid="{00000000-0005-0000-0000-000097270000}"/>
    <cellStyle name="Comma 23 17 2 2" xfId="24463" xr:uid="{00000000-0005-0000-0000-000098270000}"/>
    <cellStyle name="Comma 23 17 3" xfId="24464" xr:uid="{00000000-0005-0000-0000-000099270000}"/>
    <cellStyle name="Comma 23 18" xfId="24465" xr:uid="{00000000-0005-0000-0000-00009A270000}"/>
    <cellStyle name="Comma 23 18 2" xfId="24466" xr:uid="{00000000-0005-0000-0000-00009B270000}"/>
    <cellStyle name="Comma 23 18 2 2" xfId="24467" xr:uid="{00000000-0005-0000-0000-00009C270000}"/>
    <cellStyle name="Comma 23 18 3" xfId="24468" xr:uid="{00000000-0005-0000-0000-00009D270000}"/>
    <cellStyle name="Comma 23 19" xfId="24469" xr:uid="{00000000-0005-0000-0000-00009E270000}"/>
    <cellStyle name="Comma 23 19 2" xfId="24470" xr:uid="{00000000-0005-0000-0000-00009F270000}"/>
    <cellStyle name="Comma 23 19 2 2" xfId="24471" xr:uid="{00000000-0005-0000-0000-0000A0270000}"/>
    <cellStyle name="Comma 23 19 3" xfId="24472" xr:uid="{00000000-0005-0000-0000-0000A1270000}"/>
    <cellStyle name="Comma 23 2" xfId="2826" xr:uid="{00000000-0005-0000-0000-0000A2270000}"/>
    <cellStyle name="Comma 23 2 2" xfId="24473" xr:uid="{00000000-0005-0000-0000-0000A3270000}"/>
    <cellStyle name="Comma 23 2 2 2" xfId="24474" xr:uid="{00000000-0005-0000-0000-0000A4270000}"/>
    <cellStyle name="Comma 23 2 3" xfId="24475" xr:uid="{00000000-0005-0000-0000-0000A5270000}"/>
    <cellStyle name="Comma 23 2 3 2" xfId="24476" xr:uid="{00000000-0005-0000-0000-0000A6270000}"/>
    <cellStyle name="Comma 23 2 3 2 2" xfId="24477" xr:uid="{00000000-0005-0000-0000-0000A7270000}"/>
    <cellStyle name="Comma 23 2 3 3" xfId="24478" xr:uid="{00000000-0005-0000-0000-0000A8270000}"/>
    <cellStyle name="Comma 23 2 4" xfId="24479" xr:uid="{00000000-0005-0000-0000-0000A9270000}"/>
    <cellStyle name="Comma 23 20" xfId="24480" xr:uid="{00000000-0005-0000-0000-0000AA270000}"/>
    <cellStyle name="Comma 23 20 2" xfId="24481" xr:uid="{00000000-0005-0000-0000-0000AB270000}"/>
    <cellStyle name="Comma 23 20 2 2" xfId="24482" xr:uid="{00000000-0005-0000-0000-0000AC270000}"/>
    <cellStyle name="Comma 23 20 3" xfId="24483" xr:uid="{00000000-0005-0000-0000-0000AD270000}"/>
    <cellStyle name="Comma 23 21" xfId="24484" xr:uid="{00000000-0005-0000-0000-0000AE270000}"/>
    <cellStyle name="Comma 23 21 2" xfId="24485" xr:uid="{00000000-0005-0000-0000-0000AF270000}"/>
    <cellStyle name="Comma 23 21 2 2" xfId="24486" xr:uid="{00000000-0005-0000-0000-0000B0270000}"/>
    <cellStyle name="Comma 23 21 3" xfId="24487" xr:uid="{00000000-0005-0000-0000-0000B1270000}"/>
    <cellStyle name="Comma 23 22" xfId="24488" xr:uid="{00000000-0005-0000-0000-0000B2270000}"/>
    <cellStyle name="Comma 23 22 2" xfId="24489" xr:uid="{00000000-0005-0000-0000-0000B3270000}"/>
    <cellStyle name="Comma 23 22 2 2" xfId="24490" xr:uid="{00000000-0005-0000-0000-0000B4270000}"/>
    <cellStyle name="Comma 23 22 3" xfId="24491" xr:uid="{00000000-0005-0000-0000-0000B5270000}"/>
    <cellStyle name="Comma 23 23" xfId="24492" xr:uid="{00000000-0005-0000-0000-0000B6270000}"/>
    <cellStyle name="Comma 23 23 2" xfId="24493" xr:uid="{00000000-0005-0000-0000-0000B7270000}"/>
    <cellStyle name="Comma 23 23 2 2" xfId="24494" xr:uid="{00000000-0005-0000-0000-0000B8270000}"/>
    <cellStyle name="Comma 23 23 3" xfId="24495" xr:uid="{00000000-0005-0000-0000-0000B9270000}"/>
    <cellStyle name="Comma 23 24" xfId="24496" xr:uid="{00000000-0005-0000-0000-0000BA270000}"/>
    <cellStyle name="Comma 23 24 2" xfId="24497" xr:uid="{00000000-0005-0000-0000-0000BB270000}"/>
    <cellStyle name="Comma 23 24 2 2" xfId="24498" xr:uid="{00000000-0005-0000-0000-0000BC270000}"/>
    <cellStyle name="Comma 23 24 3" xfId="24499" xr:uid="{00000000-0005-0000-0000-0000BD270000}"/>
    <cellStyle name="Comma 23 25" xfId="24500" xr:uid="{00000000-0005-0000-0000-0000BE270000}"/>
    <cellStyle name="Comma 23 25 2" xfId="24501" xr:uid="{00000000-0005-0000-0000-0000BF270000}"/>
    <cellStyle name="Comma 23 25 2 2" xfId="24502" xr:uid="{00000000-0005-0000-0000-0000C0270000}"/>
    <cellStyle name="Comma 23 25 3" xfId="24503" xr:uid="{00000000-0005-0000-0000-0000C1270000}"/>
    <cellStyle name="Comma 23 26" xfId="24504" xr:uid="{00000000-0005-0000-0000-0000C2270000}"/>
    <cellStyle name="Comma 23 26 2" xfId="24505" xr:uid="{00000000-0005-0000-0000-0000C3270000}"/>
    <cellStyle name="Comma 23 26 2 2" xfId="24506" xr:uid="{00000000-0005-0000-0000-0000C4270000}"/>
    <cellStyle name="Comma 23 26 3" xfId="24507" xr:uid="{00000000-0005-0000-0000-0000C5270000}"/>
    <cellStyle name="Comma 23 27" xfId="24508" xr:uid="{00000000-0005-0000-0000-0000C6270000}"/>
    <cellStyle name="Comma 23 27 2" xfId="24509" xr:uid="{00000000-0005-0000-0000-0000C7270000}"/>
    <cellStyle name="Comma 23 27 2 2" xfId="24510" xr:uid="{00000000-0005-0000-0000-0000C8270000}"/>
    <cellStyle name="Comma 23 27 3" xfId="24511" xr:uid="{00000000-0005-0000-0000-0000C9270000}"/>
    <cellStyle name="Comma 23 28" xfId="24512" xr:uid="{00000000-0005-0000-0000-0000CA270000}"/>
    <cellStyle name="Comma 23 28 2" xfId="24513" xr:uid="{00000000-0005-0000-0000-0000CB270000}"/>
    <cellStyle name="Comma 23 28 2 2" xfId="24514" xr:uid="{00000000-0005-0000-0000-0000CC270000}"/>
    <cellStyle name="Comma 23 28 3" xfId="24515" xr:uid="{00000000-0005-0000-0000-0000CD270000}"/>
    <cellStyle name="Comma 23 29" xfId="24516" xr:uid="{00000000-0005-0000-0000-0000CE270000}"/>
    <cellStyle name="Comma 23 29 2" xfId="24517" xr:uid="{00000000-0005-0000-0000-0000CF270000}"/>
    <cellStyle name="Comma 23 3" xfId="2827" xr:uid="{00000000-0005-0000-0000-0000D0270000}"/>
    <cellStyle name="Comma 23 3 2" xfId="24518" xr:uid="{00000000-0005-0000-0000-0000D1270000}"/>
    <cellStyle name="Comma 23 3 2 2" xfId="24519" xr:uid="{00000000-0005-0000-0000-0000D2270000}"/>
    <cellStyle name="Comma 23 3 3" xfId="24520" xr:uid="{00000000-0005-0000-0000-0000D3270000}"/>
    <cellStyle name="Comma 23 3 3 2" xfId="24521" xr:uid="{00000000-0005-0000-0000-0000D4270000}"/>
    <cellStyle name="Comma 23 3 3 2 2" xfId="24522" xr:uid="{00000000-0005-0000-0000-0000D5270000}"/>
    <cellStyle name="Comma 23 3 3 3" xfId="24523" xr:uid="{00000000-0005-0000-0000-0000D6270000}"/>
    <cellStyle name="Comma 23 3 4" xfId="24524" xr:uid="{00000000-0005-0000-0000-0000D7270000}"/>
    <cellStyle name="Comma 23 30" xfId="24525" xr:uid="{00000000-0005-0000-0000-0000D8270000}"/>
    <cellStyle name="Comma 23 30 2" xfId="24526" xr:uid="{00000000-0005-0000-0000-0000D9270000}"/>
    <cellStyle name="Comma 23 30 2 2" xfId="24527" xr:uid="{00000000-0005-0000-0000-0000DA270000}"/>
    <cellStyle name="Comma 23 30 3" xfId="24528" xr:uid="{00000000-0005-0000-0000-0000DB270000}"/>
    <cellStyle name="Comma 23 31" xfId="24529" xr:uid="{00000000-0005-0000-0000-0000DC270000}"/>
    <cellStyle name="Comma 23 31 2" xfId="24530" xr:uid="{00000000-0005-0000-0000-0000DD270000}"/>
    <cellStyle name="Comma 23 32" xfId="24531" xr:uid="{00000000-0005-0000-0000-0000DE270000}"/>
    <cellStyle name="Comma 23 32 2" xfId="24532" xr:uid="{00000000-0005-0000-0000-0000DF270000}"/>
    <cellStyle name="Comma 23 33" xfId="24533" xr:uid="{00000000-0005-0000-0000-0000E0270000}"/>
    <cellStyle name="Comma 23 34" xfId="24534" xr:uid="{00000000-0005-0000-0000-0000E1270000}"/>
    <cellStyle name="Comma 23 35" xfId="24535" xr:uid="{00000000-0005-0000-0000-0000E2270000}"/>
    <cellStyle name="Comma 23 4" xfId="24536" xr:uid="{00000000-0005-0000-0000-0000E3270000}"/>
    <cellStyle name="Comma 23 4 2" xfId="24537" xr:uid="{00000000-0005-0000-0000-0000E4270000}"/>
    <cellStyle name="Comma 23 4 2 2" xfId="24538" xr:uid="{00000000-0005-0000-0000-0000E5270000}"/>
    <cellStyle name="Comma 23 4 3" xfId="24539" xr:uid="{00000000-0005-0000-0000-0000E6270000}"/>
    <cellStyle name="Comma 23 4 3 2" xfId="24540" xr:uid="{00000000-0005-0000-0000-0000E7270000}"/>
    <cellStyle name="Comma 23 4 3 2 2" xfId="24541" xr:uid="{00000000-0005-0000-0000-0000E8270000}"/>
    <cellStyle name="Comma 23 4 3 3" xfId="24542" xr:uid="{00000000-0005-0000-0000-0000E9270000}"/>
    <cellStyle name="Comma 23 4 4" xfId="24543" xr:uid="{00000000-0005-0000-0000-0000EA270000}"/>
    <cellStyle name="Comma 23 5" xfId="24544" xr:uid="{00000000-0005-0000-0000-0000EB270000}"/>
    <cellStyle name="Comma 23 5 2" xfId="24545" xr:uid="{00000000-0005-0000-0000-0000EC270000}"/>
    <cellStyle name="Comma 23 5 2 2" xfId="24546" xr:uid="{00000000-0005-0000-0000-0000ED270000}"/>
    <cellStyle name="Comma 23 5 3" xfId="24547" xr:uid="{00000000-0005-0000-0000-0000EE270000}"/>
    <cellStyle name="Comma 23 5 3 2" xfId="24548" xr:uid="{00000000-0005-0000-0000-0000EF270000}"/>
    <cellStyle name="Comma 23 5 3 2 2" xfId="24549" xr:uid="{00000000-0005-0000-0000-0000F0270000}"/>
    <cellStyle name="Comma 23 5 3 3" xfId="24550" xr:uid="{00000000-0005-0000-0000-0000F1270000}"/>
    <cellStyle name="Comma 23 5 4" xfId="24551" xr:uid="{00000000-0005-0000-0000-0000F2270000}"/>
    <cellStyle name="Comma 23 6" xfId="24552" xr:uid="{00000000-0005-0000-0000-0000F3270000}"/>
    <cellStyle name="Comma 23 6 2" xfId="24553" xr:uid="{00000000-0005-0000-0000-0000F4270000}"/>
    <cellStyle name="Comma 23 6 2 2" xfId="24554" xr:uid="{00000000-0005-0000-0000-0000F5270000}"/>
    <cellStyle name="Comma 23 6 3" xfId="24555" xr:uid="{00000000-0005-0000-0000-0000F6270000}"/>
    <cellStyle name="Comma 23 7" xfId="24556" xr:uid="{00000000-0005-0000-0000-0000F7270000}"/>
    <cellStyle name="Comma 23 7 2" xfId="24557" xr:uid="{00000000-0005-0000-0000-0000F8270000}"/>
    <cellStyle name="Comma 23 7 2 2" xfId="24558" xr:uid="{00000000-0005-0000-0000-0000F9270000}"/>
    <cellStyle name="Comma 23 7 3" xfId="24559" xr:uid="{00000000-0005-0000-0000-0000FA270000}"/>
    <cellStyle name="Comma 23 8" xfId="24560" xr:uid="{00000000-0005-0000-0000-0000FB270000}"/>
    <cellStyle name="Comma 23 8 2" xfId="24561" xr:uid="{00000000-0005-0000-0000-0000FC270000}"/>
    <cellStyle name="Comma 23 8 2 2" xfId="24562" xr:uid="{00000000-0005-0000-0000-0000FD270000}"/>
    <cellStyle name="Comma 23 8 3" xfId="24563" xr:uid="{00000000-0005-0000-0000-0000FE270000}"/>
    <cellStyle name="Comma 23 9" xfId="24564" xr:uid="{00000000-0005-0000-0000-0000FF270000}"/>
    <cellStyle name="Comma 23 9 2" xfId="24565" xr:uid="{00000000-0005-0000-0000-000000280000}"/>
    <cellStyle name="Comma 23 9 2 2" xfId="24566" xr:uid="{00000000-0005-0000-0000-000001280000}"/>
    <cellStyle name="Comma 23 9 3" xfId="24567" xr:uid="{00000000-0005-0000-0000-000002280000}"/>
    <cellStyle name="Comma 230" xfId="24568" xr:uid="{00000000-0005-0000-0000-000003280000}"/>
    <cellStyle name="Comma 230 2" xfId="24569" xr:uid="{00000000-0005-0000-0000-000004280000}"/>
    <cellStyle name="Comma 230 3" xfId="24570" xr:uid="{00000000-0005-0000-0000-000005280000}"/>
    <cellStyle name="Comma 231" xfId="24571" xr:uid="{00000000-0005-0000-0000-000006280000}"/>
    <cellStyle name="Comma 231 2" xfId="24572" xr:uid="{00000000-0005-0000-0000-000007280000}"/>
    <cellStyle name="Comma 231 3" xfId="24573" xr:uid="{00000000-0005-0000-0000-000008280000}"/>
    <cellStyle name="Comma 232" xfId="24574" xr:uid="{00000000-0005-0000-0000-000009280000}"/>
    <cellStyle name="Comma 232 2" xfId="24575" xr:uid="{00000000-0005-0000-0000-00000A280000}"/>
    <cellStyle name="Comma 232 3" xfId="24576" xr:uid="{00000000-0005-0000-0000-00000B280000}"/>
    <cellStyle name="Comma 233" xfId="24577" xr:uid="{00000000-0005-0000-0000-00000C280000}"/>
    <cellStyle name="Comma 233 2" xfId="24578" xr:uid="{00000000-0005-0000-0000-00000D280000}"/>
    <cellStyle name="Comma 233 3" xfId="24579" xr:uid="{00000000-0005-0000-0000-00000E280000}"/>
    <cellStyle name="Comma 234" xfId="24580" xr:uid="{00000000-0005-0000-0000-00000F280000}"/>
    <cellStyle name="Comma 234 2" xfId="24581" xr:uid="{00000000-0005-0000-0000-000010280000}"/>
    <cellStyle name="Comma 234 3" xfId="24582" xr:uid="{00000000-0005-0000-0000-000011280000}"/>
    <cellStyle name="Comma 235" xfId="24583" xr:uid="{00000000-0005-0000-0000-000012280000}"/>
    <cellStyle name="Comma 235 2" xfId="24584" xr:uid="{00000000-0005-0000-0000-000013280000}"/>
    <cellStyle name="Comma 235 3" xfId="24585" xr:uid="{00000000-0005-0000-0000-000014280000}"/>
    <cellStyle name="Comma 236" xfId="24586" xr:uid="{00000000-0005-0000-0000-000015280000}"/>
    <cellStyle name="Comma 236 2" xfId="24587" xr:uid="{00000000-0005-0000-0000-000016280000}"/>
    <cellStyle name="Comma 236 3" xfId="24588" xr:uid="{00000000-0005-0000-0000-000017280000}"/>
    <cellStyle name="Comma 237" xfId="24589" xr:uid="{00000000-0005-0000-0000-000018280000}"/>
    <cellStyle name="Comma 237 2" xfId="24590" xr:uid="{00000000-0005-0000-0000-000019280000}"/>
    <cellStyle name="Comma 237 3" xfId="24591" xr:uid="{00000000-0005-0000-0000-00001A280000}"/>
    <cellStyle name="Comma 238" xfId="24592" xr:uid="{00000000-0005-0000-0000-00001B280000}"/>
    <cellStyle name="Comma 238 2" xfId="24593" xr:uid="{00000000-0005-0000-0000-00001C280000}"/>
    <cellStyle name="Comma 238 3" xfId="24594" xr:uid="{00000000-0005-0000-0000-00001D280000}"/>
    <cellStyle name="Comma 239" xfId="24595" xr:uid="{00000000-0005-0000-0000-00001E280000}"/>
    <cellStyle name="Comma 239 2" xfId="24596" xr:uid="{00000000-0005-0000-0000-00001F280000}"/>
    <cellStyle name="Comma 239 3" xfId="24597" xr:uid="{00000000-0005-0000-0000-000020280000}"/>
    <cellStyle name="Comma 24" xfId="2828" xr:uid="{00000000-0005-0000-0000-000021280000}"/>
    <cellStyle name="Comma 24 10" xfId="24598" xr:uid="{00000000-0005-0000-0000-000022280000}"/>
    <cellStyle name="Comma 24 10 2" xfId="24599" xr:uid="{00000000-0005-0000-0000-000023280000}"/>
    <cellStyle name="Comma 24 10 2 2" xfId="24600" xr:uid="{00000000-0005-0000-0000-000024280000}"/>
    <cellStyle name="Comma 24 10 3" xfId="24601" xr:uid="{00000000-0005-0000-0000-000025280000}"/>
    <cellStyle name="Comma 24 11" xfId="24602" xr:uid="{00000000-0005-0000-0000-000026280000}"/>
    <cellStyle name="Comma 24 11 2" xfId="24603" xr:uid="{00000000-0005-0000-0000-000027280000}"/>
    <cellStyle name="Comma 24 11 2 2" xfId="24604" xr:uid="{00000000-0005-0000-0000-000028280000}"/>
    <cellStyle name="Comma 24 11 3" xfId="24605" xr:uid="{00000000-0005-0000-0000-000029280000}"/>
    <cellStyle name="Comma 24 12" xfId="24606" xr:uid="{00000000-0005-0000-0000-00002A280000}"/>
    <cellStyle name="Comma 24 12 2" xfId="24607" xr:uid="{00000000-0005-0000-0000-00002B280000}"/>
    <cellStyle name="Comma 24 12 2 2" xfId="24608" xr:uid="{00000000-0005-0000-0000-00002C280000}"/>
    <cellStyle name="Comma 24 12 3" xfId="24609" xr:uid="{00000000-0005-0000-0000-00002D280000}"/>
    <cellStyle name="Comma 24 13" xfId="24610" xr:uid="{00000000-0005-0000-0000-00002E280000}"/>
    <cellStyle name="Comma 24 13 2" xfId="24611" xr:uid="{00000000-0005-0000-0000-00002F280000}"/>
    <cellStyle name="Comma 24 13 2 2" xfId="24612" xr:uid="{00000000-0005-0000-0000-000030280000}"/>
    <cellStyle name="Comma 24 13 3" xfId="24613" xr:uid="{00000000-0005-0000-0000-000031280000}"/>
    <cellStyle name="Comma 24 14" xfId="24614" xr:uid="{00000000-0005-0000-0000-000032280000}"/>
    <cellStyle name="Comma 24 14 2" xfId="24615" xr:uid="{00000000-0005-0000-0000-000033280000}"/>
    <cellStyle name="Comma 24 14 2 2" xfId="24616" xr:uid="{00000000-0005-0000-0000-000034280000}"/>
    <cellStyle name="Comma 24 14 3" xfId="24617" xr:uid="{00000000-0005-0000-0000-000035280000}"/>
    <cellStyle name="Comma 24 15" xfId="24618" xr:uid="{00000000-0005-0000-0000-000036280000}"/>
    <cellStyle name="Comma 24 15 2" xfId="24619" xr:uid="{00000000-0005-0000-0000-000037280000}"/>
    <cellStyle name="Comma 24 15 2 2" xfId="24620" xr:uid="{00000000-0005-0000-0000-000038280000}"/>
    <cellStyle name="Comma 24 15 3" xfId="24621" xr:uid="{00000000-0005-0000-0000-000039280000}"/>
    <cellStyle name="Comma 24 16" xfId="24622" xr:uid="{00000000-0005-0000-0000-00003A280000}"/>
    <cellStyle name="Comma 24 16 2" xfId="24623" xr:uid="{00000000-0005-0000-0000-00003B280000}"/>
    <cellStyle name="Comma 24 16 2 2" xfId="24624" xr:uid="{00000000-0005-0000-0000-00003C280000}"/>
    <cellStyle name="Comma 24 16 3" xfId="24625" xr:uid="{00000000-0005-0000-0000-00003D280000}"/>
    <cellStyle name="Comma 24 17" xfId="24626" xr:uid="{00000000-0005-0000-0000-00003E280000}"/>
    <cellStyle name="Comma 24 17 2" xfId="24627" xr:uid="{00000000-0005-0000-0000-00003F280000}"/>
    <cellStyle name="Comma 24 17 2 2" xfId="24628" xr:uid="{00000000-0005-0000-0000-000040280000}"/>
    <cellStyle name="Comma 24 17 3" xfId="24629" xr:uid="{00000000-0005-0000-0000-000041280000}"/>
    <cellStyle name="Comma 24 18" xfId="24630" xr:uid="{00000000-0005-0000-0000-000042280000}"/>
    <cellStyle name="Comma 24 18 2" xfId="24631" xr:uid="{00000000-0005-0000-0000-000043280000}"/>
    <cellStyle name="Comma 24 18 2 2" xfId="24632" xr:uid="{00000000-0005-0000-0000-000044280000}"/>
    <cellStyle name="Comma 24 18 3" xfId="24633" xr:uid="{00000000-0005-0000-0000-000045280000}"/>
    <cellStyle name="Comma 24 19" xfId="24634" xr:uid="{00000000-0005-0000-0000-000046280000}"/>
    <cellStyle name="Comma 24 19 2" xfId="24635" xr:uid="{00000000-0005-0000-0000-000047280000}"/>
    <cellStyle name="Comma 24 19 2 2" xfId="24636" xr:uid="{00000000-0005-0000-0000-000048280000}"/>
    <cellStyle name="Comma 24 19 3" xfId="24637" xr:uid="{00000000-0005-0000-0000-000049280000}"/>
    <cellStyle name="Comma 24 2" xfId="2829" xr:uid="{00000000-0005-0000-0000-00004A280000}"/>
    <cellStyle name="Comma 24 2 2" xfId="24638" xr:uid="{00000000-0005-0000-0000-00004B280000}"/>
    <cellStyle name="Comma 24 2 2 2" xfId="24639" xr:uid="{00000000-0005-0000-0000-00004C280000}"/>
    <cellStyle name="Comma 24 2 3" xfId="24640" xr:uid="{00000000-0005-0000-0000-00004D280000}"/>
    <cellStyle name="Comma 24 2 3 2" xfId="24641" xr:uid="{00000000-0005-0000-0000-00004E280000}"/>
    <cellStyle name="Comma 24 2 3 2 2" xfId="24642" xr:uid="{00000000-0005-0000-0000-00004F280000}"/>
    <cellStyle name="Comma 24 2 3 3" xfId="24643" xr:uid="{00000000-0005-0000-0000-000050280000}"/>
    <cellStyle name="Comma 24 2 4" xfId="24644" xr:uid="{00000000-0005-0000-0000-000051280000}"/>
    <cellStyle name="Comma 24 2 4 2" xfId="24645" xr:uid="{00000000-0005-0000-0000-000052280000}"/>
    <cellStyle name="Comma 24 2 5" xfId="24646" xr:uid="{00000000-0005-0000-0000-000053280000}"/>
    <cellStyle name="Comma 24 2 6" xfId="24647" xr:uid="{00000000-0005-0000-0000-000054280000}"/>
    <cellStyle name="Comma 24 20" xfId="24648" xr:uid="{00000000-0005-0000-0000-000055280000}"/>
    <cellStyle name="Comma 24 20 2" xfId="24649" xr:uid="{00000000-0005-0000-0000-000056280000}"/>
    <cellStyle name="Comma 24 20 2 2" xfId="24650" xr:uid="{00000000-0005-0000-0000-000057280000}"/>
    <cellStyle name="Comma 24 20 3" xfId="24651" xr:uid="{00000000-0005-0000-0000-000058280000}"/>
    <cellStyle name="Comma 24 21" xfId="24652" xr:uid="{00000000-0005-0000-0000-000059280000}"/>
    <cellStyle name="Comma 24 21 2" xfId="24653" xr:uid="{00000000-0005-0000-0000-00005A280000}"/>
    <cellStyle name="Comma 24 21 2 2" xfId="24654" xr:uid="{00000000-0005-0000-0000-00005B280000}"/>
    <cellStyle name="Comma 24 21 3" xfId="24655" xr:uid="{00000000-0005-0000-0000-00005C280000}"/>
    <cellStyle name="Comma 24 22" xfId="24656" xr:uid="{00000000-0005-0000-0000-00005D280000}"/>
    <cellStyle name="Comma 24 22 2" xfId="24657" xr:uid="{00000000-0005-0000-0000-00005E280000}"/>
    <cellStyle name="Comma 24 22 2 2" xfId="24658" xr:uid="{00000000-0005-0000-0000-00005F280000}"/>
    <cellStyle name="Comma 24 22 3" xfId="24659" xr:uid="{00000000-0005-0000-0000-000060280000}"/>
    <cellStyle name="Comma 24 23" xfId="24660" xr:uid="{00000000-0005-0000-0000-000061280000}"/>
    <cellStyle name="Comma 24 23 2" xfId="24661" xr:uid="{00000000-0005-0000-0000-000062280000}"/>
    <cellStyle name="Comma 24 23 2 2" xfId="24662" xr:uid="{00000000-0005-0000-0000-000063280000}"/>
    <cellStyle name="Comma 24 23 3" xfId="24663" xr:uid="{00000000-0005-0000-0000-000064280000}"/>
    <cellStyle name="Comma 24 24" xfId="24664" xr:uid="{00000000-0005-0000-0000-000065280000}"/>
    <cellStyle name="Comma 24 24 2" xfId="24665" xr:uid="{00000000-0005-0000-0000-000066280000}"/>
    <cellStyle name="Comma 24 24 2 2" xfId="24666" xr:uid="{00000000-0005-0000-0000-000067280000}"/>
    <cellStyle name="Comma 24 24 3" xfId="24667" xr:uid="{00000000-0005-0000-0000-000068280000}"/>
    <cellStyle name="Comma 24 25" xfId="24668" xr:uid="{00000000-0005-0000-0000-000069280000}"/>
    <cellStyle name="Comma 24 25 2" xfId="24669" xr:uid="{00000000-0005-0000-0000-00006A280000}"/>
    <cellStyle name="Comma 24 25 2 2" xfId="24670" xr:uid="{00000000-0005-0000-0000-00006B280000}"/>
    <cellStyle name="Comma 24 25 3" xfId="24671" xr:uid="{00000000-0005-0000-0000-00006C280000}"/>
    <cellStyle name="Comma 24 26" xfId="24672" xr:uid="{00000000-0005-0000-0000-00006D280000}"/>
    <cellStyle name="Comma 24 26 2" xfId="24673" xr:uid="{00000000-0005-0000-0000-00006E280000}"/>
    <cellStyle name="Comma 24 26 2 2" xfId="24674" xr:uid="{00000000-0005-0000-0000-00006F280000}"/>
    <cellStyle name="Comma 24 26 3" xfId="24675" xr:uid="{00000000-0005-0000-0000-000070280000}"/>
    <cellStyle name="Comma 24 27" xfId="24676" xr:uid="{00000000-0005-0000-0000-000071280000}"/>
    <cellStyle name="Comma 24 27 2" xfId="24677" xr:uid="{00000000-0005-0000-0000-000072280000}"/>
    <cellStyle name="Comma 24 27 2 2" xfId="24678" xr:uid="{00000000-0005-0000-0000-000073280000}"/>
    <cellStyle name="Comma 24 27 3" xfId="24679" xr:uid="{00000000-0005-0000-0000-000074280000}"/>
    <cellStyle name="Comma 24 28" xfId="24680" xr:uid="{00000000-0005-0000-0000-000075280000}"/>
    <cellStyle name="Comma 24 28 2" xfId="24681" xr:uid="{00000000-0005-0000-0000-000076280000}"/>
    <cellStyle name="Comma 24 28 2 2" xfId="24682" xr:uid="{00000000-0005-0000-0000-000077280000}"/>
    <cellStyle name="Comma 24 28 3" xfId="24683" xr:uid="{00000000-0005-0000-0000-000078280000}"/>
    <cellStyle name="Comma 24 29" xfId="24684" xr:uid="{00000000-0005-0000-0000-000079280000}"/>
    <cellStyle name="Comma 24 29 2" xfId="24685" xr:uid="{00000000-0005-0000-0000-00007A280000}"/>
    <cellStyle name="Comma 24 3" xfId="2830" xr:uid="{00000000-0005-0000-0000-00007B280000}"/>
    <cellStyle name="Comma 24 3 2" xfId="24686" xr:uid="{00000000-0005-0000-0000-00007C280000}"/>
    <cellStyle name="Comma 24 3 2 2" xfId="24687" xr:uid="{00000000-0005-0000-0000-00007D280000}"/>
    <cellStyle name="Comma 24 3 3" xfId="24688" xr:uid="{00000000-0005-0000-0000-00007E280000}"/>
    <cellStyle name="Comma 24 3 3 2" xfId="24689" xr:uid="{00000000-0005-0000-0000-00007F280000}"/>
    <cellStyle name="Comma 24 3 3 2 2" xfId="24690" xr:uid="{00000000-0005-0000-0000-000080280000}"/>
    <cellStyle name="Comma 24 3 3 3" xfId="24691" xr:uid="{00000000-0005-0000-0000-000081280000}"/>
    <cellStyle name="Comma 24 3 4" xfId="24692" xr:uid="{00000000-0005-0000-0000-000082280000}"/>
    <cellStyle name="Comma 24 30" xfId="24693" xr:uid="{00000000-0005-0000-0000-000083280000}"/>
    <cellStyle name="Comma 24 30 2" xfId="24694" xr:uid="{00000000-0005-0000-0000-000084280000}"/>
    <cellStyle name="Comma 24 30 2 2" xfId="24695" xr:uid="{00000000-0005-0000-0000-000085280000}"/>
    <cellStyle name="Comma 24 30 3" xfId="24696" xr:uid="{00000000-0005-0000-0000-000086280000}"/>
    <cellStyle name="Comma 24 31" xfId="24697" xr:uid="{00000000-0005-0000-0000-000087280000}"/>
    <cellStyle name="Comma 24 31 2" xfId="24698" xr:uid="{00000000-0005-0000-0000-000088280000}"/>
    <cellStyle name="Comma 24 32" xfId="24699" xr:uid="{00000000-0005-0000-0000-000089280000}"/>
    <cellStyle name="Comma 24 32 2" xfId="24700" xr:uid="{00000000-0005-0000-0000-00008A280000}"/>
    <cellStyle name="Comma 24 33" xfId="24701" xr:uid="{00000000-0005-0000-0000-00008B280000}"/>
    <cellStyle name="Comma 24 34" xfId="24702" xr:uid="{00000000-0005-0000-0000-00008C280000}"/>
    <cellStyle name="Comma 24 35" xfId="24703" xr:uid="{00000000-0005-0000-0000-00008D280000}"/>
    <cellStyle name="Comma 24 4" xfId="24704" xr:uid="{00000000-0005-0000-0000-00008E280000}"/>
    <cellStyle name="Comma 24 4 2" xfId="24705" xr:uid="{00000000-0005-0000-0000-00008F280000}"/>
    <cellStyle name="Comma 24 4 2 2" xfId="24706" xr:uid="{00000000-0005-0000-0000-000090280000}"/>
    <cellStyle name="Comma 24 4 3" xfId="24707" xr:uid="{00000000-0005-0000-0000-000091280000}"/>
    <cellStyle name="Comma 24 4 3 2" xfId="24708" xr:uid="{00000000-0005-0000-0000-000092280000}"/>
    <cellStyle name="Comma 24 4 3 2 2" xfId="24709" xr:uid="{00000000-0005-0000-0000-000093280000}"/>
    <cellStyle name="Comma 24 4 3 3" xfId="24710" xr:uid="{00000000-0005-0000-0000-000094280000}"/>
    <cellStyle name="Comma 24 4 4" xfId="24711" xr:uid="{00000000-0005-0000-0000-000095280000}"/>
    <cellStyle name="Comma 24 5" xfId="24712" xr:uid="{00000000-0005-0000-0000-000096280000}"/>
    <cellStyle name="Comma 24 5 2" xfId="24713" xr:uid="{00000000-0005-0000-0000-000097280000}"/>
    <cellStyle name="Comma 24 5 2 2" xfId="24714" xr:uid="{00000000-0005-0000-0000-000098280000}"/>
    <cellStyle name="Comma 24 5 3" xfId="24715" xr:uid="{00000000-0005-0000-0000-000099280000}"/>
    <cellStyle name="Comma 24 5 3 2" xfId="24716" xr:uid="{00000000-0005-0000-0000-00009A280000}"/>
    <cellStyle name="Comma 24 5 3 2 2" xfId="24717" xr:uid="{00000000-0005-0000-0000-00009B280000}"/>
    <cellStyle name="Comma 24 5 3 3" xfId="24718" xr:uid="{00000000-0005-0000-0000-00009C280000}"/>
    <cellStyle name="Comma 24 5 4" xfId="24719" xr:uid="{00000000-0005-0000-0000-00009D280000}"/>
    <cellStyle name="Comma 24 6" xfId="24720" xr:uid="{00000000-0005-0000-0000-00009E280000}"/>
    <cellStyle name="Comma 24 6 2" xfId="24721" xr:uid="{00000000-0005-0000-0000-00009F280000}"/>
    <cellStyle name="Comma 24 6 2 2" xfId="24722" xr:uid="{00000000-0005-0000-0000-0000A0280000}"/>
    <cellStyle name="Comma 24 6 3" xfId="24723" xr:uid="{00000000-0005-0000-0000-0000A1280000}"/>
    <cellStyle name="Comma 24 7" xfId="24724" xr:uid="{00000000-0005-0000-0000-0000A2280000}"/>
    <cellStyle name="Comma 24 7 2" xfId="24725" xr:uid="{00000000-0005-0000-0000-0000A3280000}"/>
    <cellStyle name="Comma 24 7 2 2" xfId="24726" xr:uid="{00000000-0005-0000-0000-0000A4280000}"/>
    <cellStyle name="Comma 24 7 3" xfId="24727" xr:uid="{00000000-0005-0000-0000-0000A5280000}"/>
    <cellStyle name="Comma 24 8" xfId="24728" xr:uid="{00000000-0005-0000-0000-0000A6280000}"/>
    <cellStyle name="Comma 24 8 2" xfId="24729" xr:uid="{00000000-0005-0000-0000-0000A7280000}"/>
    <cellStyle name="Comma 24 8 2 2" xfId="24730" xr:uid="{00000000-0005-0000-0000-0000A8280000}"/>
    <cellStyle name="Comma 24 8 3" xfId="24731" xr:uid="{00000000-0005-0000-0000-0000A9280000}"/>
    <cellStyle name="Comma 24 9" xfId="24732" xr:uid="{00000000-0005-0000-0000-0000AA280000}"/>
    <cellStyle name="Comma 24 9 2" xfId="24733" xr:uid="{00000000-0005-0000-0000-0000AB280000}"/>
    <cellStyle name="Comma 24 9 2 2" xfId="24734" xr:uid="{00000000-0005-0000-0000-0000AC280000}"/>
    <cellStyle name="Comma 24 9 3" xfId="24735" xr:uid="{00000000-0005-0000-0000-0000AD280000}"/>
    <cellStyle name="Comma 240" xfId="24736" xr:uid="{00000000-0005-0000-0000-0000AE280000}"/>
    <cellStyle name="Comma 240 2" xfId="24737" xr:uid="{00000000-0005-0000-0000-0000AF280000}"/>
    <cellStyle name="Comma 240 3" xfId="24738" xr:uid="{00000000-0005-0000-0000-0000B0280000}"/>
    <cellStyle name="Comma 241" xfId="24739" xr:uid="{00000000-0005-0000-0000-0000B1280000}"/>
    <cellStyle name="Comma 241 2" xfId="24740" xr:uid="{00000000-0005-0000-0000-0000B2280000}"/>
    <cellStyle name="Comma 241 3" xfId="24741" xr:uid="{00000000-0005-0000-0000-0000B3280000}"/>
    <cellStyle name="Comma 242" xfId="24742" xr:uid="{00000000-0005-0000-0000-0000B4280000}"/>
    <cellStyle name="Comma 242 2" xfId="24743" xr:uid="{00000000-0005-0000-0000-0000B5280000}"/>
    <cellStyle name="Comma 242 3" xfId="24744" xr:uid="{00000000-0005-0000-0000-0000B6280000}"/>
    <cellStyle name="Comma 243" xfId="24745" xr:uid="{00000000-0005-0000-0000-0000B7280000}"/>
    <cellStyle name="Comma 243 2" xfId="24746" xr:uid="{00000000-0005-0000-0000-0000B8280000}"/>
    <cellStyle name="Comma 243 3" xfId="24747" xr:uid="{00000000-0005-0000-0000-0000B9280000}"/>
    <cellStyle name="Comma 244" xfId="24748" xr:uid="{00000000-0005-0000-0000-0000BA280000}"/>
    <cellStyle name="Comma 244 2" xfId="24749" xr:uid="{00000000-0005-0000-0000-0000BB280000}"/>
    <cellStyle name="Comma 244 3" xfId="24750" xr:uid="{00000000-0005-0000-0000-0000BC280000}"/>
    <cellStyle name="Comma 245" xfId="24751" xr:uid="{00000000-0005-0000-0000-0000BD280000}"/>
    <cellStyle name="Comma 245 2" xfId="24752" xr:uid="{00000000-0005-0000-0000-0000BE280000}"/>
    <cellStyle name="Comma 245 3" xfId="24753" xr:uid="{00000000-0005-0000-0000-0000BF280000}"/>
    <cellStyle name="Comma 246" xfId="24754" xr:uid="{00000000-0005-0000-0000-0000C0280000}"/>
    <cellStyle name="Comma 246 2" xfId="24755" xr:uid="{00000000-0005-0000-0000-0000C1280000}"/>
    <cellStyle name="Comma 246 3" xfId="24756" xr:uid="{00000000-0005-0000-0000-0000C2280000}"/>
    <cellStyle name="Comma 247" xfId="24757" xr:uid="{00000000-0005-0000-0000-0000C3280000}"/>
    <cellStyle name="Comma 247 2" xfId="24758" xr:uid="{00000000-0005-0000-0000-0000C4280000}"/>
    <cellStyle name="Comma 247 3" xfId="24759" xr:uid="{00000000-0005-0000-0000-0000C5280000}"/>
    <cellStyle name="Comma 248" xfId="24760" xr:uid="{00000000-0005-0000-0000-0000C6280000}"/>
    <cellStyle name="Comma 248 2" xfId="24761" xr:uid="{00000000-0005-0000-0000-0000C7280000}"/>
    <cellStyle name="Comma 248 3" xfId="24762" xr:uid="{00000000-0005-0000-0000-0000C8280000}"/>
    <cellStyle name="Comma 249" xfId="24763" xr:uid="{00000000-0005-0000-0000-0000C9280000}"/>
    <cellStyle name="Comma 249 2" xfId="24764" xr:uid="{00000000-0005-0000-0000-0000CA280000}"/>
    <cellStyle name="Comma 249 3" xfId="24765" xr:uid="{00000000-0005-0000-0000-0000CB280000}"/>
    <cellStyle name="Comma 25" xfId="2831" xr:uid="{00000000-0005-0000-0000-0000CC280000}"/>
    <cellStyle name="Comma 25 10" xfId="24766" xr:uid="{00000000-0005-0000-0000-0000CD280000}"/>
    <cellStyle name="Comma 25 10 2" xfId="24767" xr:uid="{00000000-0005-0000-0000-0000CE280000}"/>
    <cellStyle name="Comma 25 10 2 2" xfId="24768" xr:uid="{00000000-0005-0000-0000-0000CF280000}"/>
    <cellStyle name="Comma 25 10 3" xfId="24769" xr:uid="{00000000-0005-0000-0000-0000D0280000}"/>
    <cellStyle name="Comma 25 11" xfId="24770" xr:uid="{00000000-0005-0000-0000-0000D1280000}"/>
    <cellStyle name="Comma 25 11 2" xfId="24771" xr:uid="{00000000-0005-0000-0000-0000D2280000}"/>
    <cellStyle name="Comma 25 11 2 2" xfId="24772" xr:uid="{00000000-0005-0000-0000-0000D3280000}"/>
    <cellStyle name="Comma 25 11 3" xfId="24773" xr:uid="{00000000-0005-0000-0000-0000D4280000}"/>
    <cellStyle name="Comma 25 12" xfId="24774" xr:uid="{00000000-0005-0000-0000-0000D5280000}"/>
    <cellStyle name="Comma 25 12 2" xfId="24775" xr:uid="{00000000-0005-0000-0000-0000D6280000}"/>
    <cellStyle name="Comma 25 12 2 2" xfId="24776" xr:uid="{00000000-0005-0000-0000-0000D7280000}"/>
    <cellStyle name="Comma 25 12 3" xfId="24777" xr:uid="{00000000-0005-0000-0000-0000D8280000}"/>
    <cellStyle name="Comma 25 13" xfId="24778" xr:uid="{00000000-0005-0000-0000-0000D9280000}"/>
    <cellStyle name="Comma 25 13 2" xfId="24779" xr:uid="{00000000-0005-0000-0000-0000DA280000}"/>
    <cellStyle name="Comma 25 13 2 2" xfId="24780" xr:uid="{00000000-0005-0000-0000-0000DB280000}"/>
    <cellStyle name="Comma 25 13 3" xfId="24781" xr:uid="{00000000-0005-0000-0000-0000DC280000}"/>
    <cellStyle name="Comma 25 14" xfId="24782" xr:uid="{00000000-0005-0000-0000-0000DD280000}"/>
    <cellStyle name="Comma 25 14 2" xfId="24783" xr:uid="{00000000-0005-0000-0000-0000DE280000}"/>
    <cellStyle name="Comma 25 14 2 2" xfId="24784" xr:uid="{00000000-0005-0000-0000-0000DF280000}"/>
    <cellStyle name="Comma 25 14 3" xfId="24785" xr:uid="{00000000-0005-0000-0000-0000E0280000}"/>
    <cellStyle name="Comma 25 15" xfId="24786" xr:uid="{00000000-0005-0000-0000-0000E1280000}"/>
    <cellStyle name="Comma 25 15 2" xfId="24787" xr:uid="{00000000-0005-0000-0000-0000E2280000}"/>
    <cellStyle name="Comma 25 15 2 2" xfId="24788" xr:uid="{00000000-0005-0000-0000-0000E3280000}"/>
    <cellStyle name="Comma 25 15 3" xfId="24789" xr:uid="{00000000-0005-0000-0000-0000E4280000}"/>
    <cellStyle name="Comma 25 16" xfId="24790" xr:uid="{00000000-0005-0000-0000-0000E5280000}"/>
    <cellStyle name="Comma 25 16 2" xfId="24791" xr:uid="{00000000-0005-0000-0000-0000E6280000}"/>
    <cellStyle name="Comma 25 16 2 2" xfId="24792" xr:uid="{00000000-0005-0000-0000-0000E7280000}"/>
    <cellStyle name="Comma 25 16 3" xfId="24793" xr:uid="{00000000-0005-0000-0000-0000E8280000}"/>
    <cellStyle name="Comma 25 17" xfId="24794" xr:uid="{00000000-0005-0000-0000-0000E9280000}"/>
    <cellStyle name="Comma 25 17 2" xfId="24795" xr:uid="{00000000-0005-0000-0000-0000EA280000}"/>
    <cellStyle name="Comma 25 17 2 2" xfId="24796" xr:uid="{00000000-0005-0000-0000-0000EB280000}"/>
    <cellStyle name="Comma 25 17 3" xfId="24797" xr:uid="{00000000-0005-0000-0000-0000EC280000}"/>
    <cellStyle name="Comma 25 18" xfId="24798" xr:uid="{00000000-0005-0000-0000-0000ED280000}"/>
    <cellStyle name="Comma 25 18 2" xfId="24799" xr:uid="{00000000-0005-0000-0000-0000EE280000}"/>
    <cellStyle name="Comma 25 18 2 2" xfId="24800" xr:uid="{00000000-0005-0000-0000-0000EF280000}"/>
    <cellStyle name="Comma 25 18 3" xfId="24801" xr:uid="{00000000-0005-0000-0000-0000F0280000}"/>
    <cellStyle name="Comma 25 19" xfId="24802" xr:uid="{00000000-0005-0000-0000-0000F1280000}"/>
    <cellStyle name="Comma 25 19 2" xfId="24803" xr:uid="{00000000-0005-0000-0000-0000F2280000}"/>
    <cellStyle name="Comma 25 19 2 2" xfId="24804" xr:uid="{00000000-0005-0000-0000-0000F3280000}"/>
    <cellStyle name="Comma 25 19 3" xfId="24805" xr:uid="{00000000-0005-0000-0000-0000F4280000}"/>
    <cellStyle name="Comma 25 2" xfId="2832" xr:uid="{00000000-0005-0000-0000-0000F5280000}"/>
    <cellStyle name="Comma 25 2 2" xfId="24806" xr:uid="{00000000-0005-0000-0000-0000F6280000}"/>
    <cellStyle name="Comma 25 2 2 2" xfId="24807" xr:uid="{00000000-0005-0000-0000-0000F7280000}"/>
    <cellStyle name="Comma 25 2 3" xfId="24808" xr:uid="{00000000-0005-0000-0000-0000F8280000}"/>
    <cellStyle name="Comma 25 2 3 2" xfId="24809" xr:uid="{00000000-0005-0000-0000-0000F9280000}"/>
    <cellStyle name="Comma 25 2 3 2 2" xfId="24810" xr:uid="{00000000-0005-0000-0000-0000FA280000}"/>
    <cellStyle name="Comma 25 2 3 3" xfId="24811" xr:uid="{00000000-0005-0000-0000-0000FB280000}"/>
    <cellStyle name="Comma 25 2 4" xfId="24812" xr:uid="{00000000-0005-0000-0000-0000FC280000}"/>
    <cellStyle name="Comma 25 2 4 2" xfId="24813" xr:uid="{00000000-0005-0000-0000-0000FD280000}"/>
    <cellStyle name="Comma 25 2 5" xfId="24814" xr:uid="{00000000-0005-0000-0000-0000FE280000}"/>
    <cellStyle name="Comma 25 2 6" xfId="24815" xr:uid="{00000000-0005-0000-0000-0000FF280000}"/>
    <cellStyle name="Comma 25 20" xfId="24816" xr:uid="{00000000-0005-0000-0000-000000290000}"/>
    <cellStyle name="Comma 25 20 2" xfId="24817" xr:uid="{00000000-0005-0000-0000-000001290000}"/>
    <cellStyle name="Comma 25 20 2 2" xfId="24818" xr:uid="{00000000-0005-0000-0000-000002290000}"/>
    <cellStyle name="Comma 25 20 3" xfId="24819" xr:uid="{00000000-0005-0000-0000-000003290000}"/>
    <cellStyle name="Comma 25 21" xfId="24820" xr:uid="{00000000-0005-0000-0000-000004290000}"/>
    <cellStyle name="Comma 25 21 2" xfId="24821" xr:uid="{00000000-0005-0000-0000-000005290000}"/>
    <cellStyle name="Comma 25 21 2 2" xfId="24822" xr:uid="{00000000-0005-0000-0000-000006290000}"/>
    <cellStyle name="Comma 25 21 3" xfId="24823" xr:uid="{00000000-0005-0000-0000-000007290000}"/>
    <cellStyle name="Comma 25 22" xfId="24824" xr:uid="{00000000-0005-0000-0000-000008290000}"/>
    <cellStyle name="Comma 25 22 2" xfId="24825" xr:uid="{00000000-0005-0000-0000-000009290000}"/>
    <cellStyle name="Comma 25 22 2 2" xfId="24826" xr:uid="{00000000-0005-0000-0000-00000A290000}"/>
    <cellStyle name="Comma 25 22 3" xfId="24827" xr:uid="{00000000-0005-0000-0000-00000B290000}"/>
    <cellStyle name="Comma 25 23" xfId="24828" xr:uid="{00000000-0005-0000-0000-00000C290000}"/>
    <cellStyle name="Comma 25 23 2" xfId="24829" xr:uid="{00000000-0005-0000-0000-00000D290000}"/>
    <cellStyle name="Comma 25 23 2 2" xfId="24830" xr:uid="{00000000-0005-0000-0000-00000E290000}"/>
    <cellStyle name="Comma 25 23 3" xfId="24831" xr:uid="{00000000-0005-0000-0000-00000F290000}"/>
    <cellStyle name="Comma 25 24" xfId="24832" xr:uid="{00000000-0005-0000-0000-000010290000}"/>
    <cellStyle name="Comma 25 24 2" xfId="24833" xr:uid="{00000000-0005-0000-0000-000011290000}"/>
    <cellStyle name="Comma 25 24 2 2" xfId="24834" xr:uid="{00000000-0005-0000-0000-000012290000}"/>
    <cellStyle name="Comma 25 24 3" xfId="24835" xr:uid="{00000000-0005-0000-0000-000013290000}"/>
    <cellStyle name="Comma 25 25" xfId="24836" xr:uid="{00000000-0005-0000-0000-000014290000}"/>
    <cellStyle name="Comma 25 25 2" xfId="24837" xr:uid="{00000000-0005-0000-0000-000015290000}"/>
    <cellStyle name="Comma 25 25 2 2" xfId="24838" xr:uid="{00000000-0005-0000-0000-000016290000}"/>
    <cellStyle name="Comma 25 25 3" xfId="24839" xr:uid="{00000000-0005-0000-0000-000017290000}"/>
    <cellStyle name="Comma 25 26" xfId="24840" xr:uid="{00000000-0005-0000-0000-000018290000}"/>
    <cellStyle name="Comma 25 26 2" xfId="24841" xr:uid="{00000000-0005-0000-0000-000019290000}"/>
    <cellStyle name="Comma 25 26 2 2" xfId="24842" xr:uid="{00000000-0005-0000-0000-00001A290000}"/>
    <cellStyle name="Comma 25 26 3" xfId="24843" xr:uid="{00000000-0005-0000-0000-00001B290000}"/>
    <cellStyle name="Comma 25 27" xfId="24844" xr:uid="{00000000-0005-0000-0000-00001C290000}"/>
    <cellStyle name="Comma 25 27 2" xfId="24845" xr:uid="{00000000-0005-0000-0000-00001D290000}"/>
    <cellStyle name="Comma 25 27 2 2" xfId="24846" xr:uid="{00000000-0005-0000-0000-00001E290000}"/>
    <cellStyle name="Comma 25 27 3" xfId="24847" xr:uid="{00000000-0005-0000-0000-00001F290000}"/>
    <cellStyle name="Comma 25 28" xfId="24848" xr:uid="{00000000-0005-0000-0000-000020290000}"/>
    <cellStyle name="Comma 25 28 2" xfId="24849" xr:uid="{00000000-0005-0000-0000-000021290000}"/>
    <cellStyle name="Comma 25 28 2 2" xfId="24850" xr:uid="{00000000-0005-0000-0000-000022290000}"/>
    <cellStyle name="Comma 25 28 3" xfId="24851" xr:uid="{00000000-0005-0000-0000-000023290000}"/>
    <cellStyle name="Comma 25 29" xfId="24852" xr:uid="{00000000-0005-0000-0000-000024290000}"/>
    <cellStyle name="Comma 25 29 2" xfId="24853" xr:uid="{00000000-0005-0000-0000-000025290000}"/>
    <cellStyle name="Comma 25 3" xfId="2833" xr:uid="{00000000-0005-0000-0000-000026290000}"/>
    <cellStyle name="Comma 25 3 2" xfId="24854" xr:uid="{00000000-0005-0000-0000-000027290000}"/>
    <cellStyle name="Comma 25 3 2 2" xfId="24855" xr:uid="{00000000-0005-0000-0000-000028290000}"/>
    <cellStyle name="Comma 25 3 3" xfId="24856" xr:uid="{00000000-0005-0000-0000-000029290000}"/>
    <cellStyle name="Comma 25 3 3 2" xfId="24857" xr:uid="{00000000-0005-0000-0000-00002A290000}"/>
    <cellStyle name="Comma 25 3 3 2 2" xfId="24858" xr:uid="{00000000-0005-0000-0000-00002B290000}"/>
    <cellStyle name="Comma 25 3 3 3" xfId="24859" xr:uid="{00000000-0005-0000-0000-00002C290000}"/>
    <cellStyle name="Comma 25 3 4" xfId="24860" xr:uid="{00000000-0005-0000-0000-00002D290000}"/>
    <cellStyle name="Comma 25 30" xfId="24861" xr:uid="{00000000-0005-0000-0000-00002E290000}"/>
    <cellStyle name="Comma 25 30 2" xfId="24862" xr:uid="{00000000-0005-0000-0000-00002F290000}"/>
    <cellStyle name="Comma 25 30 2 2" xfId="24863" xr:uid="{00000000-0005-0000-0000-000030290000}"/>
    <cellStyle name="Comma 25 30 3" xfId="24864" xr:uid="{00000000-0005-0000-0000-000031290000}"/>
    <cellStyle name="Comma 25 31" xfId="24865" xr:uid="{00000000-0005-0000-0000-000032290000}"/>
    <cellStyle name="Comma 25 31 2" xfId="24866" xr:uid="{00000000-0005-0000-0000-000033290000}"/>
    <cellStyle name="Comma 25 32" xfId="24867" xr:uid="{00000000-0005-0000-0000-000034290000}"/>
    <cellStyle name="Comma 25 32 2" xfId="24868" xr:uid="{00000000-0005-0000-0000-000035290000}"/>
    <cellStyle name="Comma 25 33" xfId="24869" xr:uid="{00000000-0005-0000-0000-000036290000}"/>
    <cellStyle name="Comma 25 34" xfId="24870" xr:uid="{00000000-0005-0000-0000-000037290000}"/>
    <cellStyle name="Comma 25 35" xfId="24871" xr:uid="{00000000-0005-0000-0000-000038290000}"/>
    <cellStyle name="Comma 25 4" xfId="24872" xr:uid="{00000000-0005-0000-0000-000039290000}"/>
    <cellStyle name="Comma 25 4 2" xfId="24873" xr:uid="{00000000-0005-0000-0000-00003A290000}"/>
    <cellStyle name="Comma 25 4 2 2" xfId="24874" xr:uid="{00000000-0005-0000-0000-00003B290000}"/>
    <cellStyle name="Comma 25 4 3" xfId="24875" xr:uid="{00000000-0005-0000-0000-00003C290000}"/>
    <cellStyle name="Comma 25 4 3 2" xfId="24876" xr:uid="{00000000-0005-0000-0000-00003D290000}"/>
    <cellStyle name="Comma 25 4 3 2 2" xfId="24877" xr:uid="{00000000-0005-0000-0000-00003E290000}"/>
    <cellStyle name="Comma 25 4 3 3" xfId="24878" xr:uid="{00000000-0005-0000-0000-00003F290000}"/>
    <cellStyle name="Comma 25 4 4" xfId="24879" xr:uid="{00000000-0005-0000-0000-000040290000}"/>
    <cellStyle name="Comma 25 5" xfId="24880" xr:uid="{00000000-0005-0000-0000-000041290000}"/>
    <cellStyle name="Comma 25 5 2" xfId="24881" xr:uid="{00000000-0005-0000-0000-000042290000}"/>
    <cellStyle name="Comma 25 5 2 2" xfId="24882" xr:uid="{00000000-0005-0000-0000-000043290000}"/>
    <cellStyle name="Comma 25 5 3" xfId="24883" xr:uid="{00000000-0005-0000-0000-000044290000}"/>
    <cellStyle name="Comma 25 5 3 2" xfId="24884" xr:uid="{00000000-0005-0000-0000-000045290000}"/>
    <cellStyle name="Comma 25 5 3 2 2" xfId="24885" xr:uid="{00000000-0005-0000-0000-000046290000}"/>
    <cellStyle name="Comma 25 5 3 3" xfId="24886" xr:uid="{00000000-0005-0000-0000-000047290000}"/>
    <cellStyle name="Comma 25 5 4" xfId="24887" xr:uid="{00000000-0005-0000-0000-000048290000}"/>
    <cellStyle name="Comma 25 6" xfId="24888" xr:uid="{00000000-0005-0000-0000-000049290000}"/>
    <cellStyle name="Comma 25 6 2" xfId="24889" xr:uid="{00000000-0005-0000-0000-00004A290000}"/>
    <cellStyle name="Comma 25 6 2 2" xfId="24890" xr:uid="{00000000-0005-0000-0000-00004B290000}"/>
    <cellStyle name="Comma 25 6 3" xfId="24891" xr:uid="{00000000-0005-0000-0000-00004C290000}"/>
    <cellStyle name="Comma 25 7" xfId="24892" xr:uid="{00000000-0005-0000-0000-00004D290000}"/>
    <cellStyle name="Comma 25 7 2" xfId="24893" xr:uid="{00000000-0005-0000-0000-00004E290000}"/>
    <cellStyle name="Comma 25 7 2 2" xfId="24894" xr:uid="{00000000-0005-0000-0000-00004F290000}"/>
    <cellStyle name="Comma 25 7 3" xfId="24895" xr:uid="{00000000-0005-0000-0000-000050290000}"/>
    <cellStyle name="Comma 25 8" xfId="24896" xr:uid="{00000000-0005-0000-0000-000051290000}"/>
    <cellStyle name="Comma 25 8 2" xfId="24897" xr:uid="{00000000-0005-0000-0000-000052290000}"/>
    <cellStyle name="Comma 25 8 2 2" xfId="24898" xr:uid="{00000000-0005-0000-0000-000053290000}"/>
    <cellStyle name="Comma 25 8 3" xfId="24899" xr:uid="{00000000-0005-0000-0000-000054290000}"/>
    <cellStyle name="Comma 25 9" xfId="24900" xr:uid="{00000000-0005-0000-0000-000055290000}"/>
    <cellStyle name="Comma 25 9 2" xfId="24901" xr:uid="{00000000-0005-0000-0000-000056290000}"/>
    <cellStyle name="Comma 25 9 2 2" xfId="24902" xr:uid="{00000000-0005-0000-0000-000057290000}"/>
    <cellStyle name="Comma 25 9 3" xfId="24903" xr:uid="{00000000-0005-0000-0000-000058290000}"/>
    <cellStyle name="Comma 250" xfId="24904" xr:uid="{00000000-0005-0000-0000-000059290000}"/>
    <cellStyle name="Comma 250 2" xfId="24905" xr:uid="{00000000-0005-0000-0000-00005A290000}"/>
    <cellStyle name="Comma 250 3" xfId="24906" xr:uid="{00000000-0005-0000-0000-00005B290000}"/>
    <cellStyle name="Comma 251" xfId="24907" xr:uid="{00000000-0005-0000-0000-00005C290000}"/>
    <cellStyle name="Comma 251 2" xfId="24908" xr:uid="{00000000-0005-0000-0000-00005D290000}"/>
    <cellStyle name="Comma 251 3" xfId="24909" xr:uid="{00000000-0005-0000-0000-00005E290000}"/>
    <cellStyle name="Comma 252" xfId="24910" xr:uid="{00000000-0005-0000-0000-00005F290000}"/>
    <cellStyle name="Comma 252 2" xfId="24911" xr:uid="{00000000-0005-0000-0000-000060290000}"/>
    <cellStyle name="Comma 252 3" xfId="24912" xr:uid="{00000000-0005-0000-0000-000061290000}"/>
    <cellStyle name="Comma 253" xfId="24913" xr:uid="{00000000-0005-0000-0000-000062290000}"/>
    <cellStyle name="Comma 253 2" xfId="24914" xr:uid="{00000000-0005-0000-0000-000063290000}"/>
    <cellStyle name="Comma 253 3" xfId="24915" xr:uid="{00000000-0005-0000-0000-000064290000}"/>
    <cellStyle name="Comma 254" xfId="24916" xr:uid="{00000000-0005-0000-0000-000065290000}"/>
    <cellStyle name="Comma 254 2" xfId="24917" xr:uid="{00000000-0005-0000-0000-000066290000}"/>
    <cellStyle name="Comma 254 3" xfId="24918" xr:uid="{00000000-0005-0000-0000-000067290000}"/>
    <cellStyle name="Comma 255" xfId="24919" xr:uid="{00000000-0005-0000-0000-000068290000}"/>
    <cellStyle name="Comma 255 2" xfId="24920" xr:uid="{00000000-0005-0000-0000-000069290000}"/>
    <cellStyle name="Comma 255 3" xfId="24921" xr:uid="{00000000-0005-0000-0000-00006A290000}"/>
    <cellStyle name="Comma 256" xfId="24922" xr:uid="{00000000-0005-0000-0000-00006B290000}"/>
    <cellStyle name="Comma 256 2" xfId="24923" xr:uid="{00000000-0005-0000-0000-00006C290000}"/>
    <cellStyle name="Comma 256 3" xfId="24924" xr:uid="{00000000-0005-0000-0000-00006D290000}"/>
    <cellStyle name="Comma 257" xfId="24925" xr:uid="{00000000-0005-0000-0000-00006E290000}"/>
    <cellStyle name="Comma 257 2" xfId="24926" xr:uid="{00000000-0005-0000-0000-00006F290000}"/>
    <cellStyle name="Comma 257 3" xfId="24927" xr:uid="{00000000-0005-0000-0000-000070290000}"/>
    <cellStyle name="Comma 258" xfId="24928" xr:uid="{00000000-0005-0000-0000-000071290000}"/>
    <cellStyle name="Comma 258 2" xfId="24929" xr:uid="{00000000-0005-0000-0000-000072290000}"/>
    <cellStyle name="Comma 258 3" xfId="24930" xr:uid="{00000000-0005-0000-0000-000073290000}"/>
    <cellStyle name="Comma 259" xfId="24931" xr:uid="{00000000-0005-0000-0000-000074290000}"/>
    <cellStyle name="Comma 259 2" xfId="24932" xr:uid="{00000000-0005-0000-0000-000075290000}"/>
    <cellStyle name="Comma 259 3" xfId="24933" xr:uid="{00000000-0005-0000-0000-000076290000}"/>
    <cellStyle name="Comma 26" xfId="2834" xr:uid="{00000000-0005-0000-0000-000077290000}"/>
    <cellStyle name="Comma 26 10" xfId="24934" xr:uid="{00000000-0005-0000-0000-000078290000}"/>
    <cellStyle name="Comma 26 10 2" xfId="24935" xr:uid="{00000000-0005-0000-0000-000079290000}"/>
    <cellStyle name="Comma 26 10 2 2" xfId="24936" xr:uid="{00000000-0005-0000-0000-00007A290000}"/>
    <cellStyle name="Comma 26 10 3" xfId="24937" xr:uid="{00000000-0005-0000-0000-00007B290000}"/>
    <cellStyle name="Comma 26 11" xfId="24938" xr:uid="{00000000-0005-0000-0000-00007C290000}"/>
    <cellStyle name="Comma 26 11 2" xfId="24939" xr:uid="{00000000-0005-0000-0000-00007D290000}"/>
    <cellStyle name="Comma 26 11 2 2" xfId="24940" xr:uid="{00000000-0005-0000-0000-00007E290000}"/>
    <cellStyle name="Comma 26 11 3" xfId="24941" xr:uid="{00000000-0005-0000-0000-00007F290000}"/>
    <cellStyle name="Comma 26 12" xfId="24942" xr:uid="{00000000-0005-0000-0000-000080290000}"/>
    <cellStyle name="Comma 26 12 2" xfId="24943" xr:uid="{00000000-0005-0000-0000-000081290000}"/>
    <cellStyle name="Comma 26 12 2 2" xfId="24944" xr:uid="{00000000-0005-0000-0000-000082290000}"/>
    <cellStyle name="Comma 26 12 3" xfId="24945" xr:uid="{00000000-0005-0000-0000-000083290000}"/>
    <cellStyle name="Comma 26 13" xfId="24946" xr:uid="{00000000-0005-0000-0000-000084290000}"/>
    <cellStyle name="Comma 26 13 2" xfId="24947" xr:uid="{00000000-0005-0000-0000-000085290000}"/>
    <cellStyle name="Comma 26 13 2 2" xfId="24948" xr:uid="{00000000-0005-0000-0000-000086290000}"/>
    <cellStyle name="Comma 26 13 3" xfId="24949" xr:uid="{00000000-0005-0000-0000-000087290000}"/>
    <cellStyle name="Comma 26 14" xfId="24950" xr:uid="{00000000-0005-0000-0000-000088290000}"/>
    <cellStyle name="Comma 26 14 2" xfId="24951" xr:uid="{00000000-0005-0000-0000-000089290000}"/>
    <cellStyle name="Comma 26 14 2 2" xfId="24952" xr:uid="{00000000-0005-0000-0000-00008A290000}"/>
    <cellStyle name="Comma 26 14 3" xfId="24953" xr:uid="{00000000-0005-0000-0000-00008B290000}"/>
    <cellStyle name="Comma 26 15" xfId="24954" xr:uid="{00000000-0005-0000-0000-00008C290000}"/>
    <cellStyle name="Comma 26 15 2" xfId="24955" xr:uid="{00000000-0005-0000-0000-00008D290000}"/>
    <cellStyle name="Comma 26 15 2 2" xfId="24956" xr:uid="{00000000-0005-0000-0000-00008E290000}"/>
    <cellStyle name="Comma 26 15 3" xfId="24957" xr:uid="{00000000-0005-0000-0000-00008F290000}"/>
    <cellStyle name="Comma 26 16" xfId="24958" xr:uid="{00000000-0005-0000-0000-000090290000}"/>
    <cellStyle name="Comma 26 16 2" xfId="24959" xr:uid="{00000000-0005-0000-0000-000091290000}"/>
    <cellStyle name="Comma 26 16 2 2" xfId="24960" xr:uid="{00000000-0005-0000-0000-000092290000}"/>
    <cellStyle name="Comma 26 16 3" xfId="24961" xr:uid="{00000000-0005-0000-0000-000093290000}"/>
    <cellStyle name="Comma 26 17" xfId="24962" xr:uid="{00000000-0005-0000-0000-000094290000}"/>
    <cellStyle name="Comma 26 17 2" xfId="24963" xr:uid="{00000000-0005-0000-0000-000095290000}"/>
    <cellStyle name="Comma 26 17 2 2" xfId="24964" xr:uid="{00000000-0005-0000-0000-000096290000}"/>
    <cellStyle name="Comma 26 17 3" xfId="24965" xr:uid="{00000000-0005-0000-0000-000097290000}"/>
    <cellStyle name="Comma 26 18" xfId="24966" xr:uid="{00000000-0005-0000-0000-000098290000}"/>
    <cellStyle name="Comma 26 18 2" xfId="24967" xr:uid="{00000000-0005-0000-0000-000099290000}"/>
    <cellStyle name="Comma 26 18 2 2" xfId="24968" xr:uid="{00000000-0005-0000-0000-00009A290000}"/>
    <cellStyle name="Comma 26 18 3" xfId="24969" xr:uid="{00000000-0005-0000-0000-00009B290000}"/>
    <cellStyle name="Comma 26 19" xfId="24970" xr:uid="{00000000-0005-0000-0000-00009C290000}"/>
    <cellStyle name="Comma 26 19 2" xfId="24971" xr:uid="{00000000-0005-0000-0000-00009D290000}"/>
    <cellStyle name="Comma 26 19 2 2" xfId="24972" xr:uid="{00000000-0005-0000-0000-00009E290000}"/>
    <cellStyle name="Comma 26 19 3" xfId="24973" xr:uid="{00000000-0005-0000-0000-00009F290000}"/>
    <cellStyle name="Comma 26 2" xfId="2835" xr:uid="{00000000-0005-0000-0000-0000A0290000}"/>
    <cellStyle name="Comma 26 2 2" xfId="24974" xr:uid="{00000000-0005-0000-0000-0000A1290000}"/>
    <cellStyle name="Comma 26 2 2 2" xfId="24975" xr:uid="{00000000-0005-0000-0000-0000A2290000}"/>
    <cellStyle name="Comma 26 2 3" xfId="24976" xr:uid="{00000000-0005-0000-0000-0000A3290000}"/>
    <cellStyle name="Comma 26 2 3 2" xfId="24977" xr:uid="{00000000-0005-0000-0000-0000A4290000}"/>
    <cellStyle name="Comma 26 2 3 2 2" xfId="24978" xr:uid="{00000000-0005-0000-0000-0000A5290000}"/>
    <cellStyle name="Comma 26 2 3 3" xfId="24979" xr:uid="{00000000-0005-0000-0000-0000A6290000}"/>
    <cellStyle name="Comma 26 2 4" xfId="24980" xr:uid="{00000000-0005-0000-0000-0000A7290000}"/>
    <cellStyle name="Comma 26 2 4 2" xfId="24981" xr:uid="{00000000-0005-0000-0000-0000A8290000}"/>
    <cellStyle name="Comma 26 2 5" xfId="24982" xr:uid="{00000000-0005-0000-0000-0000A9290000}"/>
    <cellStyle name="Comma 26 2 6" xfId="24983" xr:uid="{00000000-0005-0000-0000-0000AA290000}"/>
    <cellStyle name="Comma 26 20" xfId="24984" xr:uid="{00000000-0005-0000-0000-0000AB290000}"/>
    <cellStyle name="Comma 26 20 2" xfId="24985" xr:uid="{00000000-0005-0000-0000-0000AC290000}"/>
    <cellStyle name="Comma 26 20 2 2" xfId="24986" xr:uid="{00000000-0005-0000-0000-0000AD290000}"/>
    <cellStyle name="Comma 26 20 3" xfId="24987" xr:uid="{00000000-0005-0000-0000-0000AE290000}"/>
    <cellStyle name="Comma 26 21" xfId="24988" xr:uid="{00000000-0005-0000-0000-0000AF290000}"/>
    <cellStyle name="Comma 26 21 2" xfId="24989" xr:uid="{00000000-0005-0000-0000-0000B0290000}"/>
    <cellStyle name="Comma 26 21 2 2" xfId="24990" xr:uid="{00000000-0005-0000-0000-0000B1290000}"/>
    <cellStyle name="Comma 26 21 3" xfId="24991" xr:uid="{00000000-0005-0000-0000-0000B2290000}"/>
    <cellStyle name="Comma 26 22" xfId="24992" xr:uid="{00000000-0005-0000-0000-0000B3290000}"/>
    <cellStyle name="Comma 26 22 2" xfId="24993" xr:uid="{00000000-0005-0000-0000-0000B4290000}"/>
    <cellStyle name="Comma 26 22 2 2" xfId="24994" xr:uid="{00000000-0005-0000-0000-0000B5290000}"/>
    <cellStyle name="Comma 26 22 3" xfId="24995" xr:uid="{00000000-0005-0000-0000-0000B6290000}"/>
    <cellStyle name="Comma 26 23" xfId="24996" xr:uid="{00000000-0005-0000-0000-0000B7290000}"/>
    <cellStyle name="Comma 26 23 2" xfId="24997" xr:uid="{00000000-0005-0000-0000-0000B8290000}"/>
    <cellStyle name="Comma 26 23 2 2" xfId="24998" xr:uid="{00000000-0005-0000-0000-0000B9290000}"/>
    <cellStyle name="Comma 26 23 3" xfId="24999" xr:uid="{00000000-0005-0000-0000-0000BA290000}"/>
    <cellStyle name="Comma 26 24" xfId="25000" xr:uid="{00000000-0005-0000-0000-0000BB290000}"/>
    <cellStyle name="Comma 26 24 2" xfId="25001" xr:uid="{00000000-0005-0000-0000-0000BC290000}"/>
    <cellStyle name="Comma 26 24 2 2" xfId="25002" xr:uid="{00000000-0005-0000-0000-0000BD290000}"/>
    <cellStyle name="Comma 26 24 3" xfId="25003" xr:uid="{00000000-0005-0000-0000-0000BE290000}"/>
    <cellStyle name="Comma 26 25" xfId="25004" xr:uid="{00000000-0005-0000-0000-0000BF290000}"/>
    <cellStyle name="Comma 26 25 2" xfId="25005" xr:uid="{00000000-0005-0000-0000-0000C0290000}"/>
    <cellStyle name="Comma 26 25 2 2" xfId="25006" xr:uid="{00000000-0005-0000-0000-0000C1290000}"/>
    <cellStyle name="Comma 26 25 3" xfId="25007" xr:uid="{00000000-0005-0000-0000-0000C2290000}"/>
    <cellStyle name="Comma 26 26" xfId="25008" xr:uid="{00000000-0005-0000-0000-0000C3290000}"/>
    <cellStyle name="Comma 26 26 2" xfId="25009" xr:uid="{00000000-0005-0000-0000-0000C4290000}"/>
    <cellStyle name="Comma 26 26 2 2" xfId="25010" xr:uid="{00000000-0005-0000-0000-0000C5290000}"/>
    <cellStyle name="Comma 26 26 3" xfId="25011" xr:uid="{00000000-0005-0000-0000-0000C6290000}"/>
    <cellStyle name="Comma 26 27" xfId="25012" xr:uid="{00000000-0005-0000-0000-0000C7290000}"/>
    <cellStyle name="Comma 26 27 2" xfId="25013" xr:uid="{00000000-0005-0000-0000-0000C8290000}"/>
    <cellStyle name="Comma 26 27 2 2" xfId="25014" xr:uid="{00000000-0005-0000-0000-0000C9290000}"/>
    <cellStyle name="Comma 26 27 3" xfId="25015" xr:uid="{00000000-0005-0000-0000-0000CA290000}"/>
    <cellStyle name="Comma 26 28" xfId="25016" xr:uid="{00000000-0005-0000-0000-0000CB290000}"/>
    <cellStyle name="Comma 26 28 2" xfId="25017" xr:uid="{00000000-0005-0000-0000-0000CC290000}"/>
    <cellStyle name="Comma 26 28 2 2" xfId="25018" xr:uid="{00000000-0005-0000-0000-0000CD290000}"/>
    <cellStyle name="Comma 26 28 3" xfId="25019" xr:uid="{00000000-0005-0000-0000-0000CE290000}"/>
    <cellStyle name="Comma 26 29" xfId="25020" xr:uid="{00000000-0005-0000-0000-0000CF290000}"/>
    <cellStyle name="Comma 26 29 2" xfId="25021" xr:uid="{00000000-0005-0000-0000-0000D0290000}"/>
    <cellStyle name="Comma 26 3" xfId="2836" xr:uid="{00000000-0005-0000-0000-0000D1290000}"/>
    <cellStyle name="Comma 26 3 2" xfId="25022" xr:uid="{00000000-0005-0000-0000-0000D2290000}"/>
    <cellStyle name="Comma 26 3 2 2" xfId="25023" xr:uid="{00000000-0005-0000-0000-0000D3290000}"/>
    <cellStyle name="Comma 26 3 3" xfId="25024" xr:uid="{00000000-0005-0000-0000-0000D4290000}"/>
    <cellStyle name="Comma 26 3 3 2" xfId="25025" xr:uid="{00000000-0005-0000-0000-0000D5290000}"/>
    <cellStyle name="Comma 26 3 3 2 2" xfId="25026" xr:uid="{00000000-0005-0000-0000-0000D6290000}"/>
    <cellStyle name="Comma 26 3 3 3" xfId="25027" xr:uid="{00000000-0005-0000-0000-0000D7290000}"/>
    <cellStyle name="Comma 26 3 4" xfId="25028" xr:uid="{00000000-0005-0000-0000-0000D8290000}"/>
    <cellStyle name="Comma 26 30" xfId="25029" xr:uid="{00000000-0005-0000-0000-0000D9290000}"/>
    <cellStyle name="Comma 26 30 2" xfId="25030" xr:uid="{00000000-0005-0000-0000-0000DA290000}"/>
    <cellStyle name="Comma 26 30 2 2" xfId="25031" xr:uid="{00000000-0005-0000-0000-0000DB290000}"/>
    <cellStyle name="Comma 26 30 3" xfId="25032" xr:uid="{00000000-0005-0000-0000-0000DC290000}"/>
    <cellStyle name="Comma 26 31" xfId="25033" xr:uid="{00000000-0005-0000-0000-0000DD290000}"/>
    <cellStyle name="Comma 26 31 2" xfId="25034" xr:uid="{00000000-0005-0000-0000-0000DE290000}"/>
    <cellStyle name="Comma 26 32" xfId="25035" xr:uid="{00000000-0005-0000-0000-0000DF290000}"/>
    <cellStyle name="Comma 26 32 2" xfId="25036" xr:uid="{00000000-0005-0000-0000-0000E0290000}"/>
    <cellStyle name="Comma 26 33" xfId="25037" xr:uid="{00000000-0005-0000-0000-0000E1290000}"/>
    <cellStyle name="Comma 26 34" xfId="25038" xr:uid="{00000000-0005-0000-0000-0000E2290000}"/>
    <cellStyle name="Comma 26 35" xfId="25039" xr:uid="{00000000-0005-0000-0000-0000E3290000}"/>
    <cellStyle name="Comma 26 4" xfId="25040" xr:uid="{00000000-0005-0000-0000-0000E4290000}"/>
    <cellStyle name="Comma 26 4 2" xfId="25041" xr:uid="{00000000-0005-0000-0000-0000E5290000}"/>
    <cellStyle name="Comma 26 4 2 2" xfId="25042" xr:uid="{00000000-0005-0000-0000-0000E6290000}"/>
    <cellStyle name="Comma 26 4 3" xfId="25043" xr:uid="{00000000-0005-0000-0000-0000E7290000}"/>
    <cellStyle name="Comma 26 4 3 2" xfId="25044" xr:uid="{00000000-0005-0000-0000-0000E8290000}"/>
    <cellStyle name="Comma 26 4 3 2 2" xfId="25045" xr:uid="{00000000-0005-0000-0000-0000E9290000}"/>
    <cellStyle name="Comma 26 4 3 3" xfId="25046" xr:uid="{00000000-0005-0000-0000-0000EA290000}"/>
    <cellStyle name="Comma 26 4 4" xfId="25047" xr:uid="{00000000-0005-0000-0000-0000EB290000}"/>
    <cellStyle name="Comma 26 5" xfId="25048" xr:uid="{00000000-0005-0000-0000-0000EC290000}"/>
    <cellStyle name="Comma 26 5 2" xfId="25049" xr:uid="{00000000-0005-0000-0000-0000ED290000}"/>
    <cellStyle name="Comma 26 5 2 2" xfId="25050" xr:uid="{00000000-0005-0000-0000-0000EE290000}"/>
    <cellStyle name="Comma 26 5 3" xfId="25051" xr:uid="{00000000-0005-0000-0000-0000EF290000}"/>
    <cellStyle name="Comma 26 5 3 2" xfId="25052" xr:uid="{00000000-0005-0000-0000-0000F0290000}"/>
    <cellStyle name="Comma 26 5 3 2 2" xfId="25053" xr:uid="{00000000-0005-0000-0000-0000F1290000}"/>
    <cellStyle name="Comma 26 5 3 3" xfId="25054" xr:uid="{00000000-0005-0000-0000-0000F2290000}"/>
    <cellStyle name="Comma 26 5 4" xfId="25055" xr:uid="{00000000-0005-0000-0000-0000F3290000}"/>
    <cellStyle name="Comma 26 6" xfId="25056" xr:uid="{00000000-0005-0000-0000-0000F4290000}"/>
    <cellStyle name="Comma 26 6 2" xfId="25057" xr:uid="{00000000-0005-0000-0000-0000F5290000}"/>
    <cellStyle name="Comma 26 6 2 2" xfId="25058" xr:uid="{00000000-0005-0000-0000-0000F6290000}"/>
    <cellStyle name="Comma 26 6 3" xfId="25059" xr:uid="{00000000-0005-0000-0000-0000F7290000}"/>
    <cellStyle name="Comma 26 7" xfId="25060" xr:uid="{00000000-0005-0000-0000-0000F8290000}"/>
    <cellStyle name="Comma 26 7 2" xfId="25061" xr:uid="{00000000-0005-0000-0000-0000F9290000}"/>
    <cellStyle name="Comma 26 7 2 2" xfId="25062" xr:uid="{00000000-0005-0000-0000-0000FA290000}"/>
    <cellStyle name="Comma 26 7 3" xfId="25063" xr:uid="{00000000-0005-0000-0000-0000FB290000}"/>
    <cellStyle name="Comma 26 8" xfId="25064" xr:uid="{00000000-0005-0000-0000-0000FC290000}"/>
    <cellStyle name="Comma 26 8 2" xfId="25065" xr:uid="{00000000-0005-0000-0000-0000FD290000}"/>
    <cellStyle name="Comma 26 8 2 2" xfId="25066" xr:uid="{00000000-0005-0000-0000-0000FE290000}"/>
    <cellStyle name="Comma 26 8 3" xfId="25067" xr:uid="{00000000-0005-0000-0000-0000FF290000}"/>
    <cellStyle name="Comma 26 9" xfId="25068" xr:uid="{00000000-0005-0000-0000-0000002A0000}"/>
    <cellStyle name="Comma 26 9 2" xfId="25069" xr:uid="{00000000-0005-0000-0000-0000012A0000}"/>
    <cellStyle name="Comma 26 9 2 2" xfId="25070" xr:uid="{00000000-0005-0000-0000-0000022A0000}"/>
    <cellStyle name="Comma 26 9 3" xfId="25071" xr:uid="{00000000-0005-0000-0000-0000032A0000}"/>
    <cellStyle name="Comma 260" xfId="25072" xr:uid="{00000000-0005-0000-0000-0000042A0000}"/>
    <cellStyle name="Comma 260 2" xfId="25073" xr:uid="{00000000-0005-0000-0000-0000052A0000}"/>
    <cellStyle name="Comma 260 3" xfId="25074" xr:uid="{00000000-0005-0000-0000-0000062A0000}"/>
    <cellStyle name="Comma 261" xfId="25075" xr:uid="{00000000-0005-0000-0000-0000072A0000}"/>
    <cellStyle name="Comma 261 2" xfId="25076" xr:uid="{00000000-0005-0000-0000-0000082A0000}"/>
    <cellStyle name="Comma 261 3" xfId="25077" xr:uid="{00000000-0005-0000-0000-0000092A0000}"/>
    <cellStyle name="Comma 262" xfId="25078" xr:uid="{00000000-0005-0000-0000-00000A2A0000}"/>
    <cellStyle name="Comma 262 2" xfId="25079" xr:uid="{00000000-0005-0000-0000-00000B2A0000}"/>
    <cellStyle name="Comma 262 3" xfId="25080" xr:uid="{00000000-0005-0000-0000-00000C2A0000}"/>
    <cellStyle name="Comma 263" xfId="25081" xr:uid="{00000000-0005-0000-0000-00000D2A0000}"/>
    <cellStyle name="Comma 263 2" xfId="25082" xr:uid="{00000000-0005-0000-0000-00000E2A0000}"/>
    <cellStyle name="Comma 263 3" xfId="25083" xr:uid="{00000000-0005-0000-0000-00000F2A0000}"/>
    <cellStyle name="Comma 264" xfId="25084" xr:uid="{00000000-0005-0000-0000-0000102A0000}"/>
    <cellStyle name="Comma 264 2" xfId="25085" xr:uid="{00000000-0005-0000-0000-0000112A0000}"/>
    <cellStyle name="Comma 264 3" xfId="25086" xr:uid="{00000000-0005-0000-0000-0000122A0000}"/>
    <cellStyle name="Comma 265" xfId="25087" xr:uid="{00000000-0005-0000-0000-0000132A0000}"/>
    <cellStyle name="Comma 265 2" xfId="25088" xr:uid="{00000000-0005-0000-0000-0000142A0000}"/>
    <cellStyle name="Comma 265 3" xfId="25089" xr:uid="{00000000-0005-0000-0000-0000152A0000}"/>
    <cellStyle name="Comma 266" xfId="25090" xr:uid="{00000000-0005-0000-0000-0000162A0000}"/>
    <cellStyle name="Comma 266 2" xfId="25091" xr:uid="{00000000-0005-0000-0000-0000172A0000}"/>
    <cellStyle name="Comma 266 3" xfId="25092" xr:uid="{00000000-0005-0000-0000-0000182A0000}"/>
    <cellStyle name="Comma 267" xfId="25093" xr:uid="{00000000-0005-0000-0000-0000192A0000}"/>
    <cellStyle name="Comma 267 2" xfId="25094" xr:uid="{00000000-0005-0000-0000-00001A2A0000}"/>
    <cellStyle name="Comma 267 3" xfId="25095" xr:uid="{00000000-0005-0000-0000-00001B2A0000}"/>
    <cellStyle name="Comma 268" xfId="25096" xr:uid="{00000000-0005-0000-0000-00001C2A0000}"/>
    <cellStyle name="Comma 268 2" xfId="25097" xr:uid="{00000000-0005-0000-0000-00001D2A0000}"/>
    <cellStyle name="Comma 268 3" xfId="25098" xr:uid="{00000000-0005-0000-0000-00001E2A0000}"/>
    <cellStyle name="Comma 269" xfId="25099" xr:uid="{00000000-0005-0000-0000-00001F2A0000}"/>
    <cellStyle name="Comma 269 2" xfId="25100" xr:uid="{00000000-0005-0000-0000-0000202A0000}"/>
    <cellStyle name="Comma 269 3" xfId="25101" xr:uid="{00000000-0005-0000-0000-0000212A0000}"/>
    <cellStyle name="Comma 27" xfId="2837" xr:uid="{00000000-0005-0000-0000-0000222A0000}"/>
    <cellStyle name="Comma 27 10" xfId="25102" xr:uid="{00000000-0005-0000-0000-0000232A0000}"/>
    <cellStyle name="Comma 27 10 2" xfId="25103" xr:uid="{00000000-0005-0000-0000-0000242A0000}"/>
    <cellStyle name="Comma 27 10 2 2" xfId="25104" xr:uid="{00000000-0005-0000-0000-0000252A0000}"/>
    <cellStyle name="Comma 27 10 3" xfId="25105" xr:uid="{00000000-0005-0000-0000-0000262A0000}"/>
    <cellStyle name="Comma 27 11" xfId="25106" xr:uid="{00000000-0005-0000-0000-0000272A0000}"/>
    <cellStyle name="Comma 27 11 2" xfId="25107" xr:uid="{00000000-0005-0000-0000-0000282A0000}"/>
    <cellStyle name="Comma 27 11 2 2" xfId="25108" xr:uid="{00000000-0005-0000-0000-0000292A0000}"/>
    <cellStyle name="Comma 27 11 3" xfId="25109" xr:uid="{00000000-0005-0000-0000-00002A2A0000}"/>
    <cellStyle name="Comma 27 12" xfId="25110" xr:uid="{00000000-0005-0000-0000-00002B2A0000}"/>
    <cellStyle name="Comma 27 12 2" xfId="25111" xr:uid="{00000000-0005-0000-0000-00002C2A0000}"/>
    <cellStyle name="Comma 27 12 2 2" xfId="25112" xr:uid="{00000000-0005-0000-0000-00002D2A0000}"/>
    <cellStyle name="Comma 27 12 3" xfId="25113" xr:uid="{00000000-0005-0000-0000-00002E2A0000}"/>
    <cellStyle name="Comma 27 13" xfId="25114" xr:uid="{00000000-0005-0000-0000-00002F2A0000}"/>
    <cellStyle name="Comma 27 13 2" xfId="25115" xr:uid="{00000000-0005-0000-0000-0000302A0000}"/>
    <cellStyle name="Comma 27 13 2 2" xfId="25116" xr:uid="{00000000-0005-0000-0000-0000312A0000}"/>
    <cellStyle name="Comma 27 13 3" xfId="25117" xr:uid="{00000000-0005-0000-0000-0000322A0000}"/>
    <cellStyle name="Comma 27 14" xfId="25118" xr:uid="{00000000-0005-0000-0000-0000332A0000}"/>
    <cellStyle name="Comma 27 14 2" xfId="25119" xr:uid="{00000000-0005-0000-0000-0000342A0000}"/>
    <cellStyle name="Comma 27 14 2 2" xfId="25120" xr:uid="{00000000-0005-0000-0000-0000352A0000}"/>
    <cellStyle name="Comma 27 14 3" xfId="25121" xr:uid="{00000000-0005-0000-0000-0000362A0000}"/>
    <cellStyle name="Comma 27 15" xfId="25122" xr:uid="{00000000-0005-0000-0000-0000372A0000}"/>
    <cellStyle name="Comma 27 15 2" xfId="25123" xr:uid="{00000000-0005-0000-0000-0000382A0000}"/>
    <cellStyle name="Comma 27 15 2 2" xfId="25124" xr:uid="{00000000-0005-0000-0000-0000392A0000}"/>
    <cellStyle name="Comma 27 15 3" xfId="25125" xr:uid="{00000000-0005-0000-0000-00003A2A0000}"/>
    <cellStyle name="Comma 27 16" xfId="25126" xr:uid="{00000000-0005-0000-0000-00003B2A0000}"/>
    <cellStyle name="Comma 27 16 2" xfId="25127" xr:uid="{00000000-0005-0000-0000-00003C2A0000}"/>
    <cellStyle name="Comma 27 16 2 2" xfId="25128" xr:uid="{00000000-0005-0000-0000-00003D2A0000}"/>
    <cellStyle name="Comma 27 16 3" xfId="25129" xr:uid="{00000000-0005-0000-0000-00003E2A0000}"/>
    <cellStyle name="Comma 27 17" xfId="25130" xr:uid="{00000000-0005-0000-0000-00003F2A0000}"/>
    <cellStyle name="Comma 27 17 2" xfId="25131" xr:uid="{00000000-0005-0000-0000-0000402A0000}"/>
    <cellStyle name="Comma 27 17 2 2" xfId="25132" xr:uid="{00000000-0005-0000-0000-0000412A0000}"/>
    <cellStyle name="Comma 27 17 3" xfId="25133" xr:uid="{00000000-0005-0000-0000-0000422A0000}"/>
    <cellStyle name="Comma 27 18" xfId="25134" xr:uid="{00000000-0005-0000-0000-0000432A0000}"/>
    <cellStyle name="Comma 27 18 2" xfId="25135" xr:uid="{00000000-0005-0000-0000-0000442A0000}"/>
    <cellStyle name="Comma 27 18 2 2" xfId="25136" xr:uid="{00000000-0005-0000-0000-0000452A0000}"/>
    <cellStyle name="Comma 27 18 3" xfId="25137" xr:uid="{00000000-0005-0000-0000-0000462A0000}"/>
    <cellStyle name="Comma 27 19" xfId="25138" xr:uid="{00000000-0005-0000-0000-0000472A0000}"/>
    <cellStyle name="Comma 27 19 2" xfId="25139" xr:uid="{00000000-0005-0000-0000-0000482A0000}"/>
    <cellStyle name="Comma 27 19 2 2" xfId="25140" xr:uid="{00000000-0005-0000-0000-0000492A0000}"/>
    <cellStyle name="Comma 27 19 3" xfId="25141" xr:uid="{00000000-0005-0000-0000-00004A2A0000}"/>
    <cellStyle name="Comma 27 2" xfId="2838" xr:uid="{00000000-0005-0000-0000-00004B2A0000}"/>
    <cellStyle name="Comma 27 2 2" xfId="25142" xr:uid="{00000000-0005-0000-0000-00004C2A0000}"/>
    <cellStyle name="Comma 27 2 2 2" xfId="25143" xr:uid="{00000000-0005-0000-0000-00004D2A0000}"/>
    <cellStyle name="Comma 27 2 3" xfId="25144" xr:uid="{00000000-0005-0000-0000-00004E2A0000}"/>
    <cellStyle name="Comma 27 2 3 2" xfId="25145" xr:uid="{00000000-0005-0000-0000-00004F2A0000}"/>
    <cellStyle name="Comma 27 2 3 2 2" xfId="25146" xr:uid="{00000000-0005-0000-0000-0000502A0000}"/>
    <cellStyle name="Comma 27 2 3 3" xfId="25147" xr:uid="{00000000-0005-0000-0000-0000512A0000}"/>
    <cellStyle name="Comma 27 2 4" xfId="25148" xr:uid="{00000000-0005-0000-0000-0000522A0000}"/>
    <cellStyle name="Comma 27 2 4 2" xfId="25149" xr:uid="{00000000-0005-0000-0000-0000532A0000}"/>
    <cellStyle name="Comma 27 2 5" xfId="25150" xr:uid="{00000000-0005-0000-0000-0000542A0000}"/>
    <cellStyle name="Comma 27 2 6" xfId="25151" xr:uid="{00000000-0005-0000-0000-0000552A0000}"/>
    <cellStyle name="Comma 27 20" xfId="25152" xr:uid="{00000000-0005-0000-0000-0000562A0000}"/>
    <cellStyle name="Comma 27 20 2" xfId="25153" xr:uid="{00000000-0005-0000-0000-0000572A0000}"/>
    <cellStyle name="Comma 27 20 2 2" xfId="25154" xr:uid="{00000000-0005-0000-0000-0000582A0000}"/>
    <cellStyle name="Comma 27 20 3" xfId="25155" xr:uid="{00000000-0005-0000-0000-0000592A0000}"/>
    <cellStyle name="Comma 27 21" xfId="25156" xr:uid="{00000000-0005-0000-0000-00005A2A0000}"/>
    <cellStyle name="Comma 27 21 2" xfId="25157" xr:uid="{00000000-0005-0000-0000-00005B2A0000}"/>
    <cellStyle name="Comma 27 21 2 2" xfId="25158" xr:uid="{00000000-0005-0000-0000-00005C2A0000}"/>
    <cellStyle name="Comma 27 21 3" xfId="25159" xr:uid="{00000000-0005-0000-0000-00005D2A0000}"/>
    <cellStyle name="Comma 27 22" xfId="25160" xr:uid="{00000000-0005-0000-0000-00005E2A0000}"/>
    <cellStyle name="Comma 27 22 2" xfId="25161" xr:uid="{00000000-0005-0000-0000-00005F2A0000}"/>
    <cellStyle name="Comma 27 22 2 2" xfId="25162" xr:uid="{00000000-0005-0000-0000-0000602A0000}"/>
    <cellStyle name="Comma 27 22 3" xfId="25163" xr:uid="{00000000-0005-0000-0000-0000612A0000}"/>
    <cellStyle name="Comma 27 23" xfId="25164" xr:uid="{00000000-0005-0000-0000-0000622A0000}"/>
    <cellStyle name="Comma 27 23 2" xfId="25165" xr:uid="{00000000-0005-0000-0000-0000632A0000}"/>
    <cellStyle name="Comma 27 23 2 2" xfId="25166" xr:uid="{00000000-0005-0000-0000-0000642A0000}"/>
    <cellStyle name="Comma 27 23 3" xfId="25167" xr:uid="{00000000-0005-0000-0000-0000652A0000}"/>
    <cellStyle name="Comma 27 24" xfId="25168" xr:uid="{00000000-0005-0000-0000-0000662A0000}"/>
    <cellStyle name="Comma 27 24 2" xfId="25169" xr:uid="{00000000-0005-0000-0000-0000672A0000}"/>
    <cellStyle name="Comma 27 24 2 2" xfId="25170" xr:uid="{00000000-0005-0000-0000-0000682A0000}"/>
    <cellStyle name="Comma 27 24 3" xfId="25171" xr:uid="{00000000-0005-0000-0000-0000692A0000}"/>
    <cellStyle name="Comma 27 25" xfId="25172" xr:uid="{00000000-0005-0000-0000-00006A2A0000}"/>
    <cellStyle name="Comma 27 25 2" xfId="25173" xr:uid="{00000000-0005-0000-0000-00006B2A0000}"/>
    <cellStyle name="Comma 27 25 2 2" xfId="25174" xr:uid="{00000000-0005-0000-0000-00006C2A0000}"/>
    <cellStyle name="Comma 27 25 3" xfId="25175" xr:uid="{00000000-0005-0000-0000-00006D2A0000}"/>
    <cellStyle name="Comma 27 26" xfId="25176" xr:uid="{00000000-0005-0000-0000-00006E2A0000}"/>
    <cellStyle name="Comma 27 26 2" xfId="25177" xr:uid="{00000000-0005-0000-0000-00006F2A0000}"/>
    <cellStyle name="Comma 27 26 2 2" xfId="25178" xr:uid="{00000000-0005-0000-0000-0000702A0000}"/>
    <cellStyle name="Comma 27 26 3" xfId="25179" xr:uid="{00000000-0005-0000-0000-0000712A0000}"/>
    <cellStyle name="Comma 27 27" xfId="25180" xr:uid="{00000000-0005-0000-0000-0000722A0000}"/>
    <cellStyle name="Comma 27 27 2" xfId="25181" xr:uid="{00000000-0005-0000-0000-0000732A0000}"/>
    <cellStyle name="Comma 27 27 2 2" xfId="25182" xr:uid="{00000000-0005-0000-0000-0000742A0000}"/>
    <cellStyle name="Comma 27 27 3" xfId="25183" xr:uid="{00000000-0005-0000-0000-0000752A0000}"/>
    <cellStyle name="Comma 27 28" xfId="25184" xr:uid="{00000000-0005-0000-0000-0000762A0000}"/>
    <cellStyle name="Comma 27 28 2" xfId="25185" xr:uid="{00000000-0005-0000-0000-0000772A0000}"/>
    <cellStyle name="Comma 27 28 2 2" xfId="25186" xr:uid="{00000000-0005-0000-0000-0000782A0000}"/>
    <cellStyle name="Comma 27 28 3" xfId="25187" xr:uid="{00000000-0005-0000-0000-0000792A0000}"/>
    <cellStyle name="Comma 27 29" xfId="25188" xr:uid="{00000000-0005-0000-0000-00007A2A0000}"/>
    <cellStyle name="Comma 27 29 2" xfId="25189" xr:uid="{00000000-0005-0000-0000-00007B2A0000}"/>
    <cellStyle name="Comma 27 3" xfId="2839" xr:uid="{00000000-0005-0000-0000-00007C2A0000}"/>
    <cellStyle name="Comma 27 3 2" xfId="25190" xr:uid="{00000000-0005-0000-0000-00007D2A0000}"/>
    <cellStyle name="Comma 27 3 2 2" xfId="25191" xr:uid="{00000000-0005-0000-0000-00007E2A0000}"/>
    <cellStyle name="Comma 27 3 3" xfId="25192" xr:uid="{00000000-0005-0000-0000-00007F2A0000}"/>
    <cellStyle name="Comma 27 3 3 2" xfId="25193" xr:uid="{00000000-0005-0000-0000-0000802A0000}"/>
    <cellStyle name="Comma 27 3 3 2 2" xfId="25194" xr:uid="{00000000-0005-0000-0000-0000812A0000}"/>
    <cellStyle name="Comma 27 3 3 3" xfId="25195" xr:uid="{00000000-0005-0000-0000-0000822A0000}"/>
    <cellStyle name="Comma 27 3 4" xfId="25196" xr:uid="{00000000-0005-0000-0000-0000832A0000}"/>
    <cellStyle name="Comma 27 30" xfId="25197" xr:uid="{00000000-0005-0000-0000-0000842A0000}"/>
    <cellStyle name="Comma 27 30 2" xfId="25198" xr:uid="{00000000-0005-0000-0000-0000852A0000}"/>
    <cellStyle name="Comma 27 30 2 2" xfId="25199" xr:uid="{00000000-0005-0000-0000-0000862A0000}"/>
    <cellStyle name="Comma 27 30 3" xfId="25200" xr:uid="{00000000-0005-0000-0000-0000872A0000}"/>
    <cellStyle name="Comma 27 31" xfId="25201" xr:uid="{00000000-0005-0000-0000-0000882A0000}"/>
    <cellStyle name="Comma 27 31 2" xfId="25202" xr:uid="{00000000-0005-0000-0000-0000892A0000}"/>
    <cellStyle name="Comma 27 32" xfId="25203" xr:uid="{00000000-0005-0000-0000-00008A2A0000}"/>
    <cellStyle name="Comma 27 32 2" xfId="25204" xr:uid="{00000000-0005-0000-0000-00008B2A0000}"/>
    <cellStyle name="Comma 27 33" xfId="25205" xr:uid="{00000000-0005-0000-0000-00008C2A0000}"/>
    <cellStyle name="Comma 27 34" xfId="25206" xr:uid="{00000000-0005-0000-0000-00008D2A0000}"/>
    <cellStyle name="Comma 27 35" xfId="25207" xr:uid="{00000000-0005-0000-0000-00008E2A0000}"/>
    <cellStyle name="Comma 27 4" xfId="25208" xr:uid="{00000000-0005-0000-0000-00008F2A0000}"/>
    <cellStyle name="Comma 27 4 2" xfId="25209" xr:uid="{00000000-0005-0000-0000-0000902A0000}"/>
    <cellStyle name="Comma 27 4 2 2" xfId="25210" xr:uid="{00000000-0005-0000-0000-0000912A0000}"/>
    <cellStyle name="Comma 27 4 3" xfId="25211" xr:uid="{00000000-0005-0000-0000-0000922A0000}"/>
    <cellStyle name="Comma 27 4 3 2" xfId="25212" xr:uid="{00000000-0005-0000-0000-0000932A0000}"/>
    <cellStyle name="Comma 27 4 3 2 2" xfId="25213" xr:uid="{00000000-0005-0000-0000-0000942A0000}"/>
    <cellStyle name="Comma 27 4 3 3" xfId="25214" xr:uid="{00000000-0005-0000-0000-0000952A0000}"/>
    <cellStyle name="Comma 27 4 4" xfId="25215" xr:uid="{00000000-0005-0000-0000-0000962A0000}"/>
    <cellStyle name="Comma 27 5" xfId="25216" xr:uid="{00000000-0005-0000-0000-0000972A0000}"/>
    <cellStyle name="Comma 27 5 2" xfId="25217" xr:uid="{00000000-0005-0000-0000-0000982A0000}"/>
    <cellStyle name="Comma 27 5 2 2" xfId="25218" xr:uid="{00000000-0005-0000-0000-0000992A0000}"/>
    <cellStyle name="Comma 27 5 3" xfId="25219" xr:uid="{00000000-0005-0000-0000-00009A2A0000}"/>
    <cellStyle name="Comma 27 5 3 2" xfId="25220" xr:uid="{00000000-0005-0000-0000-00009B2A0000}"/>
    <cellStyle name="Comma 27 5 3 2 2" xfId="25221" xr:uid="{00000000-0005-0000-0000-00009C2A0000}"/>
    <cellStyle name="Comma 27 5 3 3" xfId="25222" xr:uid="{00000000-0005-0000-0000-00009D2A0000}"/>
    <cellStyle name="Comma 27 5 4" xfId="25223" xr:uid="{00000000-0005-0000-0000-00009E2A0000}"/>
    <cellStyle name="Comma 27 6" xfId="25224" xr:uid="{00000000-0005-0000-0000-00009F2A0000}"/>
    <cellStyle name="Comma 27 6 2" xfId="25225" xr:uid="{00000000-0005-0000-0000-0000A02A0000}"/>
    <cellStyle name="Comma 27 6 2 2" xfId="25226" xr:uid="{00000000-0005-0000-0000-0000A12A0000}"/>
    <cellStyle name="Comma 27 6 3" xfId="25227" xr:uid="{00000000-0005-0000-0000-0000A22A0000}"/>
    <cellStyle name="Comma 27 7" xfId="25228" xr:uid="{00000000-0005-0000-0000-0000A32A0000}"/>
    <cellStyle name="Comma 27 7 2" xfId="25229" xr:uid="{00000000-0005-0000-0000-0000A42A0000}"/>
    <cellStyle name="Comma 27 7 2 2" xfId="25230" xr:uid="{00000000-0005-0000-0000-0000A52A0000}"/>
    <cellStyle name="Comma 27 7 3" xfId="25231" xr:uid="{00000000-0005-0000-0000-0000A62A0000}"/>
    <cellStyle name="Comma 27 8" xfId="25232" xr:uid="{00000000-0005-0000-0000-0000A72A0000}"/>
    <cellStyle name="Comma 27 8 2" xfId="25233" xr:uid="{00000000-0005-0000-0000-0000A82A0000}"/>
    <cellStyle name="Comma 27 8 2 2" xfId="25234" xr:uid="{00000000-0005-0000-0000-0000A92A0000}"/>
    <cellStyle name="Comma 27 8 3" xfId="25235" xr:uid="{00000000-0005-0000-0000-0000AA2A0000}"/>
    <cellStyle name="Comma 27 9" xfId="25236" xr:uid="{00000000-0005-0000-0000-0000AB2A0000}"/>
    <cellStyle name="Comma 27 9 2" xfId="25237" xr:uid="{00000000-0005-0000-0000-0000AC2A0000}"/>
    <cellStyle name="Comma 27 9 2 2" xfId="25238" xr:uid="{00000000-0005-0000-0000-0000AD2A0000}"/>
    <cellStyle name="Comma 27 9 3" xfId="25239" xr:uid="{00000000-0005-0000-0000-0000AE2A0000}"/>
    <cellStyle name="Comma 270" xfId="25240" xr:uid="{00000000-0005-0000-0000-0000AF2A0000}"/>
    <cellStyle name="Comma 270 2" xfId="25241" xr:uid="{00000000-0005-0000-0000-0000B02A0000}"/>
    <cellStyle name="Comma 270 3" xfId="25242" xr:uid="{00000000-0005-0000-0000-0000B12A0000}"/>
    <cellStyle name="Comma 271" xfId="25243" xr:uid="{00000000-0005-0000-0000-0000B22A0000}"/>
    <cellStyle name="Comma 271 2" xfId="25244" xr:uid="{00000000-0005-0000-0000-0000B32A0000}"/>
    <cellStyle name="Comma 271 3" xfId="25245" xr:uid="{00000000-0005-0000-0000-0000B42A0000}"/>
    <cellStyle name="Comma 272" xfId="25246" xr:uid="{00000000-0005-0000-0000-0000B52A0000}"/>
    <cellStyle name="Comma 272 2" xfId="25247" xr:uid="{00000000-0005-0000-0000-0000B62A0000}"/>
    <cellStyle name="Comma 272 3" xfId="25248" xr:uid="{00000000-0005-0000-0000-0000B72A0000}"/>
    <cellStyle name="Comma 273" xfId="25249" xr:uid="{00000000-0005-0000-0000-0000B82A0000}"/>
    <cellStyle name="Comma 273 2" xfId="25250" xr:uid="{00000000-0005-0000-0000-0000B92A0000}"/>
    <cellStyle name="Comma 273 3" xfId="25251" xr:uid="{00000000-0005-0000-0000-0000BA2A0000}"/>
    <cellStyle name="Comma 274" xfId="25252" xr:uid="{00000000-0005-0000-0000-0000BB2A0000}"/>
    <cellStyle name="Comma 274 2" xfId="25253" xr:uid="{00000000-0005-0000-0000-0000BC2A0000}"/>
    <cellStyle name="Comma 274 3" xfId="25254" xr:uid="{00000000-0005-0000-0000-0000BD2A0000}"/>
    <cellStyle name="Comma 275" xfId="25255" xr:uid="{00000000-0005-0000-0000-0000BE2A0000}"/>
    <cellStyle name="Comma 275 2" xfId="25256" xr:uid="{00000000-0005-0000-0000-0000BF2A0000}"/>
    <cellStyle name="Comma 275 3" xfId="25257" xr:uid="{00000000-0005-0000-0000-0000C02A0000}"/>
    <cellStyle name="Comma 276" xfId="25258" xr:uid="{00000000-0005-0000-0000-0000C12A0000}"/>
    <cellStyle name="Comma 276 2" xfId="25259" xr:uid="{00000000-0005-0000-0000-0000C22A0000}"/>
    <cellStyle name="Comma 276 3" xfId="25260" xr:uid="{00000000-0005-0000-0000-0000C32A0000}"/>
    <cellStyle name="Comma 277" xfId="25261" xr:uid="{00000000-0005-0000-0000-0000C42A0000}"/>
    <cellStyle name="Comma 277 2" xfId="25262" xr:uid="{00000000-0005-0000-0000-0000C52A0000}"/>
    <cellStyle name="Comma 277 3" xfId="25263" xr:uid="{00000000-0005-0000-0000-0000C62A0000}"/>
    <cellStyle name="Comma 278" xfId="25264" xr:uid="{00000000-0005-0000-0000-0000C72A0000}"/>
    <cellStyle name="Comma 278 2" xfId="25265" xr:uid="{00000000-0005-0000-0000-0000C82A0000}"/>
    <cellStyle name="Comma 278 3" xfId="25266" xr:uid="{00000000-0005-0000-0000-0000C92A0000}"/>
    <cellStyle name="Comma 279" xfId="25267" xr:uid="{00000000-0005-0000-0000-0000CA2A0000}"/>
    <cellStyle name="Comma 279 2" xfId="25268" xr:uid="{00000000-0005-0000-0000-0000CB2A0000}"/>
    <cellStyle name="Comma 279 3" xfId="25269" xr:uid="{00000000-0005-0000-0000-0000CC2A0000}"/>
    <cellStyle name="Comma 28" xfId="2840" xr:uid="{00000000-0005-0000-0000-0000CD2A0000}"/>
    <cellStyle name="Comma 28 10" xfId="25270" xr:uid="{00000000-0005-0000-0000-0000CE2A0000}"/>
    <cellStyle name="Comma 28 10 2" xfId="25271" xr:uid="{00000000-0005-0000-0000-0000CF2A0000}"/>
    <cellStyle name="Comma 28 10 2 2" xfId="25272" xr:uid="{00000000-0005-0000-0000-0000D02A0000}"/>
    <cellStyle name="Comma 28 10 3" xfId="25273" xr:uid="{00000000-0005-0000-0000-0000D12A0000}"/>
    <cellStyle name="Comma 28 11" xfId="25274" xr:uid="{00000000-0005-0000-0000-0000D22A0000}"/>
    <cellStyle name="Comma 28 11 2" xfId="25275" xr:uid="{00000000-0005-0000-0000-0000D32A0000}"/>
    <cellStyle name="Comma 28 11 2 2" xfId="25276" xr:uid="{00000000-0005-0000-0000-0000D42A0000}"/>
    <cellStyle name="Comma 28 11 3" xfId="25277" xr:uid="{00000000-0005-0000-0000-0000D52A0000}"/>
    <cellStyle name="Comma 28 12" xfId="25278" xr:uid="{00000000-0005-0000-0000-0000D62A0000}"/>
    <cellStyle name="Comma 28 12 2" xfId="25279" xr:uid="{00000000-0005-0000-0000-0000D72A0000}"/>
    <cellStyle name="Comma 28 12 2 2" xfId="25280" xr:uid="{00000000-0005-0000-0000-0000D82A0000}"/>
    <cellStyle name="Comma 28 12 3" xfId="25281" xr:uid="{00000000-0005-0000-0000-0000D92A0000}"/>
    <cellStyle name="Comma 28 13" xfId="25282" xr:uid="{00000000-0005-0000-0000-0000DA2A0000}"/>
    <cellStyle name="Comma 28 13 2" xfId="25283" xr:uid="{00000000-0005-0000-0000-0000DB2A0000}"/>
    <cellStyle name="Comma 28 13 2 2" xfId="25284" xr:uid="{00000000-0005-0000-0000-0000DC2A0000}"/>
    <cellStyle name="Comma 28 13 3" xfId="25285" xr:uid="{00000000-0005-0000-0000-0000DD2A0000}"/>
    <cellStyle name="Comma 28 14" xfId="25286" xr:uid="{00000000-0005-0000-0000-0000DE2A0000}"/>
    <cellStyle name="Comma 28 14 2" xfId="25287" xr:uid="{00000000-0005-0000-0000-0000DF2A0000}"/>
    <cellStyle name="Comma 28 14 2 2" xfId="25288" xr:uid="{00000000-0005-0000-0000-0000E02A0000}"/>
    <cellStyle name="Comma 28 14 3" xfId="25289" xr:uid="{00000000-0005-0000-0000-0000E12A0000}"/>
    <cellStyle name="Comma 28 15" xfId="25290" xr:uid="{00000000-0005-0000-0000-0000E22A0000}"/>
    <cellStyle name="Comma 28 15 2" xfId="25291" xr:uid="{00000000-0005-0000-0000-0000E32A0000}"/>
    <cellStyle name="Comma 28 15 2 2" xfId="25292" xr:uid="{00000000-0005-0000-0000-0000E42A0000}"/>
    <cellStyle name="Comma 28 15 3" xfId="25293" xr:uid="{00000000-0005-0000-0000-0000E52A0000}"/>
    <cellStyle name="Comma 28 16" xfId="25294" xr:uid="{00000000-0005-0000-0000-0000E62A0000}"/>
    <cellStyle name="Comma 28 16 2" xfId="25295" xr:uid="{00000000-0005-0000-0000-0000E72A0000}"/>
    <cellStyle name="Comma 28 16 2 2" xfId="25296" xr:uid="{00000000-0005-0000-0000-0000E82A0000}"/>
    <cellStyle name="Comma 28 16 3" xfId="25297" xr:uid="{00000000-0005-0000-0000-0000E92A0000}"/>
    <cellStyle name="Comma 28 17" xfId="25298" xr:uid="{00000000-0005-0000-0000-0000EA2A0000}"/>
    <cellStyle name="Comma 28 17 2" xfId="25299" xr:uid="{00000000-0005-0000-0000-0000EB2A0000}"/>
    <cellStyle name="Comma 28 17 2 2" xfId="25300" xr:uid="{00000000-0005-0000-0000-0000EC2A0000}"/>
    <cellStyle name="Comma 28 17 3" xfId="25301" xr:uid="{00000000-0005-0000-0000-0000ED2A0000}"/>
    <cellStyle name="Comma 28 18" xfId="25302" xr:uid="{00000000-0005-0000-0000-0000EE2A0000}"/>
    <cellStyle name="Comma 28 18 2" xfId="25303" xr:uid="{00000000-0005-0000-0000-0000EF2A0000}"/>
    <cellStyle name="Comma 28 18 2 2" xfId="25304" xr:uid="{00000000-0005-0000-0000-0000F02A0000}"/>
    <cellStyle name="Comma 28 18 3" xfId="25305" xr:uid="{00000000-0005-0000-0000-0000F12A0000}"/>
    <cellStyle name="Comma 28 19" xfId="25306" xr:uid="{00000000-0005-0000-0000-0000F22A0000}"/>
    <cellStyle name="Comma 28 19 2" xfId="25307" xr:uid="{00000000-0005-0000-0000-0000F32A0000}"/>
    <cellStyle name="Comma 28 19 2 2" xfId="25308" xr:uid="{00000000-0005-0000-0000-0000F42A0000}"/>
    <cellStyle name="Comma 28 19 3" xfId="25309" xr:uid="{00000000-0005-0000-0000-0000F52A0000}"/>
    <cellStyle name="Comma 28 2" xfId="2841" xr:uid="{00000000-0005-0000-0000-0000F62A0000}"/>
    <cellStyle name="Comma 28 2 2" xfId="25310" xr:uid="{00000000-0005-0000-0000-0000F72A0000}"/>
    <cellStyle name="Comma 28 2 2 2" xfId="25311" xr:uid="{00000000-0005-0000-0000-0000F82A0000}"/>
    <cellStyle name="Comma 28 2 3" xfId="25312" xr:uid="{00000000-0005-0000-0000-0000F92A0000}"/>
    <cellStyle name="Comma 28 2 3 2" xfId="25313" xr:uid="{00000000-0005-0000-0000-0000FA2A0000}"/>
    <cellStyle name="Comma 28 2 3 2 2" xfId="25314" xr:uid="{00000000-0005-0000-0000-0000FB2A0000}"/>
    <cellStyle name="Comma 28 2 3 3" xfId="25315" xr:uid="{00000000-0005-0000-0000-0000FC2A0000}"/>
    <cellStyle name="Comma 28 2 4" xfId="25316" xr:uid="{00000000-0005-0000-0000-0000FD2A0000}"/>
    <cellStyle name="Comma 28 20" xfId="25317" xr:uid="{00000000-0005-0000-0000-0000FE2A0000}"/>
    <cellStyle name="Comma 28 20 2" xfId="25318" xr:uid="{00000000-0005-0000-0000-0000FF2A0000}"/>
    <cellStyle name="Comma 28 20 2 2" xfId="25319" xr:uid="{00000000-0005-0000-0000-0000002B0000}"/>
    <cellStyle name="Comma 28 20 3" xfId="25320" xr:uid="{00000000-0005-0000-0000-0000012B0000}"/>
    <cellStyle name="Comma 28 21" xfId="25321" xr:uid="{00000000-0005-0000-0000-0000022B0000}"/>
    <cellStyle name="Comma 28 21 2" xfId="25322" xr:uid="{00000000-0005-0000-0000-0000032B0000}"/>
    <cellStyle name="Comma 28 21 2 2" xfId="25323" xr:uid="{00000000-0005-0000-0000-0000042B0000}"/>
    <cellStyle name="Comma 28 21 3" xfId="25324" xr:uid="{00000000-0005-0000-0000-0000052B0000}"/>
    <cellStyle name="Comma 28 22" xfId="25325" xr:uid="{00000000-0005-0000-0000-0000062B0000}"/>
    <cellStyle name="Comma 28 22 2" xfId="25326" xr:uid="{00000000-0005-0000-0000-0000072B0000}"/>
    <cellStyle name="Comma 28 22 2 2" xfId="25327" xr:uid="{00000000-0005-0000-0000-0000082B0000}"/>
    <cellStyle name="Comma 28 22 3" xfId="25328" xr:uid="{00000000-0005-0000-0000-0000092B0000}"/>
    <cellStyle name="Comma 28 23" xfId="25329" xr:uid="{00000000-0005-0000-0000-00000A2B0000}"/>
    <cellStyle name="Comma 28 23 2" xfId="25330" xr:uid="{00000000-0005-0000-0000-00000B2B0000}"/>
    <cellStyle name="Comma 28 23 2 2" xfId="25331" xr:uid="{00000000-0005-0000-0000-00000C2B0000}"/>
    <cellStyle name="Comma 28 23 3" xfId="25332" xr:uid="{00000000-0005-0000-0000-00000D2B0000}"/>
    <cellStyle name="Comma 28 24" xfId="25333" xr:uid="{00000000-0005-0000-0000-00000E2B0000}"/>
    <cellStyle name="Comma 28 24 2" xfId="25334" xr:uid="{00000000-0005-0000-0000-00000F2B0000}"/>
    <cellStyle name="Comma 28 24 2 2" xfId="25335" xr:uid="{00000000-0005-0000-0000-0000102B0000}"/>
    <cellStyle name="Comma 28 24 3" xfId="25336" xr:uid="{00000000-0005-0000-0000-0000112B0000}"/>
    <cellStyle name="Comma 28 25" xfId="25337" xr:uid="{00000000-0005-0000-0000-0000122B0000}"/>
    <cellStyle name="Comma 28 25 2" xfId="25338" xr:uid="{00000000-0005-0000-0000-0000132B0000}"/>
    <cellStyle name="Comma 28 25 2 2" xfId="25339" xr:uid="{00000000-0005-0000-0000-0000142B0000}"/>
    <cellStyle name="Comma 28 25 3" xfId="25340" xr:uid="{00000000-0005-0000-0000-0000152B0000}"/>
    <cellStyle name="Comma 28 26" xfId="25341" xr:uid="{00000000-0005-0000-0000-0000162B0000}"/>
    <cellStyle name="Comma 28 26 2" xfId="25342" xr:uid="{00000000-0005-0000-0000-0000172B0000}"/>
    <cellStyle name="Comma 28 26 2 2" xfId="25343" xr:uid="{00000000-0005-0000-0000-0000182B0000}"/>
    <cellStyle name="Comma 28 26 3" xfId="25344" xr:uid="{00000000-0005-0000-0000-0000192B0000}"/>
    <cellStyle name="Comma 28 27" xfId="25345" xr:uid="{00000000-0005-0000-0000-00001A2B0000}"/>
    <cellStyle name="Comma 28 27 2" xfId="25346" xr:uid="{00000000-0005-0000-0000-00001B2B0000}"/>
    <cellStyle name="Comma 28 27 2 2" xfId="25347" xr:uid="{00000000-0005-0000-0000-00001C2B0000}"/>
    <cellStyle name="Comma 28 27 3" xfId="25348" xr:uid="{00000000-0005-0000-0000-00001D2B0000}"/>
    <cellStyle name="Comma 28 28" xfId="25349" xr:uid="{00000000-0005-0000-0000-00001E2B0000}"/>
    <cellStyle name="Comma 28 28 2" xfId="25350" xr:uid="{00000000-0005-0000-0000-00001F2B0000}"/>
    <cellStyle name="Comma 28 28 2 2" xfId="25351" xr:uid="{00000000-0005-0000-0000-0000202B0000}"/>
    <cellStyle name="Comma 28 28 3" xfId="25352" xr:uid="{00000000-0005-0000-0000-0000212B0000}"/>
    <cellStyle name="Comma 28 29" xfId="25353" xr:uid="{00000000-0005-0000-0000-0000222B0000}"/>
    <cellStyle name="Comma 28 29 2" xfId="25354" xr:uid="{00000000-0005-0000-0000-0000232B0000}"/>
    <cellStyle name="Comma 28 3" xfId="2842" xr:uid="{00000000-0005-0000-0000-0000242B0000}"/>
    <cellStyle name="Comma 28 3 2" xfId="25355" xr:uid="{00000000-0005-0000-0000-0000252B0000}"/>
    <cellStyle name="Comma 28 3 2 2" xfId="25356" xr:uid="{00000000-0005-0000-0000-0000262B0000}"/>
    <cellStyle name="Comma 28 3 3" xfId="25357" xr:uid="{00000000-0005-0000-0000-0000272B0000}"/>
    <cellStyle name="Comma 28 3 3 2" xfId="25358" xr:uid="{00000000-0005-0000-0000-0000282B0000}"/>
    <cellStyle name="Comma 28 3 3 2 2" xfId="25359" xr:uid="{00000000-0005-0000-0000-0000292B0000}"/>
    <cellStyle name="Comma 28 3 3 3" xfId="25360" xr:uid="{00000000-0005-0000-0000-00002A2B0000}"/>
    <cellStyle name="Comma 28 3 4" xfId="25361" xr:uid="{00000000-0005-0000-0000-00002B2B0000}"/>
    <cellStyle name="Comma 28 30" xfId="25362" xr:uid="{00000000-0005-0000-0000-00002C2B0000}"/>
    <cellStyle name="Comma 28 30 2" xfId="25363" xr:uid="{00000000-0005-0000-0000-00002D2B0000}"/>
    <cellStyle name="Comma 28 30 2 2" xfId="25364" xr:uid="{00000000-0005-0000-0000-00002E2B0000}"/>
    <cellStyle name="Comma 28 30 3" xfId="25365" xr:uid="{00000000-0005-0000-0000-00002F2B0000}"/>
    <cellStyle name="Comma 28 31" xfId="25366" xr:uid="{00000000-0005-0000-0000-0000302B0000}"/>
    <cellStyle name="Comma 28 31 2" xfId="25367" xr:uid="{00000000-0005-0000-0000-0000312B0000}"/>
    <cellStyle name="Comma 28 32" xfId="25368" xr:uid="{00000000-0005-0000-0000-0000322B0000}"/>
    <cellStyle name="Comma 28 33" xfId="25369" xr:uid="{00000000-0005-0000-0000-0000332B0000}"/>
    <cellStyle name="Comma 28 34" xfId="25370" xr:uid="{00000000-0005-0000-0000-0000342B0000}"/>
    <cellStyle name="Comma 28 4" xfId="25371" xr:uid="{00000000-0005-0000-0000-0000352B0000}"/>
    <cellStyle name="Comma 28 4 2" xfId="25372" xr:uid="{00000000-0005-0000-0000-0000362B0000}"/>
    <cellStyle name="Comma 28 4 2 2" xfId="25373" xr:uid="{00000000-0005-0000-0000-0000372B0000}"/>
    <cellStyle name="Comma 28 4 3" xfId="25374" xr:uid="{00000000-0005-0000-0000-0000382B0000}"/>
    <cellStyle name="Comma 28 4 3 2" xfId="25375" xr:uid="{00000000-0005-0000-0000-0000392B0000}"/>
    <cellStyle name="Comma 28 4 3 2 2" xfId="25376" xr:uid="{00000000-0005-0000-0000-00003A2B0000}"/>
    <cellStyle name="Comma 28 4 3 3" xfId="25377" xr:uid="{00000000-0005-0000-0000-00003B2B0000}"/>
    <cellStyle name="Comma 28 4 4" xfId="25378" xr:uid="{00000000-0005-0000-0000-00003C2B0000}"/>
    <cellStyle name="Comma 28 5" xfId="25379" xr:uid="{00000000-0005-0000-0000-00003D2B0000}"/>
    <cellStyle name="Comma 28 5 2" xfId="25380" xr:uid="{00000000-0005-0000-0000-00003E2B0000}"/>
    <cellStyle name="Comma 28 5 2 2" xfId="25381" xr:uid="{00000000-0005-0000-0000-00003F2B0000}"/>
    <cellStyle name="Comma 28 5 3" xfId="25382" xr:uid="{00000000-0005-0000-0000-0000402B0000}"/>
    <cellStyle name="Comma 28 5 3 2" xfId="25383" xr:uid="{00000000-0005-0000-0000-0000412B0000}"/>
    <cellStyle name="Comma 28 5 3 2 2" xfId="25384" xr:uid="{00000000-0005-0000-0000-0000422B0000}"/>
    <cellStyle name="Comma 28 5 3 3" xfId="25385" xr:uid="{00000000-0005-0000-0000-0000432B0000}"/>
    <cellStyle name="Comma 28 5 4" xfId="25386" xr:uid="{00000000-0005-0000-0000-0000442B0000}"/>
    <cellStyle name="Comma 28 6" xfId="25387" xr:uid="{00000000-0005-0000-0000-0000452B0000}"/>
    <cellStyle name="Comma 28 6 2" xfId="25388" xr:uid="{00000000-0005-0000-0000-0000462B0000}"/>
    <cellStyle name="Comma 28 6 2 2" xfId="25389" xr:uid="{00000000-0005-0000-0000-0000472B0000}"/>
    <cellStyle name="Comma 28 6 3" xfId="25390" xr:uid="{00000000-0005-0000-0000-0000482B0000}"/>
    <cellStyle name="Comma 28 7" xfId="25391" xr:uid="{00000000-0005-0000-0000-0000492B0000}"/>
    <cellStyle name="Comma 28 7 2" xfId="25392" xr:uid="{00000000-0005-0000-0000-00004A2B0000}"/>
    <cellStyle name="Comma 28 7 2 2" xfId="25393" xr:uid="{00000000-0005-0000-0000-00004B2B0000}"/>
    <cellStyle name="Comma 28 7 3" xfId="25394" xr:uid="{00000000-0005-0000-0000-00004C2B0000}"/>
    <cellStyle name="Comma 28 8" xfId="25395" xr:uid="{00000000-0005-0000-0000-00004D2B0000}"/>
    <cellStyle name="Comma 28 8 2" xfId="25396" xr:uid="{00000000-0005-0000-0000-00004E2B0000}"/>
    <cellStyle name="Comma 28 8 2 2" xfId="25397" xr:uid="{00000000-0005-0000-0000-00004F2B0000}"/>
    <cellStyle name="Comma 28 8 3" xfId="25398" xr:uid="{00000000-0005-0000-0000-0000502B0000}"/>
    <cellStyle name="Comma 28 9" xfId="25399" xr:uid="{00000000-0005-0000-0000-0000512B0000}"/>
    <cellStyle name="Comma 28 9 2" xfId="25400" xr:uid="{00000000-0005-0000-0000-0000522B0000}"/>
    <cellStyle name="Comma 28 9 2 2" xfId="25401" xr:uid="{00000000-0005-0000-0000-0000532B0000}"/>
    <cellStyle name="Comma 28 9 3" xfId="25402" xr:uid="{00000000-0005-0000-0000-0000542B0000}"/>
    <cellStyle name="Comma 280" xfId="25403" xr:uid="{00000000-0005-0000-0000-0000552B0000}"/>
    <cellStyle name="Comma 280 2" xfId="25404" xr:uid="{00000000-0005-0000-0000-0000562B0000}"/>
    <cellStyle name="Comma 280 3" xfId="25405" xr:uid="{00000000-0005-0000-0000-0000572B0000}"/>
    <cellStyle name="Comma 281" xfId="25406" xr:uid="{00000000-0005-0000-0000-0000582B0000}"/>
    <cellStyle name="Comma 281 2" xfId="25407" xr:uid="{00000000-0005-0000-0000-0000592B0000}"/>
    <cellStyle name="Comma 281 3" xfId="25408" xr:uid="{00000000-0005-0000-0000-00005A2B0000}"/>
    <cellStyle name="Comma 282" xfId="25409" xr:uid="{00000000-0005-0000-0000-00005B2B0000}"/>
    <cellStyle name="Comma 282 2" xfId="25410" xr:uid="{00000000-0005-0000-0000-00005C2B0000}"/>
    <cellStyle name="Comma 282 3" xfId="25411" xr:uid="{00000000-0005-0000-0000-00005D2B0000}"/>
    <cellStyle name="Comma 283" xfId="25412" xr:uid="{00000000-0005-0000-0000-00005E2B0000}"/>
    <cellStyle name="Comma 283 2" xfId="25413" xr:uid="{00000000-0005-0000-0000-00005F2B0000}"/>
    <cellStyle name="Comma 283 3" xfId="25414" xr:uid="{00000000-0005-0000-0000-0000602B0000}"/>
    <cellStyle name="Comma 284" xfId="25415" xr:uid="{00000000-0005-0000-0000-0000612B0000}"/>
    <cellStyle name="Comma 284 2" xfId="25416" xr:uid="{00000000-0005-0000-0000-0000622B0000}"/>
    <cellStyle name="Comma 284 3" xfId="25417" xr:uid="{00000000-0005-0000-0000-0000632B0000}"/>
    <cellStyle name="Comma 285" xfId="25418" xr:uid="{00000000-0005-0000-0000-0000642B0000}"/>
    <cellStyle name="Comma 285 2" xfId="25419" xr:uid="{00000000-0005-0000-0000-0000652B0000}"/>
    <cellStyle name="Comma 285 3" xfId="25420" xr:uid="{00000000-0005-0000-0000-0000662B0000}"/>
    <cellStyle name="Comma 286" xfId="25421" xr:uid="{00000000-0005-0000-0000-0000672B0000}"/>
    <cellStyle name="Comma 286 2" xfId="25422" xr:uid="{00000000-0005-0000-0000-0000682B0000}"/>
    <cellStyle name="Comma 286 3" xfId="25423" xr:uid="{00000000-0005-0000-0000-0000692B0000}"/>
    <cellStyle name="Comma 287" xfId="25424" xr:uid="{00000000-0005-0000-0000-00006A2B0000}"/>
    <cellStyle name="Comma 287 2" xfId="25425" xr:uid="{00000000-0005-0000-0000-00006B2B0000}"/>
    <cellStyle name="Comma 287 3" xfId="25426" xr:uid="{00000000-0005-0000-0000-00006C2B0000}"/>
    <cellStyle name="Comma 288" xfId="25427" xr:uid="{00000000-0005-0000-0000-00006D2B0000}"/>
    <cellStyle name="Comma 288 2" xfId="25428" xr:uid="{00000000-0005-0000-0000-00006E2B0000}"/>
    <cellStyle name="Comma 288 3" xfId="25429" xr:uid="{00000000-0005-0000-0000-00006F2B0000}"/>
    <cellStyle name="Comma 289" xfId="25430" xr:uid="{00000000-0005-0000-0000-0000702B0000}"/>
    <cellStyle name="Comma 289 2" xfId="25431" xr:uid="{00000000-0005-0000-0000-0000712B0000}"/>
    <cellStyle name="Comma 289 3" xfId="25432" xr:uid="{00000000-0005-0000-0000-0000722B0000}"/>
    <cellStyle name="Comma 29" xfId="2843" xr:uid="{00000000-0005-0000-0000-0000732B0000}"/>
    <cellStyle name="Comma 29 10" xfId="25433" xr:uid="{00000000-0005-0000-0000-0000742B0000}"/>
    <cellStyle name="Comma 29 10 2" xfId="25434" xr:uid="{00000000-0005-0000-0000-0000752B0000}"/>
    <cellStyle name="Comma 29 10 2 2" xfId="25435" xr:uid="{00000000-0005-0000-0000-0000762B0000}"/>
    <cellStyle name="Comma 29 10 3" xfId="25436" xr:uid="{00000000-0005-0000-0000-0000772B0000}"/>
    <cellStyle name="Comma 29 11" xfId="25437" xr:uid="{00000000-0005-0000-0000-0000782B0000}"/>
    <cellStyle name="Comma 29 11 2" xfId="25438" xr:uid="{00000000-0005-0000-0000-0000792B0000}"/>
    <cellStyle name="Comma 29 11 2 2" xfId="25439" xr:uid="{00000000-0005-0000-0000-00007A2B0000}"/>
    <cellStyle name="Comma 29 11 3" xfId="25440" xr:uid="{00000000-0005-0000-0000-00007B2B0000}"/>
    <cellStyle name="Comma 29 12" xfId="25441" xr:uid="{00000000-0005-0000-0000-00007C2B0000}"/>
    <cellStyle name="Comma 29 12 2" xfId="25442" xr:uid="{00000000-0005-0000-0000-00007D2B0000}"/>
    <cellStyle name="Comma 29 12 2 2" xfId="25443" xr:uid="{00000000-0005-0000-0000-00007E2B0000}"/>
    <cellStyle name="Comma 29 12 3" xfId="25444" xr:uid="{00000000-0005-0000-0000-00007F2B0000}"/>
    <cellStyle name="Comma 29 13" xfId="25445" xr:uid="{00000000-0005-0000-0000-0000802B0000}"/>
    <cellStyle name="Comma 29 13 2" xfId="25446" xr:uid="{00000000-0005-0000-0000-0000812B0000}"/>
    <cellStyle name="Comma 29 13 2 2" xfId="25447" xr:uid="{00000000-0005-0000-0000-0000822B0000}"/>
    <cellStyle name="Comma 29 13 3" xfId="25448" xr:uid="{00000000-0005-0000-0000-0000832B0000}"/>
    <cellStyle name="Comma 29 14" xfId="25449" xr:uid="{00000000-0005-0000-0000-0000842B0000}"/>
    <cellStyle name="Comma 29 14 2" xfId="25450" xr:uid="{00000000-0005-0000-0000-0000852B0000}"/>
    <cellStyle name="Comma 29 14 2 2" xfId="25451" xr:uid="{00000000-0005-0000-0000-0000862B0000}"/>
    <cellStyle name="Comma 29 14 3" xfId="25452" xr:uid="{00000000-0005-0000-0000-0000872B0000}"/>
    <cellStyle name="Comma 29 15" xfId="25453" xr:uid="{00000000-0005-0000-0000-0000882B0000}"/>
    <cellStyle name="Comma 29 15 2" xfId="25454" xr:uid="{00000000-0005-0000-0000-0000892B0000}"/>
    <cellStyle name="Comma 29 15 2 2" xfId="25455" xr:uid="{00000000-0005-0000-0000-00008A2B0000}"/>
    <cellStyle name="Comma 29 15 3" xfId="25456" xr:uid="{00000000-0005-0000-0000-00008B2B0000}"/>
    <cellStyle name="Comma 29 16" xfId="25457" xr:uid="{00000000-0005-0000-0000-00008C2B0000}"/>
    <cellStyle name="Comma 29 16 2" xfId="25458" xr:uid="{00000000-0005-0000-0000-00008D2B0000}"/>
    <cellStyle name="Comma 29 16 2 2" xfId="25459" xr:uid="{00000000-0005-0000-0000-00008E2B0000}"/>
    <cellStyle name="Comma 29 16 3" xfId="25460" xr:uid="{00000000-0005-0000-0000-00008F2B0000}"/>
    <cellStyle name="Comma 29 17" xfId="25461" xr:uid="{00000000-0005-0000-0000-0000902B0000}"/>
    <cellStyle name="Comma 29 17 2" xfId="25462" xr:uid="{00000000-0005-0000-0000-0000912B0000}"/>
    <cellStyle name="Comma 29 17 2 2" xfId="25463" xr:uid="{00000000-0005-0000-0000-0000922B0000}"/>
    <cellStyle name="Comma 29 17 3" xfId="25464" xr:uid="{00000000-0005-0000-0000-0000932B0000}"/>
    <cellStyle name="Comma 29 18" xfId="25465" xr:uid="{00000000-0005-0000-0000-0000942B0000}"/>
    <cellStyle name="Comma 29 18 2" xfId="25466" xr:uid="{00000000-0005-0000-0000-0000952B0000}"/>
    <cellStyle name="Comma 29 18 2 2" xfId="25467" xr:uid="{00000000-0005-0000-0000-0000962B0000}"/>
    <cellStyle name="Comma 29 18 3" xfId="25468" xr:uid="{00000000-0005-0000-0000-0000972B0000}"/>
    <cellStyle name="Comma 29 19" xfId="25469" xr:uid="{00000000-0005-0000-0000-0000982B0000}"/>
    <cellStyle name="Comma 29 19 2" xfId="25470" xr:uid="{00000000-0005-0000-0000-0000992B0000}"/>
    <cellStyle name="Comma 29 19 2 2" xfId="25471" xr:uid="{00000000-0005-0000-0000-00009A2B0000}"/>
    <cellStyle name="Comma 29 19 3" xfId="25472" xr:uid="{00000000-0005-0000-0000-00009B2B0000}"/>
    <cellStyle name="Comma 29 2" xfId="2844" xr:uid="{00000000-0005-0000-0000-00009C2B0000}"/>
    <cellStyle name="Comma 29 2 2" xfId="25473" xr:uid="{00000000-0005-0000-0000-00009D2B0000}"/>
    <cellStyle name="Comma 29 2 2 2" xfId="25474" xr:uid="{00000000-0005-0000-0000-00009E2B0000}"/>
    <cellStyle name="Comma 29 2 3" xfId="25475" xr:uid="{00000000-0005-0000-0000-00009F2B0000}"/>
    <cellStyle name="Comma 29 2 3 2" xfId="25476" xr:uid="{00000000-0005-0000-0000-0000A02B0000}"/>
    <cellStyle name="Comma 29 2 3 2 2" xfId="25477" xr:uid="{00000000-0005-0000-0000-0000A12B0000}"/>
    <cellStyle name="Comma 29 2 3 3" xfId="25478" xr:uid="{00000000-0005-0000-0000-0000A22B0000}"/>
    <cellStyle name="Comma 29 2 4" xfId="25479" xr:uid="{00000000-0005-0000-0000-0000A32B0000}"/>
    <cellStyle name="Comma 29 20" xfId="25480" xr:uid="{00000000-0005-0000-0000-0000A42B0000}"/>
    <cellStyle name="Comma 29 20 2" xfId="25481" xr:uid="{00000000-0005-0000-0000-0000A52B0000}"/>
    <cellStyle name="Comma 29 20 2 2" xfId="25482" xr:uid="{00000000-0005-0000-0000-0000A62B0000}"/>
    <cellStyle name="Comma 29 20 3" xfId="25483" xr:uid="{00000000-0005-0000-0000-0000A72B0000}"/>
    <cellStyle name="Comma 29 21" xfId="25484" xr:uid="{00000000-0005-0000-0000-0000A82B0000}"/>
    <cellStyle name="Comma 29 21 2" xfId="25485" xr:uid="{00000000-0005-0000-0000-0000A92B0000}"/>
    <cellStyle name="Comma 29 21 2 2" xfId="25486" xr:uid="{00000000-0005-0000-0000-0000AA2B0000}"/>
    <cellStyle name="Comma 29 21 3" xfId="25487" xr:uid="{00000000-0005-0000-0000-0000AB2B0000}"/>
    <cellStyle name="Comma 29 22" xfId="25488" xr:uid="{00000000-0005-0000-0000-0000AC2B0000}"/>
    <cellStyle name="Comma 29 22 2" xfId="25489" xr:uid="{00000000-0005-0000-0000-0000AD2B0000}"/>
    <cellStyle name="Comma 29 22 2 2" xfId="25490" xr:uid="{00000000-0005-0000-0000-0000AE2B0000}"/>
    <cellStyle name="Comma 29 22 3" xfId="25491" xr:uid="{00000000-0005-0000-0000-0000AF2B0000}"/>
    <cellStyle name="Comma 29 23" xfId="25492" xr:uid="{00000000-0005-0000-0000-0000B02B0000}"/>
    <cellStyle name="Comma 29 23 2" xfId="25493" xr:uid="{00000000-0005-0000-0000-0000B12B0000}"/>
    <cellStyle name="Comma 29 23 2 2" xfId="25494" xr:uid="{00000000-0005-0000-0000-0000B22B0000}"/>
    <cellStyle name="Comma 29 23 3" xfId="25495" xr:uid="{00000000-0005-0000-0000-0000B32B0000}"/>
    <cellStyle name="Comma 29 24" xfId="25496" xr:uid="{00000000-0005-0000-0000-0000B42B0000}"/>
    <cellStyle name="Comma 29 24 2" xfId="25497" xr:uid="{00000000-0005-0000-0000-0000B52B0000}"/>
    <cellStyle name="Comma 29 24 2 2" xfId="25498" xr:uid="{00000000-0005-0000-0000-0000B62B0000}"/>
    <cellStyle name="Comma 29 24 3" xfId="25499" xr:uid="{00000000-0005-0000-0000-0000B72B0000}"/>
    <cellStyle name="Comma 29 25" xfId="25500" xr:uid="{00000000-0005-0000-0000-0000B82B0000}"/>
    <cellStyle name="Comma 29 25 2" xfId="25501" xr:uid="{00000000-0005-0000-0000-0000B92B0000}"/>
    <cellStyle name="Comma 29 25 2 2" xfId="25502" xr:uid="{00000000-0005-0000-0000-0000BA2B0000}"/>
    <cellStyle name="Comma 29 25 3" xfId="25503" xr:uid="{00000000-0005-0000-0000-0000BB2B0000}"/>
    <cellStyle name="Comma 29 26" xfId="25504" xr:uid="{00000000-0005-0000-0000-0000BC2B0000}"/>
    <cellStyle name="Comma 29 26 2" xfId="25505" xr:uid="{00000000-0005-0000-0000-0000BD2B0000}"/>
    <cellStyle name="Comma 29 26 2 2" xfId="25506" xr:uid="{00000000-0005-0000-0000-0000BE2B0000}"/>
    <cellStyle name="Comma 29 26 3" xfId="25507" xr:uid="{00000000-0005-0000-0000-0000BF2B0000}"/>
    <cellStyle name="Comma 29 27" xfId="25508" xr:uid="{00000000-0005-0000-0000-0000C02B0000}"/>
    <cellStyle name="Comma 29 27 2" xfId="25509" xr:uid="{00000000-0005-0000-0000-0000C12B0000}"/>
    <cellStyle name="Comma 29 27 2 2" xfId="25510" xr:uid="{00000000-0005-0000-0000-0000C22B0000}"/>
    <cellStyle name="Comma 29 27 3" xfId="25511" xr:uid="{00000000-0005-0000-0000-0000C32B0000}"/>
    <cellStyle name="Comma 29 28" xfId="25512" xr:uid="{00000000-0005-0000-0000-0000C42B0000}"/>
    <cellStyle name="Comma 29 28 2" xfId="25513" xr:uid="{00000000-0005-0000-0000-0000C52B0000}"/>
    <cellStyle name="Comma 29 28 2 2" xfId="25514" xr:uid="{00000000-0005-0000-0000-0000C62B0000}"/>
    <cellStyle name="Comma 29 28 3" xfId="25515" xr:uid="{00000000-0005-0000-0000-0000C72B0000}"/>
    <cellStyle name="Comma 29 29" xfId="25516" xr:uid="{00000000-0005-0000-0000-0000C82B0000}"/>
    <cellStyle name="Comma 29 29 2" xfId="25517" xr:uid="{00000000-0005-0000-0000-0000C92B0000}"/>
    <cellStyle name="Comma 29 3" xfId="2845" xr:uid="{00000000-0005-0000-0000-0000CA2B0000}"/>
    <cellStyle name="Comma 29 3 2" xfId="25518" xr:uid="{00000000-0005-0000-0000-0000CB2B0000}"/>
    <cellStyle name="Comma 29 3 2 2" xfId="25519" xr:uid="{00000000-0005-0000-0000-0000CC2B0000}"/>
    <cellStyle name="Comma 29 3 3" xfId="25520" xr:uid="{00000000-0005-0000-0000-0000CD2B0000}"/>
    <cellStyle name="Comma 29 3 3 2" xfId="25521" xr:uid="{00000000-0005-0000-0000-0000CE2B0000}"/>
    <cellStyle name="Comma 29 3 3 2 2" xfId="25522" xr:uid="{00000000-0005-0000-0000-0000CF2B0000}"/>
    <cellStyle name="Comma 29 3 3 3" xfId="25523" xr:uid="{00000000-0005-0000-0000-0000D02B0000}"/>
    <cellStyle name="Comma 29 3 4" xfId="25524" xr:uid="{00000000-0005-0000-0000-0000D12B0000}"/>
    <cellStyle name="Comma 29 30" xfId="25525" xr:uid="{00000000-0005-0000-0000-0000D22B0000}"/>
    <cellStyle name="Comma 29 30 2" xfId="25526" xr:uid="{00000000-0005-0000-0000-0000D32B0000}"/>
    <cellStyle name="Comma 29 30 2 2" xfId="25527" xr:uid="{00000000-0005-0000-0000-0000D42B0000}"/>
    <cellStyle name="Comma 29 30 3" xfId="25528" xr:uid="{00000000-0005-0000-0000-0000D52B0000}"/>
    <cellStyle name="Comma 29 31" xfId="25529" xr:uid="{00000000-0005-0000-0000-0000D62B0000}"/>
    <cellStyle name="Comma 29 31 2" xfId="25530" xr:uid="{00000000-0005-0000-0000-0000D72B0000}"/>
    <cellStyle name="Comma 29 32" xfId="25531" xr:uid="{00000000-0005-0000-0000-0000D82B0000}"/>
    <cellStyle name="Comma 29 33" xfId="25532" xr:uid="{00000000-0005-0000-0000-0000D92B0000}"/>
    <cellStyle name="Comma 29 34" xfId="25533" xr:uid="{00000000-0005-0000-0000-0000DA2B0000}"/>
    <cellStyle name="Comma 29 4" xfId="25534" xr:uid="{00000000-0005-0000-0000-0000DB2B0000}"/>
    <cellStyle name="Comma 29 4 2" xfId="25535" xr:uid="{00000000-0005-0000-0000-0000DC2B0000}"/>
    <cellStyle name="Comma 29 4 2 2" xfId="25536" xr:uid="{00000000-0005-0000-0000-0000DD2B0000}"/>
    <cellStyle name="Comma 29 4 3" xfId="25537" xr:uid="{00000000-0005-0000-0000-0000DE2B0000}"/>
    <cellStyle name="Comma 29 4 3 2" xfId="25538" xr:uid="{00000000-0005-0000-0000-0000DF2B0000}"/>
    <cellStyle name="Comma 29 4 3 2 2" xfId="25539" xr:uid="{00000000-0005-0000-0000-0000E02B0000}"/>
    <cellStyle name="Comma 29 4 3 3" xfId="25540" xr:uid="{00000000-0005-0000-0000-0000E12B0000}"/>
    <cellStyle name="Comma 29 4 4" xfId="25541" xr:uid="{00000000-0005-0000-0000-0000E22B0000}"/>
    <cellStyle name="Comma 29 5" xfId="25542" xr:uid="{00000000-0005-0000-0000-0000E32B0000}"/>
    <cellStyle name="Comma 29 5 2" xfId="25543" xr:uid="{00000000-0005-0000-0000-0000E42B0000}"/>
    <cellStyle name="Comma 29 5 2 2" xfId="25544" xr:uid="{00000000-0005-0000-0000-0000E52B0000}"/>
    <cellStyle name="Comma 29 5 3" xfId="25545" xr:uid="{00000000-0005-0000-0000-0000E62B0000}"/>
    <cellStyle name="Comma 29 5 3 2" xfId="25546" xr:uid="{00000000-0005-0000-0000-0000E72B0000}"/>
    <cellStyle name="Comma 29 5 3 2 2" xfId="25547" xr:uid="{00000000-0005-0000-0000-0000E82B0000}"/>
    <cellStyle name="Comma 29 5 3 3" xfId="25548" xr:uid="{00000000-0005-0000-0000-0000E92B0000}"/>
    <cellStyle name="Comma 29 5 4" xfId="25549" xr:uid="{00000000-0005-0000-0000-0000EA2B0000}"/>
    <cellStyle name="Comma 29 6" xfId="25550" xr:uid="{00000000-0005-0000-0000-0000EB2B0000}"/>
    <cellStyle name="Comma 29 6 2" xfId="25551" xr:uid="{00000000-0005-0000-0000-0000EC2B0000}"/>
    <cellStyle name="Comma 29 6 2 2" xfId="25552" xr:uid="{00000000-0005-0000-0000-0000ED2B0000}"/>
    <cellStyle name="Comma 29 6 3" xfId="25553" xr:uid="{00000000-0005-0000-0000-0000EE2B0000}"/>
    <cellStyle name="Comma 29 7" xfId="25554" xr:uid="{00000000-0005-0000-0000-0000EF2B0000}"/>
    <cellStyle name="Comma 29 7 2" xfId="25555" xr:uid="{00000000-0005-0000-0000-0000F02B0000}"/>
    <cellStyle name="Comma 29 7 2 2" xfId="25556" xr:uid="{00000000-0005-0000-0000-0000F12B0000}"/>
    <cellStyle name="Comma 29 7 3" xfId="25557" xr:uid="{00000000-0005-0000-0000-0000F22B0000}"/>
    <cellStyle name="Comma 29 8" xfId="25558" xr:uid="{00000000-0005-0000-0000-0000F32B0000}"/>
    <cellStyle name="Comma 29 8 2" xfId="25559" xr:uid="{00000000-0005-0000-0000-0000F42B0000}"/>
    <cellStyle name="Comma 29 8 2 2" xfId="25560" xr:uid="{00000000-0005-0000-0000-0000F52B0000}"/>
    <cellStyle name="Comma 29 8 3" xfId="25561" xr:uid="{00000000-0005-0000-0000-0000F62B0000}"/>
    <cellStyle name="Comma 29 9" xfId="25562" xr:uid="{00000000-0005-0000-0000-0000F72B0000}"/>
    <cellStyle name="Comma 29 9 2" xfId="25563" xr:uid="{00000000-0005-0000-0000-0000F82B0000}"/>
    <cellStyle name="Comma 29 9 2 2" xfId="25564" xr:uid="{00000000-0005-0000-0000-0000F92B0000}"/>
    <cellStyle name="Comma 29 9 3" xfId="25565" xr:uid="{00000000-0005-0000-0000-0000FA2B0000}"/>
    <cellStyle name="Comma 290" xfId="25566" xr:uid="{00000000-0005-0000-0000-0000FB2B0000}"/>
    <cellStyle name="Comma 290 2" xfId="25567" xr:uid="{00000000-0005-0000-0000-0000FC2B0000}"/>
    <cellStyle name="Comma 290 3" xfId="25568" xr:uid="{00000000-0005-0000-0000-0000FD2B0000}"/>
    <cellStyle name="Comma 291" xfId="25569" xr:uid="{00000000-0005-0000-0000-0000FE2B0000}"/>
    <cellStyle name="Comma 291 2" xfId="25570" xr:uid="{00000000-0005-0000-0000-0000FF2B0000}"/>
    <cellStyle name="Comma 291 3" xfId="25571" xr:uid="{00000000-0005-0000-0000-0000002C0000}"/>
    <cellStyle name="Comma 292" xfId="25572" xr:uid="{00000000-0005-0000-0000-0000012C0000}"/>
    <cellStyle name="Comma 292 2" xfId="25573" xr:uid="{00000000-0005-0000-0000-0000022C0000}"/>
    <cellStyle name="Comma 292 3" xfId="25574" xr:uid="{00000000-0005-0000-0000-0000032C0000}"/>
    <cellStyle name="Comma 293" xfId="25575" xr:uid="{00000000-0005-0000-0000-0000042C0000}"/>
    <cellStyle name="Comma 293 2" xfId="25576" xr:uid="{00000000-0005-0000-0000-0000052C0000}"/>
    <cellStyle name="Comma 293 3" xfId="25577" xr:uid="{00000000-0005-0000-0000-0000062C0000}"/>
    <cellStyle name="Comma 294" xfId="25578" xr:uid="{00000000-0005-0000-0000-0000072C0000}"/>
    <cellStyle name="Comma 294 2" xfId="25579" xr:uid="{00000000-0005-0000-0000-0000082C0000}"/>
    <cellStyle name="Comma 294 3" xfId="25580" xr:uid="{00000000-0005-0000-0000-0000092C0000}"/>
    <cellStyle name="Comma 295" xfId="25581" xr:uid="{00000000-0005-0000-0000-00000A2C0000}"/>
    <cellStyle name="Comma 295 2" xfId="25582" xr:uid="{00000000-0005-0000-0000-00000B2C0000}"/>
    <cellStyle name="Comma 295 3" xfId="25583" xr:uid="{00000000-0005-0000-0000-00000C2C0000}"/>
    <cellStyle name="Comma 296" xfId="25584" xr:uid="{00000000-0005-0000-0000-00000D2C0000}"/>
    <cellStyle name="Comma 296 2" xfId="25585" xr:uid="{00000000-0005-0000-0000-00000E2C0000}"/>
    <cellStyle name="Comma 296 3" xfId="25586" xr:uid="{00000000-0005-0000-0000-00000F2C0000}"/>
    <cellStyle name="Comma 297" xfId="25587" xr:uid="{00000000-0005-0000-0000-0000102C0000}"/>
    <cellStyle name="Comma 297 2" xfId="25588" xr:uid="{00000000-0005-0000-0000-0000112C0000}"/>
    <cellStyle name="Comma 297 3" xfId="25589" xr:uid="{00000000-0005-0000-0000-0000122C0000}"/>
    <cellStyle name="Comma 298" xfId="25590" xr:uid="{00000000-0005-0000-0000-0000132C0000}"/>
    <cellStyle name="Comma 298 2" xfId="25591" xr:uid="{00000000-0005-0000-0000-0000142C0000}"/>
    <cellStyle name="Comma 298 3" xfId="25592" xr:uid="{00000000-0005-0000-0000-0000152C0000}"/>
    <cellStyle name="Comma 299" xfId="25593" xr:uid="{00000000-0005-0000-0000-0000162C0000}"/>
    <cellStyle name="Comma 299 2" xfId="25594" xr:uid="{00000000-0005-0000-0000-0000172C0000}"/>
    <cellStyle name="Comma 299 3" xfId="25595" xr:uid="{00000000-0005-0000-0000-0000182C0000}"/>
    <cellStyle name="Comma 3" xfId="4" xr:uid="{00000000-0005-0000-0000-0000192C0000}"/>
    <cellStyle name="Comma 3 10" xfId="25596" xr:uid="{00000000-0005-0000-0000-00001A2C0000}"/>
    <cellStyle name="Comma 3 11" xfId="25597" xr:uid="{00000000-0005-0000-0000-00001B2C0000}"/>
    <cellStyle name="Comma 3 12" xfId="25598" xr:uid="{00000000-0005-0000-0000-00001C2C0000}"/>
    <cellStyle name="Comma 3 12 2" xfId="25599" xr:uid="{00000000-0005-0000-0000-00001D2C0000}"/>
    <cellStyle name="Comma 3 13" xfId="41" xr:uid="{00000000-0005-0000-0000-00001E2C0000}"/>
    <cellStyle name="Comma 3 13 2" xfId="25600" xr:uid="{00000000-0005-0000-0000-00001F2C0000}"/>
    <cellStyle name="Comma 3 14" xfId="2846" xr:uid="{00000000-0005-0000-0000-0000202C0000}"/>
    <cellStyle name="Comma 3 2" xfId="2847" xr:uid="{00000000-0005-0000-0000-0000212C0000}"/>
    <cellStyle name="Comma 3 2 10" xfId="25602" xr:uid="{00000000-0005-0000-0000-0000222C0000}"/>
    <cellStyle name="Comma 3 2 11" xfId="25603" xr:uid="{00000000-0005-0000-0000-0000232C0000}"/>
    <cellStyle name="Comma 3 2 12" xfId="25604" xr:uid="{00000000-0005-0000-0000-0000242C0000}"/>
    <cellStyle name="Comma 3 2 13" xfId="25605" xr:uid="{00000000-0005-0000-0000-0000252C0000}"/>
    <cellStyle name="Comma 3 2 14" xfId="25606" xr:uid="{00000000-0005-0000-0000-0000262C0000}"/>
    <cellStyle name="Comma 3 2 15" xfId="25607" xr:uid="{00000000-0005-0000-0000-0000272C0000}"/>
    <cellStyle name="Comma 3 2 16" xfId="25608" xr:uid="{00000000-0005-0000-0000-0000282C0000}"/>
    <cellStyle name="Comma 3 2 17" xfId="25609" xr:uid="{00000000-0005-0000-0000-0000292C0000}"/>
    <cellStyle name="Comma 3 2 18" xfId="25610" xr:uid="{00000000-0005-0000-0000-00002A2C0000}"/>
    <cellStyle name="Comma 3 2 19" xfId="25611" xr:uid="{00000000-0005-0000-0000-00002B2C0000}"/>
    <cellStyle name="Comma 3 2 2" xfId="9008" xr:uid="{00000000-0005-0000-0000-00002C2C0000}"/>
    <cellStyle name="Comma 3 2 2 2" xfId="25613" xr:uid="{00000000-0005-0000-0000-00002D2C0000}"/>
    <cellStyle name="Comma 3 2 2 3" xfId="25614" xr:uid="{00000000-0005-0000-0000-00002E2C0000}"/>
    <cellStyle name="Comma 3 2 2 4" xfId="25615" xr:uid="{00000000-0005-0000-0000-00002F2C0000}"/>
    <cellStyle name="Comma 3 2 2 4 2" xfId="39186" xr:uid="{00000000-0005-0000-0000-0000302C0000}"/>
    <cellStyle name="Comma 3 2 2 5" xfId="25612" xr:uid="{00000000-0005-0000-0000-0000312C0000}"/>
    <cellStyle name="Comma 3 2 20" xfId="25601" xr:uid="{00000000-0005-0000-0000-0000322C0000}"/>
    <cellStyle name="Comma 3 2 3" xfId="25616" xr:uid="{00000000-0005-0000-0000-0000332C0000}"/>
    <cellStyle name="Comma 3 2 3 2" xfId="25617" xr:uid="{00000000-0005-0000-0000-0000342C0000}"/>
    <cellStyle name="Comma 3 2 3 2 2" xfId="25618" xr:uid="{00000000-0005-0000-0000-0000352C0000}"/>
    <cellStyle name="Comma 3 2 3 2 2 2" xfId="25619" xr:uid="{00000000-0005-0000-0000-0000362C0000}"/>
    <cellStyle name="Comma 3 2 3 2 3" xfId="25620" xr:uid="{00000000-0005-0000-0000-0000372C0000}"/>
    <cellStyle name="Comma 3 2 3 3" xfId="25621" xr:uid="{00000000-0005-0000-0000-0000382C0000}"/>
    <cellStyle name="Comma 3 2 3 3 2" xfId="25622" xr:uid="{00000000-0005-0000-0000-0000392C0000}"/>
    <cellStyle name="Comma 3 2 3 4" xfId="25623" xr:uid="{00000000-0005-0000-0000-00003A2C0000}"/>
    <cellStyle name="Comma 3 2 3 5" xfId="25624" xr:uid="{00000000-0005-0000-0000-00003B2C0000}"/>
    <cellStyle name="Comma 3 2 3 6" xfId="25625" xr:uid="{00000000-0005-0000-0000-00003C2C0000}"/>
    <cellStyle name="Comma 3 2 4" xfId="25626" xr:uid="{00000000-0005-0000-0000-00003D2C0000}"/>
    <cellStyle name="Comma 3 2 4 2" xfId="25627" xr:uid="{00000000-0005-0000-0000-00003E2C0000}"/>
    <cellStyle name="Comma 3 2 4 2 2" xfId="25628" xr:uid="{00000000-0005-0000-0000-00003F2C0000}"/>
    <cellStyle name="Comma 3 2 4 3" xfId="25629" xr:uid="{00000000-0005-0000-0000-0000402C0000}"/>
    <cellStyle name="Comma 3 2 4 4" xfId="25630" xr:uid="{00000000-0005-0000-0000-0000412C0000}"/>
    <cellStyle name="Comma 3 2 4 5" xfId="25631" xr:uid="{00000000-0005-0000-0000-0000422C0000}"/>
    <cellStyle name="Comma 3 2 4 5 2" xfId="39187" xr:uid="{00000000-0005-0000-0000-0000432C0000}"/>
    <cellStyle name="Comma 3 2 5" xfId="25632" xr:uid="{00000000-0005-0000-0000-0000442C0000}"/>
    <cellStyle name="Comma 3 2 5 2" xfId="25633" xr:uid="{00000000-0005-0000-0000-0000452C0000}"/>
    <cellStyle name="Comma 3 2 5 3" xfId="25634" xr:uid="{00000000-0005-0000-0000-0000462C0000}"/>
    <cellStyle name="Comma 3 2 6" xfId="25635" xr:uid="{00000000-0005-0000-0000-0000472C0000}"/>
    <cellStyle name="Comma 3 2 6 2" xfId="25636" xr:uid="{00000000-0005-0000-0000-0000482C0000}"/>
    <cellStyle name="Comma 3 2 6 3" xfId="25637" xr:uid="{00000000-0005-0000-0000-0000492C0000}"/>
    <cellStyle name="Comma 3 2 7" xfId="25638" xr:uid="{00000000-0005-0000-0000-00004A2C0000}"/>
    <cellStyle name="Comma 3 2 7 2" xfId="25639" xr:uid="{00000000-0005-0000-0000-00004B2C0000}"/>
    <cellStyle name="Comma 3 2 7 3" xfId="25640" xr:uid="{00000000-0005-0000-0000-00004C2C0000}"/>
    <cellStyle name="Comma 3 2 8" xfId="25641" xr:uid="{00000000-0005-0000-0000-00004D2C0000}"/>
    <cellStyle name="Comma 3 2 9" xfId="25642" xr:uid="{00000000-0005-0000-0000-00004E2C0000}"/>
    <cellStyle name="Comma 3 3" xfId="2848" xr:uid="{00000000-0005-0000-0000-00004F2C0000}"/>
    <cellStyle name="Comma 3 3 10" xfId="25644" xr:uid="{00000000-0005-0000-0000-0000502C0000}"/>
    <cellStyle name="Comma 3 3 10 2" xfId="39188" xr:uid="{00000000-0005-0000-0000-0000512C0000}"/>
    <cellStyle name="Comma 3 3 11" xfId="25643" xr:uid="{00000000-0005-0000-0000-0000522C0000}"/>
    <cellStyle name="Comma 3 3 2" xfId="9009" xr:uid="{00000000-0005-0000-0000-0000532C0000}"/>
    <cellStyle name="Comma 3 3 2 2" xfId="25646" xr:uid="{00000000-0005-0000-0000-0000542C0000}"/>
    <cellStyle name="Comma 3 3 2 3" xfId="25647" xr:uid="{00000000-0005-0000-0000-0000552C0000}"/>
    <cellStyle name="Comma 3 3 2 4" xfId="25645" xr:uid="{00000000-0005-0000-0000-0000562C0000}"/>
    <cellStyle name="Comma 3 3 3" xfId="25648" xr:uid="{00000000-0005-0000-0000-0000572C0000}"/>
    <cellStyle name="Comma 3 3 3 2" xfId="25649" xr:uid="{00000000-0005-0000-0000-0000582C0000}"/>
    <cellStyle name="Comma 3 3 3 2 2" xfId="25650" xr:uid="{00000000-0005-0000-0000-0000592C0000}"/>
    <cellStyle name="Comma 3 3 3 2 2 2" xfId="25651" xr:uid="{00000000-0005-0000-0000-00005A2C0000}"/>
    <cellStyle name="Comma 3 3 3 2 3" xfId="25652" xr:uid="{00000000-0005-0000-0000-00005B2C0000}"/>
    <cellStyle name="Comma 3 3 3 3" xfId="25653" xr:uid="{00000000-0005-0000-0000-00005C2C0000}"/>
    <cellStyle name="Comma 3 3 3 3 2" xfId="25654" xr:uid="{00000000-0005-0000-0000-00005D2C0000}"/>
    <cellStyle name="Comma 3 3 3 4" xfId="25655" xr:uid="{00000000-0005-0000-0000-00005E2C0000}"/>
    <cellStyle name="Comma 3 3 3 4 2" xfId="25656" xr:uid="{00000000-0005-0000-0000-00005F2C0000}"/>
    <cellStyle name="Comma 3 3 3 5" xfId="25657" xr:uid="{00000000-0005-0000-0000-0000602C0000}"/>
    <cellStyle name="Comma 3 3 4" xfId="25658" xr:uid="{00000000-0005-0000-0000-0000612C0000}"/>
    <cellStyle name="Comma 3 3 4 2" xfId="25659" xr:uid="{00000000-0005-0000-0000-0000622C0000}"/>
    <cellStyle name="Comma 3 3 4 2 2" xfId="25660" xr:uid="{00000000-0005-0000-0000-0000632C0000}"/>
    <cellStyle name="Comma 3 3 4 3" xfId="25661" xr:uid="{00000000-0005-0000-0000-0000642C0000}"/>
    <cellStyle name="Comma 3 3 4 4" xfId="25662" xr:uid="{00000000-0005-0000-0000-0000652C0000}"/>
    <cellStyle name="Comma 3 3 5" xfId="25663" xr:uid="{00000000-0005-0000-0000-0000662C0000}"/>
    <cellStyle name="Comma 3 3 5 2" xfId="25664" xr:uid="{00000000-0005-0000-0000-0000672C0000}"/>
    <cellStyle name="Comma 3 3 5 3" xfId="25665" xr:uid="{00000000-0005-0000-0000-0000682C0000}"/>
    <cellStyle name="Comma 3 3 6" xfId="25666" xr:uid="{00000000-0005-0000-0000-0000692C0000}"/>
    <cellStyle name="Comma 3 3 6 2" xfId="25667" xr:uid="{00000000-0005-0000-0000-00006A2C0000}"/>
    <cellStyle name="Comma 3 3 7" xfId="25668" xr:uid="{00000000-0005-0000-0000-00006B2C0000}"/>
    <cellStyle name="Comma 3 3 8" xfId="25669" xr:uid="{00000000-0005-0000-0000-00006C2C0000}"/>
    <cellStyle name="Comma 3 3 9" xfId="25670" xr:uid="{00000000-0005-0000-0000-00006D2C0000}"/>
    <cellStyle name="Comma 3 4" xfId="2849" xr:uid="{00000000-0005-0000-0000-00006E2C0000}"/>
    <cellStyle name="Comma 3 4 2" xfId="9010" xr:uid="{00000000-0005-0000-0000-00006F2C0000}"/>
    <cellStyle name="Comma 3 4 2 2" xfId="25673" xr:uid="{00000000-0005-0000-0000-0000702C0000}"/>
    <cellStyle name="Comma 3 4 2 2 2" xfId="25674" xr:uid="{00000000-0005-0000-0000-0000712C0000}"/>
    <cellStyle name="Comma 3 4 2 2 2 2" xfId="25675" xr:uid="{00000000-0005-0000-0000-0000722C0000}"/>
    <cellStyle name="Comma 3 4 2 2 3" xfId="25676" xr:uid="{00000000-0005-0000-0000-0000732C0000}"/>
    <cellStyle name="Comma 3 4 2 3" xfId="25677" xr:uid="{00000000-0005-0000-0000-0000742C0000}"/>
    <cellStyle name="Comma 3 4 2 3 2" xfId="25678" xr:uid="{00000000-0005-0000-0000-0000752C0000}"/>
    <cellStyle name="Comma 3 4 2 4" xfId="25679" xr:uid="{00000000-0005-0000-0000-0000762C0000}"/>
    <cellStyle name="Comma 3 4 2 5" xfId="25672" xr:uid="{00000000-0005-0000-0000-0000772C0000}"/>
    <cellStyle name="Comma 3 4 3" xfId="25680" xr:uid="{00000000-0005-0000-0000-0000782C0000}"/>
    <cellStyle name="Comma 3 4 3 2" xfId="25681" xr:uid="{00000000-0005-0000-0000-0000792C0000}"/>
    <cellStyle name="Comma 3 4 3 2 2" xfId="25682" xr:uid="{00000000-0005-0000-0000-00007A2C0000}"/>
    <cellStyle name="Comma 3 4 3 3" xfId="25683" xr:uid="{00000000-0005-0000-0000-00007B2C0000}"/>
    <cellStyle name="Comma 3 4 4" xfId="25684" xr:uid="{00000000-0005-0000-0000-00007C2C0000}"/>
    <cellStyle name="Comma 3 4 4 2" xfId="25685" xr:uid="{00000000-0005-0000-0000-00007D2C0000}"/>
    <cellStyle name="Comma 3 4 5" xfId="25686" xr:uid="{00000000-0005-0000-0000-00007E2C0000}"/>
    <cellStyle name="Comma 3 4 5 2" xfId="25687" xr:uid="{00000000-0005-0000-0000-00007F2C0000}"/>
    <cellStyle name="Comma 3 4 6" xfId="25688" xr:uid="{00000000-0005-0000-0000-0000802C0000}"/>
    <cellStyle name="Comma 3 4 7" xfId="25689" xr:uid="{00000000-0005-0000-0000-0000812C0000}"/>
    <cellStyle name="Comma 3 4 8" xfId="25690" xr:uid="{00000000-0005-0000-0000-0000822C0000}"/>
    <cellStyle name="Comma 3 4 8 2" xfId="39189" xr:uid="{00000000-0005-0000-0000-0000832C0000}"/>
    <cellStyle name="Comma 3 4 9" xfId="25671" xr:uid="{00000000-0005-0000-0000-0000842C0000}"/>
    <cellStyle name="Comma 3 5" xfId="2850" xr:uid="{00000000-0005-0000-0000-0000852C0000}"/>
    <cellStyle name="Comma 3 5 2" xfId="9011" xr:uid="{00000000-0005-0000-0000-0000862C0000}"/>
    <cellStyle name="Comma 3 5 2 2" xfId="25693" xr:uid="{00000000-0005-0000-0000-0000872C0000}"/>
    <cellStyle name="Comma 3 5 2 3" xfId="25692" xr:uid="{00000000-0005-0000-0000-0000882C0000}"/>
    <cellStyle name="Comma 3 5 3" xfId="25694" xr:uid="{00000000-0005-0000-0000-0000892C0000}"/>
    <cellStyle name="Comma 3 5 4" xfId="25695" xr:uid="{00000000-0005-0000-0000-00008A2C0000}"/>
    <cellStyle name="Comma 3 5 5" xfId="25696" xr:uid="{00000000-0005-0000-0000-00008B2C0000}"/>
    <cellStyle name="Comma 3 5 6" xfId="25691" xr:uid="{00000000-0005-0000-0000-00008C2C0000}"/>
    <cellStyle name="Comma 3 6" xfId="2851" xr:uid="{00000000-0005-0000-0000-00008D2C0000}"/>
    <cellStyle name="Comma 3 6 2" xfId="9012" xr:uid="{00000000-0005-0000-0000-00008E2C0000}"/>
    <cellStyle name="Comma 3 6 2 2" xfId="25699" xr:uid="{00000000-0005-0000-0000-00008F2C0000}"/>
    <cellStyle name="Comma 3 6 2 2 2" xfId="25700" xr:uid="{00000000-0005-0000-0000-0000902C0000}"/>
    <cellStyle name="Comma 3 6 2 2 2 2" xfId="25701" xr:uid="{00000000-0005-0000-0000-0000912C0000}"/>
    <cellStyle name="Comma 3 6 2 2 3" xfId="25702" xr:uid="{00000000-0005-0000-0000-0000922C0000}"/>
    <cellStyle name="Comma 3 6 2 3" xfId="25703" xr:uid="{00000000-0005-0000-0000-0000932C0000}"/>
    <cellStyle name="Comma 3 6 2 3 2" xfId="25704" xr:uid="{00000000-0005-0000-0000-0000942C0000}"/>
    <cellStyle name="Comma 3 6 2 4" xfId="25705" xr:uid="{00000000-0005-0000-0000-0000952C0000}"/>
    <cellStyle name="Comma 3 6 2 5" xfId="25698" xr:uid="{00000000-0005-0000-0000-0000962C0000}"/>
    <cellStyle name="Comma 3 6 3" xfId="25706" xr:uid="{00000000-0005-0000-0000-0000972C0000}"/>
    <cellStyle name="Comma 3 6 3 2" xfId="25707" xr:uid="{00000000-0005-0000-0000-0000982C0000}"/>
    <cellStyle name="Comma 3 6 3 2 2" xfId="25708" xr:uid="{00000000-0005-0000-0000-0000992C0000}"/>
    <cellStyle name="Comma 3 6 3 3" xfId="25709" xr:uid="{00000000-0005-0000-0000-00009A2C0000}"/>
    <cellStyle name="Comma 3 6 4" xfId="25710" xr:uid="{00000000-0005-0000-0000-00009B2C0000}"/>
    <cellStyle name="Comma 3 6 4 2" xfId="25711" xr:uid="{00000000-0005-0000-0000-00009C2C0000}"/>
    <cellStyle name="Comma 3 6 5" xfId="25712" xr:uid="{00000000-0005-0000-0000-00009D2C0000}"/>
    <cellStyle name="Comma 3 6 5 2" xfId="25713" xr:uid="{00000000-0005-0000-0000-00009E2C0000}"/>
    <cellStyle name="Comma 3 6 6" xfId="25714" xr:uid="{00000000-0005-0000-0000-00009F2C0000}"/>
    <cellStyle name="Comma 3 6 7" xfId="25715" xr:uid="{00000000-0005-0000-0000-0000A02C0000}"/>
    <cellStyle name="Comma 3 6 7 2" xfId="39190" xr:uid="{00000000-0005-0000-0000-0000A12C0000}"/>
    <cellStyle name="Comma 3 6 8" xfId="25697" xr:uid="{00000000-0005-0000-0000-0000A22C0000}"/>
    <cellStyle name="Comma 3 7" xfId="9013" xr:uid="{00000000-0005-0000-0000-0000A32C0000}"/>
    <cellStyle name="Comma 3 7 2" xfId="25717" xr:uid="{00000000-0005-0000-0000-0000A42C0000}"/>
    <cellStyle name="Comma 3 7 3" xfId="25716" xr:uid="{00000000-0005-0000-0000-0000A52C0000}"/>
    <cellStyle name="Comma 3 8" xfId="25718" xr:uid="{00000000-0005-0000-0000-0000A62C0000}"/>
    <cellStyle name="Comma 3 8 2" xfId="25719" xr:uid="{00000000-0005-0000-0000-0000A72C0000}"/>
    <cellStyle name="Comma 3 9" xfId="25720" xr:uid="{00000000-0005-0000-0000-0000A82C0000}"/>
    <cellStyle name="Comma 30" xfId="2852" xr:uid="{00000000-0005-0000-0000-0000A92C0000}"/>
    <cellStyle name="Comma 30 10" xfId="25721" xr:uid="{00000000-0005-0000-0000-0000AA2C0000}"/>
    <cellStyle name="Comma 30 10 2" xfId="25722" xr:uid="{00000000-0005-0000-0000-0000AB2C0000}"/>
    <cellStyle name="Comma 30 10 2 2" xfId="25723" xr:uid="{00000000-0005-0000-0000-0000AC2C0000}"/>
    <cellStyle name="Comma 30 10 3" xfId="25724" xr:uid="{00000000-0005-0000-0000-0000AD2C0000}"/>
    <cellStyle name="Comma 30 11" xfId="25725" xr:uid="{00000000-0005-0000-0000-0000AE2C0000}"/>
    <cellStyle name="Comma 30 11 2" xfId="25726" xr:uid="{00000000-0005-0000-0000-0000AF2C0000}"/>
    <cellStyle name="Comma 30 11 2 2" xfId="25727" xr:uid="{00000000-0005-0000-0000-0000B02C0000}"/>
    <cellStyle name="Comma 30 11 3" xfId="25728" xr:uid="{00000000-0005-0000-0000-0000B12C0000}"/>
    <cellStyle name="Comma 30 12" xfId="25729" xr:uid="{00000000-0005-0000-0000-0000B22C0000}"/>
    <cellStyle name="Comma 30 12 2" xfId="25730" xr:uid="{00000000-0005-0000-0000-0000B32C0000}"/>
    <cellStyle name="Comma 30 12 2 2" xfId="25731" xr:uid="{00000000-0005-0000-0000-0000B42C0000}"/>
    <cellStyle name="Comma 30 12 3" xfId="25732" xr:uid="{00000000-0005-0000-0000-0000B52C0000}"/>
    <cellStyle name="Comma 30 13" xfId="25733" xr:uid="{00000000-0005-0000-0000-0000B62C0000}"/>
    <cellStyle name="Comma 30 13 2" xfId="25734" xr:uid="{00000000-0005-0000-0000-0000B72C0000}"/>
    <cellStyle name="Comma 30 13 2 2" xfId="25735" xr:uid="{00000000-0005-0000-0000-0000B82C0000}"/>
    <cellStyle name="Comma 30 13 3" xfId="25736" xr:uid="{00000000-0005-0000-0000-0000B92C0000}"/>
    <cellStyle name="Comma 30 14" xfId="25737" xr:uid="{00000000-0005-0000-0000-0000BA2C0000}"/>
    <cellStyle name="Comma 30 14 2" xfId="25738" xr:uid="{00000000-0005-0000-0000-0000BB2C0000}"/>
    <cellStyle name="Comma 30 14 2 2" xfId="25739" xr:uid="{00000000-0005-0000-0000-0000BC2C0000}"/>
    <cellStyle name="Comma 30 14 3" xfId="25740" xr:uid="{00000000-0005-0000-0000-0000BD2C0000}"/>
    <cellStyle name="Comma 30 15" xfId="25741" xr:uid="{00000000-0005-0000-0000-0000BE2C0000}"/>
    <cellStyle name="Comma 30 15 2" xfId="25742" xr:uid="{00000000-0005-0000-0000-0000BF2C0000}"/>
    <cellStyle name="Comma 30 15 2 2" xfId="25743" xr:uid="{00000000-0005-0000-0000-0000C02C0000}"/>
    <cellStyle name="Comma 30 15 3" xfId="25744" xr:uid="{00000000-0005-0000-0000-0000C12C0000}"/>
    <cellStyle name="Comma 30 16" xfId="25745" xr:uid="{00000000-0005-0000-0000-0000C22C0000}"/>
    <cellStyle name="Comma 30 16 2" xfId="25746" xr:uid="{00000000-0005-0000-0000-0000C32C0000}"/>
    <cellStyle name="Comma 30 16 2 2" xfId="25747" xr:uid="{00000000-0005-0000-0000-0000C42C0000}"/>
    <cellStyle name="Comma 30 16 3" xfId="25748" xr:uid="{00000000-0005-0000-0000-0000C52C0000}"/>
    <cellStyle name="Comma 30 17" xfId="25749" xr:uid="{00000000-0005-0000-0000-0000C62C0000}"/>
    <cellStyle name="Comma 30 17 2" xfId="25750" xr:uid="{00000000-0005-0000-0000-0000C72C0000}"/>
    <cellStyle name="Comma 30 17 2 2" xfId="25751" xr:uid="{00000000-0005-0000-0000-0000C82C0000}"/>
    <cellStyle name="Comma 30 17 3" xfId="25752" xr:uid="{00000000-0005-0000-0000-0000C92C0000}"/>
    <cellStyle name="Comma 30 18" xfId="25753" xr:uid="{00000000-0005-0000-0000-0000CA2C0000}"/>
    <cellStyle name="Comma 30 18 2" xfId="25754" xr:uid="{00000000-0005-0000-0000-0000CB2C0000}"/>
    <cellStyle name="Comma 30 18 2 2" xfId="25755" xr:uid="{00000000-0005-0000-0000-0000CC2C0000}"/>
    <cellStyle name="Comma 30 18 3" xfId="25756" xr:uid="{00000000-0005-0000-0000-0000CD2C0000}"/>
    <cellStyle name="Comma 30 19" xfId="25757" xr:uid="{00000000-0005-0000-0000-0000CE2C0000}"/>
    <cellStyle name="Comma 30 19 2" xfId="25758" xr:uid="{00000000-0005-0000-0000-0000CF2C0000}"/>
    <cellStyle name="Comma 30 19 2 2" xfId="25759" xr:uid="{00000000-0005-0000-0000-0000D02C0000}"/>
    <cellStyle name="Comma 30 19 3" xfId="25760" xr:uid="{00000000-0005-0000-0000-0000D12C0000}"/>
    <cellStyle name="Comma 30 2" xfId="2853" xr:uid="{00000000-0005-0000-0000-0000D22C0000}"/>
    <cellStyle name="Comma 30 2 2" xfId="25761" xr:uid="{00000000-0005-0000-0000-0000D32C0000}"/>
    <cellStyle name="Comma 30 2 2 2" xfId="25762" xr:uid="{00000000-0005-0000-0000-0000D42C0000}"/>
    <cellStyle name="Comma 30 2 3" xfId="25763" xr:uid="{00000000-0005-0000-0000-0000D52C0000}"/>
    <cellStyle name="Comma 30 2 3 2" xfId="25764" xr:uid="{00000000-0005-0000-0000-0000D62C0000}"/>
    <cellStyle name="Comma 30 2 3 2 2" xfId="25765" xr:uid="{00000000-0005-0000-0000-0000D72C0000}"/>
    <cellStyle name="Comma 30 2 3 3" xfId="25766" xr:uid="{00000000-0005-0000-0000-0000D82C0000}"/>
    <cellStyle name="Comma 30 2 4" xfId="25767" xr:uid="{00000000-0005-0000-0000-0000D92C0000}"/>
    <cellStyle name="Comma 30 20" xfId="25768" xr:uid="{00000000-0005-0000-0000-0000DA2C0000}"/>
    <cellStyle name="Comma 30 20 2" xfId="25769" xr:uid="{00000000-0005-0000-0000-0000DB2C0000}"/>
    <cellStyle name="Comma 30 20 2 2" xfId="25770" xr:uid="{00000000-0005-0000-0000-0000DC2C0000}"/>
    <cellStyle name="Comma 30 20 3" xfId="25771" xr:uid="{00000000-0005-0000-0000-0000DD2C0000}"/>
    <cellStyle name="Comma 30 21" xfId="25772" xr:uid="{00000000-0005-0000-0000-0000DE2C0000}"/>
    <cellStyle name="Comma 30 21 2" xfId="25773" xr:uid="{00000000-0005-0000-0000-0000DF2C0000}"/>
    <cellStyle name="Comma 30 21 2 2" xfId="25774" xr:uid="{00000000-0005-0000-0000-0000E02C0000}"/>
    <cellStyle name="Comma 30 21 3" xfId="25775" xr:uid="{00000000-0005-0000-0000-0000E12C0000}"/>
    <cellStyle name="Comma 30 22" xfId="25776" xr:uid="{00000000-0005-0000-0000-0000E22C0000}"/>
    <cellStyle name="Comma 30 22 2" xfId="25777" xr:uid="{00000000-0005-0000-0000-0000E32C0000}"/>
    <cellStyle name="Comma 30 22 2 2" xfId="25778" xr:uid="{00000000-0005-0000-0000-0000E42C0000}"/>
    <cellStyle name="Comma 30 22 3" xfId="25779" xr:uid="{00000000-0005-0000-0000-0000E52C0000}"/>
    <cellStyle name="Comma 30 23" xfId="25780" xr:uid="{00000000-0005-0000-0000-0000E62C0000}"/>
    <cellStyle name="Comma 30 23 2" xfId="25781" xr:uid="{00000000-0005-0000-0000-0000E72C0000}"/>
    <cellStyle name="Comma 30 23 2 2" xfId="25782" xr:uid="{00000000-0005-0000-0000-0000E82C0000}"/>
    <cellStyle name="Comma 30 23 3" xfId="25783" xr:uid="{00000000-0005-0000-0000-0000E92C0000}"/>
    <cellStyle name="Comma 30 24" xfId="25784" xr:uid="{00000000-0005-0000-0000-0000EA2C0000}"/>
    <cellStyle name="Comma 30 24 2" xfId="25785" xr:uid="{00000000-0005-0000-0000-0000EB2C0000}"/>
    <cellStyle name="Comma 30 24 2 2" xfId="25786" xr:uid="{00000000-0005-0000-0000-0000EC2C0000}"/>
    <cellStyle name="Comma 30 24 3" xfId="25787" xr:uid="{00000000-0005-0000-0000-0000ED2C0000}"/>
    <cellStyle name="Comma 30 25" xfId="25788" xr:uid="{00000000-0005-0000-0000-0000EE2C0000}"/>
    <cellStyle name="Comma 30 25 2" xfId="25789" xr:uid="{00000000-0005-0000-0000-0000EF2C0000}"/>
    <cellStyle name="Comma 30 25 2 2" xfId="25790" xr:uid="{00000000-0005-0000-0000-0000F02C0000}"/>
    <cellStyle name="Comma 30 25 3" xfId="25791" xr:uid="{00000000-0005-0000-0000-0000F12C0000}"/>
    <cellStyle name="Comma 30 26" xfId="25792" xr:uid="{00000000-0005-0000-0000-0000F22C0000}"/>
    <cellStyle name="Comma 30 26 2" xfId="25793" xr:uid="{00000000-0005-0000-0000-0000F32C0000}"/>
    <cellStyle name="Comma 30 26 2 2" xfId="25794" xr:uid="{00000000-0005-0000-0000-0000F42C0000}"/>
    <cellStyle name="Comma 30 26 3" xfId="25795" xr:uid="{00000000-0005-0000-0000-0000F52C0000}"/>
    <cellStyle name="Comma 30 27" xfId="25796" xr:uid="{00000000-0005-0000-0000-0000F62C0000}"/>
    <cellStyle name="Comma 30 27 2" xfId="25797" xr:uid="{00000000-0005-0000-0000-0000F72C0000}"/>
    <cellStyle name="Comma 30 27 2 2" xfId="25798" xr:uid="{00000000-0005-0000-0000-0000F82C0000}"/>
    <cellStyle name="Comma 30 27 3" xfId="25799" xr:uid="{00000000-0005-0000-0000-0000F92C0000}"/>
    <cellStyle name="Comma 30 28" xfId="25800" xr:uid="{00000000-0005-0000-0000-0000FA2C0000}"/>
    <cellStyle name="Comma 30 28 2" xfId="25801" xr:uid="{00000000-0005-0000-0000-0000FB2C0000}"/>
    <cellStyle name="Comma 30 28 2 2" xfId="25802" xr:uid="{00000000-0005-0000-0000-0000FC2C0000}"/>
    <cellStyle name="Comma 30 28 3" xfId="25803" xr:uid="{00000000-0005-0000-0000-0000FD2C0000}"/>
    <cellStyle name="Comma 30 29" xfId="25804" xr:uid="{00000000-0005-0000-0000-0000FE2C0000}"/>
    <cellStyle name="Comma 30 29 2" xfId="25805" xr:uid="{00000000-0005-0000-0000-0000FF2C0000}"/>
    <cellStyle name="Comma 30 3" xfId="2854" xr:uid="{00000000-0005-0000-0000-0000002D0000}"/>
    <cellStyle name="Comma 30 3 2" xfId="25806" xr:uid="{00000000-0005-0000-0000-0000012D0000}"/>
    <cellStyle name="Comma 30 3 2 2" xfId="25807" xr:uid="{00000000-0005-0000-0000-0000022D0000}"/>
    <cellStyle name="Comma 30 3 3" xfId="25808" xr:uid="{00000000-0005-0000-0000-0000032D0000}"/>
    <cellStyle name="Comma 30 3 3 2" xfId="25809" xr:uid="{00000000-0005-0000-0000-0000042D0000}"/>
    <cellStyle name="Comma 30 3 3 2 2" xfId="25810" xr:uid="{00000000-0005-0000-0000-0000052D0000}"/>
    <cellStyle name="Comma 30 3 3 3" xfId="25811" xr:uid="{00000000-0005-0000-0000-0000062D0000}"/>
    <cellStyle name="Comma 30 3 4" xfId="25812" xr:uid="{00000000-0005-0000-0000-0000072D0000}"/>
    <cellStyle name="Comma 30 30" xfId="25813" xr:uid="{00000000-0005-0000-0000-0000082D0000}"/>
    <cellStyle name="Comma 30 30 2" xfId="25814" xr:uid="{00000000-0005-0000-0000-0000092D0000}"/>
    <cellStyle name="Comma 30 30 2 2" xfId="25815" xr:uid="{00000000-0005-0000-0000-00000A2D0000}"/>
    <cellStyle name="Comma 30 30 3" xfId="25816" xr:uid="{00000000-0005-0000-0000-00000B2D0000}"/>
    <cellStyle name="Comma 30 31" xfId="25817" xr:uid="{00000000-0005-0000-0000-00000C2D0000}"/>
    <cellStyle name="Comma 30 31 2" xfId="25818" xr:uid="{00000000-0005-0000-0000-00000D2D0000}"/>
    <cellStyle name="Comma 30 32" xfId="25819" xr:uid="{00000000-0005-0000-0000-00000E2D0000}"/>
    <cellStyle name="Comma 30 32 2" xfId="25820" xr:uid="{00000000-0005-0000-0000-00000F2D0000}"/>
    <cellStyle name="Comma 30 33" xfId="25821" xr:uid="{00000000-0005-0000-0000-0000102D0000}"/>
    <cellStyle name="Comma 30 34" xfId="25822" xr:uid="{00000000-0005-0000-0000-0000112D0000}"/>
    <cellStyle name="Comma 30 4" xfId="25823" xr:uid="{00000000-0005-0000-0000-0000122D0000}"/>
    <cellStyle name="Comma 30 4 2" xfId="25824" xr:uid="{00000000-0005-0000-0000-0000132D0000}"/>
    <cellStyle name="Comma 30 4 2 2" xfId="25825" xr:uid="{00000000-0005-0000-0000-0000142D0000}"/>
    <cellStyle name="Comma 30 4 3" xfId="25826" xr:uid="{00000000-0005-0000-0000-0000152D0000}"/>
    <cellStyle name="Comma 30 4 3 2" xfId="25827" xr:uid="{00000000-0005-0000-0000-0000162D0000}"/>
    <cellStyle name="Comma 30 4 3 2 2" xfId="25828" xr:uid="{00000000-0005-0000-0000-0000172D0000}"/>
    <cellStyle name="Comma 30 4 3 3" xfId="25829" xr:uid="{00000000-0005-0000-0000-0000182D0000}"/>
    <cellStyle name="Comma 30 4 4" xfId="25830" xr:uid="{00000000-0005-0000-0000-0000192D0000}"/>
    <cellStyle name="Comma 30 5" xfId="25831" xr:uid="{00000000-0005-0000-0000-00001A2D0000}"/>
    <cellStyle name="Comma 30 5 2" xfId="25832" xr:uid="{00000000-0005-0000-0000-00001B2D0000}"/>
    <cellStyle name="Comma 30 5 2 2" xfId="25833" xr:uid="{00000000-0005-0000-0000-00001C2D0000}"/>
    <cellStyle name="Comma 30 5 3" xfId="25834" xr:uid="{00000000-0005-0000-0000-00001D2D0000}"/>
    <cellStyle name="Comma 30 5 3 2" xfId="25835" xr:uid="{00000000-0005-0000-0000-00001E2D0000}"/>
    <cellStyle name="Comma 30 5 3 2 2" xfId="25836" xr:uid="{00000000-0005-0000-0000-00001F2D0000}"/>
    <cellStyle name="Comma 30 5 3 3" xfId="25837" xr:uid="{00000000-0005-0000-0000-0000202D0000}"/>
    <cellStyle name="Comma 30 5 4" xfId="25838" xr:uid="{00000000-0005-0000-0000-0000212D0000}"/>
    <cellStyle name="Comma 30 6" xfId="25839" xr:uid="{00000000-0005-0000-0000-0000222D0000}"/>
    <cellStyle name="Comma 30 6 2" xfId="25840" xr:uid="{00000000-0005-0000-0000-0000232D0000}"/>
    <cellStyle name="Comma 30 6 2 2" xfId="25841" xr:uid="{00000000-0005-0000-0000-0000242D0000}"/>
    <cellStyle name="Comma 30 6 3" xfId="25842" xr:uid="{00000000-0005-0000-0000-0000252D0000}"/>
    <cellStyle name="Comma 30 7" xfId="25843" xr:uid="{00000000-0005-0000-0000-0000262D0000}"/>
    <cellStyle name="Comma 30 7 2" xfId="25844" xr:uid="{00000000-0005-0000-0000-0000272D0000}"/>
    <cellStyle name="Comma 30 7 2 2" xfId="25845" xr:uid="{00000000-0005-0000-0000-0000282D0000}"/>
    <cellStyle name="Comma 30 7 3" xfId="25846" xr:uid="{00000000-0005-0000-0000-0000292D0000}"/>
    <cellStyle name="Comma 30 8" xfId="25847" xr:uid="{00000000-0005-0000-0000-00002A2D0000}"/>
    <cellStyle name="Comma 30 8 2" xfId="25848" xr:uid="{00000000-0005-0000-0000-00002B2D0000}"/>
    <cellStyle name="Comma 30 8 2 2" xfId="25849" xr:uid="{00000000-0005-0000-0000-00002C2D0000}"/>
    <cellStyle name="Comma 30 8 3" xfId="25850" xr:uid="{00000000-0005-0000-0000-00002D2D0000}"/>
    <cellStyle name="Comma 30 9" xfId="25851" xr:uid="{00000000-0005-0000-0000-00002E2D0000}"/>
    <cellStyle name="Comma 30 9 2" xfId="25852" xr:uid="{00000000-0005-0000-0000-00002F2D0000}"/>
    <cellStyle name="Comma 30 9 2 2" xfId="25853" xr:uid="{00000000-0005-0000-0000-0000302D0000}"/>
    <cellStyle name="Comma 30 9 3" xfId="25854" xr:uid="{00000000-0005-0000-0000-0000312D0000}"/>
    <cellStyle name="Comma 300" xfId="25855" xr:uid="{00000000-0005-0000-0000-0000322D0000}"/>
    <cellStyle name="Comma 300 2" xfId="25856" xr:uid="{00000000-0005-0000-0000-0000332D0000}"/>
    <cellStyle name="Comma 300 3" xfId="25857" xr:uid="{00000000-0005-0000-0000-0000342D0000}"/>
    <cellStyle name="Comma 301" xfId="25858" xr:uid="{00000000-0005-0000-0000-0000352D0000}"/>
    <cellStyle name="Comma 301 2" xfId="25859" xr:uid="{00000000-0005-0000-0000-0000362D0000}"/>
    <cellStyle name="Comma 301 3" xfId="25860" xr:uid="{00000000-0005-0000-0000-0000372D0000}"/>
    <cellStyle name="Comma 302" xfId="25861" xr:uid="{00000000-0005-0000-0000-0000382D0000}"/>
    <cellStyle name="Comma 302 2" xfId="25862" xr:uid="{00000000-0005-0000-0000-0000392D0000}"/>
    <cellStyle name="Comma 302 3" xfId="25863" xr:uid="{00000000-0005-0000-0000-00003A2D0000}"/>
    <cellStyle name="Comma 303" xfId="25864" xr:uid="{00000000-0005-0000-0000-00003B2D0000}"/>
    <cellStyle name="Comma 303 2" xfId="25865" xr:uid="{00000000-0005-0000-0000-00003C2D0000}"/>
    <cellStyle name="Comma 303 3" xfId="25866" xr:uid="{00000000-0005-0000-0000-00003D2D0000}"/>
    <cellStyle name="Comma 304" xfId="25867" xr:uid="{00000000-0005-0000-0000-00003E2D0000}"/>
    <cellStyle name="Comma 304 2" xfId="25868" xr:uid="{00000000-0005-0000-0000-00003F2D0000}"/>
    <cellStyle name="Comma 305" xfId="25869" xr:uid="{00000000-0005-0000-0000-0000402D0000}"/>
    <cellStyle name="Comma 305 2" xfId="25870" xr:uid="{00000000-0005-0000-0000-0000412D0000}"/>
    <cellStyle name="Comma 306" xfId="25871" xr:uid="{00000000-0005-0000-0000-0000422D0000}"/>
    <cellStyle name="Comma 306 2" xfId="25872" xr:uid="{00000000-0005-0000-0000-0000432D0000}"/>
    <cellStyle name="Comma 307" xfId="25873" xr:uid="{00000000-0005-0000-0000-0000442D0000}"/>
    <cellStyle name="Comma 307 2" xfId="25874" xr:uid="{00000000-0005-0000-0000-0000452D0000}"/>
    <cellStyle name="Comma 308" xfId="25875" xr:uid="{00000000-0005-0000-0000-0000462D0000}"/>
    <cellStyle name="Comma 308 2" xfId="25876" xr:uid="{00000000-0005-0000-0000-0000472D0000}"/>
    <cellStyle name="Comma 309" xfId="25877" xr:uid="{00000000-0005-0000-0000-0000482D0000}"/>
    <cellStyle name="Comma 309 2" xfId="25878" xr:uid="{00000000-0005-0000-0000-0000492D0000}"/>
    <cellStyle name="Comma 31" xfId="2855" xr:uid="{00000000-0005-0000-0000-00004A2D0000}"/>
    <cellStyle name="Comma 31 10" xfId="25879" xr:uid="{00000000-0005-0000-0000-00004B2D0000}"/>
    <cellStyle name="Comma 31 10 2" xfId="25880" xr:uid="{00000000-0005-0000-0000-00004C2D0000}"/>
    <cellStyle name="Comma 31 10 2 2" xfId="25881" xr:uid="{00000000-0005-0000-0000-00004D2D0000}"/>
    <cellStyle name="Comma 31 10 3" xfId="25882" xr:uid="{00000000-0005-0000-0000-00004E2D0000}"/>
    <cellStyle name="Comma 31 11" xfId="25883" xr:uid="{00000000-0005-0000-0000-00004F2D0000}"/>
    <cellStyle name="Comma 31 11 2" xfId="25884" xr:uid="{00000000-0005-0000-0000-0000502D0000}"/>
    <cellStyle name="Comma 31 11 2 2" xfId="25885" xr:uid="{00000000-0005-0000-0000-0000512D0000}"/>
    <cellStyle name="Comma 31 11 3" xfId="25886" xr:uid="{00000000-0005-0000-0000-0000522D0000}"/>
    <cellStyle name="Comma 31 12" xfId="25887" xr:uid="{00000000-0005-0000-0000-0000532D0000}"/>
    <cellStyle name="Comma 31 12 2" xfId="25888" xr:uid="{00000000-0005-0000-0000-0000542D0000}"/>
    <cellStyle name="Comma 31 12 2 2" xfId="25889" xr:uid="{00000000-0005-0000-0000-0000552D0000}"/>
    <cellStyle name="Comma 31 12 3" xfId="25890" xr:uid="{00000000-0005-0000-0000-0000562D0000}"/>
    <cellStyle name="Comma 31 13" xfId="25891" xr:uid="{00000000-0005-0000-0000-0000572D0000}"/>
    <cellStyle name="Comma 31 13 2" xfId="25892" xr:uid="{00000000-0005-0000-0000-0000582D0000}"/>
    <cellStyle name="Comma 31 13 2 2" xfId="25893" xr:uid="{00000000-0005-0000-0000-0000592D0000}"/>
    <cellStyle name="Comma 31 13 3" xfId="25894" xr:uid="{00000000-0005-0000-0000-00005A2D0000}"/>
    <cellStyle name="Comma 31 14" xfId="25895" xr:uid="{00000000-0005-0000-0000-00005B2D0000}"/>
    <cellStyle name="Comma 31 14 2" xfId="25896" xr:uid="{00000000-0005-0000-0000-00005C2D0000}"/>
    <cellStyle name="Comma 31 14 2 2" xfId="25897" xr:uid="{00000000-0005-0000-0000-00005D2D0000}"/>
    <cellStyle name="Comma 31 14 3" xfId="25898" xr:uid="{00000000-0005-0000-0000-00005E2D0000}"/>
    <cellStyle name="Comma 31 15" xfId="25899" xr:uid="{00000000-0005-0000-0000-00005F2D0000}"/>
    <cellStyle name="Comma 31 15 2" xfId="25900" xr:uid="{00000000-0005-0000-0000-0000602D0000}"/>
    <cellStyle name="Comma 31 15 2 2" xfId="25901" xr:uid="{00000000-0005-0000-0000-0000612D0000}"/>
    <cellStyle name="Comma 31 15 3" xfId="25902" xr:uid="{00000000-0005-0000-0000-0000622D0000}"/>
    <cellStyle name="Comma 31 16" xfId="25903" xr:uid="{00000000-0005-0000-0000-0000632D0000}"/>
    <cellStyle name="Comma 31 16 2" xfId="25904" xr:uid="{00000000-0005-0000-0000-0000642D0000}"/>
    <cellStyle name="Comma 31 16 2 2" xfId="25905" xr:uid="{00000000-0005-0000-0000-0000652D0000}"/>
    <cellStyle name="Comma 31 16 3" xfId="25906" xr:uid="{00000000-0005-0000-0000-0000662D0000}"/>
    <cellStyle name="Comma 31 17" xfId="25907" xr:uid="{00000000-0005-0000-0000-0000672D0000}"/>
    <cellStyle name="Comma 31 17 2" xfId="25908" xr:uid="{00000000-0005-0000-0000-0000682D0000}"/>
    <cellStyle name="Comma 31 17 2 2" xfId="25909" xr:uid="{00000000-0005-0000-0000-0000692D0000}"/>
    <cellStyle name="Comma 31 17 3" xfId="25910" xr:uid="{00000000-0005-0000-0000-00006A2D0000}"/>
    <cellStyle name="Comma 31 18" xfId="25911" xr:uid="{00000000-0005-0000-0000-00006B2D0000}"/>
    <cellStyle name="Comma 31 18 2" xfId="25912" xr:uid="{00000000-0005-0000-0000-00006C2D0000}"/>
    <cellStyle name="Comma 31 18 2 2" xfId="25913" xr:uid="{00000000-0005-0000-0000-00006D2D0000}"/>
    <cellStyle name="Comma 31 18 3" xfId="25914" xr:uid="{00000000-0005-0000-0000-00006E2D0000}"/>
    <cellStyle name="Comma 31 19" xfId="25915" xr:uid="{00000000-0005-0000-0000-00006F2D0000}"/>
    <cellStyle name="Comma 31 19 2" xfId="25916" xr:uid="{00000000-0005-0000-0000-0000702D0000}"/>
    <cellStyle name="Comma 31 19 2 2" xfId="25917" xr:uid="{00000000-0005-0000-0000-0000712D0000}"/>
    <cellStyle name="Comma 31 19 3" xfId="25918" xr:uid="{00000000-0005-0000-0000-0000722D0000}"/>
    <cellStyle name="Comma 31 2" xfId="2856" xr:uid="{00000000-0005-0000-0000-0000732D0000}"/>
    <cellStyle name="Comma 31 2 2" xfId="2857" xr:uid="{00000000-0005-0000-0000-0000742D0000}"/>
    <cellStyle name="Comma 31 2 2 2" xfId="25920" xr:uid="{00000000-0005-0000-0000-0000752D0000}"/>
    <cellStyle name="Comma 31 2 2 3" xfId="25919" xr:uid="{00000000-0005-0000-0000-0000762D0000}"/>
    <cellStyle name="Comma 31 2 3" xfId="2858" xr:uid="{00000000-0005-0000-0000-0000772D0000}"/>
    <cellStyle name="Comma 31 2 3 2" xfId="25922" xr:uid="{00000000-0005-0000-0000-0000782D0000}"/>
    <cellStyle name="Comma 31 2 3 2 2" xfId="25923" xr:uid="{00000000-0005-0000-0000-0000792D0000}"/>
    <cellStyle name="Comma 31 2 3 3" xfId="25924" xr:uid="{00000000-0005-0000-0000-00007A2D0000}"/>
    <cellStyle name="Comma 31 2 3 4" xfId="25921" xr:uid="{00000000-0005-0000-0000-00007B2D0000}"/>
    <cellStyle name="Comma 31 2 4" xfId="25925" xr:uid="{00000000-0005-0000-0000-00007C2D0000}"/>
    <cellStyle name="Comma 31 20" xfId="25926" xr:uid="{00000000-0005-0000-0000-00007D2D0000}"/>
    <cellStyle name="Comma 31 20 2" xfId="25927" xr:uid="{00000000-0005-0000-0000-00007E2D0000}"/>
    <cellStyle name="Comma 31 20 2 2" xfId="25928" xr:uid="{00000000-0005-0000-0000-00007F2D0000}"/>
    <cellStyle name="Comma 31 20 3" xfId="25929" xr:uid="{00000000-0005-0000-0000-0000802D0000}"/>
    <cellStyle name="Comma 31 21" xfId="25930" xr:uid="{00000000-0005-0000-0000-0000812D0000}"/>
    <cellStyle name="Comma 31 21 2" xfId="25931" xr:uid="{00000000-0005-0000-0000-0000822D0000}"/>
    <cellStyle name="Comma 31 21 2 2" xfId="25932" xr:uid="{00000000-0005-0000-0000-0000832D0000}"/>
    <cellStyle name="Comma 31 21 3" xfId="25933" xr:uid="{00000000-0005-0000-0000-0000842D0000}"/>
    <cellStyle name="Comma 31 22" xfId="25934" xr:uid="{00000000-0005-0000-0000-0000852D0000}"/>
    <cellStyle name="Comma 31 22 2" xfId="25935" xr:uid="{00000000-0005-0000-0000-0000862D0000}"/>
    <cellStyle name="Comma 31 22 2 2" xfId="25936" xr:uid="{00000000-0005-0000-0000-0000872D0000}"/>
    <cellStyle name="Comma 31 22 3" xfId="25937" xr:uid="{00000000-0005-0000-0000-0000882D0000}"/>
    <cellStyle name="Comma 31 23" xfId="25938" xr:uid="{00000000-0005-0000-0000-0000892D0000}"/>
    <cellStyle name="Comma 31 23 2" xfId="25939" xr:uid="{00000000-0005-0000-0000-00008A2D0000}"/>
    <cellStyle name="Comma 31 23 2 2" xfId="25940" xr:uid="{00000000-0005-0000-0000-00008B2D0000}"/>
    <cellStyle name="Comma 31 23 3" xfId="25941" xr:uid="{00000000-0005-0000-0000-00008C2D0000}"/>
    <cellStyle name="Comma 31 24" xfId="25942" xr:uid="{00000000-0005-0000-0000-00008D2D0000}"/>
    <cellStyle name="Comma 31 24 2" xfId="25943" xr:uid="{00000000-0005-0000-0000-00008E2D0000}"/>
    <cellStyle name="Comma 31 24 2 2" xfId="25944" xr:uid="{00000000-0005-0000-0000-00008F2D0000}"/>
    <cellStyle name="Comma 31 24 3" xfId="25945" xr:uid="{00000000-0005-0000-0000-0000902D0000}"/>
    <cellStyle name="Comma 31 25" xfId="25946" xr:uid="{00000000-0005-0000-0000-0000912D0000}"/>
    <cellStyle name="Comma 31 25 2" xfId="25947" xr:uid="{00000000-0005-0000-0000-0000922D0000}"/>
    <cellStyle name="Comma 31 25 2 2" xfId="25948" xr:uid="{00000000-0005-0000-0000-0000932D0000}"/>
    <cellStyle name="Comma 31 25 3" xfId="25949" xr:uid="{00000000-0005-0000-0000-0000942D0000}"/>
    <cellStyle name="Comma 31 26" xfId="25950" xr:uid="{00000000-0005-0000-0000-0000952D0000}"/>
    <cellStyle name="Comma 31 26 2" xfId="25951" xr:uid="{00000000-0005-0000-0000-0000962D0000}"/>
    <cellStyle name="Comma 31 26 2 2" xfId="25952" xr:uid="{00000000-0005-0000-0000-0000972D0000}"/>
    <cellStyle name="Comma 31 26 3" xfId="25953" xr:uid="{00000000-0005-0000-0000-0000982D0000}"/>
    <cellStyle name="Comma 31 27" xfId="25954" xr:uid="{00000000-0005-0000-0000-0000992D0000}"/>
    <cellStyle name="Comma 31 27 2" xfId="25955" xr:uid="{00000000-0005-0000-0000-00009A2D0000}"/>
    <cellStyle name="Comma 31 27 2 2" xfId="25956" xr:uid="{00000000-0005-0000-0000-00009B2D0000}"/>
    <cellStyle name="Comma 31 27 3" xfId="25957" xr:uid="{00000000-0005-0000-0000-00009C2D0000}"/>
    <cellStyle name="Comma 31 28" xfId="25958" xr:uid="{00000000-0005-0000-0000-00009D2D0000}"/>
    <cellStyle name="Comma 31 28 2" xfId="25959" xr:uid="{00000000-0005-0000-0000-00009E2D0000}"/>
    <cellStyle name="Comma 31 28 2 2" xfId="25960" xr:uid="{00000000-0005-0000-0000-00009F2D0000}"/>
    <cellStyle name="Comma 31 28 3" xfId="25961" xr:uid="{00000000-0005-0000-0000-0000A02D0000}"/>
    <cellStyle name="Comma 31 29" xfId="25962" xr:uid="{00000000-0005-0000-0000-0000A12D0000}"/>
    <cellStyle name="Comma 31 29 2" xfId="25963" xr:uid="{00000000-0005-0000-0000-0000A22D0000}"/>
    <cellStyle name="Comma 31 3" xfId="2859" xr:uid="{00000000-0005-0000-0000-0000A32D0000}"/>
    <cellStyle name="Comma 31 3 2" xfId="2860" xr:uid="{00000000-0005-0000-0000-0000A42D0000}"/>
    <cellStyle name="Comma 31 3 2 2" xfId="25965" xr:uid="{00000000-0005-0000-0000-0000A52D0000}"/>
    <cellStyle name="Comma 31 3 2 3" xfId="25964" xr:uid="{00000000-0005-0000-0000-0000A62D0000}"/>
    <cellStyle name="Comma 31 3 3" xfId="2861" xr:uid="{00000000-0005-0000-0000-0000A72D0000}"/>
    <cellStyle name="Comma 31 3 3 2" xfId="25967" xr:uid="{00000000-0005-0000-0000-0000A82D0000}"/>
    <cellStyle name="Comma 31 3 3 2 2" xfId="25968" xr:uid="{00000000-0005-0000-0000-0000A92D0000}"/>
    <cellStyle name="Comma 31 3 3 3" xfId="25969" xr:uid="{00000000-0005-0000-0000-0000AA2D0000}"/>
    <cellStyle name="Comma 31 3 3 4" xfId="25966" xr:uid="{00000000-0005-0000-0000-0000AB2D0000}"/>
    <cellStyle name="Comma 31 3 4" xfId="25970" xr:uid="{00000000-0005-0000-0000-0000AC2D0000}"/>
    <cellStyle name="Comma 31 30" xfId="25971" xr:uid="{00000000-0005-0000-0000-0000AD2D0000}"/>
    <cellStyle name="Comma 31 30 2" xfId="25972" xr:uid="{00000000-0005-0000-0000-0000AE2D0000}"/>
    <cellStyle name="Comma 31 30 2 2" xfId="25973" xr:uid="{00000000-0005-0000-0000-0000AF2D0000}"/>
    <cellStyle name="Comma 31 30 3" xfId="25974" xr:uid="{00000000-0005-0000-0000-0000B02D0000}"/>
    <cellStyle name="Comma 31 31" xfId="25975" xr:uid="{00000000-0005-0000-0000-0000B12D0000}"/>
    <cellStyle name="Comma 31 31 2" xfId="25976" xr:uid="{00000000-0005-0000-0000-0000B22D0000}"/>
    <cellStyle name="Comma 31 32" xfId="25977" xr:uid="{00000000-0005-0000-0000-0000B32D0000}"/>
    <cellStyle name="Comma 31 32 2" xfId="25978" xr:uid="{00000000-0005-0000-0000-0000B42D0000}"/>
    <cellStyle name="Comma 31 33" xfId="25979" xr:uid="{00000000-0005-0000-0000-0000B52D0000}"/>
    <cellStyle name="Comma 31 34" xfId="25980" xr:uid="{00000000-0005-0000-0000-0000B62D0000}"/>
    <cellStyle name="Comma 31 35" xfId="25981" xr:uid="{00000000-0005-0000-0000-0000B72D0000}"/>
    <cellStyle name="Comma 31 4" xfId="2862" xr:uid="{00000000-0005-0000-0000-0000B82D0000}"/>
    <cellStyle name="Comma 31 4 2" xfId="2863" xr:uid="{00000000-0005-0000-0000-0000B92D0000}"/>
    <cellStyle name="Comma 31 4 2 2" xfId="25983" xr:uid="{00000000-0005-0000-0000-0000BA2D0000}"/>
    <cellStyle name="Comma 31 4 2 3" xfId="25982" xr:uid="{00000000-0005-0000-0000-0000BB2D0000}"/>
    <cellStyle name="Comma 31 4 3" xfId="2864" xr:uid="{00000000-0005-0000-0000-0000BC2D0000}"/>
    <cellStyle name="Comma 31 4 3 2" xfId="25985" xr:uid="{00000000-0005-0000-0000-0000BD2D0000}"/>
    <cellStyle name="Comma 31 4 3 2 2" xfId="25986" xr:uid="{00000000-0005-0000-0000-0000BE2D0000}"/>
    <cellStyle name="Comma 31 4 3 3" xfId="25987" xr:uid="{00000000-0005-0000-0000-0000BF2D0000}"/>
    <cellStyle name="Comma 31 4 3 4" xfId="25984" xr:uid="{00000000-0005-0000-0000-0000C02D0000}"/>
    <cellStyle name="Comma 31 4 4" xfId="25988" xr:uid="{00000000-0005-0000-0000-0000C12D0000}"/>
    <cellStyle name="Comma 31 5" xfId="2865" xr:uid="{00000000-0005-0000-0000-0000C22D0000}"/>
    <cellStyle name="Comma 31 5 2" xfId="2866" xr:uid="{00000000-0005-0000-0000-0000C32D0000}"/>
    <cellStyle name="Comma 31 5 2 2" xfId="25990" xr:uid="{00000000-0005-0000-0000-0000C42D0000}"/>
    <cellStyle name="Comma 31 5 2 3" xfId="25989" xr:uid="{00000000-0005-0000-0000-0000C52D0000}"/>
    <cellStyle name="Comma 31 5 3" xfId="2867" xr:uid="{00000000-0005-0000-0000-0000C62D0000}"/>
    <cellStyle name="Comma 31 5 3 2" xfId="25992" xr:uid="{00000000-0005-0000-0000-0000C72D0000}"/>
    <cellStyle name="Comma 31 5 3 2 2" xfId="25993" xr:uid="{00000000-0005-0000-0000-0000C82D0000}"/>
    <cellStyle name="Comma 31 5 3 3" xfId="25994" xr:uid="{00000000-0005-0000-0000-0000C92D0000}"/>
    <cellStyle name="Comma 31 5 3 4" xfId="25991" xr:uid="{00000000-0005-0000-0000-0000CA2D0000}"/>
    <cellStyle name="Comma 31 5 4" xfId="25995" xr:uid="{00000000-0005-0000-0000-0000CB2D0000}"/>
    <cellStyle name="Comma 31 6" xfId="2868" xr:uid="{00000000-0005-0000-0000-0000CC2D0000}"/>
    <cellStyle name="Comma 31 6 2" xfId="2869" xr:uid="{00000000-0005-0000-0000-0000CD2D0000}"/>
    <cellStyle name="Comma 31 6 2 2" xfId="25997" xr:uid="{00000000-0005-0000-0000-0000CE2D0000}"/>
    <cellStyle name="Comma 31 6 2 3" xfId="25996" xr:uid="{00000000-0005-0000-0000-0000CF2D0000}"/>
    <cellStyle name="Comma 31 6 3" xfId="2870" xr:uid="{00000000-0005-0000-0000-0000D02D0000}"/>
    <cellStyle name="Comma 31 6 3 2" xfId="25998" xr:uid="{00000000-0005-0000-0000-0000D12D0000}"/>
    <cellStyle name="Comma 31 7" xfId="2871" xr:uid="{00000000-0005-0000-0000-0000D22D0000}"/>
    <cellStyle name="Comma 31 7 2" xfId="2872" xr:uid="{00000000-0005-0000-0000-0000D32D0000}"/>
    <cellStyle name="Comma 31 7 2 2" xfId="26000" xr:uid="{00000000-0005-0000-0000-0000D42D0000}"/>
    <cellStyle name="Comma 31 7 2 3" xfId="25999" xr:uid="{00000000-0005-0000-0000-0000D52D0000}"/>
    <cellStyle name="Comma 31 7 3" xfId="2873" xr:uid="{00000000-0005-0000-0000-0000D62D0000}"/>
    <cellStyle name="Comma 31 7 3 2" xfId="26001" xr:uid="{00000000-0005-0000-0000-0000D72D0000}"/>
    <cellStyle name="Comma 31 8" xfId="2874" xr:uid="{00000000-0005-0000-0000-0000D82D0000}"/>
    <cellStyle name="Comma 31 8 2" xfId="26002" xr:uid="{00000000-0005-0000-0000-0000D92D0000}"/>
    <cellStyle name="Comma 31 8 2 2" xfId="26003" xr:uid="{00000000-0005-0000-0000-0000DA2D0000}"/>
    <cellStyle name="Comma 31 8 3" xfId="26004" xr:uid="{00000000-0005-0000-0000-0000DB2D0000}"/>
    <cellStyle name="Comma 31 9" xfId="2875" xr:uid="{00000000-0005-0000-0000-0000DC2D0000}"/>
    <cellStyle name="Comma 31 9 2" xfId="26005" xr:uid="{00000000-0005-0000-0000-0000DD2D0000}"/>
    <cellStyle name="Comma 31 9 2 2" xfId="26006" xr:uid="{00000000-0005-0000-0000-0000DE2D0000}"/>
    <cellStyle name="Comma 31 9 3" xfId="26007" xr:uid="{00000000-0005-0000-0000-0000DF2D0000}"/>
    <cellStyle name="Comma 310" xfId="26008" xr:uid="{00000000-0005-0000-0000-0000E02D0000}"/>
    <cellStyle name="Comma 310 2" xfId="26009" xr:uid="{00000000-0005-0000-0000-0000E12D0000}"/>
    <cellStyle name="Comma 311" xfId="26010" xr:uid="{00000000-0005-0000-0000-0000E22D0000}"/>
    <cellStyle name="Comma 311 2" xfId="26011" xr:uid="{00000000-0005-0000-0000-0000E32D0000}"/>
    <cellStyle name="Comma 312" xfId="26012" xr:uid="{00000000-0005-0000-0000-0000E42D0000}"/>
    <cellStyle name="Comma 312 2" xfId="26013" xr:uid="{00000000-0005-0000-0000-0000E52D0000}"/>
    <cellStyle name="Comma 313" xfId="26014" xr:uid="{00000000-0005-0000-0000-0000E62D0000}"/>
    <cellStyle name="Comma 313 2" xfId="26015" xr:uid="{00000000-0005-0000-0000-0000E72D0000}"/>
    <cellStyle name="Comma 314" xfId="26016" xr:uid="{00000000-0005-0000-0000-0000E82D0000}"/>
    <cellStyle name="Comma 314 2" xfId="26017" xr:uid="{00000000-0005-0000-0000-0000E92D0000}"/>
    <cellStyle name="Comma 315" xfId="26018" xr:uid="{00000000-0005-0000-0000-0000EA2D0000}"/>
    <cellStyle name="Comma 315 2" xfId="26019" xr:uid="{00000000-0005-0000-0000-0000EB2D0000}"/>
    <cellStyle name="Comma 316" xfId="26020" xr:uid="{00000000-0005-0000-0000-0000EC2D0000}"/>
    <cellStyle name="Comma 316 2" xfId="26021" xr:uid="{00000000-0005-0000-0000-0000ED2D0000}"/>
    <cellStyle name="Comma 317" xfId="26022" xr:uid="{00000000-0005-0000-0000-0000EE2D0000}"/>
    <cellStyle name="Comma 317 2" xfId="26023" xr:uid="{00000000-0005-0000-0000-0000EF2D0000}"/>
    <cellStyle name="Comma 318" xfId="26024" xr:uid="{00000000-0005-0000-0000-0000F02D0000}"/>
    <cellStyle name="Comma 318 2" xfId="26025" xr:uid="{00000000-0005-0000-0000-0000F12D0000}"/>
    <cellStyle name="Comma 319" xfId="26026" xr:uid="{00000000-0005-0000-0000-0000F22D0000}"/>
    <cellStyle name="Comma 319 2" xfId="26027" xr:uid="{00000000-0005-0000-0000-0000F32D0000}"/>
    <cellStyle name="Comma 32" xfId="2876" xr:uid="{00000000-0005-0000-0000-0000F42D0000}"/>
    <cellStyle name="Comma 32 10" xfId="26028" xr:uid="{00000000-0005-0000-0000-0000F52D0000}"/>
    <cellStyle name="Comma 32 10 2" xfId="26029" xr:uid="{00000000-0005-0000-0000-0000F62D0000}"/>
    <cellStyle name="Comma 32 10 2 2" xfId="26030" xr:uid="{00000000-0005-0000-0000-0000F72D0000}"/>
    <cellStyle name="Comma 32 10 3" xfId="26031" xr:uid="{00000000-0005-0000-0000-0000F82D0000}"/>
    <cellStyle name="Comma 32 11" xfId="26032" xr:uid="{00000000-0005-0000-0000-0000F92D0000}"/>
    <cellStyle name="Comma 32 11 2" xfId="26033" xr:uid="{00000000-0005-0000-0000-0000FA2D0000}"/>
    <cellStyle name="Comma 32 11 2 2" xfId="26034" xr:uid="{00000000-0005-0000-0000-0000FB2D0000}"/>
    <cellStyle name="Comma 32 11 3" xfId="26035" xr:uid="{00000000-0005-0000-0000-0000FC2D0000}"/>
    <cellStyle name="Comma 32 12" xfId="26036" xr:uid="{00000000-0005-0000-0000-0000FD2D0000}"/>
    <cellStyle name="Comma 32 12 2" xfId="26037" xr:uid="{00000000-0005-0000-0000-0000FE2D0000}"/>
    <cellStyle name="Comma 32 12 2 2" xfId="26038" xr:uid="{00000000-0005-0000-0000-0000FF2D0000}"/>
    <cellStyle name="Comma 32 12 3" xfId="26039" xr:uid="{00000000-0005-0000-0000-0000002E0000}"/>
    <cellStyle name="Comma 32 13" xfId="26040" xr:uid="{00000000-0005-0000-0000-0000012E0000}"/>
    <cellStyle name="Comma 32 13 2" xfId="26041" xr:uid="{00000000-0005-0000-0000-0000022E0000}"/>
    <cellStyle name="Comma 32 13 2 2" xfId="26042" xr:uid="{00000000-0005-0000-0000-0000032E0000}"/>
    <cellStyle name="Comma 32 13 3" xfId="26043" xr:uid="{00000000-0005-0000-0000-0000042E0000}"/>
    <cellStyle name="Comma 32 14" xfId="26044" xr:uid="{00000000-0005-0000-0000-0000052E0000}"/>
    <cellStyle name="Comma 32 14 2" xfId="26045" xr:uid="{00000000-0005-0000-0000-0000062E0000}"/>
    <cellStyle name="Comma 32 14 2 2" xfId="26046" xr:uid="{00000000-0005-0000-0000-0000072E0000}"/>
    <cellStyle name="Comma 32 14 3" xfId="26047" xr:uid="{00000000-0005-0000-0000-0000082E0000}"/>
    <cellStyle name="Comma 32 15" xfId="26048" xr:uid="{00000000-0005-0000-0000-0000092E0000}"/>
    <cellStyle name="Comma 32 15 2" xfId="26049" xr:uid="{00000000-0005-0000-0000-00000A2E0000}"/>
    <cellStyle name="Comma 32 15 2 2" xfId="26050" xr:uid="{00000000-0005-0000-0000-00000B2E0000}"/>
    <cellStyle name="Comma 32 15 3" xfId="26051" xr:uid="{00000000-0005-0000-0000-00000C2E0000}"/>
    <cellStyle name="Comma 32 16" xfId="26052" xr:uid="{00000000-0005-0000-0000-00000D2E0000}"/>
    <cellStyle name="Comma 32 16 2" xfId="26053" xr:uid="{00000000-0005-0000-0000-00000E2E0000}"/>
    <cellStyle name="Comma 32 16 2 2" xfId="26054" xr:uid="{00000000-0005-0000-0000-00000F2E0000}"/>
    <cellStyle name="Comma 32 16 3" xfId="26055" xr:uid="{00000000-0005-0000-0000-0000102E0000}"/>
    <cellStyle name="Comma 32 17" xfId="26056" xr:uid="{00000000-0005-0000-0000-0000112E0000}"/>
    <cellStyle name="Comma 32 17 2" xfId="26057" xr:uid="{00000000-0005-0000-0000-0000122E0000}"/>
    <cellStyle name="Comma 32 17 2 2" xfId="26058" xr:uid="{00000000-0005-0000-0000-0000132E0000}"/>
    <cellStyle name="Comma 32 17 3" xfId="26059" xr:uid="{00000000-0005-0000-0000-0000142E0000}"/>
    <cellStyle name="Comma 32 18" xfId="26060" xr:uid="{00000000-0005-0000-0000-0000152E0000}"/>
    <cellStyle name="Comma 32 18 2" xfId="26061" xr:uid="{00000000-0005-0000-0000-0000162E0000}"/>
    <cellStyle name="Comma 32 18 2 2" xfId="26062" xr:uid="{00000000-0005-0000-0000-0000172E0000}"/>
    <cellStyle name="Comma 32 18 3" xfId="26063" xr:uid="{00000000-0005-0000-0000-0000182E0000}"/>
    <cellStyle name="Comma 32 19" xfId="26064" xr:uid="{00000000-0005-0000-0000-0000192E0000}"/>
    <cellStyle name="Comma 32 19 2" xfId="26065" xr:uid="{00000000-0005-0000-0000-00001A2E0000}"/>
    <cellStyle name="Comma 32 19 2 2" xfId="26066" xr:uid="{00000000-0005-0000-0000-00001B2E0000}"/>
    <cellStyle name="Comma 32 19 3" xfId="26067" xr:uid="{00000000-0005-0000-0000-00001C2E0000}"/>
    <cellStyle name="Comma 32 2" xfId="2877" xr:uid="{00000000-0005-0000-0000-00001D2E0000}"/>
    <cellStyle name="Comma 32 2 2" xfId="26068" xr:uid="{00000000-0005-0000-0000-00001E2E0000}"/>
    <cellStyle name="Comma 32 2 2 2" xfId="26069" xr:uid="{00000000-0005-0000-0000-00001F2E0000}"/>
    <cellStyle name="Comma 32 2 3" xfId="26070" xr:uid="{00000000-0005-0000-0000-0000202E0000}"/>
    <cellStyle name="Comma 32 2 3 2" xfId="26071" xr:uid="{00000000-0005-0000-0000-0000212E0000}"/>
    <cellStyle name="Comma 32 2 3 2 2" xfId="26072" xr:uid="{00000000-0005-0000-0000-0000222E0000}"/>
    <cellStyle name="Comma 32 2 3 3" xfId="26073" xr:uid="{00000000-0005-0000-0000-0000232E0000}"/>
    <cellStyle name="Comma 32 2 4" xfId="26074" xr:uid="{00000000-0005-0000-0000-0000242E0000}"/>
    <cellStyle name="Comma 32 2 5" xfId="26075" xr:uid="{00000000-0005-0000-0000-0000252E0000}"/>
    <cellStyle name="Comma 32 20" xfId="26076" xr:uid="{00000000-0005-0000-0000-0000262E0000}"/>
    <cellStyle name="Comma 32 20 2" xfId="26077" xr:uid="{00000000-0005-0000-0000-0000272E0000}"/>
    <cellStyle name="Comma 32 20 2 2" xfId="26078" xr:uid="{00000000-0005-0000-0000-0000282E0000}"/>
    <cellStyle name="Comma 32 20 3" xfId="26079" xr:uid="{00000000-0005-0000-0000-0000292E0000}"/>
    <cellStyle name="Comma 32 21" xfId="26080" xr:uid="{00000000-0005-0000-0000-00002A2E0000}"/>
    <cellStyle name="Comma 32 21 2" xfId="26081" xr:uid="{00000000-0005-0000-0000-00002B2E0000}"/>
    <cellStyle name="Comma 32 21 2 2" xfId="26082" xr:uid="{00000000-0005-0000-0000-00002C2E0000}"/>
    <cellStyle name="Comma 32 21 3" xfId="26083" xr:uid="{00000000-0005-0000-0000-00002D2E0000}"/>
    <cellStyle name="Comma 32 22" xfId="26084" xr:uid="{00000000-0005-0000-0000-00002E2E0000}"/>
    <cellStyle name="Comma 32 22 2" xfId="26085" xr:uid="{00000000-0005-0000-0000-00002F2E0000}"/>
    <cellStyle name="Comma 32 22 2 2" xfId="26086" xr:uid="{00000000-0005-0000-0000-0000302E0000}"/>
    <cellStyle name="Comma 32 22 3" xfId="26087" xr:uid="{00000000-0005-0000-0000-0000312E0000}"/>
    <cellStyle name="Comma 32 23" xfId="26088" xr:uid="{00000000-0005-0000-0000-0000322E0000}"/>
    <cellStyle name="Comma 32 23 2" xfId="26089" xr:uid="{00000000-0005-0000-0000-0000332E0000}"/>
    <cellStyle name="Comma 32 23 2 2" xfId="26090" xr:uid="{00000000-0005-0000-0000-0000342E0000}"/>
    <cellStyle name="Comma 32 23 3" xfId="26091" xr:uid="{00000000-0005-0000-0000-0000352E0000}"/>
    <cellStyle name="Comma 32 24" xfId="26092" xr:uid="{00000000-0005-0000-0000-0000362E0000}"/>
    <cellStyle name="Comma 32 24 2" xfId="26093" xr:uid="{00000000-0005-0000-0000-0000372E0000}"/>
    <cellStyle name="Comma 32 24 2 2" xfId="26094" xr:uid="{00000000-0005-0000-0000-0000382E0000}"/>
    <cellStyle name="Comma 32 24 3" xfId="26095" xr:uid="{00000000-0005-0000-0000-0000392E0000}"/>
    <cellStyle name="Comma 32 25" xfId="26096" xr:uid="{00000000-0005-0000-0000-00003A2E0000}"/>
    <cellStyle name="Comma 32 25 2" xfId="26097" xr:uid="{00000000-0005-0000-0000-00003B2E0000}"/>
    <cellStyle name="Comma 32 25 2 2" xfId="26098" xr:uid="{00000000-0005-0000-0000-00003C2E0000}"/>
    <cellStyle name="Comma 32 25 3" xfId="26099" xr:uid="{00000000-0005-0000-0000-00003D2E0000}"/>
    <cellStyle name="Comma 32 26" xfId="26100" xr:uid="{00000000-0005-0000-0000-00003E2E0000}"/>
    <cellStyle name="Comma 32 26 2" xfId="26101" xr:uid="{00000000-0005-0000-0000-00003F2E0000}"/>
    <cellStyle name="Comma 32 26 2 2" xfId="26102" xr:uid="{00000000-0005-0000-0000-0000402E0000}"/>
    <cellStyle name="Comma 32 26 3" xfId="26103" xr:uid="{00000000-0005-0000-0000-0000412E0000}"/>
    <cellStyle name="Comma 32 27" xfId="26104" xr:uid="{00000000-0005-0000-0000-0000422E0000}"/>
    <cellStyle name="Comma 32 27 2" xfId="26105" xr:uid="{00000000-0005-0000-0000-0000432E0000}"/>
    <cellStyle name="Comma 32 27 2 2" xfId="26106" xr:uid="{00000000-0005-0000-0000-0000442E0000}"/>
    <cellStyle name="Comma 32 27 3" xfId="26107" xr:uid="{00000000-0005-0000-0000-0000452E0000}"/>
    <cellStyle name="Comma 32 28" xfId="26108" xr:uid="{00000000-0005-0000-0000-0000462E0000}"/>
    <cellStyle name="Comma 32 28 2" xfId="26109" xr:uid="{00000000-0005-0000-0000-0000472E0000}"/>
    <cellStyle name="Comma 32 28 2 2" xfId="26110" xr:uid="{00000000-0005-0000-0000-0000482E0000}"/>
    <cellStyle name="Comma 32 28 3" xfId="26111" xr:uid="{00000000-0005-0000-0000-0000492E0000}"/>
    <cellStyle name="Comma 32 29" xfId="26112" xr:uid="{00000000-0005-0000-0000-00004A2E0000}"/>
    <cellStyle name="Comma 32 29 2" xfId="26113" xr:uid="{00000000-0005-0000-0000-00004B2E0000}"/>
    <cellStyle name="Comma 32 3" xfId="2878" xr:uid="{00000000-0005-0000-0000-00004C2E0000}"/>
    <cellStyle name="Comma 32 3 2" xfId="26114" xr:uid="{00000000-0005-0000-0000-00004D2E0000}"/>
    <cellStyle name="Comma 32 3 2 2" xfId="26115" xr:uid="{00000000-0005-0000-0000-00004E2E0000}"/>
    <cellStyle name="Comma 32 3 3" xfId="26116" xr:uid="{00000000-0005-0000-0000-00004F2E0000}"/>
    <cellStyle name="Comma 32 3 3 2" xfId="26117" xr:uid="{00000000-0005-0000-0000-0000502E0000}"/>
    <cellStyle name="Comma 32 3 3 2 2" xfId="26118" xr:uid="{00000000-0005-0000-0000-0000512E0000}"/>
    <cellStyle name="Comma 32 3 3 3" xfId="26119" xr:uid="{00000000-0005-0000-0000-0000522E0000}"/>
    <cellStyle name="Comma 32 3 4" xfId="26120" xr:uid="{00000000-0005-0000-0000-0000532E0000}"/>
    <cellStyle name="Comma 32 30" xfId="26121" xr:uid="{00000000-0005-0000-0000-0000542E0000}"/>
    <cellStyle name="Comma 32 30 2" xfId="26122" xr:uid="{00000000-0005-0000-0000-0000552E0000}"/>
    <cellStyle name="Comma 32 30 2 2" xfId="26123" xr:uid="{00000000-0005-0000-0000-0000562E0000}"/>
    <cellStyle name="Comma 32 30 3" xfId="26124" xr:uid="{00000000-0005-0000-0000-0000572E0000}"/>
    <cellStyle name="Comma 32 31" xfId="26125" xr:uid="{00000000-0005-0000-0000-0000582E0000}"/>
    <cellStyle name="Comma 32 31 2" xfId="26126" xr:uid="{00000000-0005-0000-0000-0000592E0000}"/>
    <cellStyle name="Comma 32 32" xfId="26127" xr:uid="{00000000-0005-0000-0000-00005A2E0000}"/>
    <cellStyle name="Comma 32 32 2" xfId="26128" xr:uid="{00000000-0005-0000-0000-00005B2E0000}"/>
    <cellStyle name="Comma 32 33" xfId="26129" xr:uid="{00000000-0005-0000-0000-00005C2E0000}"/>
    <cellStyle name="Comma 32 34" xfId="26130" xr:uid="{00000000-0005-0000-0000-00005D2E0000}"/>
    <cellStyle name="Comma 32 35" xfId="26131" xr:uid="{00000000-0005-0000-0000-00005E2E0000}"/>
    <cellStyle name="Comma 32 4" xfId="26132" xr:uid="{00000000-0005-0000-0000-00005F2E0000}"/>
    <cellStyle name="Comma 32 4 2" xfId="26133" xr:uid="{00000000-0005-0000-0000-0000602E0000}"/>
    <cellStyle name="Comma 32 4 2 2" xfId="26134" xr:uid="{00000000-0005-0000-0000-0000612E0000}"/>
    <cellStyle name="Comma 32 4 3" xfId="26135" xr:uid="{00000000-0005-0000-0000-0000622E0000}"/>
    <cellStyle name="Comma 32 4 3 2" xfId="26136" xr:uid="{00000000-0005-0000-0000-0000632E0000}"/>
    <cellStyle name="Comma 32 4 3 2 2" xfId="26137" xr:uid="{00000000-0005-0000-0000-0000642E0000}"/>
    <cellStyle name="Comma 32 4 3 3" xfId="26138" xr:uid="{00000000-0005-0000-0000-0000652E0000}"/>
    <cellStyle name="Comma 32 4 4" xfId="26139" xr:uid="{00000000-0005-0000-0000-0000662E0000}"/>
    <cellStyle name="Comma 32 5" xfId="26140" xr:uid="{00000000-0005-0000-0000-0000672E0000}"/>
    <cellStyle name="Comma 32 5 2" xfId="26141" xr:uid="{00000000-0005-0000-0000-0000682E0000}"/>
    <cellStyle name="Comma 32 5 2 2" xfId="26142" xr:uid="{00000000-0005-0000-0000-0000692E0000}"/>
    <cellStyle name="Comma 32 5 3" xfId="26143" xr:uid="{00000000-0005-0000-0000-00006A2E0000}"/>
    <cellStyle name="Comma 32 5 3 2" xfId="26144" xr:uid="{00000000-0005-0000-0000-00006B2E0000}"/>
    <cellStyle name="Comma 32 5 3 2 2" xfId="26145" xr:uid="{00000000-0005-0000-0000-00006C2E0000}"/>
    <cellStyle name="Comma 32 5 3 3" xfId="26146" xr:uid="{00000000-0005-0000-0000-00006D2E0000}"/>
    <cellStyle name="Comma 32 5 4" xfId="26147" xr:uid="{00000000-0005-0000-0000-00006E2E0000}"/>
    <cellStyle name="Comma 32 6" xfId="26148" xr:uid="{00000000-0005-0000-0000-00006F2E0000}"/>
    <cellStyle name="Comma 32 6 2" xfId="26149" xr:uid="{00000000-0005-0000-0000-0000702E0000}"/>
    <cellStyle name="Comma 32 6 2 2" xfId="26150" xr:uid="{00000000-0005-0000-0000-0000712E0000}"/>
    <cellStyle name="Comma 32 6 3" xfId="26151" xr:uid="{00000000-0005-0000-0000-0000722E0000}"/>
    <cellStyle name="Comma 32 7" xfId="26152" xr:uid="{00000000-0005-0000-0000-0000732E0000}"/>
    <cellStyle name="Comma 32 7 2" xfId="26153" xr:uid="{00000000-0005-0000-0000-0000742E0000}"/>
    <cellStyle name="Comma 32 7 2 2" xfId="26154" xr:uid="{00000000-0005-0000-0000-0000752E0000}"/>
    <cellStyle name="Comma 32 7 3" xfId="26155" xr:uid="{00000000-0005-0000-0000-0000762E0000}"/>
    <cellStyle name="Comma 32 8" xfId="26156" xr:uid="{00000000-0005-0000-0000-0000772E0000}"/>
    <cellStyle name="Comma 32 8 2" xfId="26157" xr:uid="{00000000-0005-0000-0000-0000782E0000}"/>
    <cellStyle name="Comma 32 8 2 2" xfId="26158" xr:uid="{00000000-0005-0000-0000-0000792E0000}"/>
    <cellStyle name="Comma 32 8 3" xfId="26159" xr:uid="{00000000-0005-0000-0000-00007A2E0000}"/>
    <cellStyle name="Comma 32 9" xfId="26160" xr:uid="{00000000-0005-0000-0000-00007B2E0000}"/>
    <cellStyle name="Comma 32 9 2" xfId="26161" xr:uid="{00000000-0005-0000-0000-00007C2E0000}"/>
    <cellStyle name="Comma 32 9 2 2" xfId="26162" xr:uid="{00000000-0005-0000-0000-00007D2E0000}"/>
    <cellStyle name="Comma 32 9 3" xfId="26163" xr:uid="{00000000-0005-0000-0000-00007E2E0000}"/>
    <cellStyle name="Comma 320" xfId="26164" xr:uid="{00000000-0005-0000-0000-00007F2E0000}"/>
    <cellStyle name="Comma 320 2" xfId="26165" xr:uid="{00000000-0005-0000-0000-0000802E0000}"/>
    <cellStyle name="Comma 321" xfId="26166" xr:uid="{00000000-0005-0000-0000-0000812E0000}"/>
    <cellStyle name="Comma 321 2" xfId="26167" xr:uid="{00000000-0005-0000-0000-0000822E0000}"/>
    <cellStyle name="Comma 322" xfId="26168" xr:uid="{00000000-0005-0000-0000-0000832E0000}"/>
    <cellStyle name="Comma 322 2" xfId="26169" xr:uid="{00000000-0005-0000-0000-0000842E0000}"/>
    <cellStyle name="Comma 323" xfId="26170" xr:uid="{00000000-0005-0000-0000-0000852E0000}"/>
    <cellStyle name="Comma 323 2" xfId="26171" xr:uid="{00000000-0005-0000-0000-0000862E0000}"/>
    <cellStyle name="Comma 324" xfId="26172" xr:uid="{00000000-0005-0000-0000-0000872E0000}"/>
    <cellStyle name="Comma 324 2" xfId="26173" xr:uid="{00000000-0005-0000-0000-0000882E0000}"/>
    <cellStyle name="Comma 325" xfId="26174" xr:uid="{00000000-0005-0000-0000-0000892E0000}"/>
    <cellStyle name="Comma 325 2" xfId="26175" xr:uid="{00000000-0005-0000-0000-00008A2E0000}"/>
    <cellStyle name="Comma 326" xfId="26176" xr:uid="{00000000-0005-0000-0000-00008B2E0000}"/>
    <cellStyle name="Comma 326 2" xfId="26177" xr:uid="{00000000-0005-0000-0000-00008C2E0000}"/>
    <cellStyle name="Comma 327" xfId="26178" xr:uid="{00000000-0005-0000-0000-00008D2E0000}"/>
    <cellStyle name="Comma 327 2" xfId="26179" xr:uid="{00000000-0005-0000-0000-00008E2E0000}"/>
    <cellStyle name="Comma 327 3" xfId="26180" xr:uid="{00000000-0005-0000-0000-00008F2E0000}"/>
    <cellStyle name="Comma 328" xfId="26181" xr:uid="{00000000-0005-0000-0000-0000902E0000}"/>
    <cellStyle name="Comma 329" xfId="26182" xr:uid="{00000000-0005-0000-0000-0000912E0000}"/>
    <cellStyle name="Comma 33" xfId="2879" xr:uid="{00000000-0005-0000-0000-0000922E0000}"/>
    <cellStyle name="Comma 33 10" xfId="26183" xr:uid="{00000000-0005-0000-0000-0000932E0000}"/>
    <cellStyle name="Comma 33 10 2" xfId="26184" xr:uid="{00000000-0005-0000-0000-0000942E0000}"/>
    <cellStyle name="Comma 33 10 2 2" xfId="26185" xr:uid="{00000000-0005-0000-0000-0000952E0000}"/>
    <cellStyle name="Comma 33 10 3" xfId="26186" xr:uid="{00000000-0005-0000-0000-0000962E0000}"/>
    <cellStyle name="Comma 33 11" xfId="26187" xr:uid="{00000000-0005-0000-0000-0000972E0000}"/>
    <cellStyle name="Comma 33 11 2" xfId="26188" xr:uid="{00000000-0005-0000-0000-0000982E0000}"/>
    <cellStyle name="Comma 33 11 2 2" xfId="26189" xr:uid="{00000000-0005-0000-0000-0000992E0000}"/>
    <cellStyle name="Comma 33 11 3" xfId="26190" xr:uid="{00000000-0005-0000-0000-00009A2E0000}"/>
    <cellStyle name="Comma 33 12" xfId="26191" xr:uid="{00000000-0005-0000-0000-00009B2E0000}"/>
    <cellStyle name="Comma 33 12 2" xfId="26192" xr:uid="{00000000-0005-0000-0000-00009C2E0000}"/>
    <cellStyle name="Comma 33 12 2 2" xfId="26193" xr:uid="{00000000-0005-0000-0000-00009D2E0000}"/>
    <cellStyle name="Comma 33 12 3" xfId="26194" xr:uid="{00000000-0005-0000-0000-00009E2E0000}"/>
    <cellStyle name="Comma 33 13" xfId="26195" xr:uid="{00000000-0005-0000-0000-00009F2E0000}"/>
    <cellStyle name="Comma 33 13 2" xfId="26196" xr:uid="{00000000-0005-0000-0000-0000A02E0000}"/>
    <cellStyle name="Comma 33 13 2 2" xfId="26197" xr:uid="{00000000-0005-0000-0000-0000A12E0000}"/>
    <cellStyle name="Comma 33 13 3" xfId="26198" xr:uid="{00000000-0005-0000-0000-0000A22E0000}"/>
    <cellStyle name="Comma 33 14" xfId="26199" xr:uid="{00000000-0005-0000-0000-0000A32E0000}"/>
    <cellStyle name="Comma 33 14 2" xfId="26200" xr:uid="{00000000-0005-0000-0000-0000A42E0000}"/>
    <cellStyle name="Comma 33 14 2 2" xfId="26201" xr:uid="{00000000-0005-0000-0000-0000A52E0000}"/>
    <cellStyle name="Comma 33 14 3" xfId="26202" xr:uid="{00000000-0005-0000-0000-0000A62E0000}"/>
    <cellStyle name="Comma 33 15" xfId="26203" xr:uid="{00000000-0005-0000-0000-0000A72E0000}"/>
    <cellStyle name="Comma 33 15 2" xfId="26204" xr:uid="{00000000-0005-0000-0000-0000A82E0000}"/>
    <cellStyle name="Comma 33 15 2 2" xfId="26205" xr:uid="{00000000-0005-0000-0000-0000A92E0000}"/>
    <cellStyle name="Comma 33 15 3" xfId="26206" xr:uid="{00000000-0005-0000-0000-0000AA2E0000}"/>
    <cellStyle name="Comma 33 16" xfId="26207" xr:uid="{00000000-0005-0000-0000-0000AB2E0000}"/>
    <cellStyle name="Comma 33 16 2" xfId="26208" xr:uid="{00000000-0005-0000-0000-0000AC2E0000}"/>
    <cellStyle name="Comma 33 16 2 2" xfId="26209" xr:uid="{00000000-0005-0000-0000-0000AD2E0000}"/>
    <cellStyle name="Comma 33 16 3" xfId="26210" xr:uid="{00000000-0005-0000-0000-0000AE2E0000}"/>
    <cellStyle name="Comma 33 17" xfId="26211" xr:uid="{00000000-0005-0000-0000-0000AF2E0000}"/>
    <cellStyle name="Comma 33 17 2" xfId="26212" xr:uid="{00000000-0005-0000-0000-0000B02E0000}"/>
    <cellStyle name="Comma 33 17 2 2" xfId="26213" xr:uid="{00000000-0005-0000-0000-0000B12E0000}"/>
    <cellStyle name="Comma 33 17 3" xfId="26214" xr:uid="{00000000-0005-0000-0000-0000B22E0000}"/>
    <cellStyle name="Comma 33 18" xfId="26215" xr:uid="{00000000-0005-0000-0000-0000B32E0000}"/>
    <cellStyle name="Comma 33 18 2" xfId="26216" xr:uid="{00000000-0005-0000-0000-0000B42E0000}"/>
    <cellStyle name="Comma 33 18 2 2" xfId="26217" xr:uid="{00000000-0005-0000-0000-0000B52E0000}"/>
    <cellStyle name="Comma 33 18 3" xfId="26218" xr:uid="{00000000-0005-0000-0000-0000B62E0000}"/>
    <cellStyle name="Comma 33 19" xfId="26219" xr:uid="{00000000-0005-0000-0000-0000B72E0000}"/>
    <cellStyle name="Comma 33 19 2" xfId="26220" xr:uid="{00000000-0005-0000-0000-0000B82E0000}"/>
    <cellStyle name="Comma 33 19 2 2" xfId="26221" xr:uid="{00000000-0005-0000-0000-0000B92E0000}"/>
    <cellStyle name="Comma 33 19 3" xfId="26222" xr:uid="{00000000-0005-0000-0000-0000BA2E0000}"/>
    <cellStyle name="Comma 33 2" xfId="2880" xr:uid="{00000000-0005-0000-0000-0000BB2E0000}"/>
    <cellStyle name="Comma 33 2 2" xfId="26223" xr:uid="{00000000-0005-0000-0000-0000BC2E0000}"/>
    <cellStyle name="Comma 33 2 2 2" xfId="26224" xr:uid="{00000000-0005-0000-0000-0000BD2E0000}"/>
    <cellStyle name="Comma 33 2 3" xfId="26225" xr:uid="{00000000-0005-0000-0000-0000BE2E0000}"/>
    <cellStyle name="Comma 33 2 3 2" xfId="26226" xr:uid="{00000000-0005-0000-0000-0000BF2E0000}"/>
    <cellStyle name="Comma 33 2 3 2 2" xfId="26227" xr:uid="{00000000-0005-0000-0000-0000C02E0000}"/>
    <cellStyle name="Comma 33 2 3 3" xfId="26228" xr:uid="{00000000-0005-0000-0000-0000C12E0000}"/>
    <cellStyle name="Comma 33 2 4" xfId="26229" xr:uid="{00000000-0005-0000-0000-0000C22E0000}"/>
    <cellStyle name="Comma 33 2 5" xfId="26230" xr:uid="{00000000-0005-0000-0000-0000C32E0000}"/>
    <cellStyle name="Comma 33 20" xfId="26231" xr:uid="{00000000-0005-0000-0000-0000C42E0000}"/>
    <cellStyle name="Comma 33 20 2" xfId="26232" xr:uid="{00000000-0005-0000-0000-0000C52E0000}"/>
    <cellStyle name="Comma 33 20 2 2" xfId="26233" xr:uid="{00000000-0005-0000-0000-0000C62E0000}"/>
    <cellStyle name="Comma 33 20 3" xfId="26234" xr:uid="{00000000-0005-0000-0000-0000C72E0000}"/>
    <cellStyle name="Comma 33 21" xfId="26235" xr:uid="{00000000-0005-0000-0000-0000C82E0000}"/>
    <cellStyle name="Comma 33 21 2" xfId="26236" xr:uid="{00000000-0005-0000-0000-0000C92E0000}"/>
    <cellStyle name="Comma 33 21 2 2" xfId="26237" xr:uid="{00000000-0005-0000-0000-0000CA2E0000}"/>
    <cellStyle name="Comma 33 21 3" xfId="26238" xr:uid="{00000000-0005-0000-0000-0000CB2E0000}"/>
    <cellStyle name="Comma 33 22" xfId="26239" xr:uid="{00000000-0005-0000-0000-0000CC2E0000}"/>
    <cellStyle name="Comma 33 22 2" xfId="26240" xr:uid="{00000000-0005-0000-0000-0000CD2E0000}"/>
    <cellStyle name="Comma 33 22 2 2" xfId="26241" xr:uid="{00000000-0005-0000-0000-0000CE2E0000}"/>
    <cellStyle name="Comma 33 22 3" xfId="26242" xr:uid="{00000000-0005-0000-0000-0000CF2E0000}"/>
    <cellStyle name="Comma 33 23" xfId="26243" xr:uid="{00000000-0005-0000-0000-0000D02E0000}"/>
    <cellStyle name="Comma 33 23 2" xfId="26244" xr:uid="{00000000-0005-0000-0000-0000D12E0000}"/>
    <cellStyle name="Comma 33 23 2 2" xfId="26245" xr:uid="{00000000-0005-0000-0000-0000D22E0000}"/>
    <cellStyle name="Comma 33 23 3" xfId="26246" xr:uid="{00000000-0005-0000-0000-0000D32E0000}"/>
    <cellStyle name="Comma 33 24" xfId="26247" xr:uid="{00000000-0005-0000-0000-0000D42E0000}"/>
    <cellStyle name="Comma 33 24 2" xfId="26248" xr:uid="{00000000-0005-0000-0000-0000D52E0000}"/>
    <cellStyle name="Comma 33 24 2 2" xfId="26249" xr:uid="{00000000-0005-0000-0000-0000D62E0000}"/>
    <cellStyle name="Comma 33 24 3" xfId="26250" xr:uid="{00000000-0005-0000-0000-0000D72E0000}"/>
    <cellStyle name="Comma 33 25" xfId="26251" xr:uid="{00000000-0005-0000-0000-0000D82E0000}"/>
    <cellStyle name="Comma 33 25 2" xfId="26252" xr:uid="{00000000-0005-0000-0000-0000D92E0000}"/>
    <cellStyle name="Comma 33 25 2 2" xfId="26253" xr:uid="{00000000-0005-0000-0000-0000DA2E0000}"/>
    <cellStyle name="Comma 33 25 3" xfId="26254" xr:uid="{00000000-0005-0000-0000-0000DB2E0000}"/>
    <cellStyle name="Comma 33 26" xfId="26255" xr:uid="{00000000-0005-0000-0000-0000DC2E0000}"/>
    <cellStyle name="Comma 33 26 2" xfId="26256" xr:uid="{00000000-0005-0000-0000-0000DD2E0000}"/>
    <cellStyle name="Comma 33 26 2 2" xfId="26257" xr:uid="{00000000-0005-0000-0000-0000DE2E0000}"/>
    <cellStyle name="Comma 33 26 3" xfId="26258" xr:uid="{00000000-0005-0000-0000-0000DF2E0000}"/>
    <cellStyle name="Comma 33 27" xfId="26259" xr:uid="{00000000-0005-0000-0000-0000E02E0000}"/>
    <cellStyle name="Comma 33 27 2" xfId="26260" xr:uid="{00000000-0005-0000-0000-0000E12E0000}"/>
    <cellStyle name="Comma 33 27 2 2" xfId="26261" xr:uid="{00000000-0005-0000-0000-0000E22E0000}"/>
    <cellStyle name="Comma 33 27 3" xfId="26262" xr:uid="{00000000-0005-0000-0000-0000E32E0000}"/>
    <cellStyle name="Comma 33 28" xfId="26263" xr:uid="{00000000-0005-0000-0000-0000E42E0000}"/>
    <cellStyle name="Comma 33 28 2" xfId="26264" xr:uid="{00000000-0005-0000-0000-0000E52E0000}"/>
    <cellStyle name="Comma 33 28 2 2" xfId="26265" xr:uid="{00000000-0005-0000-0000-0000E62E0000}"/>
    <cellStyle name="Comma 33 28 3" xfId="26266" xr:uid="{00000000-0005-0000-0000-0000E72E0000}"/>
    <cellStyle name="Comma 33 29" xfId="26267" xr:uid="{00000000-0005-0000-0000-0000E82E0000}"/>
    <cellStyle name="Comma 33 29 2" xfId="26268" xr:uid="{00000000-0005-0000-0000-0000E92E0000}"/>
    <cellStyle name="Comma 33 3" xfId="2881" xr:uid="{00000000-0005-0000-0000-0000EA2E0000}"/>
    <cellStyle name="Comma 33 3 2" xfId="26269" xr:uid="{00000000-0005-0000-0000-0000EB2E0000}"/>
    <cellStyle name="Comma 33 3 2 2" xfId="26270" xr:uid="{00000000-0005-0000-0000-0000EC2E0000}"/>
    <cellStyle name="Comma 33 3 3" xfId="26271" xr:uid="{00000000-0005-0000-0000-0000ED2E0000}"/>
    <cellStyle name="Comma 33 3 3 2" xfId="26272" xr:uid="{00000000-0005-0000-0000-0000EE2E0000}"/>
    <cellStyle name="Comma 33 3 3 2 2" xfId="26273" xr:uid="{00000000-0005-0000-0000-0000EF2E0000}"/>
    <cellStyle name="Comma 33 3 3 3" xfId="26274" xr:uid="{00000000-0005-0000-0000-0000F02E0000}"/>
    <cellStyle name="Comma 33 3 4" xfId="26275" xr:uid="{00000000-0005-0000-0000-0000F12E0000}"/>
    <cellStyle name="Comma 33 30" xfId="26276" xr:uid="{00000000-0005-0000-0000-0000F22E0000}"/>
    <cellStyle name="Comma 33 30 2" xfId="26277" xr:uid="{00000000-0005-0000-0000-0000F32E0000}"/>
    <cellStyle name="Comma 33 30 2 2" xfId="26278" xr:uid="{00000000-0005-0000-0000-0000F42E0000}"/>
    <cellStyle name="Comma 33 30 3" xfId="26279" xr:uid="{00000000-0005-0000-0000-0000F52E0000}"/>
    <cellStyle name="Comma 33 31" xfId="26280" xr:uid="{00000000-0005-0000-0000-0000F62E0000}"/>
    <cellStyle name="Comma 33 31 2" xfId="26281" xr:uid="{00000000-0005-0000-0000-0000F72E0000}"/>
    <cellStyle name="Comma 33 32" xfId="26282" xr:uid="{00000000-0005-0000-0000-0000F82E0000}"/>
    <cellStyle name="Comma 33 32 2" xfId="26283" xr:uid="{00000000-0005-0000-0000-0000F92E0000}"/>
    <cellStyle name="Comma 33 33" xfId="26284" xr:uid="{00000000-0005-0000-0000-0000FA2E0000}"/>
    <cellStyle name="Comma 33 34" xfId="26285" xr:uid="{00000000-0005-0000-0000-0000FB2E0000}"/>
    <cellStyle name="Comma 33 35" xfId="26286" xr:uid="{00000000-0005-0000-0000-0000FC2E0000}"/>
    <cellStyle name="Comma 33 4" xfId="26287" xr:uid="{00000000-0005-0000-0000-0000FD2E0000}"/>
    <cellStyle name="Comma 33 4 2" xfId="26288" xr:uid="{00000000-0005-0000-0000-0000FE2E0000}"/>
    <cellStyle name="Comma 33 4 2 2" xfId="26289" xr:uid="{00000000-0005-0000-0000-0000FF2E0000}"/>
    <cellStyle name="Comma 33 4 3" xfId="26290" xr:uid="{00000000-0005-0000-0000-0000002F0000}"/>
    <cellStyle name="Comma 33 4 3 2" xfId="26291" xr:uid="{00000000-0005-0000-0000-0000012F0000}"/>
    <cellStyle name="Comma 33 4 3 2 2" xfId="26292" xr:uid="{00000000-0005-0000-0000-0000022F0000}"/>
    <cellStyle name="Comma 33 4 3 3" xfId="26293" xr:uid="{00000000-0005-0000-0000-0000032F0000}"/>
    <cellStyle name="Comma 33 4 4" xfId="26294" xr:uid="{00000000-0005-0000-0000-0000042F0000}"/>
    <cellStyle name="Comma 33 5" xfId="26295" xr:uid="{00000000-0005-0000-0000-0000052F0000}"/>
    <cellStyle name="Comma 33 5 2" xfId="26296" xr:uid="{00000000-0005-0000-0000-0000062F0000}"/>
    <cellStyle name="Comma 33 5 2 2" xfId="26297" xr:uid="{00000000-0005-0000-0000-0000072F0000}"/>
    <cellStyle name="Comma 33 5 3" xfId="26298" xr:uid="{00000000-0005-0000-0000-0000082F0000}"/>
    <cellStyle name="Comma 33 5 3 2" xfId="26299" xr:uid="{00000000-0005-0000-0000-0000092F0000}"/>
    <cellStyle name="Comma 33 5 3 2 2" xfId="26300" xr:uid="{00000000-0005-0000-0000-00000A2F0000}"/>
    <cellStyle name="Comma 33 5 3 3" xfId="26301" xr:uid="{00000000-0005-0000-0000-00000B2F0000}"/>
    <cellStyle name="Comma 33 5 4" xfId="26302" xr:uid="{00000000-0005-0000-0000-00000C2F0000}"/>
    <cellStyle name="Comma 33 6" xfId="26303" xr:uid="{00000000-0005-0000-0000-00000D2F0000}"/>
    <cellStyle name="Comma 33 6 2" xfId="26304" xr:uid="{00000000-0005-0000-0000-00000E2F0000}"/>
    <cellStyle name="Comma 33 6 2 2" xfId="26305" xr:uid="{00000000-0005-0000-0000-00000F2F0000}"/>
    <cellStyle name="Comma 33 6 3" xfId="26306" xr:uid="{00000000-0005-0000-0000-0000102F0000}"/>
    <cellStyle name="Comma 33 7" xfId="26307" xr:uid="{00000000-0005-0000-0000-0000112F0000}"/>
    <cellStyle name="Comma 33 7 2" xfId="26308" xr:uid="{00000000-0005-0000-0000-0000122F0000}"/>
    <cellStyle name="Comma 33 7 2 2" xfId="26309" xr:uid="{00000000-0005-0000-0000-0000132F0000}"/>
    <cellStyle name="Comma 33 7 3" xfId="26310" xr:uid="{00000000-0005-0000-0000-0000142F0000}"/>
    <cellStyle name="Comma 33 8" xfId="26311" xr:uid="{00000000-0005-0000-0000-0000152F0000}"/>
    <cellStyle name="Comma 33 8 2" xfId="26312" xr:uid="{00000000-0005-0000-0000-0000162F0000}"/>
    <cellStyle name="Comma 33 8 2 2" xfId="26313" xr:uid="{00000000-0005-0000-0000-0000172F0000}"/>
    <cellStyle name="Comma 33 8 3" xfId="26314" xr:uid="{00000000-0005-0000-0000-0000182F0000}"/>
    <cellStyle name="Comma 33 9" xfId="26315" xr:uid="{00000000-0005-0000-0000-0000192F0000}"/>
    <cellStyle name="Comma 33 9 2" xfId="26316" xr:uid="{00000000-0005-0000-0000-00001A2F0000}"/>
    <cellStyle name="Comma 33 9 2 2" xfId="26317" xr:uid="{00000000-0005-0000-0000-00001B2F0000}"/>
    <cellStyle name="Comma 33 9 3" xfId="26318" xr:uid="{00000000-0005-0000-0000-00001C2F0000}"/>
    <cellStyle name="Comma 330" xfId="26319" xr:uid="{00000000-0005-0000-0000-00001D2F0000}"/>
    <cellStyle name="Comma 331" xfId="26320" xr:uid="{00000000-0005-0000-0000-00001E2F0000}"/>
    <cellStyle name="Comma 332" xfId="26321" xr:uid="{00000000-0005-0000-0000-00001F2F0000}"/>
    <cellStyle name="Comma 333" xfId="26322" xr:uid="{00000000-0005-0000-0000-0000202F0000}"/>
    <cellStyle name="Comma 334" xfId="26323" xr:uid="{00000000-0005-0000-0000-0000212F0000}"/>
    <cellStyle name="Comma 335" xfId="26324" xr:uid="{00000000-0005-0000-0000-0000222F0000}"/>
    <cellStyle name="Comma 336" xfId="26325" xr:uid="{00000000-0005-0000-0000-0000232F0000}"/>
    <cellStyle name="Comma 337" xfId="26326" xr:uid="{00000000-0005-0000-0000-0000242F0000}"/>
    <cellStyle name="Comma 338" xfId="26327" xr:uid="{00000000-0005-0000-0000-0000252F0000}"/>
    <cellStyle name="Comma 339" xfId="26328" xr:uid="{00000000-0005-0000-0000-0000262F0000}"/>
    <cellStyle name="Comma 34" xfId="2882" xr:uid="{00000000-0005-0000-0000-0000272F0000}"/>
    <cellStyle name="Comma 34 10" xfId="26329" xr:uid="{00000000-0005-0000-0000-0000282F0000}"/>
    <cellStyle name="Comma 34 10 2" xfId="26330" xr:uid="{00000000-0005-0000-0000-0000292F0000}"/>
    <cellStyle name="Comma 34 10 2 2" xfId="26331" xr:uid="{00000000-0005-0000-0000-00002A2F0000}"/>
    <cellStyle name="Comma 34 10 3" xfId="26332" xr:uid="{00000000-0005-0000-0000-00002B2F0000}"/>
    <cellStyle name="Comma 34 11" xfId="26333" xr:uid="{00000000-0005-0000-0000-00002C2F0000}"/>
    <cellStyle name="Comma 34 11 2" xfId="26334" xr:uid="{00000000-0005-0000-0000-00002D2F0000}"/>
    <cellStyle name="Comma 34 11 2 2" xfId="26335" xr:uid="{00000000-0005-0000-0000-00002E2F0000}"/>
    <cellStyle name="Comma 34 11 3" xfId="26336" xr:uid="{00000000-0005-0000-0000-00002F2F0000}"/>
    <cellStyle name="Comma 34 12" xfId="26337" xr:uid="{00000000-0005-0000-0000-0000302F0000}"/>
    <cellStyle name="Comma 34 12 2" xfId="26338" xr:uid="{00000000-0005-0000-0000-0000312F0000}"/>
    <cellStyle name="Comma 34 12 2 2" xfId="26339" xr:uid="{00000000-0005-0000-0000-0000322F0000}"/>
    <cellStyle name="Comma 34 12 3" xfId="26340" xr:uid="{00000000-0005-0000-0000-0000332F0000}"/>
    <cellStyle name="Comma 34 13" xfId="26341" xr:uid="{00000000-0005-0000-0000-0000342F0000}"/>
    <cellStyle name="Comma 34 13 2" xfId="26342" xr:uid="{00000000-0005-0000-0000-0000352F0000}"/>
    <cellStyle name="Comma 34 13 2 2" xfId="26343" xr:uid="{00000000-0005-0000-0000-0000362F0000}"/>
    <cellStyle name="Comma 34 13 3" xfId="26344" xr:uid="{00000000-0005-0000-0000-0000372F0000}"/>
    <cellStyle name="Comma 34 14" xfId="26345" xr:uid="{00000000-0005-0000-0000-0000382F0000}"/>
    <cellStyle name="Comma 34 14 2" xfId="26346" xr:uid="{00000000-0005-0000-0000-0000392F0000}"/>
    <cellStyle name="Comma 34 14 2 2" xfId="26347" xr:uid="{00000000-0005-0000-0000-00003A2F0000}"/>
    <cellStyle name="Comma 34 14 3" xfId="26348" xr:uid="{00000000-0005-0000-0000-00003B2F0000}"/>
    <cellStyle name="Comma 34 15" xfId="26349" xr:uid="{00000000-0005-0000-0000-00003C2F0000}"/>
    <cellStyle name="Comma 34 15 2" xfId="26350" xr:uid="{00000000-0005-0000-0000-00003D2F0000}"/>
    <cellStyle name="Comma 34 15 2 2" xfId="26351" xr:uid="{00000000-0005-0000-0000-00003E2F0000}"/>
    <cellStyle name="Comma 34 15 3" xfId="26352" xr:uid="{00000000-0005-0000-0000-00003F2F0000}"/>
    <cellStyle name="Comma 34 16" xfId="26353" xr:uid="{00000000-0005-0000-0000-0000402F0000}"/>
    <cellStyle name="Comma 34 16 2" xfId="26354" xr:uid="{00000000-0005-0000-0000-0000412F0000}"/>
    <cellStyle name="Comma 34 16 2 2" xfId="26355" xr:uid="{00000000-0005-0000-0000-0000422F0000}"/>
    <cellStyle name="Comma 34 16 3" xfId="26356" xr:uid="{00000000-0005-0000-0000-0000432F0000}"/>
    <cellStyle name="Comma 34 17" xfId="26357" xr:uid="{00000000-0005-0000-0000-0000442F0000}"/>
    <cellStyle name="Comma 34 17 2" xfId="26358" xr:uid="{00000000-0005-0000-0000-0000452F0000}"/>
    <cellStyle name="Comma 34 17 2 2" xfId="26359" xr:uid="{00000000-0005-0000-0000-0000462F0000}"/>
    <cellStyle name="Comma 34 17 3" xfId="26360" xr:uid="{00000000-0005-0000-0000-0000472F0000}"/>
    <cellStyle name="Comma 34 18" xfId="26361" xr:uid="{00000000-0005-0000-0000-0000482F0000}"/>
    <cellStyle name="Comma 34 18 2" xfId="26362" xr:uid="{00000000-0005-0000-0000-0000492F0000}"/>
    <cellStyle name="Comma 34 18 2 2" xfId="26363" xr:uid="{00000000-0005-0000-0000-00004A2F0000}"/>
    <cellStyle name="Comma 34 18 3" xfId="26364" xr:uid="{00000000-0005-0000-0000-00004B2F0000}"/>
    <cellStyle name="Comma 34 19" xfId="26365" xr:uid="{00000000-0005-0000-0000-00004C2F0000}"/>
    <cellStyle name="Comma 34 19 2" xfId="26366" xr:uid="{00000000-0005-0000-0000-00004D2F0000}"/>
    <cellStyle name="Comma 34 19 2 2" xfId="26367" xr:uid="{00000000-0005-0000-0000-00004E2F0000}"/>
    <cellStyle name="Comma 34 19 3" xfId="26368" xr:uid="{00000000-0005-0000-0000-00004F2F0000}"/>
    <cellStyle name="Comma 34 2" xfId="2883" xr:uid="{00000000-0005-0000-0000-0000502F0000}"/>
    <cellStyle name="Comma 34 2 2" xfId="26369" xr:uid="{00000000-0005-0000-0000-0000512F0000}"/>
    <cellStyle name="Comma 34 2 2 2" xfId="26370" xr:uid="{00000000-0005-0000-0000-0000522F0000}"/>
    <cellStyle name="Comma 34 2 3" xfId="26371" xr:uid="{00000000-0005-0000-0000-0000532F0000}"/>
    <cellStyle name="Comma 34 2 3 2" xfId="26372" xr:uid="{00000000-0005-0000-0000-0000542F0000}"/>
    <cellStyle name="Comma 34 2 3 2 2" xfId="26373" xr:uid="{00000000-0005-0000-0000-0000552F0000}"/>
    <cellStyle name="Comma 34 2 3 3" xfId="26374" xr:uid="{00000000-0005-0000-0000-0000562F0000}"/>
    <cellStyle name="Comma 34 2 4" xfId="26375" xr:uid="{00000000-0005-0000-0000-0000572F0000}"/>
    <cellStyle name="Comma 34 2 5" xfId="26376" xr:uid="{00000000-0005-0000-0000-0000582F0000}"/>
    <cellStyle name="Comma 34 20" xfId="26377" xr:uid="{00000000-0005-0000-0000-0000592F0000}"/>
    <cellStyle name="Comma 34 20 2" xfId="26378" xr:uid="{00000000-0005-0000-0000-00005A2F0000}"/>
    <cellStyle name="Comma 34 20 2 2" xfId="26379" xr:uid="{00000000-0005-0000-0000-00005B2F0000}"/>
    <cellStyle name="Comma 34 20 3" xfId="26380" xr:uid="{00000000-0005-0000-0000-00005C2F0000}"/>
    <cellStyle name="Comma 34 21" xfId="26381" xr:uid="{00000000-0005-0000-0000-00005D2F0000}"/>
    <cellStyle name="Comma 34 21 2" xfId="26382" xr:uid="{00000000-0005-0000-0000-00005E2F0000}"/>
    <cellStyle name="Comma 34 21 2 2" xfId="26383" xr:uid="{00000000-0005-0000-0000-00005F2F0000}"/>
    <cellStyle name="Comma 34 21 3" xfId="26384" xr:uid="{00000000-0005-0000-0000-0000602F0000}"/>
    <cellStyle name="Comma 34 22" xfId="26385" xr:uid="{00000000-0005-0000-0000-0000612F0000}"/>
    <cellStyle name="Comma 34 22 2" xfId="26386" xr:uid="{00000000-0005-0000-0000-0000622F0000}"/>
    <cellStyle name="Comma 34 22 2 2" xfId="26387" xr:uid="{00000000-0005-0000-0000-0000632F0000}"/>
    <cellStyle name="Comma 34 22 3" xfId="26388" xr:uid="{00000000-0005-0000-0000-0000642F0000}"/>
    <cellStyle name="Comma 34 23" xfId="26389" xr:uid="{00000000-0005-0000-0000-0000652F0000}"/>
    <cellStyle name="Comma 34 23 2" xfId="26390" xr:uid="{00000000-0005-0000-0000-0000662F0000}"/>
    <cellStyle name="Comma 34 23 2 2" xfId="26391" xr:uid="{00000000-0005-0000-0000-0000672F0000}"/>
    <cellStyle name="Comma 34 23 3" xfId="26392" xr:uid="{00000000-0005-0000-0000-0000682F0000}"/>
    <cellStyle name="Comma 34 24" xfId="26393" xr:uid="{00000000-0005-0000-0000-0000692F0000}"/>
    <cellStyle name="Comma 34 24 2" xfId="26394" xr:uid="{00000000-0005-0000-0000-00006A2F0000}"/>
    <cellStyle name="Comma 34 24 2 2" xfId="26395" xr:uid="{00000000-0005-0000-0000-00006B2F0000}"/>
    <cellStyle name="Comma 34 24 3" xfId="26396" xr:uid="{00000000-0005-0000-0000-00006C2F0000}"/>
    <cellStyle name="Comma 34 25" xfId="26397" xr:uid="{00000000-0005-0000-0000-00006D2F0000}"/>
    <cellStyle name="Comma 34 25 2" xfId="26398" xr:uid="{00000000-0005-0000-0000-00006E2F0000}"/>
    <cellStyle name="Comma 34 25 2 2" xfId="26399" xr:uid="{00000000-0005-0000-0000-00006F2F0000}"/>
    <cellStyle name="Comma 34 25 3" xfId="26400" xr:uid="{00000000-0005-0000-0000-0000702F0000}"/>
    <cellStyle name="Comma 34 26" xfId="26401" xr:uid="{00000000-0005-0000-0000-0000712F0000}"/>
    <cellStyle name="Comma 34 26 2" xfId="26402" xr:uid="{00000000-0005-0000-0000-0000722F0000}"/>
    <cellStyle name="Comma 34 26 2 2" xfId="26403" xr:uid="{00000000-0005-0000-0000-0000732F0000}"/>
    <cellStyle name="Comma 34 26 3" xfId="26404" xr:uid="{00000000-0005-0000-0000-0000742F0000}"/>
    <cellStyle name="Comma 34 27" xfId="26405" xr:uid="{00000000-0005-0000-0000-0000752F0000}"/>
    <cellStyle name="Comma 34 27 2" xfId="26406" xr:uid="{00000000-0005-0000-0000-0000762F0000}"/>
    <cellStyle name="Comma 34 27 2 2" xfId="26407" xr:uid="{00000000-0005-0000-0000-0000772F0000}"/>
    <cellStyle name="Comma 34 27 3" xfId="26408" xr:uid="{00000000-0005-0000-0000-0000782F0000}"/>
    <cellStyle name="Comma 34 28" xfId="26409" xr:uid="{00000000-0005-0000-0000-0000792F0000}"/>
    <cellStyle name="Comma 34 28 2" xfId="26410" xr:uid="{00000000-0005-0000-0000-00007A2F0000}"/>
    <cellStyle name="Comma 34 28 2 2" xfId="26411" xr:uid="{00000000-0005-0000-0000-00007B2F0000}"/>
    <cellStyle name="Comma 34 28 3" xfId="26412" xr:uid="{00000000-0005-0000-0000-00007C2F0000}"/>
    <cellStyle name="Comma 34 29" xfId="26413" xr:uid="{00000000-0005-0000-0000-00007D2F0000}"/>
    <cellStyle name="Comma 34 29 2" xfId="26414" xr:uid="{00000000-0005-0000-0000-00007E2F0000}"/>
    <cellStyle name="Comma 34 3" xfId="2884" xr:uid="{00000000-0005-0000-0000-00007F2F0000}"/>
    <cellStyle name="Comma 34 3 2" xfId="26415" xr:uid="{00000000-0005-0000-0000-0000802F0000}"/>
    <cellStyle name="Comma 34 3 2 2" xfId="26416" xr:uid="{00000000-0005-0000-0000-0000812F0000}"/>
    <cellStyle name="Comma 34 3 3" xfId="26417" xr:uid="{00000000-0005-0000-0000-0000822F0000}"/>
    <cellStyle name="Comma 34 3 3 2" xfId="26418" xr:uid="{00000000-0005-0000-0000-0000832F0000}"/>
    <cellStyle name="Comma 34 3 3 2 2" xfId="26419" xr:uid="{00000000-0005-0000-0000-0000842F0000}"/>
    <cellStyle name="Comma 34 3 3 3" xfId="26420" xr:uid="{00000000-0005-0000-0000-0000852F0000}"/>
    <cellStyle name="Comma 34 3 4" xfId="26421" xr:uid="{00000000-0005-0000-0000-0000862F0000}"/>
    <cellStyle name="Comma 34 30" xfId="26422" xr:uid="{00000000-0005-0000-0000-0000872F0000}"/>
    <cellStyle name="Comma 34 30 2" xfId="26423" xr:uid="{00000000-0005-0000-0000-0000882F0000}"/>
    <cellStyle name="Comma 34 30 2 2" xfId="26424" xr:uid="{00000000-0005-0000-0000-0000892F0000}"/>
    <cellStyle name="Comma 34 30 3" xfId="26425" xr:uid="{00000000-0005-0000-0000-00008A2F0000}"/>
    <cellStyle name="Comma 34 31" xfId="26426" xr:uid="{00000000-0005-0000-0000-00008B2F0000}"/>
    <cellStyle name="Comma 34 31 2" xfId="26427" xr:uid="{00000000-0005-0000-0000-00008C2F0000}"/>
    <cellStyle name="Comma 34 32" xfId="26428" xr:uid="{00000000-0005-0000-0000-00008D2F0000}"/>
    <cellStyle name="Comma 34 33" xfId="26429" xr:uid="{00000000-0005-0000-0000-00008E2F0000}"/>
    <cellStyle name="Comma 34 34" xfId="26430" xr:uid="{00000000-0005-0000-0000-00008F2F0000}"/>
    <cellStyle name="Comma 34 4" xfId="26431" xr:uid="{00000000-0005-0000-0000-0000902F0000}"/>
    <cellStyle name="Comma 34 4 2" xfId="26432" xr:uid="{00000000-0005-0000-0000-0000912F0000}"/>
    <cellStyle name="Comma 34 4 2 2" xfId="26433" xr:uid="{00000000-0005-0000-0000-0000922F0000}"/>
    <cellStyle name="Comma 34 4 3" xfId="26434" xr:uid="{00000000-0005-0000-0000-0000932F0000}"/>
    <cellStyle name="Comma 34 4 3 2" xfId="26435" xr:uid="{00000000-0005-0000-0000-0000942F0000}"/>
    <cellStyle name="Comma 34 4 3 2 2" xfId="26436" xr:uid="{00000000-0005-0000-0000-0000952F0000}"/>
    <cellStyle name="Comma 34 4 3 3" xfId="26437" xr:uid="{00000000-0005-0000-0000-0000962F0000}"/>
    <cellStyle name="Comma 34 4 4" xfId="26438" xr:uid="{00000000-0005-0000-0000-0000972F0000}"/>
    <cellStyle name="Comma 34 5" xfId="26439" xr:uid="{00000000-0005-0000-0000-0000982F0000}"/>
    <cellStyle name="Comma 34 5 2" xfId="26440" xr:uid="{00000000-0005-0000-0000-0000992F0000}"/>
    <cellStyle name="Comma 34 5 2 2" xfId="26441" xr:uid="{00000000-0005-0000-0000-00009A2F0000}"/>
    <cellStyle name="Comma 34 5 3" xfId="26442" xr:uid="{00000000-0005-0000-0000-00009B2F0000}"/>
    <cellStyle name="Comma 34 5 3 2" xfId="26443" xr:uid="{00000000-0005-0000-0000-00009C2F0000}"/>
    <cellStyle name="Comma 34 5 3 2 2" xfId="26444" xr:uid="{00000000-0005-0000-0000-00009D2F0000}"/>
    <cellStyle name="Comma 34 5 3 3" xfId="26445" xr:uid="{00000000-0005-0000-0000-00009E2F0000}"/>
    <cellStyle name="Comma 34 5 4" xfId="26446" xr:uid="{00000000-0005-0000-0000-00009F2F0000}"/>
    <cellStyle name="Comma 34 6" xfId="26447" xr:uid="{00000000-0005-0000-0000-0000A02F0000}"/>
    <cellStyle name="Comma 34 6 2" xfId="26448" xr:uid="{00000000-0005-0000-0000-0000A12F0000}"/>
    <cellStyle name="Comma 34 6 2 2" xfId="26449" xr:uid="{00000000-0005-0000-0000-0000A22F0000}"/>
    <cellStyle name="Comma 34 6 3" xfId="26450" xr:uid="{00000000-0005-0000-0000-0000A32F0000}"/>
    <cellStyle name="Comma 34 7" xfId="26451" xr:uid="{00000000-0005-0000-0000-0000A42F0000}"/>
    <cellStyle name="Comma 34 7 2" xfId="26452" xr:uid="{00000000-0005-0000-0000-0000A52F0000}"/>
    <cellStyle name="Comma 34 7 2 2" xfId="26453" xr:uid="{00000000-0005-0000-0000-0000A62F0000}"/>
    <cellStyle name="Comma 34 7 3" xfId="26454" xr:uid="{00000000-0005-0000-0000-0000A72F0000}"/>
    <cellStyle name="Comma 34 8" xfId="26455" xr:uid="{00000000-0005-0000-0000-0000A82F0000}"/>
    <cellStyle name="Comma 34 8 2" xfId="26456" xr:uid="{00000000-0005-0000-0000-0000A92F0000}"/>
    <cellStyle name="Comma 34 8 2 2" xfId="26457" xr:uid="{00000000-0005-0000-0000-0000AA2F0000}"/>
    <cellStyle name="Comma 34 8 3" xfId="26458" xr:uid="{00000000-0005-0000-0000-0000AB2F0000}"/>
    <cellStyle name="Comma 34 9" xfId="26459" xr:uid="{00000000-0005-0000-0000-0000AC2F0000}"/>
    <cellStyle name="Comma 34 9 2" xfId="26460" xr:uid="{00000000-0005-0000-0000-0000AD2F0000}"/>
    <cellStyle name="Comma 34 9 2 2" xfId="26461" xr:uid="{00000000-0005-0000-0000-0000AE2F0000}"/>
    <cellStyle name="Comma 34 9 3" xfId="26462" xr:uid="{00000000-0005-0000-0000-0000AF2F0000}"/>
    <cellStyle name="Comma 340" xfId="26463" xr:uid="{00000000-0005-0000-0000-0000B02F0000}"/>
    <cellStyle name="Comma 341" xfId="26464" xr:uid="{00000000-0005-0000-0000-0000B12F0000}"/>
    <cellStyle name="Comma 342" xfId="26465" xr:uid="{00000000-0005-0000-0000-0000B22F0000}"/>
    <cellStyle name="Comma 343" xfId="44364" xr:uid="{00000000-0005-0000-0000-0000B32F0000}"/>
    <cellStyle name="Comma 344" xfId="44367" xr:uid="{00000000-0005-0000-0000-0000B42F0000}"/>
    <cellStyle name="Comma 345" xfId="44368" xr:uid="{00000000-0005-0000-0000-0000B52F0000}"/>
    <cellStyle name="Comma 346" xfId="44370" xr:uid="{00000000-0005-0000-0000-0000B62F0000}"/>
    <cellStyle name="Comma 347" xfId="44372" xr:uid="{00000000-0005-0000-0000-0000B72F0000}"/>
    <cellStyle name="Comma 348" xfId="44374" xr:uid="{00000000-0005-0000-0000-0000B82F0000}"/>
    <cellStyle name="Comma 349" xfId="44376" xr:uid="{00000000-0005-0000-0000-0000B92F0000}"/>
    <cellStyle name="Comma 35" xfId="2885" xr:uid="{00000000-0005-0000-0000-0000BA2F0000}"/>
    <cellStyle name="Comma 35 10" xfId="26466" xr:uid="{00000000-0005-0000-0000-0000BB2F0000}"/>
    <cellStyle name="Comma 35 10 2" xfId="26467" xr:uid="{00000000-0005-0000-0000-0000BC2F0000}"/>
    <cellStyle name="Comma 35 10 2 2" xfId="26468" xr:uid="{00000000-0005-0000-0000-0000BD2F0000}"/>
    <cellStyle name="Comma 35 10 3" xfId="26469" xr:uid="{00000000-0005-0000-0000-0000BE2F0000}"/>
    <cellStyle name="Comma 35 11" xfId="26470" xr:uid="{00000000-0005-0000-0000-0000BF2F0000}"/>
    <cellStyle name="Comma 35 11 2" xfId="26471" xr:uid="{00000000-0005-0000-0000-0000C02F0000}"/>
    <cellStyle name="Comma 35 11 2 2" xfId="26472" xr:uid="{00000000-0005-0000-0000-0000C12F0000}"/>
    <cellStyle name="Comma 35 11 3" xfId="26473" xr:uid="{00000000-0005-0000-0000-0000C22F0000}"/>
    <cellStyle name="Comma 35 12" xfId="26474" xr:uid="{00000000-0005-0000-0000-0000C32F0000}"/>
    <cellStyle name="Comma 35 12 2" xfId="26475" xr:uid="{00000000-0005-0000-0000-0000C42F0000}"/>
    <cellStyle name="Comma 35 12 2 2" xfId="26476" xr:uid="{00000000-0005-0000-0000-0000C52F0000}"/>
    <cellStyle name="Comma 35 12 3" xfId="26477" xr:uid="{00000000-0005-0000-0000-0000C62F0000}"/>
    <cellStyle name="Comma 35 13" xfId="26478" xr:uid="{00000000-0005-0000-0000-0000C72F0000}"/>
    <cellStyle name="Comma 35 13 2" xfId="26479" xr:uid="{00000000-0005-0000-0000-0000C82F0000}"/>
    <cellStyle name="Comma 35 13 2 2" xfId="26480" xr:uid="{00000000-0005-0000-0000-0000C92F0000}"/>
    <cellStyle name="Comma 35 13 3" xfId="26481" xr:uid="{00000000-0005-0000-0000-0000CA2F0000}"/>
    <cellStyle name="Comma 35 14" xfId="26482" xr:uid="{00000000-0005-0000-0000-0000CB2F0000}"/>
    <cellStyle name="Comma 35 14 2" xfId="26483" xr:uid="{00000000-0005-0000-0000-0000CC2F0000}"/>
    <cellStyle name="Comma 35 14 2 2" xfId="26484" xr:uid="{00000000-0005-0000-0000-0000CD2F0000}"/>
    <cellStyle name="Comma 35 14 3" xfId="26485" xr:uid="{00000000-0005-0000-0000-0000CE2F0000}"/>
    <cellStyle name="Comma 35 15" xfId="26486" xr:uid="{00000000-0005-0000-0000-0000CF2F0000}"/>
    <cellStyle name="Comma 35 15 2" xfId="26487" xr:uid="{00000000-0005-0000-0000-0000D02F0000}"/>
    <cellStyle name="Comma 35 15 2 2" xfId="26488" xr:uid="{00000000-0005-0000-0000-0000D12F0000}"/>
    <cellStyle name="Comma 35 15 3" xfId="26489" xr:uid="{00000000-0005-0000-0000-0000D22F0000}"/>
    <cellStyle name="Comma 35 16" xfId="26490" xr:uid="{00000000-0005-0000-0000-0000D32F0000}"/>
    <cellStyle name="Comma 35 16 2" xfId="26491" xr:uid="{00000000-0005-0000-0000-0000D42F0000}"/>
    <cellStyle name="Comma 35 16 2 2" xfId="26492" xr:uid="{00000000-0005-0000-0000-0000D52F0000}"/>
    <cellStyle name="Comma 35 16 3" xfId="26493" xr:uid="{00000000-0005-0000-0000-0000D62F0000}"/>
    <cellStyle name="Comma 35 17" xfId="26494" xr:uid="{00000000-0005-0000-0000-0000D72F0000}"/>
    <cellStyle name="Comma 35 17 2" xfId="26495" xr:uid="{00000000-0005-0000-0000-0000D82F0000}"/>
    <cellStyle name="Comma 35 17 2 2" xfId="26496" xr:uid="{00000000-0005-0000-0000-0000D92F0000}"/>
    <cellStyle name="Comma 35 17 3" xfId="26497" xr:uid="{00000000-0005-0000-0000-0000DA2F0000}"/>
    <cellStyle name="Comma 35 18" xfId="26498" xr:uid="{00000000-0005-0000-0000-0000DB2F0000}"/>
    <cellStyle name="Comma 35 18 2" xfId="26499" xr:uid="{00000000-0005-0000-0000-0000DC2F0000}"/>
    <cellStyle name="Comma 35 18 2 2" xfId="26500" xr:uid="{00000000-0005-0000-0000-0000DD2F0000}"/>
    <cellStyle name="Comma 35 18 3" xfId="26501" xr:uid="{00000000-0005-0000-0000-0000DE2F0000}"/>
    <cellStyle name="Comma 35 19" xfId="26502" xr:uid="{00000000-0005-0000-0000-0000DF2F0000}"/>
    <cellStyle name="Comma 35 19 2" xfId="26503" xr:uid="{00000000-0005-0000-0000-0000E02F0000}"/>
    <cellStyle name="Comma 35 19 2 2" xfId="26504" xr:uid="{00000000-0005-0000-0000-0000E12F0000}"/>
    <cellStyle name="Comma 35 19 3" xfId="26505" xr:uid="{00000000-0005-0000-0000-0000E22F0000}"/>
    <cellStyle name="Comma 35 2" xfId="2886" xr:uid="{00000000-0005-0000-0000-0000E32F0000}"/>
    <cellStyle name="Comma 35 2 2" xfId="26506" xr:uid="{00000000-0005-0000-0000-0000E42F0000}"/>
    <cellStyle name="Comma 35 2 2 2" xfId="26507" xr:uid="{00000000-0005-0000-0000-0000E52F0000}"/>
    <cellStyle name="Comma 35 2 3" xfId="26508" xr:uid="{00000000-0005-0000-0000-0000E62F0000}"/>
    <cellStyle name="Comma 35 2 3 2" xfId="26509" xr:uid="{00000000-0005-0000-0000-0000E72F0000}"/>
    <cellStyle name="Comma 35 2 3 2 2" xfId="26510" xr:uid="{00000000-0005-0000-0000-0000E82F0000}"/>
    <cellStyle name="Comma 35 2 3 3" xfId="26511" xr:uid="{00000000-0005-0000-0000-0000E92F0000}"/>
    <cellStyle name="Comma 35 2 4" xfId="26512" xr:uid="{00000000-0005-0000-0000-0000EA2F0000}"/>
    <cellStyle name="Comma 35 2 5" xfId="26513" xr:uid="{00000000-0005-0000-0000-0000EB2F0000}"/>
    <cellStyle name="Comma 35 20" xfId="26514" xr:uid="{00000000-0005-0000-0000-0000EC2F0000}"/>
    <cellStyle name="Comma 35 20 2" xfId="26515" xr:uid="{00000000-0005-0000-0000-0000ED2F0000}"/>
    <cellStyle name="Comma 35 20 2 2" xfId="26516" xr:uid="{00000000-0005-0000-0000-0000EE2F0000}"/>
    <cellStyle name="Comma 35 20 3" xfId="26517" xr:uid="{00000000-0005-0000-0000-0000EF2F0000}"/>
    <cellStyle name="Comma 35 21" xfId="26518" xr:uid="{00000000-0005-0000-0000-0000F02F0000}"/>
    <cellStyle name="Comma 35 21 2" xfId="26519" xr:uid="{00000000-0005-0000-0000-0000F12F0000}"/>
    <cellStyle name="Comma 35 21 2 2" xfId="26520" xr:uid="{00000000-0005-0000-0000-0000F22F0000}"/>
    <cellStyle name="Comma 35 21 3" xfId="26521" xr:uid="{00000000-0005-0000-0000-0000F32F0000}"/>
    <cellStyle name="Comma 35 22" xfId="26522" xr:uid="{00000000-0005-0000-0000-0000F42F0000}"/>
    <cellStyle name="Comma 35 22 2" xfId="26523" xr:uid="{00000000-0005-0000-0000-0000F52F0000}"/>
    <cellStyle name="Comma 35 22 2 2" xfId="26524" xr:uid="{00000000-0005-0000-0000-0000F62F0000}"/>
    <cellStyle name="Comma 35 22 3" xfId="26525" xr:uid="{00000000-0005-0000-0000-0000F72F0000}"/>
    <cellStyle name="Comma 35 23" xfId="26526" xr:uid="{00000000-0005-0000-0000-0000F82F0000}"/>
    <cellStyle name="Comma 35 23 2" xfId="26527" xr:uid="{00000000-0005-0000-0000-0000F92F0000}"/>
    <cellStyle name="Comma 35 23 2 2" xfId="26528" xr:uid="{00000000-0005-0000-0000-0000FA2F0000}"/>
    <cellStyle name="Comma 35 23 3" xfId="26529" xr:uid="{00000000-0005-0000-0000-0000FB2F0000}"/>
    <cellStyle name="Comma 35 24" xfId="26530" xr:uid="{00000000-0005-0000-0000-0000FC2F0000}"/>
    <cellStyle name="Comma 35 24 2" xfId="26531" xr:uid="{00000000-0005-0000-0000-0000FD2F0000}"/>
    <cellStyle name="Comma 35 24 2 2" xfId="26532" xr:uid="{00000000-0005-0000-0000-0000FE2F0000}"/>
    <cellStyle name="Comma 35 24 3" xfId="26533" xr:uid="{00000000-0005-0000-0000-0000FF2F0000}"/>
    <cellStyle name="Comma 35 25" xfId="26534" xr:uid="{00000000-0005-0000-0000-000000300000}"/>
    <cellStyle name="Comma 35 25 2" xfId="26535" xr:uid="{00000000-0005-0000-0000-000001300000}"/>
    <cellStyle name="Comma 35 25 2 2" xfId="26536" xr:uid="{00000000-0005-0000-0000-000002300000}"/>
    <cellStyle name="Comma 35 25 3" xfId="26537" xr:uid="{00000000-0005-0000-0000-000003300000}"/>
    <cellStyle name="Comma 35 26" xfId="26538" xr:uid="{00000000-0005-0000-0000-000004300000}"/>
    <cellStyle name="Comma 35 26 2" xfId="26539" xr:uid="{00000000-0005-0000-0000-000005300000}"/>
    <cellStyle name="Comma 35 26 2 2" xfId="26540" xr:uid="{00000000-0005-0000-0000-000006300000}"/>
    <cellStyle name="Comma 35 26 3" xfId="26541" xr:uid="{00000000-0005-0000-0000-000007300000}"/>
    <cellStyle name="Comma 35 27" xfId="26542" xr:uid="{00000000-0005-0000-0000-000008300000}"/>
    <cellStyle name="Comma 35 27 2" xfId="26543" xr:uid="{00000000-0005-0000-0000-000009300000}"/>
    <cellStyle name="Comma 35 27 2 2" xfId="26544" xr:uid="{00000000-0005-0000-0000-00000A300000}"/>
    <cellStyle name="Comma 35 27 3" xfId="26545" xr:uid="{00000000-0005-0000-0000-00000B300000}"/>
    <cellStyle name="Comma 35 28" xfId="26546" xr:uid="{00000000-0005-0000-0000-00000C300000}"/>
    <cellStyle name="Comma 35 28 2" xfId="26547" xr:uid="{00000000-0005-0000-0000-00000D300000}"/>
    <cellStyle name="Comma 35 28 2 2" xfId="26548" xr:uid="{00000000-0005-0000-0000-00000E300000}"/>
    <cellStyle name="Comma 35 28 3" xfId="26549" xr:uid="{00000000-0005-0000-0000-00000F300000}"/>
    <cellStyle name="Comma 35 29" xfId="26550" xr:uid="{00000000-0005-0000-0000-000010300000}"/>
    <cellStyle name="Comma 35 29 2" xfId="26551" xr:uid="{00000000-0005-0000-0000-000011300000}"/>
    <cellStyle name="Comma 35 3" xfId="2887" xr:uid="{00000000-0005-0000-0000-000012300000}"/>
    <cellStyle name="Comma 35 3 2" xfId="26552" xr:uid="{00000000-0005-0000-0000-000013300000}"/>
    <cellStyle name="Comma 35 3 2 2" xfId="26553" xr:uid="{00000000-0005-0000-0000-000014300000}"/>
    <cellStyle name="Comma 35 3 3" xfId="26554" xr:uid="{00000000-0005-0000-0000-000015300000}"/>
    <cellStyle name="Comma 35 3 3 2" xfId="26555" xr:uid="{00000000-0005-0000-0000-000016300000}"/>
    <cellStyle name="Comma 35 3 3 2 2" xfId="26556" xr:uid="{00000000-0005-0000-0000-000017300000}"/>
    <cellStyle name="Comma 35 3 3 3" xfId="26557" xr:uid="{00000000-0005-0000-0000-000018300000}"/>
    <cellStyle name="Comma 35 3 4" xfId="26558" xr:uid="{00000000-0005-0000-0000-000019300000}"/>
    <cellStyle name="Comma 35 3 5" xfId="26559" xr:uid="{00000000-0005-0000-0000-00001A300000}"/>
    <cellStyle name="Comma 35 30" xfId="26560" xr:uid="{00000000-0005-0000-0000-00001B300000}"/>
    <cellStyle name="Comma 35 30 2" xfId="26561" xr:uid="{00000000-0005-0000-0000-00001C300000}"/>
    <cellStyle name="Comma 35 30 2 2" xfId="26562" xr:uid="{00000000-0005-0000-0000-00001D300000}"/>
    <cellStyle name="Comma 35 30 3" xfId="26563" xr:uid="{00000000-0005-0000-0000-00001E300000}"/>
    <cellStyle name="Comma 35 31" xfId="26564" xr:uid="{00000000-0005-0000-0000-00001F300000}"/>
    <cellStyle name="Comma 35 31 2" xfId="26565" xr:uid="{00000000-0005-0000-0000-000020300000}"/>
    <cellStyle name="Comma 35 32" xfId="26566" xr:uid="{00000000-0005-0000-0000-000021300000}"/>
    <cellStyle name="Comma 35 33" xfId="26567" xr:uid="{00000000-0005-0000-0000-000022300000}"/>
    <cellStyle name="Comma 35 34" xfId="26568" xr:uid="{00000000-0005-0000-0000-000023300000}"/>
    <cellStyle name="Comma 35 4" xfId="26569" xr:uid="{00000000-0005-0000-0000-000024300000}"/>
    <cellStyle name="Comma 35 4 2" xfId="26570" xr:uid="{00000000-0005-0000-0000-000025300000}"/>
    <cellStyle name="Comma 35 4 2 2" xfId="26571" xr:uid="{00000000-0005-0000-0000-000026300000}"/>
    <cellStyle name="Comma 35 4 3" xfId="26572" xr:uid="{00000000-0005-0000-0000-000027300000}"/>
    <cellStyle name="Comma 35 4 3 2" xfId="26573" xr:uid="{00000000-0005-0000-0000-000028300000}"/>
    <cellStyle name="Comma 35 4 3 2 2" xfId="26574" xr:uid="{00000000-0005-0000-0000-000029300000}"/>
    <cellStyle name="Comma 35 4 3 3" xfId="26575" xr:uid="{00000000-0005-0000-0000-00002A300000}"/>
    <cellStyle name="Comma 35 4 4" xfId="26576" xr:uid="{00000000-0005-0000-0000-00002B300000}"/>
    <cellStyle name="Comma 35 4 5" xfId="26577" xr:uid="{00000000-0005-0000-0000-00002C300000}"/>
    <cellStyle name="Comma 35 5" xfId="26578" xr:uid="{00000000-0005-0000-0000-00002D300000}"/>
    <cellStyle name="Comma 35 5 2" xfId="26579" xr:uid="{00000000-0005-0000-0000-00002E300000}"/>
    <cellStyle name="Comma 35 5 2 2" xfId="26580" xr:uid="{00000000-0005-0000-0000-00002F300000}"/>
    <cellStyle name="Comma 35 5 3" xfId="26581" xr:uid="{00000000-0005-0000-0000-000030300000}"/>
    <cellStyle name="Comma 35 5 3 2" xfId="26582" xr:uid="{00000000-0005-0000-0000-000031300000}"/>
    <cellStyle name="Comma 35 5 3 2 2" xfId="26583" xr:uid="{00000000-0005-0000-0000-000032300000}"/>
    <cellStyle name="Comma 35 5 3 3" xfId="26584" xr:uid="{00000000-0005-0000-0000-000033300000}"/>
    <cellStyle name="Comma 35 5 4" xfId="26585" xr:uid="{00000000-0005-0000-0000-000034300000}"/>
    <cellStyle name="Comma 35 5 5" xfId="26586" xr:uid="{00000000-0005-0000-0000-000035300000}"/>
    <cellStyle name="Comma 35 6" xfId="26587" xr:uid="{00000000-0005-0000-0000-000036300000}"/>
    <cellStyle name="Comma 35 6 2" xfId="26588" xr:uid="{00000000-0005-0000-0000-000037300000}"/>
    <cellStyle name="Comma 35 6 2 2" xfId="26589" xr:uid="{00000000-0005-0000-0000-000038300000}"/>
    <cellStyle name="Comma 35 6 3" xfId="26590" xr:uid="{00000000-0005-0000-0000-000039300000}"/>
    <cellStyle name="Comma 35 7" xfId="26591" xr:uid="{00000000-0005-0000-0000-00003A300000}"/>
    <cellStyle name="Comma 35 7 2" xfId="26592" xr:uid="{00000000-0005-0000-0000-00003B300000}"/>
    <cellStyle name="Comma 35 7 2 2" xfId="26593" xr:uid="{00000000-0005-0000-0000-00003C300000}"/>
    <cellStyle name="Comma 35 7 3" xfId="26594" xr:uid="{00000000-0005-0000-0000-00003D300000}"/>
    <cellStyle name="Comma 35 8" xfId="26595" xr:uid="{00000000-0005-0000-0000-00003E300000}"/>
    <cellStyle name="Comma 35 8 2" xfId="26596" xr:uid="{00000000-0005-0000-0000-00003F300000}"/>
    <cellStyle name="Comma 35 8 2 2" xfId="26597" xr:uid="{00000000-0005-0000-0000-000040300000}"/>
    <cellStyle name="Comma 35 8 3" xfId="26598" xr:uid="{00000000-0005-0000-0000-000041300000}"/>
    <cellStyle name="Comma 35 9" xfId="26599" xr:uid="{00000000-0005-0000-0000-000042300000}"/>
    <cellStyle name="Comma 35 9 2" xfId="26600" xr:uid="{00000000-0005-0000-0000-000043300000}"/>
    <cellStyle name="Comma 35 9 2 2" xfId="26601" xr:uid="{00000000-0005-0000-0000-000044300000}"/>
    <cellStyle name="Comma 35 9 3" xfId="26602" xr:uid="{00000000-0005-0000-0000-000045300000}"/>
    <cellStyle name="Comma 350" xfId="44380" xr:uid="{00000000-0005-0000-0000-000046300000}"/>
    <cellStyle name="Comma 351" xfId="44382" xr:uid="{00000000-0005-0000-0000-000047300000}"/>
    <cellStyle name="Comma 352" xfId="44385" xr:uid="{00000000-0005-0000-0000-000048300000}"/>
    <cellStyle name="Comma 353" xfId="44387" xr:uid="{00000000-0005-0000-0000-000049300000}"/>
    <cellStyle name="Comma 354" xfId="44391" xr:uid="{00000000-0005-0000-0000-00004A300000}"/>
    <cellStyle name="Comma 355" xfId="44393" xr:uid="{00000000-0005-0000-0000-00004B300000}"/>
    <cellStyle name="Comma 356" xfId="44396" xr:uid="{2D043709-C2EB-4355-BC70-CCD710EA4A5F}"/>
    <cellStyle name="Comma 357" xfId="44398" xr:uid="{35F4FB64-2814-4F39-B7BD-A8893C905993}"/>
    <cellStyle name="Comma 358" xfId="44400" xr:uid="{B714B38A-F14F-474D-A3AA-53363716BC01}"/>
    <cellStyle name="Comma 359" xfId="44404" xr:uid="{E173EEA0-03CF-4343-A1F9-8090D707F4EE}"/>
    <cellStyle name="Comma 36" xfId="2888" xr:uid="{00000000-0005-0000-0000-00004C300000}"/>
    <cellStyle name="Comma 36 10" xfId="26603" xr:uid="{00000000-0005-0000-0000-00004D300000}"/>
    <cellStyle name="Comma 36 10 2" xfId="26604" xr:uid="{00000000-0005-0000-0000-00004E300000}"/>
    <cellStyle name="Comma 36 10 2 2" xfId="26605" xr:uid="{00000000-0005-0000-0000-00004F300000}"/>
    <cellStyle name="Comma 36 10 3" xfId="26606" xr:uid="{00000000-0005-0000-0000-000050300000}"/>
    <cellStyle name="Comma 36 11" xfId="26607" xr:uid="{00000000-0005-0000-0000-000051300000}"/>
    <cellStyle name="Comma 36 11 2" xfId="26608" xr:uid="{00000000-0005-0000-0000-000052300000}"/>
    <cellStyle name="Comma 36 11 2 2" xfId="26609" xr:uid="{00000000-0005-0000-0000-000053300000}"/>
    <cellStyle name="Comma 36 11 3" xfId="26610" xr:uid="{00000000-0005-0000-0000-000054300000}"/>
    <cellStyle name="Comma 36 12" xfId="26611" xr:uid="{00000000-0005-0000-0000-000055300000}"/>
    <cellStyle name="Comma 36 12 2" xfId="26612" xr:uid="{00000000-0005-0000-0000-000056300000}"/>
    <cellStyle name="Comma 36 12 2 2" xfId="26613" xr:uid="{00000000-0005-0000-0000-000057300000}"/>
    <cellStyle name="Comma 36 12 3" xfId="26614" xr:uid="{00000000-0005-0000-0000-000058300000}"/>
    <cellStyle name="Comma 36 13" xfId="26615" xr:uid="{00000000-0005-0000-0000-000059300000}"/>
    <cellStyle name="Comma 36 13 2" xfId="26616" xr:uid="{00000000-0005-0000-0000-00005A300000}"/>
    <cellStyle name="Comma 36 13 2 2" xfId="26617" xr:uid="{00000000-0005-0000-0000-00005B300000}"/>
    <cellStyle name="Comma 36 13 3" xfId="26618" xr:uid="{00000000-0005-0000-0000-00005C300000}"/>
    <cellStyle name="Comma 36 14" xfId="26619" xr:uid="{00000000-0005-0000-0000-00005D300000}"/>
    <cellStyle name="Comma 36 14 2" xfId="26620" xr:uid="{00000000-0005-0000-0000-00005E300000}"/>
    <cellStyle name="Comma 36 14 2 2" xfId="26621" xr:uid="{00000000-0005-0000-0000-00005F300000}"/>
    <cellStyle name="Comma 36 14 3" xfId="26622" xr:uid="{00000000-0005-0000-0000-000060300000}"/>
    <cellStyle name="Comma 36 15" xfId="26623" xr:uid="{00000000-0005-0000-0000-000061300000}"/>
    <cellStyle name="Comma 36 15 2" xfId="26624" xr:uid="{00000000-0005-0000-0000-000062300000}"/>
    <cellStyle name="Comma 36 15 2 2" xfId="26625" xr:uid="{00000000-0005-0000-0000-000063300000}"/>
    <cellStyle name="Comma 36 15 3" xfId="26626" xr:uid="{00000000-0005-0000-0000-000064300000}"/>
    <cellStyle name="Comma 36 16" xfId="26627" xr:uid="{00000000-0005-0000-0000-000065300000}"/>
    <cellStyle name="Comma 36 16 2" xfId="26628" xr:uid="{00000000-0005-0000-0000-000066300000}"/>
    <cellStyle name="Comma 36 16 2 2" xfId="26629" xr:uid="{00000000-0005-0000-0000-000067300000}"/>
    <cellStyle name="Comma 36 16 3" xfId="26630" xr:uid="{00000000-0005-0000-0000-000068300000}"/>
    <cellStyle name="Comma 36 17" xfId="26631" xr:uid="{00000000-0005-0000-0000-000069300000}"/>
    <cellStyle name="Comma 36 17 2" xfId="26632" xr:uid="{00000000-0005-0000-0000-00006A300000}"/>
    <cellStyle name="Comma 36 17 2 2" xfId="26633" xr:uid="{00000000-0005-0000-0000-00006B300000}"/>
    <cellStyle name="Comma 36 17 3" xfId="26634" xr:uid="{00000000-0005-0000-0000-00006C300000}"/>
    <cellStyle name="Comma 36 18" xfId="26635" xr:uid="{00000000-0005-0000-0000-00006D300000}"/>
    <cellStyle name="Comma 36 18 2" xfId="26636" xr:uid="{00000000-0005-0000-0000-00006E300000}"/>
    <cellStyle name="Comma 36 18 2 2" xfId="26637" xr:uid="{00000000-0005-0000-0000-00006F300000}"/>
    <cellStyle name="Comma 36 18 3" xfId="26638" xr:uid="{00000000-0005-0000-0000-000070300000}"/>
    <cellStyle name="Comma 36 19" xfId="26639" xr:uid="{00000000-0005-0000-0000-000071300000}"/>
    <cellStyle name="Comma 36 19 2" xfId="26640" xr:uid="{00000000-0005-0000-0000-000072300000}"/>
    <cellStyle name="Comma 36 19 2 2" xfId="26641" xr:uid="{00000000-0005-0000-0000-000073300000}"/>
    <cellStyle name="Comma 36 19 3" xfId="26642" xr:uid="{00000000-0005-0000-0000-000074300000}"/>
    <cellStyle name="Comma 36 2" xfId="2889" xr:uid="{00000000-0005-0000-0000-000075300000}"/>
    <cellStyle name="Comma 36 2 2" xfId="26643" xr:uid="{00000000-0005-0000-0000-000076300000}"/>
    <cellStyle name="Comma 36 2 2 2" xfId="26644" xr:uid="{00000000-0005-0000-0000-000077300000}"/>
    <cellStyle name="Comma 36 2 3" xfId="26645" xr:uid="{00000000-0005-0000-0000-000078300000}"/>
    <cellStyle name="Comma 36 2 3 2" xfId="26646" xr:uid="{00000000-0005-0000-0000-000079300000}"/>
    <cellStyle name="Comma 36 2 3 2 2" xfId="26647" xr:uid="{00000000-0005-0000-0000-00007A300000}"/>
    <cellStyle name="Comma 36 2 3 3" xfId="26648" xr:uid="{00000000-0005-0000-0000-00007B300000}"/>
    <cellStyle name="Comma 36 2 4" xfId="26649" xr:uid="{00000000-0005-0000-0000-00007C300000}"/>
    <cellStyle name="Comma 36 2 5" xfId="26650" xr:uid="{00000000-0005-0000-0000-00007D300000}"/>
    <cellStyle name="Comma 36 20" xfId="26651" xr:uid="{00000000-0005-0000-0000-00007E300000}"/>
    <cellStyle name="Comma 36 20 2" xfId="26652" xr:uid="{00000000-0005-0000-0000-00007F300000}"/>
    <cellStyle name="Comma 36 20 2 2" xfId="26653" xr:uid="{00000000-0005-0000-0000-000080300000}"/>
    <cellStyle name="Comma 36 20 3" xfId="26654" xr:uid="{00000000-0005-0000-0000-000081300000}"/>
    <cellStyle name="Comma 36 21" xfId="26655" xr:uid="{00000000-0005-0000-0000-000082300000}"/>
    <cellStyle name="Comma 36 21 2" xfId="26656" xr:uid="{00000000-0005-0000-0000-000083300000}"/>
    <cellStyle name="Comma 36 21 2 2" xfId="26657" xr:uid="{00000000-0005-0000-0000-000084300000}"/>
    <cellStyle name="Comma 36 21 3" xfId="26658" xr:uid="{00000000-0005-0000-0000-000085300000}"/>
    <cellStyle name="Comma 36 22" xfId="26659" xr:uid="{00000000-0005-0000-0000-000086300000}"/>
    <cellStyle name="Comma 36 22 2" xfId="26660" xr:uid="{00000000-0005-0000-0000-000087300000}"/>
    <cellStyle name="Comma 36 22 2 2" xfId="26661" xr:uid="{00000000-0005-0000-0000-000088300000}"/>
    <cellStyle name="Comma 36 22 3" xfId="26662" xr:uid="{00000000-0005-0000-0000-000089300000}"/>
    <cellStyle name="Comma 36 23" xfId="26663" xr:uid="{00000000-0005-0000-0000-00008A300000}"/>
    <cellStyle name="Comma 36 23 2" xfId="26664" xr:uid="{00000000-0005-0000-0000-00008B300000}"/>
    <cellStyle name="Comma 36 23 2 2" xfId="26665" xr:uid="{00000000-0005-0000-0000-00008C300000}"/>
    <cellStyle name="Comma 36 23 3" xfId="26666" xr:uid="{00000000-0005-0000-0000-00008D300000}"/>
    <cellStyle name="Comma 36 24" xfId="26667" xr:uid="{00000000-0005-0000-0000-00008E300000}"/>
    <cellStyle name="Comma 36 24 2" xfId="26668" xr:uid="{00000000-0005-0000-0000-00008F300000}"/>
    <cellStyle name="Comma 36 24 2 2" xfId="26669" xr:uid="{00000000-0005-0000-0000-000090300000}"/>
    <cellStyle name="Comma 36 24 3" xfId="26670" xr:uid="{00000000-0005-0000-0000-000091300000}"/>
    <cellStyle name="Comma 36 25" xfId="26671" xr:uid="{00000000-0005-0000-0000-000092300000}"/>
    <cellStyle name="Comma 36 25 2" xfId="26672" xr:uid="{00000000-0005-0000-0000-000093300000}"/>
    <cellStyle name="Comma 36 25 2 2" xfId="26673" xr:uid="{00000000-0005-0000-0000-000094300000}"/>
    <cellStyle name="Comma 36 25 3" xfId="26674" xr:uid="{00000000-0005-0000-0000-000095300000}"/>
    <cellStyle name="Comma 36 26" xfId="26675" xr:uid="{00000000-0005-0000-0000-000096300000}"/>
    <cellStyle name="Comma 36 26 2" xfId="26676" xr:uid="{00000000-0005-0000-0000-000097300000}"/>
    <cellStyle name="Comma 36 26 2 2" xfId="26677" xr:uid="{00000000-0005-0000-0000-000098300000}"/>
    <cellStyle name="Comma 36 26 3" xfId="26678" xr:uid="{00000000-0005-0000-0000-000099300000}"/>
    <cellStyle name="Comma 36 27" xfId="26679" xr:uid="{00000000-0005-0000-0000-00009A300000}"/>
    <cellStyle name="Comma 36 27 2" xfId="26680" xr:uid="{00000000-0005-0000-0000-00009B300000}"/>
    <cellStyle name="Comma 36 27 2 2" xfId="26681" xr:uid="{00000000-0005-0000-0000-00009C300000}"/>
    <cellStyle name="Comma 36 27 3" xfId="26682" xr:uid="{00000000-0005-0000-0000-00009D300000}"/>
    <cellStyle name="Comma 36 28" xfId="26683" xr:uid="{00000000-0005-0000-0000-00009E300000}"/>
    <cellStyle name="Comma 36 28 2" xfId="26684" xr:uid="{00000000-0005-0000-0000-00009F300000}"/>
    <cellStyle name="Comma 36 28 2 2" xfId="26685" xr:uid="{00000000-0005-0000-0000-0000A0300000}"/>
    <cellStyle name="Comma 36 28 3" xfId="26686" xr:uid="{00000000-0005-0000-0000-0000A1300000}"/>
    <cellStyle name="Comma 36 29" xfId="26687" xr:uid="{00000000-0005-0000-0000-0000A2300000}"/>
    <cellStyle name="Comma 36 29 2" xfId="26688" xr:uid="{00000000-0005-0000-0000-0000A3300000}"/>
    <cellStyle name="Comma 36 3" xfId="2890" xr:uid="{00000000-0005-0000-0000-0000A4300000}"/>
    <cellStyle name="Comma 36 3 2" xfId="26689" xr:uid="{00000000-0005-0000-0000-0000A5300000}"/>
    <cellStyle name="Comma 36 3 2 2" xfId="26690" xr:uid="{00000000-0005-0000-0000-0000A6300000}"/>
    <cellStyle name="Comma 36 3 3" xfId="26691" xr:uid="{00000000-0005-0000-0000-0000A7300000}"/>
    <cellStyle name="Comma 36 3 3 2" xfId="26692" xr:uid="{00000000-0005-0000-0000-0000A8300000}"/>
    <cellStyle name="Comma 36 3 3 2 2" xfId="26693" xr:uid="{00000000-0005-0000-0000-0000A9300000}"/>
    <cellStyle name="Comma 36 3 3 3" xfId="26694" xr:uid="{00000000-0005-0000-0000-0000AA300000}"/>
    <cellStyle name="Comma 36 3 4" xfId="26695" xr:uid="{00000000-0005-0000-0000-0000AB300000}"/>
    <cellStyle name="Comma 36 3 5" xfId="26696" xr:uid="{00000000-0005-0000-0000-0000AC300000}"/>
    <cellStyle name="Comma 36 30" xfId="26697" xr:uid="{00000000-0005-0000-0000-0000AD300000}"/>
    <cellStyle name="Comma 36 30 2" xfId="26698" xr:uid="{00000000-0005-0000-0000-0000AE300000}"/>
    <cellStyle name="Comma 36 30 2 2" xfId="26699" xr:uid="{00000000-0005-0000-0000-0000AF300000}"/>
    <cellStyle name="Comma 36 30 3" xfId="26700" xr:uid="{00000000-0005-0000-0000-0000B0300000}"/>
    <cellStyle name="Comma 36 31" xfId="26701" xr:uid="{00000000-0005-0000-0000-0000B1300000}"/>
    <cellStyle name="Comma 36 31 2" xfId="26702" xr:uid="{00000000-0005-0000-0000-0000B2300000}"/>
    <cellStyle name="Comma 36 32" xfId="26703" xr:uid="{00000000-0005-0000-0000-0000B3300000}"/>
    <cellStyle name="Comma 36 33" xfId="26704" xr:uid="{00000000-0005-0000-0000-0000B4300000}"/>
    <cellStyle name="Comma 36 34" xfId="26705" xr:uid="{00000000-0005-0000-0000-0000B5300000}"/>
    <cellStyle name="Comma 36 4" xfId="26706" xr:uid="{00000000-0005-0000-0000-0000B6300000}"/>
    <cellStyle name="Comma 36 4 2" xfId="26707" xr:uid="{00000000-0005-0000-0000-0000B7300000}"/>
    <cellStyle name="Comma 36 4 2 2" xfId="26708" xr:uid="{00000000-0005-0000-0000-0000B8300000}"/>
    <cellStyle name="Comma 36 4 3" xfId="26709" xr:uid="{00000000-0005-0000-0000-0000B9300000}"/>
    <cellStyle name="Comma 36 4 3 2" xfId="26710" xr:uid="{00000000-0005-0000-0000-0000BA300000}"/>
    <cellStyle name="Comma 36 4 3 2 2" xfId="26711" xr:uid="{00000000-0005-0000-0000-0000BB300000}"/>
    <cellStyle name="Comma 36 4 3 3" xfId="26712" xr:uid="{00000000-0005-0000-0000-0000BC300000}"/>
    <cellStyle name="Comma 36 4 4" xfId="26713" xr:uid="{00000000-0005-0000-0000-0000BD300000}"/>
    <cellStyle name="Comma 36 4 5" xfId="26714" xr:uid="{00000000-0005-0000-0000-0000BE300000}"/>
    <cellStyle name="Comma 36 5" xfId="26715" xr:uid="{00000000-0005-0000-0000-0000BF300000}"/>
    <cellStyle name="Comma 36 5 2" xfId="26716" xr:uid="{00000000-0005-0000-0000-0000C0300000}"/>
    <cellStyle name="Comma 36 5 2 2" xfId="26717" xr:uid="{00000000-0005-0000-0000-0000C1300000}"/>
    <cellStyle name="Comma 36 5 3" xfId="26718" xr:uid="{00000000-0005-0000-0000-0000C2300000}"/>
    <cellStyle name="Comma 36 5 3 2" xfId="26719" xr:uid="{00000000-0005-0000-0000-0000C3300000}"/>
    <cellStyle name="Comma 36 5 3 2 2" xfId="26720" xr:uid="{00000000-0005-0000-0000-0000C4300000}"/>
    <cellStyle name="Comma 36 5 3 3" xfId="26721" xr:uid="{00000000-0005-0000-0000-0000C5300000}"/>
    <cellStyle name="Comma 36 5 4" xfId="26722" xr:uid="{00000000-0005-0000-0000-0000C6300000}"/>
    <cellStyle name="Comma 36 6" xfId="26723" xr:uid="{00000000-0005-0000-0000-0000C7300000}"/>
    <cellStyle name="Comma 36 6 2" xfId="26724" xr:uid="{00000000-0005-0000-0000-0000C8300000}"/>
    <cellStyle name="Comma 36 6 2 2" xfId="26725" xr:uid="{00000000-0005-0000-0000-0000C9300000}"/>
    <cellStyle name="Comma 36 6 3" xfId="26726" xr:uid="{00000000-0005-0000-0000-0000CA300000}"/>
    <cellStyle name="Comma 36 7" xfId="26727" xr:uid="{00000000-0005-0000-0000-0000CB300000}"/>
    <cellStyle name="Comma 36 7 2" xfId="26728" xr:uid="{00000000-0005-0000-0000-0000CC300000}"/>
    <cellStyle name="Comma 36 7 2 2" xfId="26729" xr:uid="{00000000-0005-0000-0000-0000CD300000}"/>
    <cellStyle name="Comma 36 7 3" xfId="26730" xr:uid="{00000000-0005-0000-0000-0000CE300000}"/>
    <cellStyle name="Comma 36 8" xfId="26731" xr:uid="{00000000-0005-0000-0000-0000CF300000}"/>
    <cellStyle name="Comma 36 8 2" xfId="26732" xr:uid="{00000000-0005-0000-0000-0000D0300000}"/>
    <cellStyle name="Comma 36 8 2 2" xfId="26733" xr:uid="{00000000-0005-0000-0000-0000D1300000}"/>
    <cellStyle name="Comma 36 8 3" xfId="26734" xr:uid="{00000000-0005-0000-0000-0000D2300000}"/>
    <cellStyle name="Comma 36 9" xfId="26735" xr:uid="{00000000-0005-0000-0000-0000D3300000}"/>
    <cellStyle name="Comma 36 9 2" xfId="26736" xr:uid="{00000000-0005-0000-0000-0000D4300000}"/>
    <cellStyle name="Comma 36 9 2 2" xfId="26737" xr:uid="{00000000-0005-0000-0000-0000D5300000}"/>
    <cellStyle name="Comma 36 9 3" xfId="26738" xr:uid="{00000000-0005-0000-0000-0000D6300000}"/>
    <cellStyle name="Comma 360" xfId="44406" xr:uid="{E8E4EB0A-679B-42A7-AEF4-CDE0DF89B43E}"/>
    <cellStyle name="Comma 361" xfId="44408" xr:uid="{9EDB7FC5-0EB8-4C09-AADB-06E003945BCC}"/>
    <cellStyle name="Comma 362" xfId="44410" xr:uid="{FF575427-93E8-4DD0-A194-F8E03702A661}"/>
    <cellStyle name="Comma 363" xfId="44412" xr:uid="{8D80A094-68F7-4A8B-A43A-DBC42B0E41FE}"/>
    <cellStyle name="Comma 364" xfId="44414" xr:uid="{78B23490-0DC4-4902-8569-97E2D36D38FA}"/>
    <cellStyle name="Comma 365" xfId="44418" xr:uid="{1EE136BE-0CAF-4D99-B834-49B09482EC18}"/>
    <cellStyle name="Comma 37" xfId="2891" xr:uid="{00000000-0005-0000-0000-0000D7300000}"/>
    <cellStyle name="Comma 37 10" xfId="26739" xr:uid="{00000000-0005-0000-0000-0000D8300000}"/>
    <cellStyle name="Comma 37 10 2" xfId="26740" xr:uid="{00000000-0005-0000-0000-0000D9300000}"/>
    <cellStyle name="Comma 37 10 2 2" xfId="26741" xr:uid="{00000000-0005-0000-0000-0000DA300000}"/>
    <cellStyle name="Comma 37 10 3" xfId="26742" xr:uid="{00000000-0005-0000-0000-0000DB300000}"/>
    <cellStyle name="Comma 37 11" xfId="26743" xr:uid="{00000000-0005-0000-0000-0000DC300000}"/>
    <cellStyle name="Comma 37 11 2" xfId="26744" xr:uid="{00000000-0005-0000-0000-0000DD300000}"/>
    <cellStyle name="Comma 37 11 2 2" xfId="26745" xr:uid="{00000000-0005-0000-0000-0000DE300000}"/>
    <cellStyle name="Comma 37 11 3" xfId="26746" xr:uid="{00000000-0005-0000-0000-0000DF300000}"/>
    <cellStyle name="Comma 37 12" xfId="26747" xr:uid="{00000000-0005-0000-0000-0000E0300000}"/>
    <cellStyle name="Comma 37 12 2" xfId="26748" xr:uid="{00000000-0005-0000-0000-0000E1300000}"/>
    <cellStyle name="Comma 37 12 2 2" xfId="26749" xr:uid="{00000000-0005-0000-0000-0000E2300000}"/>
    <cellStyle name="Comma 37 12 3" xfId="26750" xr:uid="{00000000-0005-0000-0000-0000E3300000}"/>
    <cellStyle name="Comma 37 13" xfId="26751" xr:uid="{00000000-0005-0000-0000-0000E4300000}"/>
    <cellStyle name="Comma 37 13 2" xfId="26752" xr:uid="{00000000-0005-0000-0000-0000E5300000}"/>
    <cellStyle name="Comma 37 13 2 2" xfId="26753" xr:uid="{00000000-0005-0000-0000-0000E6300000}"/>
    <cellStyle name="Comma 37 13 3" xfId="26754" xr:uid="{00000000-0005-0000-0000-0000E7300000}"/>
    <cellStyle name="Comma 37 14" xfId="26755" xr:uid="{00000000-0005-0000-0000-0000E8300000}"/>
    <cellStyle name="Comma 37 14 2" xfId="26756" xr:uid="{00000000-0005-0000-0000-0000E9300000}"/>
    <cellStyle name="Comma 37 14 2 2" xfId="26757" xr:uid="{00000000-0005-0000-0000-0000EA300000}"/>
    <cellStyle name="Comma 37 14 3" xfId="26758" xr:uid="{00000000-0005-0000-0000-0000EB300000}"/>
    <cellStyle name="Comma 37 15" xfId="26759" xr:uid="{00000000-0005-0000-0000-0000EC300000}"/>
    <cellStyle name="Comma 37 15 2" xfId="26760" xr:uid="{00000000-0005-0000-0000-0000ED300000}"/>
    <cellStyle name="Comma 37 15 2 2" xfId="26761" xr:uid="{00000000-0005-0000-0000-0000EE300000}"/>
    <cellStyle name="Comma 37 15 3" xfId="26762" xr:uid="{00000000-0005-0000-0000-0000EF300000}"/>
    <cellStyle name="Comma 37 16" xfId="26763" xr:uid="{00000000-0005-0000-0000-0000F0300000}"/>
    <cellStyle name="Comma 37 16 2" xfId="26764" xr:uid="{00000000-0005-0000-0000-0000F1300000}"/>
    <cellStyle name="Comma 37 16 2 2" xfId="26765" xr:uid="{00000000-0005-0000-0000-0000F2300000}"/>
    <cellStyle name="Comma 37 16 3" xfId="26766" xr:uid="{00000000-0005-0000-0000-0000F3300000}"/>
    <cellStyle name="Comma 37 17" xfId="26767" xr:uid="{00000000-0005-0000-0000-0000F4300000}"/>
    <cellStyle name="Comma 37 17 2" xfId="26768" xr:uid="{00000000-0005-0000-0000-0000F5300000}"/>
    <cellStyle name="Comma 37 17 2 2" xfId="26769" xr:uid="{00000000-0005-0000-0000-0000F6300000}"/>
    <cellStyle name="Comma 37 17 3" xfId="26770" xr:uid="{00000000-0005-0000-0000-0000F7300000}"/>
    <cellStyle name="Comma 37 18" xfId="26771" xr:uid="{00000000-0005-0000-0000-0000F8300000}"/>
    <cellStyle name="Comma 37 18 2" xfId="26772" xr:uid="{00000000-0005-0000-0000-0000F9300000}"/>
    <cellStyle name="Comma 37 18 2 2" xfId="26773" xr:uid="{00000000-0005-0000-0000-0000FA300000}"/>
    <cellStyle name="Comma 37 18 3" xfId="26774" xr:uid="{00000000-0005-0000-0000-0000FB300000}"/>
    <cellStyle name="Comma 37 19" xfId="26775" xr:uid="{00000000-0005-0000-0000-0000FC300000}"/>
    <cellStyle name="Comma 37 19 2" xfId="26776" xr:uid="{00000000-0005-0000-0000-0000FD300000}"/>
    <cellStyle name="Comma 37 19 2 2" xfId="26777" xr:uid="{00000000-0005-0000-0000-0000FE300000}"/>
    <cellStyle name="Comma 37 19 3" xfId="26778" xr:uid="{00000000-0005-0000-0000-0000FF300000}"/>
    <cellStyle name="Comma 37 2" xfId="2892" xr:uid="{00000000-0005-0000-0000-000000310000}"/>
    <cellStyle name="Comma 37 2 2" xfId="26779" xr:uid="{00000000-0005-0000-0000-000001310000}"/>
    <cellStyle name="Comma 37 2 2 2" xfId="26780" xr:uid="{00000000-0005-0000-0000-000002310000}"/>
    <cellStyle name="Comma 37 2 3" xfId="26781" xr:uid="{00000000-0005-0000-0000-000003310000}"/>
    <cellStyle name="Comma 37 2 3 2" xfId="26782" xr:uid="{00000000-0005-0000-0000-000004310000}"/>
    <cellStyle name="Comma 37 2 3 2 2" xfId="26783" xr:uid="{00000000-0005-0000-0000-000005310000}"/>
    <cellStyle name="Comma 37 2 3 3" xfId="26784" xr:uid="{00000000-0005-0000-0000-000006310000}"/>
    <cellStyle name="Comma 37 2 4" xfId="26785" xr:uid="{00000000-0005-0000-0000-000007310000}"/>
    <cellStyle name="Comma 37 2 5" xfId="26786" xr:uid="{00000000-0005-0000-0000-000008310000}"/>
    <cellStyle name="Comma 37 20" xfId="26787" xr:uid="{00000000-0005-0000-0000-000009310000}"/>
    <cellStyle name="Comma 37 20 2" xfId="26788" xr:uid="{00000000-0005-0000-0000-00000A310000}"/>
    <cellStyle name="Comma 37 20 2 2" xfId="26789" xr:uid="{00000000-0005-0000-0000-00000B310000}"/>
    <cellStyle name="Comma 37 20 3" xfId="26790" xr:uid="{00000000-0005-0000-0000-00000C310000}"/>
    <cellStyle name="Comma 37 21" xfId="26791" xr:uid="{00000000-0005-0000-0000-00000D310000}"/>
    <cellStyle name="Comma 37 21 2" xfId="26792" xr:uid="{00000000-0005-0000-0000-00000E310000}"/>
    <cellStyle name="Comma 37 21 2 2" xfId="26793" xr:uid="{00000000-0005-0000-0000-00000F310000}"/>
    <cellStyle name="Comma 37 21 3" xfId="26794" xr:uid="{00000000-0005-0000-0000-000010310000}"/>
    <cellStyle name="Comma 37 22" xfId="26795" xr:uid="{00000000-0005-0000-0000-000011310000}"/>
    <cellStyle name="Comma 37 22 2" xfId="26796" xr:uid="{00000000-0005-0000-0000-000012310000}"/>
    <cellStyle name="Comma 37 22 2 2" xfId="26797" xr:uid="{00000000-0005-0000-0000-000013310000}"/>
    <cellStyle name="Comma 37 22 3" xfId="26798" xr:uid="{00000000-0005-0000-0000-000014310000}"/>
    <cellStyle name="Comma 37 23" xfId="26799" xr:uid="{00000000-0005-0000-0000-000015310000}"/>
    <cellStyle name="Comma 37 23 2" xfId="26800" xr:uid="{00000000-0005-0000-0000-000016310000}"/>
    <cellStyle name="Comma 37 23 2 2" xfId="26801" xr:uid="{00000000-0005-0000-0000-000017310000}"/>
    <cellStyle name="Comma 37 23 3" xfId="26802" xr:uid="{00000000-0005-0000-0000-000018310000}"/>
    <cellStyle name="Comma 37 24" xfId="26803" xr:uid="{00000000-0005-0000-0000-000019310000}"/>
    <cellStyle name="Comma 37 24 2" xfId="26804" xr:uid="{00000000-0005-0000-0000-00001A310000}"/>
    <cellStyle name="Comma 37 24 2 2" xfId="26805" xr:uid="{00000000-0005-0000-0000-00001B310000}"/>
    <cellStyle name="Comma 37 24 3" xfId="26806" xr:uid="{00000000-0005-0000-0000-00001C310000}"/>
    <cellStyle name="Comma 37 25" xfId="26807" xr:uid="{00000000-0005-0000-0000-00001D310000}"/>
    <cellStyle name="Comma 37 25 2" xfId="26808" xr:uid="{00000000-0005-0000-0000-00001E310000}"/>
    <cellStyle name="Comma 37 25 2 2" xfId="26809" xr:uid="{00000000-0005-0000-0000-00001F310000}"/>
    <cellStyle name="Comma 37 25 3" xfId="26810" xr:uid="{00000000-0005-0000-0000-000020310000}"/>
    <cellStyle name="Comma 37 26" xfId="26811" xr:uid="{00000000-0005-0000-0000-000021310000}"/>
    <cellStyle name="Comma 37 26 2" xfId="26812" xr:uid="{00000000-0005-0000-0000-000022310000}"/>
    <cellStyle name="Comma 37 26 2 2" xfId="26813" xr:uid="{00000000-0005-0000-0000-000023310000}"/>
    <cellStyle name="Comma 37 26 3" xfId="26814" xr:uid="{00000000-0005-0000-0000-000024310000}"/>
    <cellStyle name="Comma 37 27" xfId="26815" xr:uid="{00000000-0005-0000-0000-000025310000}"/>
    <cellStyle name="Comma 37 27 2" xfId="26816" xr:uid="{00000000-0005-0000-0000-000026310000}"/>
    <cellStyle name="Comma 37 27 2 2" xfId="26817" xr:uid="{00000000-0005-0000-0000-000027310000}"/>
    <cellStyle name="Comma 37 27 3" xfId="26818" xr:uid="{00000000-0005-0000-0000-000028310000}"/>
    <cellStyle name="Comma 37 28" xfId="26819" xr:uid="{00000000-0005-0000-0000-000029310000}"/>
    <cellStyle name="Comma 37 28 2" xfId="26820" xr:uid="{00000000-0005-0000-0000-00002A310000}"/>
    <cellStyle name="Comma 37 28 2 2" xfId="26821" xr:uid="{00000000-0005-0000-0000-00002B310000}"/>
    <cellStyle name="Comma 37 28 3" xfId="26822" xr:uid="{00000000-0005-0000-0000-00002C310000}"/>
    <cellStyle name="Comma 37 29" xfId="26823" xr:uid="{00000000-0005-0000-0000-00002D310000}"/>
    <cellStyle name="Comma 37 29 2" xfId="26824" xr:uid="{00000000-0005-0000-0000-00002E310000}"/>
    <cellStyle name="Comma 37 3" xfId="2893" xr:uid="{00000000-0005-0000-0000-00002F310000}"/>
    <cellStyle name="Comma 37 3 2" xfId="26825" xr:uid="{00000000-0005-0000-0000-000030310000}"/>
    <cellStyle name="Comma 37 3 2 2" xfId="26826" xr:uid="{00000000-0005-0000-0000-000031310000}"/>
    <cellStyle name="Comma 37 3 3" xfId="26827" xr:uid="{00000000-0005-0000-0000-000032310000}"/>
    <cellStyle name="Comma 37 3 3 2" xfId="26828" xr:uid="{00000000-0005-0000-0000-000033310000}"/>
    <cellStyle name="Comma 37 3 3 2 2" xfId="26829" xr:uid="{00000000-0005-0000-0000-000034310000}"/>
    <cellStyle name="Comma 37 3 3 3" xfId="26830" xr:uid="{00000000-0005-0000-0000-000035310000}"/>
    <cellStyle name="Comma 37 3 4" xfId="26831" xr:uid="{00000000-0005-0000-0000-000036310000}"/>
    <cellStyle name="Comma 37 3 5" xfId="26832" xr:uid="{00000000-0005-0000-0000-000037310000}"/>
    <cellStyle name="Comma 37 30" xfId="26833" xr:uid="{00000000-0005-0000-0000-000038310000}"/>
    <cellStyle name="Comma 37 30 2" xfId="26834" xr:uid="{00000000-0005-0000-0000-000039310000}"/>
    <cellStyle name="Comma 37 30 2 2" xfId="26835" xr:uid="{00000000-0005-0000-0000-00003A310000}"/>
    <cellStyle name="Comma 37 30 3" xfId="26836" xr:uid="{00000000-0005-0000-0000-00003B310000}"/>
    <cellStyle name="Comma 37 31" xfId="26837" xr:uid="{00000000-0005-0000-0000-00003C310000}"/>
    <cellStyle name="Comma 37 31 2" xfId="26838" xr:uid="{00000000-0005-0000-0000-00003D310000}"/>
    <cellStyle name="Comma 37 32" xfId="26839" xr:uid="{00000000-0005-0000-0000-00003E310000}"/>
    <cellStyle name="Comma 37 33" xfId="26840" xr:uid="{00000000-0005-0000-0000-00003F310000}"/>
    <cellStyle name="Comma 37 34" xfId="26841" xr:uid="{00000000-0005-0000-0000-000040310000}"/>
    <cellStyle name="Comma 37 35" xfId="26842" xr:uid="{00000000-0005-0000-0000-000041310000}"/>
    <cellStyle name="Comma 37 4" xfId="26843" xr:uid="{00000000-0005-0000-0000-000042310000}"/>
    <cellStyle name="Comma 37 4 2" xfId="26844" xr:uid="{00000000-0005-0000-0000-000043310000}"/>
    <cellStyle name="Comma 37 4 2 2" xfId="26845" xr:uid="{00000000-0005-0000-0000-000044310000}"/>
    <cellStyle name="Comma 37 4 3" xfId="26846" xr:uid="{00000000-0005-0000-0000-000045310000}"/>
    <cellStyle name="Comma 37 4 3 2" xfId="26847" xr:uid="{00000000-0005-0000-0000-000046310000}"/>
    <cellStyle name="Comma 37 4 3 2 2" xfId="26848" xr:uid="{00000000-0005-0000-0000-000047310000}"/>
    <cellStyle name="Comma 37 4 3 3" xfId="26849" xr:uid="{00000000-0005-0000-0000-000048310000}"/>
    <cellStyle name="Comma 37 4 4" xfId="26850" xr:uid="{00000000-0005-0000-0000-000049310000}"/>
    <cellStyle name="Comma 37 4 5" xfId="26851" xr:uid="{00000000-0005-0000-0000-00004A310000}"/>
    <cellStyle name="Comma 37 5" xfId="26852" xr:uid="{00000000-0005-0000-0000-00004B310000}"/>
    <cellStyle name="Comma 37 5 2" xfId="26853" xr:uid="{00000000-0005-0000-0000-00004C310000}"/>
    <cellStyle name="Comma 37 5 2 2" xfId="26854" xr:uid="{00000000-0005-0000-0000-00004D310000}"/>
    <cellStyle name="Comma 37 5 3" xfId="26855" xr:uid="{00000000-0005-0000-0000-00004E310000}"/>
    <cellStyle name="Comma 37 5 3 2" xfId="26856" xr:uid="{00000000-0005-0000-0000-00004F310000}"/>
    <cellStyle name="Comma 37 5 3 2 2" xfId="26857" xr:uid="{00000000-0005-0000-0000-000050310000}"/>
    <cellStyle name="Comma 37 5 3 3" xfId="26858" xr:uid="{00000000-0005-0000-0000-000051310000}"/>
    <cellStyle name="Comma 37 5 4" xfId="26859" xr:uid="{00000000-0005-0000-0000-000052310000}"/>
    <cellStyle name="Comma 37 6" xfId="26860" xr:uid="{00000000-0005-0000-0000-000053310000}"/>
    <cellStyle name="Comma 37 6 2" xfId="26861" xr:uid="{00000000-0005-0000-0000-000054310000}"/>
    <cellStyle name="Comma 37 6 2 2" xfId="26862" xr:uid="{00000000-0005-0000-0000-000055310000}"/>
    <cellStyle name="Comma 37 6 3" xfId="26863" xr:uid="{00000000-0005-0000-0000-000056310000}"/>
    <cellStyle name="Comma 37 7" xfId="26864" xr:uid="{00000000-0005-0000-0000-000057310000}"/>
    <cellStyle name="Comma 37 7 2" xfId="26865" xr:uid="{00000000-0005-0000-0000-000058310000}"/>
    <cellStyle name="Comma 37 7 2 2" xfId="26866" xr:uid="{00000000-0005-0000-0000-000059310000}"/>
    <cellStyle name="Comma 37 7 3" xfId="26867" xr:uid="{00000000-0005-0000-0000-00005A310000}"/>
    <cellStyle name="Comma 37 8" xfId="26868" xr:uid="{00000000-0005-0000-0000-00005B310000}"/>
    <cellStyle name="Comma 37 8 2" xfId="26869" xr:uid="{00000000-0005-0000-0000-00005C310000}"/>
    <cellStyle name="Comma 37 8 2 2" xfId="26870" xr:uid="{00000000-0005-0000-0000-00005D310000}"/>
    <cellStyle name="Comma 37 8 3" xfId="26871" xr:uid="{00000000-0005-0000-0000-00005E310000}"/>
    <cellStyle name="Comma 37 9" xfId="26872" xr:uid="{00000000-0005-0000-0000-00005F310000}"/>
    <cellStyle name="Comma 37 9 2" xfId="26873" xr:uid="{00000000-0005-0000-0000-000060310000}"/>
    <cellStyle name="Comma 37 9 2 2" xfId="26874" xr:uid="{00000000-0005-0000-0000-000061310000}"/>
    <cellStyle name="Comma 37 9 3" xfId="26875" xr:uid="{00000000-0005-0000-0000-000062310000}"/>
    <cellStyle name="Comma 38" xfId="2894" xr:uid="{00000000-0005-0000-0000-000063310000}"/>
    <cellStyle name="Comma 38 10" xfId="26876" xr:uid="{00000000-0005-0000-0000-000064310000}"/>
    <cellStyle name="Comma 38 10 2" xfId="26877" xr:uid="{00000000-0005-0000-0000-000065310000}"/>
    <cellStyle name="Comma 38 10 2 2" xfId="26878" xr:uid="{00000000-0005-0000-0000-000066310000}"/>
    <cellStyle name="Comma 38 10 3" xfId="26879" xr:uid="{00000000-0005-0000-0000-000067310000}"/>
    <cellStyle name="Comma 38 11" xfId="26880" xr:uid="{00000000-0005-0000-0000-000068310000}"/>
    <cellStyle name="Comma 38 11 2" xfId="26881" xr:uid="{00000000-0005-0000-0000-000069310000}"/>
    <cellStyle name="Comma 38 11 2 2" xfId="26882" xr:uid="{00000000-0005-0000-0000-00006A310000}"/>
    <cellStyle name="Comma 38 11 3" xfId="26883" xr:uid="{00000000-0005-0000-0000-00006B310000}"/>
    <cellStyle name="Comma 38 12" xfId="26884" xr:uid="{00000000-0005-0000-0000-00006C310000}"/>
    <cellStyle name="Comma 38 12 2" xfId="26885" xr:uid="{00000000-0005-0000-0000-00006D310000}"/>
    <cellStyle name="Comma 38 12 2 2" xfId="26886" xr:uid="{00000000-0005-0000-0000-00006E310000}"/>
    <cellStyle name="Comma 38 12 3" xfId="26887" xr:uid="{00000000-0005-0000-0000-00006F310000}"/>
    <cellStyle name="Comma 38 13" xfId="26888" xr:uid="{00000000-0005-0000-0000-000070310000}"/>
    <cellStyle name="Comma 38 13 2" xfId="26889" xr:uid="{00000000-0005-0000-0000-000071310000}"/>
    <cellStyle name="Comma 38 13 2 2" xfId="26890" xr:uid="{00000000-0005-0000-0000-000072310000}"/>
    <cellStyle name="Comma 38 13 3" xfId="26891" xr:uid="{00000000-0005-0000-0000-000073310000}"/>
    <cellStyle name="Comma 38 14" xfId="26892" xr:uid="{00000000-0005-0000-0000-000074310000}"/>
    <cellStyle name="Comma 38 14 2" xfId="26893" xr:uid="{00000000-0005-0000-0000-000075310000}"/>
    <cellStyle name="Comma 38 14 2 2" xfId="26894" xr:uid="{00000000-0005-0000-0000-000076310000}"/>
    <cellStyle name="Comma 38 14 3" xfId="26895" xr:uid="{00000000-0005-0000-0000-000077310000}"/>
    <cellStyle name="Comma 38 15" xfId="26896" xr:uid="{00000000-0005-0000-0000-000078310000}"/>
    <cellStyle name="Comma 38 15 2" xfId="26897" xr:uid="{00000000-0005-0000-0000-000079310000}"/>
    <cellStyle name="Comma 38 15 2 2" xfId="26898" xr:uid="{00000000-0005-0000-0000-00007A310000}"/>
    <cellStyle name="Comma 38 15 3" xfId="26899" xr:uid="{00000000-0005-0000-0000-00007B310000}"/>
    <cellStyle name="Comma 38 16" xfId="26900" xr:uid="{00000000-0005-0000-0000-00007C310000}"/>
    <cellStyle name="Comma 38 16 2" xfId="26901" xr:uid="{00000000-0005-0000-0000-00007D310000}"/>
    <cellStyle name="Comma 38 16 2 2" xfId="26902" xr:uid="{00000000-0005-0000-0000-00007E310000}"/>
    <cellStyle name="Comma 38 16 3" xfId="26903" xr:uid="{00000000-0005-0000-0000-00007F310000}"/>
    <cellStyle name="Comma 38 17" xfId="26904" xr:uid="{00000000-0005-0000-0000-000080310000}"/>
    <cellStyle name="Comma 38 17 2" xfId="26905" xr:uid="{00000000-0005-0000-0000-000081310000}"/>
    <cellStyle name="Comma 38 17 2 2" xfId="26906" xr:uid="{00000000-0005-0000-0000-000082310000}"/>
    <cellStyle name="Comma 38 17 3" xfId="26907" xr:uid="{00000000-0005-0000-0000-000083310000}"/>
    <cellStyle name="Comma 38 18" xfId="26908" xr:uid="{00000000-0005-0000-0000-000084310000}"/>
    <cellStyle name="Comma 38 18 2" xfId="26909" xr:uid="{00000000-0005-0000-0000-000085310000}"/>
    <cellStyle name="Comma 38 18 2 2" xfId="26910" xr:uid="{00000000-0005-0000-0000-000086310000}"/>
    <cellStyle name="Comma 38 18 3" xfId="26911" xr:uid="{00000000-0005-0000-0000-000087310000}"/>
    <cellStyle name="Comma 38 19" xfId="26912" xr:uid="{00000000-0005-0000-0000-000088310000}"/>
    <cellStyle name="Comma 38 19 2" xfId="26913" xr:uid="{00000000-0005-0000-0000-000089310000}"/>
    <cellStyle name="Comma 38 19 2 2" xfId="26914" xr:uid="{00000000-0005-0000-0000-00008A310000}"/>
    <cellStyle name="Comma 38 19 3" xfId="26915" xr:uid="{00000000-0005-0000-0000-00008B310000}"/>
    <cellStyle name="Comma 38 2" xfId="2895" xr:uid="{00000000-0005-0000-0000-00008C310000}"/>
    <cellStyle name="Comma 38 2 2" xfId="26916" xr:uid="{00000000-0005-0000-0000-00008D310000}"/>
    <cellStyle name="Comma 38 2 2 2" xfId="26917" xr:uid="{00000000-0005-0000-0000-00008E310000}"/>
    <cellStyle name="Comma 38 2 3" xfId="26918" xr:uid="{00000000-0005-0000-0000-00008F310000}"/>
    <cellStyle name="Comma 38 2 3 2" xfId="26919" xr:uid="{00000000-0005-0000-0000-000090310000}"/>
    <cellStyle name="Comma 38 2 3 2 2" xfId="26920" xr:uid="{00000000-0005-0000-0000-000091310000}"/>
    <cellStyle name="Comma 38 2 3 3" xfId="26921" xr:uid="{00000000-0005-0000-0000-000092310000}"/>
    <cellStyle name="Comma 38 2 4" xfId="26922" xr:uid="{00000000-0005-0000-0000-000093310000}"/>
    <cellStyle name="Comma 38 2 5" xfId="26923" xr:uid="{00000000-0005-0000-0000-000094310000}"/>
    <cellStyle name="Comma 38 20" xfId="26924" xr:uid="{00000000-0005-0000-0000-000095310000}"/>
    <cellStyle name="Comma 38 20 2" xfId="26925" xr:uid="{00000000-0005-0000-0000-000096310000}"/>
    <cellStyle name="Comma 38 20 2 2" xfId="26926" xr:uid="{00000000-0005-0000-0000-000097310000}"/>
    <cellStyle name="Comma 38 20 3" xfId="26927" xr:uid="{00000000-0005-0000-0000-000098310000}"/>
    <cellStyle name="Comma 38 21" xfId="26928" xr:uid="{00000000-0005-0000-0000-000099310000}"/>
    <cellStyle name="Comma 38 21 2" xfId="26929" xr:uid="{00000000-0005-0000-0000-00009A310000}"/>
    <cellStyle name="Comma 38 21 2 2" xfId="26930" xr:uid="{00000000-0005-0000-0000-00009B310000}"/>
    <cellStyle name="Comma 38 21 3" xfId="26931" xr:uid="{00000000-0005-0000-0000-00009C310000}"/>
    <cellStyle name="Comma 38 22" xfId="26932" xr:uid="{00000000-0005-0000-0000-00009D310000}"/>
    <cellStyle name="Comma 38 22 2" xfId="26933" xr:uid="{00000000-0005-0000-0000-00009E310000}"/>
    <cellStyle name="Comma 38 22 2 2" xfId="26934" xr:uid="{00000000-0005-0000-0000-00009F310000}"/>
    <cellStyle name="Comma 38 22 3" xfId="26935" xr:uid="{00000000-0005-0000-0000-0000A0310000}"/>
    <cellStyle name="Comma 38 23" xfId="26936" xr:uid="{00000000-0005-0000-0000-0000A1310000}"/>
    <cellStyle name="Comma 38 23 2" xfId="26937" xr:uid="{00000000-0005-0000-0000-0000A2310000}"/>
    <cellStyle name="Comma 38 23 2 2" xfId="26938" xr:uid="{00000000-0005-0000-0000-0000A3310000}"/>
    <cellStyle name="Comma 38 23 3" xfId="26939" xr:uid="{00000000-0005-0000-0000-0000A4310000}"/>
    <cellStyle name="Comma 38 24" xfId="26940" xr:uid="{00000000-0005-0000-0000-0000A5310000}"/>
    <cellStyle name="Comma 38 24 2" xfId="26941" xr:uid="{00000000-0005-0000-0000-0000A6310000}"/>
    <cellStyle name="Comma 38 24 2 2" xfId="26942" xr:uid="{00000000-0005-0000-0000-0000A7310000}"/>
    <cellStyle name="Comma 38 24 3" xfId="26943" xr:uid="{00000000-0005-0000-0000-0000A8310000}"/>
    <cellStyle name="Comma 38 25" xfId="26944" xr:uid="{00000000-0005-0000-0000-0000A9310000}"/>
    <cellStyle name="Comma 38 25 2" xfId="26945" xr:uid="{00000000-0005-0000-0000-0000AA310000}"/>
    <cellStyle name="Comma 38 25 2 2" xfId="26946" xr:uid="{00000000-0005-0000-0000-0000AB310000}"/>
    <cellStyle name="Comma 38 25 3" xfId="26947" xr:uid="{00000000-0005-0000-0000-0000AC310000}"/>
    <cellStyle name="Comma 38 26" xfId="26948" xr:uid="{00000000-0005-0000-0000-0000AD310000}"/>
    <cellStyle name="Comma 38 26 2" xfId="26949" xr:uid="{00000000-0005-0000-0000-0000AE310000}"/>
    <cellStyle name="Comma 38 26 2 2" xfId="26950" xr:uid="{00000000-0005-0000-0000-0000AF310000}"/>
    <cellStyle name="Comma 38 26 3" xfId="26951" xr:uid="{00000000-0005-0000-0000-0000B0310000}"/>
    <cellStyle name="Comma 38 27" xfId="26952" xr:uid="{00000000-0005-0000-0000-0000B1310000}"/>
    <cellStyle name="Comma 38 27 2" xfId="26953" xr:uid="{00000000-0005-0000-0000-0000B2310000}"/>
    <cellStyle name="Comma 38 27 2 2" xfId="26954" xr:uid="{00000000-0005-0000-0000-0000B3310000}"/>
    <cellStyle name="Comma 38 27 3" xfId="26955" xr:uid="{00000000-0005-0000-0000-0000B4310000}"/>
    <cellStyle name="Comma 38 28" xfId="26956" xr:uid="{00000000-0005-0000-0000-0000B5310000}"/>
    <cellStyle name="Comma 38 28 2" xfId="26957" xr:uid="{00000000-0005-0000-0000-0000B6310000}"/>
    <cellStyle name="Comma 38 28 2 2" xfId="26958" xr:uid="{00000000-0005-0000-0000-0000B7310000}"/>
    <cellStyle name="Comma 38 28 3" xfId="26959" xr:uid="{00000000-0005-0000-0000-0000B8310000}"/>
    <cellStyle name="Comma 38 29" xfId="26960" xr:uid="{00000000-0005-0000-0000-0000B9310000}"/>
    <cellStyle name="Comma 38 29 2" xfId="26961" xr:uid="{00000000-0005-0000-0000-0000BA310000}"/>
    <cellStyle name="Comma 38 3" xfId="2896" xr:uid="{00000000-0005-0000-0000-0000BB310000}"/>
    <cellStyle name="Comma 38 3 2" xfId="26962" xr:uid="{00000000-0005-0000-0000-0000BC310000}"/>
    <cellStyle name="Comma 38 3 2 2" xfId="26963" xr:uid="{00000000-0005-0000-0000-0000BD310000}"/>
    <cellStyle name="Comma 38 3 3" xfId="26964" xr:uid="{00000000-0005-0000-0000-0000BE310000}"/>
    <cellStyle name="Comma 38 3 3 2" xfId="26965" xr:uid="{00000000-0005-0000-0000-0000BF310000}"/>
    <cellStyle name="Comma 38 3 3 2 2" xfId="26966" xr:uid="{00000000-0005-0000-0000-0000C0310000}"/>
    <cellStyle name="Comma 38 3 3 3" xfId="26967" xr:uid="{00000000-0005-0000-0000-0000C1310000}"/>
    <cellStyle name="Comma 38 3 4" xfId="26968" xr:uid="{00000000-0005-0000-0000-0000C2310000}"/>
    <cellStyle name="Comma 38 3 5" xfId="26969" xr:uid="{00000000-0005-0000-0000-0000C3310000}"/>
    <cellStyle name="Comma 38 30" xfId="26970" xr:uid="{00000000-0005-0000-0000-0000C4310000}"/>
    <cellStyle name="Comma 38 30 2" xfId="26971" xr:uid="{00000000-0005-0000-0000-0000C5310000}"/>
    <cellStyle name="Comma 38 30 2 2" xfId="26972" xr:uid="{00000000-0005-0000-0000-0000C6310000}"/>
    <cellStyle name="Comma 38 30 3" xfId="26973" xr:uid="{00000000-0005-0000-0000-0000C7310000}"/>
    <cellStyle name="Comma 38 31" xfId="26974" xr:uid="{00000000-0005-0000-0000-0000C8310000}"/>
    <cellStyle name="Comma 38 32" xfId="26975" xr:uid="{00000000-0005-0000-0000-0000C9310000}"/>
    <cellStyle name="Comma 38 33" xfId="26976" xr:uid="{00000000-0005-0000-0000-0000CA310000}"/>
    <cellStyle name="Comma 38 34" xfId="26977" xr:uid="{00000000-0005-0000-0000-0000CB310000}"/>
    <cellStyle name="Comma 38 4" xfId="26978" xr:uid="{00000000-0005-0000-0000-0000CC310000}"/>
    <cellStyle name="Comma 38 4 2" xfId="26979" xr:uid="{00000000-0005-0000-0000-0000CD310000}"/>
    <cellStyle name="Comma 38 4 2 2" xfId="26980" xr:uid="{00000000-0005-0000-0000-0000CE310000}"/>
    <cellStyle name="Comma 38 4 3" xfId="26981" xr:uid="{00000000-0005-0000-0000-0000CF310000}"/>
    <cellStyle name="Comma 38 4 3 2" xfId="26982" xr:uid="{00000000-0005-0000-0000-0000D0310000}"/>
    <cellStyle name="Comma 38 4 3 2 2" xfId="26983" xr:uid="{00000000-0005-0000-0000-0000D1310000}"/>
    <cellStyle name="Comma 38 4 3 3" xfId="26984" xr:uid="{00000000-0005-0000-0000-0000D2310000}"/>
    <cellStyle name="Comma 38 4 4" xfId="26985" xr:uid="{00000000-0005-0000-0000-0000D3310000}"/>
    <cellStyle name="Comma 38 4 5" xfId="26986" xr:uid="{00000000-0005-0000-0000-0000D4310000}"/>
    <cellStyle name="Comma 38 5" xfId="26987" xr:uid="{00000000-0005-0000-0000-0000D5310000}"/>
    <cellStyle name="Comma 38 5 2" xfId="26988" xr:uid="{00000000-0005-0000-0000-0000D6310000}"/>
    <cellStyle name="Comma 38 5 2 2" xfId="26989" xr:uid="{00000000-0005-0000-0000-0000D7310000}"/>
    <cellStyle name="Comma 38 5 3" xfId="26990" xr:uid="{00000000-0005-0000-0000-0000D8310000}"/>
    <cellStyle name="Comma 38 5 3 2" xfId="26991" xr:uid="{00000000-0005-0000-0000-0000D9310000}"/>
    <cellStyle name="Comma 38 5 3 2 2" xfId="26992" xr:uid="{00000000-0005-0000-0000-0000DA310000}"/>
    <cellStyle name="Comma 38 5 3 3" xfId="26993" xr:uid="{00000000-0005-0000-0000-0000DB310000}"/>
    <cellStyle name="Comma 38 5 4" xfId="26994" xr:uid="{00000000-0005-0000-0000-0000DC310000}"/>
    <cellStyle name="Comma 38 6" xfId="26995" xr:uid="{00000000-0005-0000-0000-0000DD310000}"/>
    <cellStyle name="Comma 38 6 2" xfId="26996" xr:uid="{00000000-0005-0000-0000-0000DE310000}"/>
    <cellStyle name="Comma 38 6 2 2" xfId="26997" xr:uid="{00000000-0005-0000-0000-0000DF310000}"/>
    <cellStyle name="Comma 38 6 3" xfId="26998" xr:uid="{00000000-0005-0000-0000-0000E0310000}"/>
    <cellStyle name="Comma 38 7" xfId="26999" xr:uid="{00000000-0005-0000-0000-0000E1310000}"/>
    <cellStyle name="Comma 38 7 2" xfId="27000" xr:uid="{00000000-0005-0000-0000-0000E2310000}"/>
    <cellStyle name="Comma 38 7 2 2" xfId="27001" xr:uid="{00000000-0005-0000-0000-0000E3310000}"/>
    <cellStyle name="Comma 38 7 3" xfId="27002" xr:uid="{00000000-0005-0000-0000-0000E4310000}"/>
    <cellStyle name="Comma 38 8" xfId="27003" xr:uid="{00000000-0005-0000-0000-0000E5310000}"/>
    <cellStyle name="Comma 38 8 2" xfId="27004" xr:uid="{00000000-0005-0000-0000-0000E6310000}"/>
    <cellStyle name="Comma 38 8 2 2" xfId="27005" xr:uid="{00000000-0005-0000-0000-0000E7310000}"/>
    <cellStyle name="Comma 38 8 3" xfId="27006" xr:uid="{00000000-0005-0000-0000-0000E8310000}"/>
    <cellStyle name="Comma 38 9" xfId="27007" xr:uid="{00000000-0005-0000-0000-0000E9310000}"/>
    <cellStyle name="Comma 38 9 2" xfId="27008" xr:uid="{00000000-0005-0000-0000-0000EA310000}"/>
    <cellStyle name="Comma 38 9 2 2" xfId="27009" xr:uid="{00000000-0005-0000-0000-0000EB310000}"/>
    <cellStyle name="Comma 38 9 3" xfId="27010" xr:uid="{00000000-0005-0000-0000-0000EC310000}"/>
    <cellStyle name="Comma 39" xfId="2897" xr:uid="{00000000-0005-0000-0000-0000ED310000}"/>
    <cellStyle name="Comma 39 10" xfId="27012" xr:uid="{00000000-0005-0000-0000-0000EE310000}"/>
    <cellStyle name="Comma 39 10 2" xfId="27013" xr:uid="{00000000-0005-0000-0000-0000EF310000}"/>
    <cellStyle name="Comma 39 10 2 2" xfId="27014" xr:uid="{00000000-0005-0000-0000-0000F0310000}"/>
    <cellStyle name="Comma 39 10 3" xfId="27015" xr:uid="{00000000-0005-0000-0000-0000F1310000}"/>
    <cellStyle name="Comma 39 11" xfId="27016" xr:uid="{00000000-0005-0000-0000-0000F2310000}"/>
    <cellStyle name="Comma 39 11 2" xfId="27017" xr:uid="{00000000-0005-0000-0000-0000F3310000}"/>
    <cellStyle name="Comma 39 11 2 2" xfId="27018" xr:uid="{00000000-0005-0000-0000-0000F4310000}"/>
    <cellStyle name="Comma 39 11 3" xfId="27019" xr:uid="{00000000-0005-0000-0000-0000F5310000}"/>
    <cellStyle name="Comma 39 12" xfId="27020" xr:uid="{00000000-0005-0000-0000-0000F6310000}"/>
    <cellStyle name="Comma 39 12 2" xfId="27021" xr:uid="{00000000-0005-0000-0000-0000F7310000}"/>
    <cellStyle name="Comma 39 12 2 2" xfId="27022" xr:uid="{00000000-0005-0000-0000-0000F8310000}"/>
    <cellStyle name="Comma 39 12 3" xfId="27023" xr:uid="{00000000-0005-0000-0000-0000F9310000}"/>
    <cellStyle name="Comma 39 13" xfId="27024" xr:uid="{00000000-0005-0000-0000-0000FA310000}"/>
    <cellStyle name="Comma 39 13 2" xfId="27025" xr:uid="{00000000-0005-0000-0000-0000FB310000}"/>
    <cellStyle name="Comma 39 13 2 2" xfId="27026" xr:uid="{00000000-0005-0000-0000-0000FC310000}"/>
    <cellStyle name="Comma 39 13 3" xfId="27027" xr:uid="{00000000-0005-0000-0000-0000FD310000}"/>
    <cellStyle name="Comma 39 14" xfId="27028" xr:uid="{00000000-0005-0000-0000-0000FE310000}"/>
    <cellStyle name="Comma 39 14 2" xfId="27029" xr:uid="{00000000-0005-0000-0000-0000FF310000}"/>
    <cellStyle name="Comma 39 14 2 2" xfId="27030" xr:uid="{00000000-0005-0000-0000-000000320000}"/>
    <cellStyle name="Comma 39 14 3" xfId="27031" xr:uid="{00000000-0005-0000-0000-000001320000}"/>
    <cellStyle name="Comma 39 15" xfId="27032" xr:uid="{00000000-0005-0000-0000-000002320000}"/>
    <cellStyle name="Comma 39 15 2" xfId="27033" xr:uid="{00000000-0005-0000-0000-000003320000}"/>
    <cellStyle name="Comma 39 15 2 2" xfId="27034" xr:uid="{00000000-0005-0000-0000-000004320000}"/>
    <cellStyle name="Comma 39 15 3" xfId="27035" xr:uid="{00000000-0005-0000-0000-000005320000}"/>
    <cellStyle name="Comma 39 16" xfId="27036" xr:uid="{00000000-0005-0000-0000-000006320000}"/>
    <cellStyle name="Comma 39 16 2" xfId="27037" xr:uid="{00000000-0005-0000-0000-000007320000}"/>
    <cellStyle name="Comma 39 16 2 2" xfId="27038" xr:uid="{00000000-0005-0000-0000-000008320000}"/>
    <cellStyle name="Comma 39 16 3" xfId="27039" xr:uid="{00000000-0005-0000-0000-000009320000}"/>
    <cellStyle name="Comma 39 17" xfId="27040" xr:uid="{00000000-0005-0000-0000-00000A320000}"/>
    <cellStyle name="Comma 39 17 2" xfId="27041" xr:uid="{00000000-0005-0000-0000-00000B320000}"/>
    <cellStyle name="Comma 39 17 2 2" xfId="27042" xr:uid="{00000000-0005-0000-0000-00000C320000}"/>
    <cellStyle name="Comma 39 17 3" xfId="27043" xr:uid="{00000000-0005-0000-0000-00000D320000}"/>
    <cellStyle name="Comma 39 18" xfId="27044" xr:uid="{00000000-0005-0000-0000-00000E320000}"/>
    <cellStyle name="Comma 39 18 2" xfId="27045" xr:uid="{00000000-0005-0000-0000-00000F320000}"/>
    <cellStyle name="Comma 39 18 2 2" xfId="27046" xr:uid="{00000000-0005-0000-0000-000010320000}"/>
    <cellStyle name="Comma 39 18 3" xfId="27047" xr:uid="{00000000-0005-0000-0000-000011320000}"/>
    <cellStyle name="Comma 39 19" xfId="27048" xr:uid="{00000000-0005-0000-0000-000012320000}"/>
    <cellStyle name="Comma 39 19 2" xfId="27049" xr:uid="{00000000-0005-0000-0000-000013320000}"/>
    <cellStyle name="Comma 39 19 2 2" xfId="27050" xr:uid="{00000000-0005-0000-0000-000014320000}"/>
    <cellStyle name="Comma 39 19 3" xfId="27051" xr:uid="{00000000-0005-0000-0000-000015320000}"/>
    <cellStyle name="Comma 39 2" xfId="2898" xr:uid="{00000000-0005-0000-0000-000016320000}"/>
    <cellStyle name="Comma 39 2 2" xfId="9014" xr:uid="{00000000-0005-0000-0000-000017320000}"/>
    <cellStyle name="Comma 39 2 2 2" xfId="27054" xr:uid="{00000000-0005-0000-0000-000018320000}"/>
    <cellStyle name="Comma 39 2 2 3" xfId="27053" xr:uid="{00000000-0005-0000-0000-000019320000}"/>
    <cellStyle name="Comma 39 2 3" xfId="27055" xr:uid="{00000000-0005-0000-0000-00001A320000}"/>
    <cellStyle name="Comma 39 2 3 2" xfId="27056" xr:uid="{00000000-0005-0000-0000-00001B320000}"/>
    <cellStyle name="Comma 39 2 3 2 2" xfId="27057" xr:uid="{00000000-0005-0000-0000-00001C320000}"/>
    <cellStyle name="Comma 39 2 3 3" xfId="27058" xr:uid="{00000000-0005-0000-0000-00001D320000}"/>
    <cellStyle name="Comma 39 2 4" xfId="27059" xr:uid="{00000000-0005-0000-0000-00001E320000}"/>
    <cellStyle name="Comma 39 2 5" xfId="27060" xr:uid="{00000000-0005-0000-0000-00001F320000}"/>
    <cellStyle name="Comma 39 2 6" xfId="27052" xr:uid="{00000000-0005-0000-0000-000020320000}"/>
    <cellStyle name="Comma 39 20" xfId="27061" xr:uid="{00000000-0005-0000-0000-000021320000}"/>
    <cellStyle name="Comma 39 20 2" xfId="27062" xr:uid="{00000000-0005-0000-0000-000022320000}"/>
    <cellStyle name="Comma 39 20 2 2" xfId="27063" xr:uid="{00000000-0005-0000-0000-000023320000}"/>
    <cellStyle name="Comma 39 20 3" xfId="27064" xr:uid="{00000000-0005-0000-0000-000024320000}"/>
    <cellStyle name="Comma 39 21" xfId="27065" xr:uid="{00000000-0005-0000-0000-000025320000}"/>
    <cellStyle name="Comma 39 21 2" xfId="27066" xr:uid="{00000000-0005-0000-0000-000026320000}"/>
    <cellStyle name="Comma 39 21 2 2" xfId="27067" xr:uid="{00000000-0005-0000-0000-000027320000}"/>
    <cellStyle name="Comma 39 21 3" xfId="27068" xr:uid="{00000000-0005-0000-0000-000028320000}"/>
    <cellStyle name="Comma 39 22" xfId="27069" xr:uid="{00000000-0005-0000-0000-000029320000}"/>
    <cellStyle name="Comma 39 22 2" xfId="27070" xr:uid="{00000000-0005-0000-0000-00002A320000}"/>
    <cellStyle name="Comma 39 22 2 2" xfId="27071" xr:uid="{00000000-0005-0000-0000-00002B320000}"/>
    <cellStyle name="Comma 39 22 3" xfId="27072" xr:uid="{00000000-0005-0000-0000-00002C320000}"/>
    <cellStyle name="Comma 39 23" xfId="27073" xr:uid="{00000000-0005-0000-0000-00002D320000}"/>
    <cellStyle name="Comma 39 23 2" xfId="27074" xr:uid="{00000000-0005-0000-0000-00002E320000}"/>
    <cellStyle name="Comma 39 23 2 2" xfId="27075" xr:uid="{00000000-0005-0000-0000-00002F320000}"/>
    <cellStyle name="Comma 39 23 3" xfId="27076" xr:uid="{00000000-0005-0000-0000-000030320000}"/>
    <cellStyle name="Comma 39 24" xfId="27077" xr:uid="{00000000-0005-0000-0000-000031320000}"/>
    <cellStyle name="Comma 39 24 2" xfId="27078" xr:uid="{00000000-0005-0000-0000-000032320000}"/>
    <cellStyle name="Comma 39 24 2 2" xfId="27079" xr:uid="{00000000-0005-0000-0000-000033320000}"/>
    <cellStyle name="Comma 39 24 3" xfId="27080" xr:uid="{00000000-0005-0000-0000-000034320000}"/>
    <cellStyle name="Comma 39 25" xfId="27081" xr:uid="{00000000-0005-0000-0000-000035320000}"/>
    <cellStyle name="Comma 39 25 2" xfId="27082" xr:uid="{00000000-0005-0000-0000-000036320000}"/>
    <cellStyle name="Comma 39 25 2 2" xfId="27083" xr:uid="{00000000-0005-0000-0000-000037320000}"/>
    <cellStyle name="Comma 39 25 3" xfId="27084" xr:uid="{00000000-0005-0000-0000-000038320000}"/>
    <cellStyle name="Comma 39 26" xfId="27085" xr:uid="{00000000-0005-0000-0000-000039320000}"/>
    <cellStyle name="Comma 39 26 2" xfId="27086" xr:uid="{00000000-0005-0000-0000-00003A320000}"/>
    <cellStyle name="Comma 39 26 2 2" xfId="27087" xr:uid="{00000000-0005-0000-0000-00003B320000}"/>
    <cellStyle name="Comma 39 26 3" xfId="27088" xr:uid="{00000000-0005-0000-0000-00003C320000}"/>
    <cellStyle name="Comma 39 27" xfId="27089" xr:uid="{00000000-0005-0000-0000-00003D320000}"/>
    <cellStyle name="Comma 39 27 2" xfId="27090" xr:uid="{00000000-0005-0000-0000-00003E320000}"/>
    <cellStyle name="Comma 39 27 2 2" xfId="27091" xr:uid="{00000000-0005-0000-0000-00003F320000}"/>
    <cellStyle name="Comma 39 27 3" xfId="27092" xr:uid="{00000000-0005-0000-0000-000040320000}"/>
    <cellStyle name="Comma 39 28" xfId="27093" xr:uid="{00000000-0005-0000-0000-000041320000}"/>
    <cellStyle name="Comma 39 28 2" xfId="27094" xr:uid="{00000000-0005-0000-0000-000042320000}"/>
    <cellStyle name="Comma 39 28 2 2" xfId="27095" xr:uid="{00000000-0005-0000-0000-000043320000}"/>
    <cellStyle name="Comma 39 28 3" xfId="27096" xr:uid="{00000000-0005-0000-0000-000044320000}"/>
    <cellStyle name="Comma 39 29" xfId="27097" xr:uid="{00000000-0005-0000-0000-000045320000}"/>
    <cellStyle name="Comma 39 29 2" xfId="27098" xr:uid="{00000000-0005-0000-0000-000046320000}"/>
    <cellStyle name="Comma 39 3" xfId="9015" xr:uid="{00000000-0005-0000-0000-000047320000}"/>
    <cellStyle name="Comma 39 3 2" xfId="27100" xr:uid="{00000000-0005-0000-0000-000048320000}"/>
    <cellStyle name="Comma 39 3 2 2" xfId="27101" xr:uid="{00000000-0005-0000-0000-000049320000}"/>
    <cellStyle name="Comma 39 3 3" xfId="27102" xr:uid="{00000000-0005-0000-0000-00004A320000}"/>
    <cellStyle name="Comma 39 3 3 2" xfId="27103" xr:uid="{00000000-0005-0000-0000-00004B320000}"/>
    <cellStyle name="Comma 39 3 3 2 2" xfId="27104" xr:uid="{00000000-0005-0000-0000-00004C320000}"/>
    <cellStyle name="Comma 39 3 3 3" xfId="27105" xr:uid="{00000000-0005-0000-0000-00004D320000}"/>
    <cellStyle name="Comma 39 3 4" xfId="27106" xr:uid="{00000000-0005-0000-0000-00004E320000}"/>
    <cellStyle name="Comma 39 3 5" xfId="27107" xr:uid="{00000000-0005-0000-0000-00004F320000}"/>
    <cellStyle name="Comma 39 3 6" xfId="27099" xr:uid="{00000000-0005-0000-0000-000050320000}"/>
    <cellStyle name="Comma 39 30" xfId="27108" xr:uid="{00000000-0005-0000-0000-000051320000}"/>
    <cellStyle name="Comma 39 30 2" xfId="27109" xr:uid="{00000000-0005-0000-0000-000052320000}"/>
    <cellStyle name="Comma 39 30 2 2" xfId="27110" xr:uid="{00000000-0005-0000-0000-000053320000}"/>
    <cellStyle name="Comma 39 30 3" xfId="27111" xr:uid="{00000000-0005-0000-0000-000054320000}"/>
    <cellStyle name="Comma 39 31" xfId="27112" xr:uid="{00000000-0005-0000-0000-000055320000}"/>
    <cellStyle name="Comma 39 32" xfId="27113" xr:uid="{00000000-0005-0000-0000-000056320000}"/>
    <cellStyle name="Comma 39 33" xfId="27114" xr:uid="{00000000-0005-0000-0000-000057320000}"/>
    <cellStyle name="Comma 39 34" xfId="27115" xr:uid="{00000000-0005-0000-0000-000058320000}"/>
    <cellStyle name="Comma 39 35" xfId="27011" xr:uid="{00000000-0005-0000-0000-000059320000}"/>
    <cellStyle name="Comma 39 4" xfId="27116" xr:uid="{00000000-0005-0000-0000-00005A320000}"/>
    <cellStyle name="Comma 39 4 2" xfId="27117" xr:uid="{00000000-0005-0000-0000-00005B320000}"/>
    <cellStyle name="Comma 39 4 2 2" xfId="27118" xr:uid="{00000000-0005-0000-0000-00005C320000}"/>
    <cellStyle name="Comma 39 4 3" xfId="27119" xr:uid="{00000000-0005-0000-0000-00005D320000}"/>
    <cellStyle name="Comma 39 4 3 2" xfId="27120" xr:uid="{00000000-0005-0000-0000-00005E320000}"/>
    <cellStyle name="Comma 39 4 3 2 2" xfId="27121" xr:uid="{00000000-0005-0000-0000-00005F320000}"/>
    <cellStyle name="Comma 39 4 3 3" xfId="27122" xr:uid="{00000000-0005-0000-0000-000060320000}"/>
    <cellStyle name="Comma 39 4 4" xfId="27123" xr:uid="{00000000-0005-0000-0000-000061320000}"/>
    <cellStyle name="Comma 39 5" xfId="27124" xr:uid="{00000000-0005-0000-0000-000062320000}"/>
    <cellStyle name="Comma 39 5 2" xfId="27125" xr:uid="{00000000-0005-0000-0000-000063320000}"/>
    <cellStyle name="Comma 39 5 2 2" xfId="27126" xr:uid="{00000000-0005-0000-0000-000064320000}"/>
    <cellStyle name="Comma 39 5 3" xfId="27127" xr:uid="{00000000-0005-0000-0000-000065320000}"/>
    <cellStyle name="Comma 39 5 3 2" xfId="27128" xr:uid="{00000000-0005-0000-0000-000066320000}"/>
    <cellStyle name="Comma 39 5 3 2 2" xfId="27129" xr:uid="{00000000-0005-0000-0000-000067320000}"/>
    <cellStyle name="Comma 39 5 3 3" xfId="27130" xr:uid="{00000000-0005-0000-0000-000068320000}"/>
    <cellStyle name="Comma 39 5 4" xfId="27131" xr:uid="{00000000-0005-0000-0000-000069320000}"/>
    <cellStyle name="Comma 39 6" xfId="27132" xr:uid="{00000000-0005-0000-0000-00006A320000}"/>
    <cellStyle name="Comma 39 6 2" xfId="27133" xr:uid="{00000000-0005-0000-0000-00006B320000}"/>
    <cellStyle name="Comma 39 6 2 2" xfId="27134" xr:uid="{00000000-0005-0000-0000-00006C320000}"/>
    <cellStyle name="Comma 39 6 3" xfId="27135" xr:uid="{00000000-0005-0000-0000-00006D320000}"/>
    <cellStyle name="Comma 39 7" xfId="27136" xr:uid="{00000000-0005-0000-0000-00006E320000}"/>
    <cellStyle name="Comma 39 7 2" xfId="27137" xr:uid="{00000000-0005-0000-0000-00006F320000}"/>
    <cellStyle name="Comma 39 7 2 2" xfId="27138" xr:uid="{00000000-0005-0000-0000-000070320000}"/>
    <cellStyle name="Comma 39 7 3" xfId="27139" xr:uid="{00000000-0005-0000-0000-000071320000}"/>
    <cellStyle name="Comma 39 8" xfId="27140" xr:uid="{00000000-0005-0000-0000-000072320000}"/>
    <cellStyle name="Comma 39 8 2" xfId="27141" xr:uid="{00000000-0005-0000-0000-000073320000}"/>
    <cellStyle name="Comma 39 8 2 2" xfId="27142" xr:uid="{00000000-0005-0000-0000-000074320000}"/>
    <cellStyle name="Comma 39 8 3" xfId="27143" xr:uid="{00000000-0005-0000-0000-000075320000}"/>
    <cellStyle name="Comma 39 9" xfId="27144" xr:uid="{00000000-0005-0000-0000-000076320000}"/>
    <cellStyle name="Comma 39 9 2" xfId="27145" xr:uid="{00000000-0005-0000-0000-000077320000}"/>
    <cellStyle name="Comma 39 9 2 2" xfId="27146" xr:uid="{00000000-0005-0000-0000-000078320000}"/>
    <cellStyle name="Comma 39 9 3" xfId="27147" xr:uid="{00000000-0005-0000-0000-000079320000}"/>
    <cellStyle name="Comma 4" xfId="48" xr:uid="{00000000-0005-0000-0000-00007A320000}"/>
    <cellStyle name="Comma 4 10" xfId="27149" xr:uid="{00000000-0005-0000-0000-00007B320000}"/>
    <cellStyle name="Comma 4 11" xfId="27150" xr:uid="{00000000-0005-0000-0000-00007C320000}"/>
    <cellStyle name="Comma 4 12" xfId="27151" xr:uid="{00000000-0005-0000-0000-00007D320000}"/>
    <cellStyle name="Comma 4 13" xfId="27152" xr:uid="{00000000-0005-0000-0000-00007E320000}"/>
    <cellStyle name="Comma 4 14" xfId="27153" xr:uid="{00000000-0005-0000-0000-00007F320000}"/>
    <cellStyle name="Comma 4 15" xfId="27154" xr:uid="{00000000-0005-0000-0000-000080320000}"/>
    <cellStyle name="Comma 4 16" xfId="27155" xr:uid="{00000000-0005-0000-0000-000081320000}"/>
    <cellStyle name="Comma 4 17" xfId="27156" xr:uid="{00000000-0005-0000-0000-000082320000}"/>
    <cellStyle name="Comma 4 18" xfId="27157" xr:uid="{00000000-0005-0000-0000-000083320000}"/>
    <cellStyle name="Comma 4 19" xfId="27158" xr:uid="{00000000-0005-0000-0000-000084320000}"/>
    <cellStyle name="Comma 4 2" xfId="2900" xr:uid="{00000000-0005-0000-0000-000085320000}"/>
    <cellStyle name="Comma 4 2 2" xfId="9016" xr:uid="{00000000-0005-0000-0000-000086320000}"/>
    <cellStyle name="Comma 4 2 2 2" xfId="27160" xr:uid="{00000000-0005-0000-0000-000087320000}"/>
    <cellStyle name="Comma 4 2 3" xfId="27161" xr:uid="{00000000-0005-0000-0000-000088320000}"/>
    <cellStyle name="Comma 4 2 4" xfId="27162" xr:uid="{00000000-0005-0000-0000-000089320000}"/>
    <cellStyle name="Comma 4 2 5" xfId="27163" xr:uid="{00000000-0005-0000-0000-00008A320000}"/>
    <cellStyle name="Comma 4 2 6" xfId="27159" xr:uid="{00000000-0005-0000-0000-00008B320000}"/>
    <cellStyle name="Comma 4 20" xfId="27148" xr:uid="{00000000-0005-0000-0000-00008C320000}"/>
    <cellStyle name="Comma 4 21" xfId="2899" xr:uid="{00000000-0005-0000-0000-00008D320000}"/>
    <cellStyle name="Comma 4 22" xfId="44420" xr:uid="{498E2508-FAFC-4BEE-A2A7-824FA0F3AAA6}"/>
    <cellStyle name="Comma 4 3" xfId="2901" xr:uid="{00000000-0005-0000-0000-00008E320000}"/>
    <cellStyle name="Comma 4 3 2" xfId="9017" xr:uid="{00000000-0005-0000-0000-00008F320000}"/>
    <cellStyle name="Comma 4 3 2 2" xfId="27166" xr:uid="{00000000-0005-0000-0000-000090320000}"/>
    <cellStyle name="Comma 4 3 2 3" xfId="27165" xr:uid="{00000000-0005-0000-0000-000091320000}"/>
    <cellStyle name="Comma 4 3 3" xfId="27167" xr:uid="{00000000-0005-0000-0000-000092320000}"/>
    <cellStyle name="Comma 4 3 4" xfId="27168" xr:uid="{00000000-0005-0000-0000-000093320000}"/>
    <cellStyle name="Comma 4 3 5" xfId="27169" xr:uid="{00000000-0005-0000-0000-000094320000}"/>
    <cellStyle name="Comma 4 3 6" xfId="27164" xr:uid="{00000000-0005-0000-0000-000095320000}"/>
    <cellStyle name="Comma 4 4" xfId="2902" xr:uid="{00000000-0005-0000-0000-000096320000}"/>
    <cellStyle name="Comma 4 4 2" xfId="9018" xr:uid="{00000000-0005-0000-0000-000097320000}"/>
    <cellStyle name="Comma 4 4 2 2" xfId="27171" xr:uid="{00000000-0005-0000-0000-000098320000}"/>
    <cellStyle name="Comma 4 4 3" xfId="27172" xr:uid="{00000000-0005-0000-0000-000099320000}"/>
    <cellStyle name="Comma 4 4 4" xfId="27170" xr:uid="{00000000-0005-0000-0000-00009A320000}"/>
    <cellStyle name="Comma 4 5" xfId="2903" xr:uid="{00000000-0005-0000-0000-00009B320000}"/>
    <cellStyle name="Comma 4 5 2" xfId="9019" xr:uid="{00000000-0005-0000-0000-00009C320000}"/>
    <cellStyle name="Comma 4 5 2 2" xfId="27174" xr:uid="{00000000-0005-0000-0000-00009D320000}"/>
    <cellStyle name="Comma 4 5 3" xfId="27175" xr:uid="{00000000-0005-0000-0000-00009E320000}"/>
    <cellStyle name="Comma 4 5 4" xfId="27173" xr:uid="{00000000-0005-0000-0000-00009F320000}"/>
    <cellStyle name="Comma 4 6" xfId="2904" xr:uid="{00000000-0005-0000-0000-0000A0320000}"/>
    <cellStyle name="Comma 4 6 2" xfId="9020" xr:uid="{00000000-0005-0000-0000-0000A1320000}"/>
    <cellStyle name="Comma 4 6 2 2" xfId="27177" xr:uid="{00000000-0005-0000-0000-0000A2320000}"/>
    <cellStyle name="Comma 4 6 3" xfId="27178" xr:uid="{00000000-0005-0000-0000-0000A3320000}"/>
    <cellStyle name="Comma 4 6 4" xfId="27176" xr:uid="{00000000-0005-0000-0000-0000A4320000}"/>
    <cellStyle name="Comma 4 7" xfId="9021" xr:uid="{00000000-0005-0000-0000-0000A5320000}"/>
    <cellStyle name="Comma 4 7 2" xfId="27179" xr:uid="{00000000-0005-0000-0000-0000A6320000}"/>
    <cellStyle name="Comma 4 8" xfId="27180" xr:uid="{00000000-0005-0000-0000-0000A7320000}"/>
    <cellStyle name="Comma 4 9" xfId="27181" xr:uid="{00000000-0005-0000-0000-0000A8320000}"/>
    <cellStyle name="Comma 40" xfId="2905" xr:uid="{00000000-0005-0000-0000-0000A9320000}"/>
    <cellStyle name="Comma 40 10" xfId="27183" xr:uid="{00000000-0005-0000-0000-0000AA320000}"/>
    <cellStyle name="Comma 40 10 2" xfId="27184" xr:uid="{00000000-0005-0000-0000-0000AB320000}"/>
    <cellStyle name="Comma 40 10 2 2" xfId="27185" xr:uid="{00000000-0005-0000-0000-0000AC320000}"/>
    <cellStyle name="Comma 40 10 3" xfId="27186" xr:uid="{00000000-0005-0000-0000-0000AD320000}"/>
    <cellStyle name="Comma 40 11" xfId="27187" xr:uid="{00000000-0005-0000-0000-0000AE320000}"/>
    <cellStyle name="Comma 40 11 2" xfId="27188" xr:uid="{00000000-0005-0000-0000-0000AF320000}"/>
    <cellStyle name="Comma 40 11 2 2" xfId="27189" xr:uid="{00000000-0005-0000-0000-0000B0320000}"/>
    <cellStyle name="Comma 40 11 3" xfId="27190" xr:uid="{00000000-0005-0000-0000-0000B1320000}"/>
    <cellStyle name="Comma 40 12" xfId="27191" xr:uid="{00000000-0005-0000-0000-0000B2320000}"/>
    <cellStyle name="Comma 40 12 2" xfId="27192" xr:uid="{00000000-0005-0000-0000-0000B3320000}"/>
    <cellStyle name="Comma 40 12 2 2" xfId="27193" xr:uid="{00000000-0005-0000-0000-0000B4320000}"/>
    <cellStyle name="Comma 40 12 3" xfId="27194" xr:uid="{00000000-0005-0000-0000-0000B5320000}"/>
    <cellStyle name="Comma 40 13" xfId="27195" xr:uid="{00000000-0005-0000-0000-0000B6320000}"/>
    <cellStyle name="Comma 40 13 2" xfId="27196" xr:uid="{00000000-0005-0000-0000-0000B7320000}"/>
    <cellStyle name="Comma 40 13 2 2" xfId="27197" xr:uid="{00000000-0005-0000-0000-0000B8320000}"/>
    <cellStyle name="Comma 40 13 3" xfId="27198" xr:uid="{00000000-0005-0000-0000-0000B9320000}"/>
    <cellStyle name="Comma 40 14" xfId="27199" xr:uid="{00000000-0005-0000-0000-0000BA320000}"/>
    <cellStyle name="Comma 40 14 2" xfId="27200" xr:uid="{00000000-0005-0000-0000-0000BB320000}"/>
    <cellStyle name="Comma 40 14 2 2" xfId="27201" xr:uid="{00000000-0005-0000-0000-0000BC320000}"/>
    <cellStyle name="Comma 40 14 3" xfId="27202" xr:uid="{00000000-0005-0000-0000-0000BD320000}"/>
    <cellStyle name="Comma 40 15" xfId="27203" xr:uid="{00000000-0005-0000-0000-0000BE320000}"/>
    <cellStyle name="Comma 40 15 2" xfId="27204" xr:uid="{00000000-0005-0000-0000-0000BF320000}"/>
    <cellStyle name="Comma 40 15 2 2" xfId="27205" xr:uid="{00000000-0005-0000-0000-0000C0320000}"/>
    <cellStyle name="Comma 40 15 3" xfId="27206" xr:uid="{00000000-0005-0000-0000-0000C1320000}"/>
    <cellStyle name="Comma 40 16" xfId="27207" xr:uid="{00000000-0005-0000-0000-0000C2320000}"/>
    <cellStyle name="Comma 40 16 2" xfId="27208" xr:uid="{00000000-0005-0000-0000-0000C3320000}"/>
    <cellStyle name="Comma 40 16 2 2" xfId="27209" xr:uid="{00000000-0005-0000-0000-0000C4320000}"/>
    <cellStyle name="Comma 40 16 3" xfId="27210" xr:uid="{00000000-0005-0000-0000-0000C5320000}"/>
    <cellStyle name="Comma 40 17" xfId="27211" xr:uid="{00000000-0005-0000-0000-0000C6320000}"/>
    <cellStyle name="Comma 40 17 2" xfId="27212" xr:uid="{00000000-0005-0000-0000-0000C7320000}"/>
    <cellStyle name="Comma 40 17 2 2" xfId="27213" xr:uid="{00000000-0005-0000-0000-0000C8320000}"/>
    <cellStyle name="Comma 40 17 3" xfId="27214" xr:uid="{00000000-0005-0000-0000-0000C9320000}"/>
    <cellStyle name="Comma 40 18" xfId="27215" xr:uid="{00000000-0005-0000-0000-0000CA320000}"/>
    <cellStyle name="Comma 40 18 2" xfId="27216" xr:uid="{00000000-0005-0000-0000-0000CB320000}"/>
    <cellStyle name="Comma 40 18 2 2" xfId="27217" xr:uid="{00000000-0005-0000-0000-0000CC320000}"/>
    <cellStyle name="Comma 40 18 3" xfId="27218" xr:uid="{00000000-0005-0000-0000-0000CD320000}"/>
    <cellStyle name="Comma 40 19" xfId="27219" xr:uid="{00000000-0005-0000-0000-0000CE320000}"/>
    <cellStyle name="Comma 40 19 2" xfId="27220" xr:uid="{00000000-0005-0000-0000-0000CF320000}"/>
    <cellStyle name="Comma 40 19 2 2" xfId="27221" xr:uid="{00000000-0005-0000-0000-0000D0320000}"/>
    <cellStyle name="Comma 40 19 3" xfId="27222" xr:uid="{00000000-0005-0000-0000-0000D1320000}"/>
    <cellStyle name="Comma 40 2" xfId="2906" xr:uid="{00000000-0005-0000-0000-0000D2320000}"/>
    <cellStyle name="Comma 40 2 2" xfId="9022" xr:uid="{00000000-0005-0000-0000-0000D3320000}"/>
    <cellStyle name="Comma 40 2 2 2" xfId="27225" xr:uid="{00000000-0005-0000-0000-0000D4320000}"/>
    <cellStyle name="Comma 40 2 2 3" xfId="27224" xr:uid="{00000000-0005-0000-0000-0000D5320000}"/>
    <cellStyle name="Comma 40 2 3" xfId="27226" xr:uid="{00000000-0005-0000-0000-0000D6320000}"/>
    <cellStyle name="Comma 40 2 3 2" xfId="27227" xr:uid="{00000000-0005-0000-0000-0000D7320000}"/>
    <cellStyle name="Comma 40 2 3 2 2" xfId="27228" xr:uid="{00000000-0005-0000-0000-0000D8320000}"/>
    <cellStyle name="Comma 40 2 3 3" xfId="27229" xr:uid="{00000000-0005-0000-0000-0000D9320000}"/>
    <cellStyle name="Comma 40 2 4" xfId="27230" xr:uid="{00000000-0005-0000-0000-0000DA320000}"/>
    <cellStyle name="Comma 40 2 5" xfId="27231" xr:uid="{00000000-0005-0000-0000-0000DB320000}"/>
    <cellStyle name="Comma 40 2 6" xfId="27223" xr:uid="{00000000-0005-0000-0000-0000DC320000}"/>
    <cellStyle name="Comma 40 20" xfId="27232" xr:uid="{00000000-0005-0000-0000-0000DD320000}"/>
    <cellStyle name="Comma 40 20 2" xfId="27233" xr:uid="{00000000-0005-0000-0000-0000DE320000}"/>
    <cellStyle name="Comma 40 20 2 2" xfId="27234" xr:uid="{00000000-0005-0000-0000-0000DF320000}"/>
    <cellStyle name="Comma 40 20 3" xfId="27235" xr:uid="{00000000-0005-0000-0000-0000E0320000}"/>
    <cellStyle name="Comma 40 21" xfId="27236" xr:uid="{00000000-0005-0000-0000-0000E1320000}"/>
    <cellStyle name="Comma 40 21 2" xfId="27237" xr:uid="{00000000-0005-0000-0000-0000E2320000}"/>
    <cellStyle name="Comma 40 21 2 2" xfId="27238" xr:uid="{00000000-0005-0000-0000-0000E3320000}"/>
    <cellStyle name="Comma 40 21 3" xfId="27239" xr:uid="{00000000-0005-0000-0000-0000E4320000}"/>
    <cellStyle name="Comma 40 22" xfId="27240" xr:uid="{00000000-0005-0000-0000-0000E5320000}"/>
    <cellStyle name="Comma 40 22 2" xfId="27241" xr:uid="{00000000-0005-0000-0000-0000E6320000}"/>
    <cellStyle name="Comma 40 22 2 2" xfId="27242" xr:uid="{00000000-0005-0000-0000-0000E7320000}"/>
    <cellStyle name="Comma 40 22 3" xfId="27243" xr:uid="{00000000-0005-0000-0000-0000E8320000}"/>
    <cellStyle name="Comma 40 23" xfId="27244" xr:uid="{00000000-0005-0000-0000-0000E9320000}"/>
    <cellStyle name="Comma 40 23 2" xfId="27245" xr:uid="{00000000-0005-0000-0000-0000EA320000}"/>
    <cellStyle name="Comma 40 23 2 2" xfId="27246" xr:uid="{00000000-0005-0000-0000-0000EB320000}"/>
    <cellStyle name="Comma 40 23 3" xfId="27247" xr:uid="{00000000-0005-0000-0000-0000EC320000}"/>
    <cellStyle name="Comma 40 24" xfId="27248" xr:uid="{00000000-0005-0000-0000-0000ED320000}"/>
    <cellStyle name="Comma 40 24 2" xfId="27249" xr:uid="{00000000-0005-0000-0000-0000EE320000}"/>
    <cellStyle name="Comma 40 24 2 2" xfId="27250" xr:uid="{00000000-0005-0000-0000-0000EF320000}"/>
    <cellStyle name="Comma 40 24 3" xfId="27251" xr:uid="{00000000-0005-0000-0000-0000F0320000}"/>
    <cellStyle name="Comma 40 25" xfId="27252" xr:uid="{00000000-0005-0000-0000-0000F1320000}"/>
    <cellStyle name="Comma 40 25 2" xfId="27253" xr:uid="{00000000-0005-0000-0000-0000F2320000}"/>
    <cellStyle name="Comma 40 25 2 2" xfId="27254" xr:uid="{00000000-0005-0000-0000-0000F3320000}"/>
    <cellStyle name="Comma 40 25 3" xfId="27255" xr:uid="{00000000-0005-0000-0000-0000F4320000}"/>
    <cellStyle name="Comma 40 26" xfId="27256" xr:uid="{00000000-0005-0000-0000-0000F5320000}"/>
    <cellStyle name="Comma 40 26 2" xfId="27257" xr:uid="{00000000-0005-0000-0000-0000F6320000}"/>
    <cellStyle name="Comma 40 26 2 2" xfId="27258" xr:uid="{00000000-0005-0000-0000-0000F7320000}"/>
    <cellStyle name="Comma 40 26 3" xfId="27259" xr:uid="{00000000-0005-0000-0000-0000F8320000}"/>
    <cellStyle name="Comma 40 27" xfId="27260" xr:uid="{00000000-0005-0000-0000-0000F9320000}"/>
    <cellStyle name="Comma 40 27 2" xfId="27261" xr:uid="{00000000-0005-0000-0000-0000FA320000}"/>
    <cellStyle name="Comma 40 27 2 2" xfId="27262" xr:uid="{00000000-0005-0000-0000-0000FB320000}"/>
    <cellStyle name="Comma 40 27 3" xfId="27263" xr:uid="{00000000-0005-0000-0000-0000FC320000}"/>
    <cellStyle name="Comma 40 28" xfId="27264" xr:uid="{00000000-0005-0000-0000-0000FD320000}"/>
    <cellStyle name="Comma 40 28 2" xfId="27265" xr:uid="{00000000-0005-0000-0000-0000FE320000}"/>
    <cellStyle name="Comma 40 28 2 2" xfId="27266" xr:uid="{00000000-0005-0000-0000-0000FF320000}"/>
    <cellStyle name="Comma 40 28 3" xfId="27267" xr:uid="{00000000-0005-0000-0000-000000330000}"/>
    <cellStyle name="Comma 40 29" xfId="27268" xr:uid="{00000000-0005-0000-0000-000001330000}"/>
    <cellStyle name="Comma 40 29 2" xfId="27269" xr:uid="{00000000-0005-0000-0000-000002330000}"/>
    <cellStyle name="Comma 40 3" xfId="9023" xr:uid="{00000000-0005-0000-0000-000003330000}"/>
    <cellStyle name="Comma 40 3 2" xfId="27271" xr:uid="{00000000-0005-0000-0000-000004330000}"/>
    <cellStyle name="Comma 40 3 2 2" xfId="27272" xr:uid="{00000000-0005-0000-0000-000005330000}"/>
    <cellStyle name="Comma 40 3 3" xfId="27273" xr:uid="{00000000-0005-0000-0000-000006330000}"/>
    <cellStyle name="Comma 40 3 3 2" xfId="27274" xr:uid="{00000000-0005-0000-0000-000007330000}"/>
    <cellStyle name="Comma 40 3 3 2 2" xfId="27275" xr:uid="{00000000-0005-0000-0000-000008330000}"/>
    <cellStyle name="Comma 40 3 3 3" xfId="27276" xr:uid="{00000000-0005-0000-0000-000009330000}"/>
    <cellStyle name="Comma 40 3 4" xfId="27277" xr:uid="{00000000-0005-0000-0000-00000A330000}"/>
    <cellStyle name="Comma 40 3 5" xfId="27278" xr:uid="{00000000-0005-0000-0000-00000B330000}"/>
    <cellStyle name="Comma 40 3 6" xfId="27270" xr:uid="{00000000-0005-0000-0000-00000C330000}"/>
    <cellStyle name="Comma 40 30" xfId="27279" xr:uid="{00000000-0005-0000-0000-00000D330000}"/>
    <cellStyle name="Comma 40 30 2" xfId="27280" xr:uid="{00000000-0005-0000-0000-00000E330000}"/>
    <cellStyle name="Comma 40 30 2 2" xfId="27281" xr:uid="{00000000-0005-0000-0000-00000F330000}"/>
    <cellStyle name="Comma 40 30 3" xfId="27282" xr:uid="{00000000-0005-0000-0000-000010330000}"/>
    <cellStyle name="Comma 40 31" xfId="27283" xr:uid="{00000000-0005-0000-0000-000011330000}"/>
    <cellStyle name="Comma 40 32" xfId="27284" xr:uid="{00000000-0005-0000-0000-000012330000}"/>
    <cellStyle name="Comma 40 33" xfId="27285" xr:uid="{00000000-0005-0000-0000-000013330000}"/>
    <cellStyle name="Comma 40 34" xfId="27182" xr:uid="{00000000-0005-0000-0000-000014330000}"/>
    <cellStyle name="Comma 40 4" xfId="27286" xr:uid="{00000000-0005-0000-0000-000015330000}"/>
    <cellStyle name="Comma 40 4 2" xfId="27287" xr:uid="{00000000-0005-0000-0000-000016330000}"/>
    <cellStyle name="Comma 40 4 2 2" xfId="27288" xr:uid="{00000000-0005-0000-0000-000017330000}"/>
    <cellStyle name="Comma 40 4 3" xfId="27289" xr:uid="{00000000-0005-0000-0000-000018330000}"/>
    <cellStyle name="Comma 40 4 3 2" xfId="27290" xr:uid="{00000000-0005-0000-0000-000019330000}"/>
    <cellStyle name="Comma 40 4 3 2 2" xfId="27291" xr:uid="{00000000-0005-0000-0000-00001A330000}"/>
    <cellStyle name="Comma 40 4 3 3" xfId="27292" xr:uid="{00000000-0005-0000-0000-00001B330000}"/>
    <cellStyle name="Comma 40 4 4" xfId="27293" xr:uid="{00000000-0005-0000-0000-00001C330000}"/>
    <cellStyle name="Comma 40 4 5" xfId="27294" xr:uid="{00000000-0005-0000-0000-00001D330000}"/>
    <cellStyle name="Comma 40 5" xfId="27295" xr:uid="{00000000-0005-0000-0000-00001E330000}"/>
    <cellStyle name="Comma 40 5 2" xfId="27296" xr:uid="{00000000-0005-0000-0000-00001F330000}"/>
    <cellStyle name="Comma 40 5 2 2" xfId="27297" xr:uid="{00000000-0005-0000-0000-000020330000}"/>
    <cellStyle name="Comma 40 5 3" xfId="27298" xr:uid="{00000000-0005-0000-0000-000021330000}"/>
    <cellStyle name="Comma 40 5 3 2" xfId="27299" xr:uid="{00000000-0005-0000-0000-000022330000}"/>
    <cellStyle name="Comma 40 5 3 2 2" xfId="27300" xr:uid="{00000000-0005-0000-0000-000023330000}"/>
    <cellStyle name="Comma 40 5 3 3" xfId="27301" xr:uid="{00000000-0005-0000-0000-000024330000}"/>
    <cellStyle name="Comma 40 5 4" xfId="27302" xr:uid="{00000000-0005-0000-0000-000025330000}"/>
    <cellStyle name="Comma 40 6" xfId="27303" xr:uid="{00000000-0005-0000-0000-000026330000}"/>
    <cellStyle name="Comma 40 6 2" xfId="27304" xr:uid="{00000000-0005-0000-0000-000027330000}"/>
    <cellStyle name="Comma 40 6 2 2" xfId="27305" xr:uid="{00000000-0005-0000-0000-000028330000}"/>
    <cellStyle name="Comma 40 6 3" xfId="27306" xr:uid="{00000000-0005-0000-0000-000029330000}"/>
    <cellStyle name="Comma 40 7" xfId="27307" xr:uid="{00000000-0005-0000-0000-00002A330000}"/>
    <cellStyle name="Comma 40 7 2" xfId="27308" xr:uid="{00000000-0005-0000-0000-00002B330000}"/>
    <cellStyle name="Comma 40 7 2 2" xfId="27309" xr:uid="{00000000-0005-0000-0000-00002C330000}"/>
    <cellStyle name="Comma 40 7 3" xfId="27310" xr:uid="{00000000-0005-0000-0000-00002D330000}"/>
    <cellStyle name="Comma 40 8" xfId="27311" xr:uid="{00000000-0005-0000-0000-00002E330000}"/>
    <cellStyle name="Comma 40 8 2" xfId="27312" xr:uid="{00000000-0005-0000-0000-00002F330000}"/>
    <cellStyle name="Comma 40 8 2 2" xfId="27313" xr:uid="{00000000-0005-0000-0000-000030330000}"/>
    <cellStyle name="Comma 40 8 3" xfId="27314" xr:uid="{00000000-0005-0000-0000-000031330000}"/>
    <cellStyle name="Comma 40 9" xfId="27315" xr:uid="{00000000-0005-0000-0000-000032330000}"/>
    <cellStyle name="Comma 40 9 2" xfId="27316" xr:uid="{00000000-0005-0000-0000-000033330000}"/>
    <cellStyle name="Comma 40 9 2 2" xfId="27317" xr:uid="{00000000-0005-0000-0000-000034330000}"/>
    <cellStyle name="Comma 40 9 3" xfId="27318" xr:uid="{00000000-0005-0000-0000-000035330000}"/>
    <cellStyle name="Comma 41" xfId="2907" xr:uid="{00000000-0005-0000-0000-000036330000}"/>
    <cellStyle name="Comma 41 10" xfId="27320" xr:uid="{00000000-0005-0000-0000-000037330000}"/>
    <cellStyle name="Comma 41 10 2" xfId="27321" xr:uid="{00000000-0005-0000-0000-000038330000}"/>
    <cellStyle name="Comma 41 10 2 2" xfId="27322" xr:uid="{00000000-0005-0000-0000-000039330000}"/>
    <cellStyle name="Comma 41 10 3" xfId="27323" xr:uid="{00000000-0005-0000-0000-00003A330000}"/>
    <cellStyle name="Comma 41 11" xfId="27324" xr:uid="{00000000-0005-0000-0000-00003B330000}"/>
    <cellStyle name="Comma 41 11 2" xfId="27325" xr:uid="{00000000-0005-0000-0000-00003C330000}"/>
    <cellStyle name="Comma 41 11 2 2" xfId="27326" xr:uid="{00000000-0005-0000-0000-00003D330000}"/>
    <cellStyle name="Comma 41 11 3" xfId="27327" xr:uid="{00000000-0005-0000-0000-00003E330000}"/>
    <cellStyle name="Comma 41 12" xfId="27328" xr:uid="{00000000-0005-0000-0000-00003F330000}"/>
    <cellStyle name="Comma 41 12 2" xfId="27329" xr:uid="{00000000-0005-0000-0000-000040330000}"/>
    <cellStyle name="Comma 41 12 2 2" xfId="27330" xr:uid="{00000000-0005-0000-0000-000041330000}"/>
    <cellStyle name="Comma 41 12 3" xfId="27331" xr:uid="{00000000-0005-0000-0000-000042330000}"/>
    <cellStyle name="Comma 41 13" xfId="27332" xr:uid="{00000000-0005-0000-0000-000043330000}"/>
    <cellStyle name="Comma 41 13 2" xfId="27333" xr:uid="{00000000-0005-0000-0000-000044330000}"/>
    <cellStyle name="Comma 41 13 2 2" xfId="27334" xr:uid="{00000000-0005-0000-0000-000045330000}"/>
    <cellStyle name="Comma 41 13 3" xfId="27335" xr:uid="{00000000-0005-0000-0000-000046330000}"/>
    <cellStyle name="Comma 41 14" xfId="27336" xr:uid="{00000000-0005-0000-0000-000047330000}"/>
    <cellStyle name="Comma 41 14 2" xfId="27337" xr:uid="{00000000-0005-0000-0000-000048330000}"/>
    <cellStyle name="Comma 41 14 2 2" xfId="27338" xr:uid="{00000000-0005-0000-0000-000049330000}"/>
    <cellStyle name="Comma 41 14 3" xfId="27339" xr:uid="{00000000-0005-0000-0000-00004A330000}"/>
    <cellStyle name="Comma 41 15" xfId="27340" xr:uid="{00000000-0005-0000-0000-00004B330000}"/>
    <cellStyle name="Comma 41 15 2" xfId="27341" xr:uid="{00000000-0005-0000-0000-00004C330000}"/>
    <cellStyle name="Comma 41 15 2 2" xfId="27342" xr:uid="{00000000-0005-0000-0000-00004D330000}"/>
    <cellStyle name="Comma 41 15 3" xfId="27343" xr:uid="{00000000-0005-0000-0000-00004E330000}"/>
    <cellStyle name="Comma 41 16" xfId="27344" xr:uid="{00000000-0005-0000-0000-00004F330000}"/>
    <cellStyle name="Comma 41 16 2" xfId="27345" xr:uid="{00000000-0005-0000-0000-000050330000}"/>
    <cellStyle name="Comma 41 16 2 2" xfId="27346" xr:uid="{00000000-0005-0000-0000-000051330000}"/>
    <cellStyle name="Comma 41 16 3" xfId="27347" xr:uid="{00000000-0005-0000-0000-000052330000}"/>
    <cellStyle name="Comma 41 17" xfId="27348" xr:uid="{00000000-0005-0000-0000-000053330000}"/>
    <cellStyle name="Comma 41 17 2" xfId="27349" xr:uid="{00000000-0005-0000-0000-000054330000}"/>
    <cellStyle name="Comma 41 17 2 2" xfId="27350" xr:uid="{00000000-0005-0000-0000-000055330000}"/>
    <cellStyle name="Comma 41 17 3" xfId="27351" xr:uid="{00000000-0005-0000-0000-000056330000}"/>
    <cellStyle name="Comma 41 18" xfId="27352" xr:uid="{00000000-0005-0000-0000-000057330000}"/>
    <cellStyle name="Comma 41 18 2" xfId="27353" xr:uid="{00000000-0005-0000-0000-000058330000}"/>
    <cellStyle name="Comma 41 18 2 2" xfId="27354" xr:uid="{00000000-0005-0000-0000-000059330000}"/>
    <cellStyle name="Comma 41 18 3" xfId="27355" xr:uid="{00000000-0005-0000-0000-00005A330000}"/>
    <cellStyle name="Comma 41 19" xfId="27356" xr:uid="{00000000-0005-0000-0000-00005B330000}"/>
    <cellStyle name="Comma 41 19 2" xfId="27357" xr:uid="{00000000-0005-0000-0000-00005C330000}"/>
    <cellStyle name="Comma 41 19 2 2" xfId="27358" xr:uid="{00000000-0005-0000-0000-00005D330000}"/>
    <cellStyle name="Comma 41 19 3" xfId="27359" xr:uid="{00000000-0005-0000-0000-00005E330000}"/>
    <cellStyle name="Comma 41 2" xfId="2908" xr:uid="{00000000-0005-0000-0000-00005F330000}"/>
    <cellStyle name="Comma 41 2 2" xfId="9024" xr:uid="{00000000-0005-0000-0000-000060330000}"/>
    <cellStyle name="Comma 41 2 2 2" xfId="27362" xr:uid="{00000000-0005-0000-0000-000061330000}"/>
    <cellStyle name="Comma 41 2 2 3" xfId="27361" xr:uid="{00000000-0005-0000-0000-000062330000}"/>
    <cellStyle name="Comma 41 2 3" xfId="27363" xr:uid="{00000000-0005-0000-0000-000063330000}"/>
    <cellStyle name="Comma 41 2 3 2" xfId="27364" xr:uid="{00000000-0005-0000-0000-000064330000}"/>
    <cellStyle name="Comma 41 2 3 2 2" xfId="27365" xr:uid="{00000000-0005-0000-0000-000065330000}"/>
    <cellStyle name="Comma 41 2 3 3" xfId="27366" xr:uid="{00000000-0005-0000-0000-000066330000}"/>
    <cellStyle name="Comma 41 2 4" xfId="27367" xr:uid="{00000000-0005-0000-0000-000067330000}"/>
    <cellStyle name="Comma 41 2 5" xfId="27368" xr:uid="{00000000-0005-0000-0000-000068330000}"/>
    <cellStyle name="Comma 41 2 6" xfId="27360" xr:uid="{00000000-0005-0000-0000-000069330000}"/>
    <cellStyle name="Comma 41 20" xfId="27369" xr:uid="{00000000-0005-0000-0000-00006A330000}"/>
    <cellStyle name="Comma 41 20 2" xfId="27370" xr:uid="{00000000-0005-0000-0000-00006B330000}"/>
    <cellStyle name="Comma 41 20 2 2" xfId="27371" xr:uid="{00000000-0005-0000-0000-00006C330000}"/>
    <cellStyle name="Comma 41 20 3" xfId="27372" xr:uid="{00000000-0005-0000-0000-00006D330000}"/>
    <cellStyle name="Comma 41 21" xfId="27373" xr:uid="{00000000-0005-0000-0000-00006E330000}"/>
    <cellStyle name="Comma 41 21 2" xfId="27374" xr:uid="{00000000-0005-0000-0000-00006F330000}"/>
    <cellStyle name="Comma 41 21 2 2" xfId="27375" xr:uid="{00000000-0005-0000-0000-000070330000}"/>
    <cellStyle name="Comma 41 21 3" xfId="27376" xr:uid="{00000000-0005-0000-0000-000071330000}"/>
    <cellStyle name="Comma 41 22" xfId="27377" xr:uid="{00000000-0005-0000-0000-000072330000}"/>
    <cellStyle name="Comma 41 22 2" xfId="27378" xr:uid="{00000000-0005-0000-0000-000073330000}"/>
    <cellStyle name="Comma 41 22 2 2" xfId="27379" xr:uid="{00000000-0005-0000-0000-000074330000}"/>
    <cellStyle name="Comma 41 22 3" xfId="27380" xr:uid="{00000000-0005-0000-0000-000075330000}"/>
    <cellStyle name="Comma 41 23" xfId="27381" xr:uid="{00000000-0005-0000-0000-000076330000}"/>
    <cellStyle name="Comma 41 23 2" xfId="27382" xr:uid="{00000000-0005-0000-0000-000077330000}"/>
    <cellStyle name="Comma 41 23 2 2" xfId="27383" xr:uid="{00000000-0005-0000-0000-000078330000}"/>
    <cellStyle name="Comma 41 23 3" xfId="27384" xr:uid="{00000000-0005-0000-0000-000079330000}"/>
    <cellStyle name="Comma 41 24" xfId="27385" xr:uid="{00000000-0005-0000-0000-00007A330000}"/>
    <cellStyle name="Comma 41 24 2" xfId="27386" xr:uid="{00000000-0005-0000-0000-00007B330000}"/>
    <cellStyle name="Comma 41 24 2 2" xfId="27387" xr:uid="{00000000-0005-0000-0000-00007C330000}"/>
    <cellStyle name="Comma 41 24 3" xfId="27388" xr:uid="{00000000-0005-0000-0000-00007D330000}"/>
    <cellStyle name="Comma 41 25" xfId="27389" xr:uid="{00000000-0005-0000-0000-00007E330000}"/>
    <cellStyle name="Comma 41 25 2" xfId="27390" xr:uid="{00000000-0005-0000-0000-00007F330000}"/>
    <cellStyle name="Comma 41 25 2 2" xfId="27391" xr:uid="{00000000-0005-0000-0000-000080330000}"/>
    <cellStyle name="Comma 41 25 3" xfId="27392" xr:uid="{00000000-0005-0000-0000-000081330000}"/>
    <cellStyle name="Comma 41 26" xfId="27393" xr:uid="{00000000-0005-0000-0000-000082330000}"/>
    <cellStyle name="Comma 41 26 2" xfId="27394" xr:uid="{00000000-0005-0000-0000-000083330000}"/>
    <cellStyle name="Comma 41 26 2 2" xfId="27395" xr:uid="{00000000-0005-0000-0000-000084330000}"/>
    <cellStyle name="Comma 41 26 3" xfId="27396" xr:uid="{00000000-0005-0000-0000-000085330000}"/>
    <cellStyle name="Comma 41 27" xfId="27397" xr:uid="{00000000-0005-0000-0000-000086330000}"/>
    <cellStyle name="Comma 41 27 2" xfId="27398" xr:uid="{00000000-0005-0000-0000-000087330000}"/>
    <cellStyle name="Comma 41 27 2 2" xfId="27399" xr:uid="{00000000-0005-0000-0000-000088330000}"/>
    <cellStyle name="Comma 41 27 3" xfId="27400" xr:uid="{00000000-0005-0000-0000-000089330000}"/>
    <cellStyle name="Comma 41 28" xfId="27401" xr:uid="{00000000-0005-0000-0000-00008A330000}"/>
    <cellStyle name="Comma 41 28 2" xfId="27402" xr:uid="{00000000-0005-0000-0000-00008B330000}"/>
    <cellStyle name="Comma 41 28 2 2" xfId="27403" xr:uid="{00000000-0005-0000-0000-00008C330000}"/>
    <cellStyle name="Comma 41 28 3" xfId="27404" xr:uid="{00000000-0005-0000-0000-00008D330000}"/>
    <cellStyle name="Comma 41 29" xfId="27405" xr:uid="{00000000-0005-0000-0000-00008E330000}"/>
    <cellStyle name="Comma 41 29 2" xfId="27406" xr:uid="{00000000-0005-0000-0000-00008F330000}"/>
    <cellStyle name="Comma 41 3" xfId="9025" xr:uid="{00000000-0005-0000-0000-000090330000}"/>
    <cellStyle name="Comma 41 3 2" xfId="27408" xr:uid="{00000000-0005-0000-0000-000091330000}"/>
    <cellStyle name="Comma 41 3 2 2" xfId="27409" xr:uid="{00000000-0005-0000-0000-000092330000}"/>
    <cellStyle name="Comma 41 3 3" xfId="27410" xr:uid="{00000000-0005-0000-0000-000093330000}"/>
    <cellStyle name="Comma 41 3 3 2" xfId="27411" xr:uid="{00000000-0005-0000-0000-000094330000}"/>
    <cellStyle name="Comma 41 3 3 2 2" xfId="27412" xr:uid="{00000000-0005-0000-0000-000095330000}"/>
    <cellStyle name="Comma 41 3 3 3" xfId="27413" xr:uid="{00000000-0005-0000-0000-000096330000}"/>
    <cellStyle name="Comma 41 3 4" xfId="27414" xr:uid="{00000000-0005-0000-0000-000097330000}"/>
    <cellStyle name="Comma 41 3 5" xfId="27415" xr:uid="{00000000-0005-0000-0000-000098330000}"/>
    <cellStyle name="Comma 41 3 6" xfId="27407" xr:uid="{00000000-0005-0000-0000-000099330000}"/>
    <cellStyle name="Comma 41 30" xfId="27416" xr:uid="{00000000-0005-0000-0000-00009A330000}"/>
    <cellStyle name="Comma 41 30 2" xfId="27417" xr:uid="{00000000-0005-0000-0000-00009B330000}"/>
    <cellStyle name="Comma 41 30 2 2" xfId="27418" xr:uid="{00000000-0005-0000-0000-00009C330000}"/>
    <cellStyle name="Comma 41 30 3" xfId="27419" xr:uid="{00000000-0005-0000-0000-00009D330000}"/>
    <cellStyle name="Comma 41 31" xfId="27420" xr:uid="{00000000-0005-0000-0000-00009E330000}"/>
    <cellStyle name="Comma 41 32" xfId="27421" xr:uid="{00000000-0005-0000-0000-00009F330000}"/>
    <cellStyle name="Comma 41 33" xfId="27422" xr:uid="{00000000-0005-0000-0000-0000A0330000}"/>
    <cellStyle name="Comma 41 34" xfId="27319" xr:uid="{00000000-0005-0000-0000-0000A1330000}"/>
    <cellStyle name="Comma 41 4" xfId="27423" xr:uid="{00000000-0005-0000-0000-0000A2330000}"/>
    <cellStyle name="Comma 41 4 2" xfId="27424" xr:uid="{00000000-0005-0000-0000-0000A3330000}"/>
    <cellStyle name="Comma 41 4 2 2" xfId="27425" xr:uid="{00000000-0005-0000-0000-0000A4330000}"/>
    <cellStyle name="Comma 41 4 3" xfId="27426" xr:uid="{00000000-0005-0000-0000-0000A5330000}"/>
    <cellStyle name="Comma 41 4 3 2" xfId="27427" xr:uid="{00000000-0005-0000-0000-0000A6330000}"/>
    <cellStyle name="Comma 41 4 3 2 2" xfId="27428" xr:uid="{00000000-0005-0000-0000-0000A7330000}"/>
    <cellStyle name="Comma 41 4 3 3" xfId="27429" xr:uid="{00000000-0005-0000-0000-0000A8330000}"/>
    <cellStyle name="Comma 41 4 4" xfId="27430" xr:uid="{00000000-0005-0000-0000-0000A9330000}"/>
    <cellStyle name="Comma 41 4 5" xfId="27431" xr:uid="{00000000-0005-0000-0000-0000AA330000}"/>
    <cellStyle name="Comma 41 5" xfId="27432" xr:uid="{00000000-0005-0000-0000-0000AB330000}"/>
    <cellStyle name="Comma 41 5 2" xfId="27433" xr:uid="{00000000-0005-0000-0000-0000AC330000}"/>
    <cellStyle name="Comma 41 5 2 2" xfId="27434" xr:uid="{00000000-0005-0000-0000-0000AD330000}"/>
    <cellStyle name="Comma 41 5 3" xfId="27435" xr:uid="{00000000-0005-0000-0000-0000AE330000}"/>
    <cellStyle name="Comma 41 5 3 2" xfId="27436" xr:uid="{00000000-0005-0000-0000-0000AF330000}"/>
    <cellStyle name="Comma 41 5 3 2 2" xfId="27437" xr:uid="{00000000-0005-0000-0000-0000B0330000}"/>
    <cellStyle name="Comma 41 5 3 3" xfId="27438" xr:uid="{00000000-0005-0000-0000-0000B1330000}"/>
    <cellStyle name="Comma 41 5 4" xfId="27439" xr:uid="{00000000-0005-0000-0000-0000B2330000}"/>
    <cellStyle name="Comma 41 6" xfId="27440" xr:uid="{00000000-0005-0000-0000-0000B3330000}"/>
    <cellStyle name="Comma 41 6 2" xfId="27441" xr:uid="{00000000-0005-0000-0000-0000B4330000}"/>
    <cellStyle name="Comma 41 6 2 2" xfId="27442" xr:uid="{00000000-0005-0000-0000-0000B5330000}"/>
    <cellStyle name="Comma 41 6 3" xfId="27443" xr:uid="{00000000-0005-0000-0000-0000B6330000}"/>
    <cellStyle name="Comma 41 7" xfId="27444" xr:uid="{00000000-0005-0000-0000-0000B7330000}"/>
    <cellStyle name="Comma 41 7 2" xfId="27445" xr:uid="{00000000-0005-0000-0000-0000B8330000}"/>
    <cellStyle name="Comma 41 7 2 2" xfId="27446" xr:uid="{00000000-0005-0000-0000-0000B9330000}"/>
    <cellStyle name="Comma 41 7 3" xfId="27447" xr:uid="{00000000-0005-0000-0000-0000BA330000}"/>
    <cellStyle name="Comma 41 8" xfId="27448" xr:uid="{00000000-0005-0000-0000-0000BB330000}"/>
    <cellStyle name="Comma 41 8 2" xfId="27449" xr:uid="{00000000-0005-0000-0000-0000BC330000}"/>
    <cellStyle name="Comma 41 8 2 2" xfId="27450" xr:uid="{00000000-0005-0000-0000-0000BD330000}"/>
    <cellStyle name="Comma 41 8 3" xfId="27451" xr:uid="{00000000-0005-0000-0000-0000BE330000}"/>
    <cellStyle name="Comma 41 8 4" xfId="27452" xr:uid="{00000000-0005-0000-0000-0000BF330000}"/>
    <cellStyle name="Comma 41 9" xfId="27453" xr:uid="{00000000-0005-0000-0000-0000C0330000}"/>
    <cellStyle name="Comma 41 9 2" xfId="27454" xr:uid="{00000000-0005-0000-0000-0000C1330000}"/>
    <cellStyle name="Comma 41 9 2 2" xfId="27455" xr:uid="{00000000-0005-0000-0000-0000C2330000}"/>
    <cellStyle name="Comma 41 9 3" xfId="27456" xr:uid="{00000000-0005-0000-0000-0000C3330000}"/>
    <cellStyle name="Comma 41 9 4" xfId="27457" xr:uid="{00000000-0005-0000-0000-0000C4330000}"/>
    <cellStyle name="Comma 42" xfId="2909" xr:uid="{00000000-0005-0000-0000-0000C5330000}"/>
    <cellStyle name="Comma 42 10" xfId="27459" xr:uid="{00000000-0005-0000-0000-0000C6330000}"/>
    <cellStyle name="Comma 42 10 2" xfId="27460" xr:uid="{00000000-0005-0000-0000-0000C7330000}"/>
    <cellStyle name="Comma 42 10 2 2" xfId="27461" xr:uid="{00000000-0005-0000-0000-0000C8330000}"/>
    <cellStyle name="Comma 42 10 3" xfId="27462" xr:uid="{00000000-0005-0000-0000-0000C9330000}"/>
    <cellStyle name="Comma 42 10 4" xfId="27463" xr:uid="{00000000-0005-0000-0000-0000CA330000}"/>
    <cellStyle name="Comma 42 11" xfId="27464" xr:uid="{00000000-0005-0000-0000-0000CB330000}"/>
    <cellStyle name="Comma 42 11 2" xfId="27465" xr:uid="{00000000-0005-0000-0000-0000CC330000}"/>
    <cellStyle name="Comma 42 11 2 2" xfId="27466" xr:uid="{00000000-0005-0000-0000-0000CD330000}"/>
    <cellStyle name="Comma 42 11 3" xfId="27467" xr:uid="{00000000-0005-0000-0000-0000CE330000}"/>
    <cellStyle name="Comma 42 11 4" xfId="27468" xr:uid="{00000000-0005-0000-0000-0000CF330000}"/>
    <cellStyle name="Comma 42 12" xfId="27469" xr:uid="{00000000-0005-0000-0000-0000D0330000}"/>
    <cellStyle name="Comma 42 12 2" xfId="27470" xr:uid="{00000000-0005-0000-0000-0000D1330000}"/>
    <cellStyle name="Comma 42 12 2 2" xfId="27471" xr:uid="{00000000-0005-0000-0000-0000D2330000}"/>
    <cellStyle name="Comma 42 12 3" xfId="27472" xr:uid="{00000000-0005-0000-0000-0000D3330000}"/>
    <cellStyle name="Comma 42 12 4" xfId="27473" xr:uid="{00000000-0005-0000-0000-0000D4330000}"/>
    <cellStyle name="Comma 42 13" xfId="27474" xr:uid="{00000000-0005-0000-0000-0000D5330000}"/>
    <cellStyle name="Comma 42 13 2" xfId="27475" xr:uid="{00000000-0005-0000-0000-0000D6330000}"/>
    <cellStyle name="Comma 42 13 2 2" xfId="27476" xr:uid="{00000000-0005-0000-0000-0000D7330000}"/>
    <cellStyle name="Comma 42 13 3" xfId="27477" xr:uid="{00000000-0005-0000-0000-0000D8330000}"/>
    <cellStyle name="Comma 42 13 4" xfId="27478" xr:uid="{00000000-0005-0000-0000-0000D9330000}"/>
    <cellStyle name="Comma 42 14" xfId="27479" xr:uid="{00000000-0005-0000-0000-0000DA330000}"/>
    <cellStyle name="Comma 42 14 2" xfId="27480" xr:uid="{00000000-0005-0000-0000-0000DB330000}"/>
    <cellStyle name="Comma 42 14 2 2" xfId="27481" xr:uid="{00000000-0005-0000-0000-0000DC330000}"/>
    <cellStyle name="Comma 42 14 3" xfId="27482" xr:uid="{00000000-0005-0000-0000-0000DD330000}"/>
    <cellStyle name="Comma 42 14 4" xfId="27483" xr:uid="{00000000-0005-0000-0000-0000DE330000}"/>
    <cellStyle name="Comma 42 15" xfId="27484" xr:uid="{00000000-0005-0000-0000-0000DF330000}"/>
    <cellStyle name="Comma 42 15 2" xfId="27485" xr:uid="{00000000-0005-0000-0000-0000E0330000}"/>
    <cellStyle name="Comma 42 15 2 2" xfId="27486" xr:uid="{00000000-0005-0000-0000-0000E1330000}"/>
    <cellStyle name="Comma 42 15 3" xfId="27487" xr:uid="{00000000-0005-0000-0000-0000E2330000}"/>
    <cellStyle name="Comma 42 15 4" xfId="27488" xr:uid="{00000000-0005-0000-0000-0000E3330000}"/>
    <cellStyle name="Comma 42 16" xfId="27489" xr:uid="{00000000-0005-0000-0000-0000E4330000}"/>
    <cellStyle name="Comma 42 16 2" xfId="27490" xr:uid="{00000000-0005-0000-0000-0000E5330000}"/>
    <cellStyle name="Comma 42 16 2 2" xfId="27491" xr:uid="{00000000-0005-0000-0000-0000E6330000}"/>
    <cellStyle name="Comma 42 16 3" xfId="27492" xr:uid="{00000000-0005-0000-0000-0000E7330000}"/>
    <cellStyle name="Comma 42 17" xfId="27493" xr:uid="{00000000-0005-0000-0000-0000E8330000}"/>
    <cellStyle name="Comma 42 17 2" xfId="27494" xr:uid="{00000000-0005-0000-0000-0000E9330000}"/>
    <cellStyle name="Comma 42 17 2 2" xfId="27495" xr:uid="{00000000-0005-0000-0000-0000EA330000}"/>
    <cellStyle name="Comma 42 17 3" xfId="27496" xr:uid="{00000000-0005-0000-0000-0000EB330000}"/>
    <cellStyle name="Comma 42 18" xfId="27497" xr:uid="{00000000-0005-0000-0000-0000EC330000}"/>
    <cellStyle name="Comma 42 18 2" xfId="27498" xr:uid="{00000000-0005-0000-0000-0000ED330000}"/>
    <cellStyle name="Comma 42 18 2 2" xfId="27499" xr:uid="{00000000-0005-0000-0000-0000EE330000}"/>
    <cellStyle name="Comma 42 18 3" xfId="27500" xr:uid="{00000000-0005-0000-0000-0000EF330000}"/>
    <cellStyle name="Comma 42 19" xfId="27501" xr:uid="{00000000-0005-0000-0000-0000F0330000}"/>
    <cellStyle name="Comma 42 19 2" xfId="27502" xr:uid="{00000000-0005-0000-0000-0000F1330000}"/>
    <cellStyle name="Comma 42 19 2 2" xfId="27503" xr:uid="{00000000-0005-0000-0000-0000F2330000}"/>
    <cellStyle name="Comma 42 19 3" xfId="27504" xr:uid="{00000000-0005-0000-0000-0000F3330000}"/>
    <cellStyle name="Comma 42 2" xfId="2910" xr:uid="{00000000-0005-0000-0000-0000F4330000}"/>
    <cellStyle name="Comma 42 2 2" xfId="9026" xr:uid="{00000000-0005-0000-0000-0000F5330000}"/>
    <cellStyle name="Comma 42 2 2 2" xfId="27507" xr:uid="{00000000-0005-0000-0000-0000F6330000}"/>
    <cellStyle name="Comma 42 2 2 3" xfId="27506" xr:uid="{00000000-0005-0000-0000-0000F7330000}"/>
    <cellStyle name="Comma 42 2 3" xfId="27508" xr:uid="{00000000-0005-0000-0000-0000F8330000}"/>
    <cellStyle name="Comma 42 2 3 2" xfId="27509" xr:uid="{00000000-0005-0000-0000-0000F9330000}"/>
    <cellStyle name="Comma 42 2 3 2 2" xfId="27510" xr:uid="{00000000-0005-0000-0000-0000FA330000}"/>
    <cellStyle name="Comma 42 2 3 3" xfId="27511" xr:uid="{00000000-0005-0000-0000-0000FB330000}"/>
    <cellStyle name="Comma 42 2 4" xfId="27512" xr:uid="{00000000-0005-0000-0000-0000FC330000}"/>
    <cellStyle name="Comma 42 2 5" xfId="27513" xr:uid="{00000000-0005-0000-0000-0000FD330000}"/>
    <cellStyle name="Comma 42 2 6" xfId="27514" xr:uid="{00000000-0005-0000-0000-0000FE330000}"/>
    <cellStyle name="Comma 42 2 7" xfId="27505" xr:uid="{00000000-0005-0000-0000-0000FF330000}"/>
    <cellStyle name="Comma 42 20" xfId="27515" xr:uid="{00000000-0005-0000-0000-000000340000}"/>
    <cellStyle name="Comma 42 20 2" xfId="27516" xr:uid="{00000000-0005-0000-0000-000001340000}"/>
    <cellStyle name="Comma 42 20 2 2" xfId="27517" xr:uid="{00000000-0005-0000-0000-000002340000}"/>
    <cellStyle name="Comma 42 20 3" xfId="27518" xr:uid="{00000000-0005-0000-0000-000003340000}"/>
    <cellStyle name="Comma 42 21" xfId="27519" xr:uid="{00000000-0005-0000-0000-000004340000}"/>
    <cellStyle name="Comma 42 21 2" xfId="27520" xr:uid="{00000000-0005-0000-0000-000005340000}"/>
    <cellStyle name="Comma 42 21 2 2" xfId="27521" xr:uid="{00000000-0005-0000-0000-000006340000}"/>
    <cellStyle name="Comma 42 21 3" xfId="27522" xr:uid="{00000000-0005-0000-0000-000007340000}"/>
    <cellStyle name="Comma 42 22" xfId="27523" xr:uid="{00000000-0005-0000-0000-000008340000}"/>
    <cellStyle name="Comma 42 22 2" xfId="27524" xr:uid="{00000000-0005-0000-0000-000009340000}"/>
    <cellStyle name="Comma 42 22 2 2" xfId="27525" xr:uid="{00000000-0005-0000-0000-00000A340000}"/>
    <cellStyle name="Comma 42 22 3" xfId="27526" xr:uid="{00000000-0005-0000-0000-00000B340000}"/>
    <cellStyle name="Comma 42 23" xfId="27527" xr:uid="{00000000-0005-0000-0000-00000C340000}"/>
    <cellStyle name="Comma 42 23 2" xfId="27528" xr:uid="{00000000-0005-0000-0000-00000D340000}"/>
    <cellStyle name="Comma 42 23 2 2" xfId="27529" xr:uid="{00000000-0005-0000-0000-00000E340000}"/>
    <cellStyle name="Comma 42 23 3" xfId="27530" xr:uid="{00000000-0005-0000-0000-00000F340000}"/>
    <cellStyle name="Comma 42 24" xfId="27531" xr:uid="{00000000-0005-0000-0000-000010340000}"/>
    <cellStyle name="Comma 42 24 2" xfId="27532" xr:uid="{00000000-0005-0000-0000-000011340000}"/>
    <cellStyle name="Comma 42 24 2 2" xfId="27533" xr:uid="{00000000-0005-0000-0000-000012340000}"/>
    <cellStyle name="Comma 42 24 3" xfId="27534" xr:uid="{00000000-0005-0000-0000-000013340000}"/>
    <cellStyle name="Comma 42 25" xfId="27535" xr:uid="{00000000-0005-0000-0000-000014340000}"/>
    <cellStyle name="Comma 42 25 2" xfId="27536" xr:uid="{00000000-0005-0000-0000-000015340000}"/>
    <cellStyle name="Comma 42 25 2 2" xfId="27537" xr:uid="{00000000-0005-0000-0000-000016340000}"/>
    <cellStyle name="Comma 42 25 3" xfId="27538" xr:uid="{00000000-0005-0000-0000-000017340000}"/>
    <cellStyle name="Comma 42 26" xfId="27539" xr:uid="{00000000-0005-0000-0000-000018340000}"/>
    <cellStyle name="Comma 42 26 2" xfId="27540" xr:uid="{00000000-0005-0000-0000-000019340000}"/>
    <cellStyle name="Comma 42 26 2 2" xfId="27541" xr:uid="{00000000-0005-0000-0000-00001A340000}"/>
    <cellStyle name="Comma 42 26 3" xfId="27542" xr:uid="{00000000-0005-0000-0000-00001B340000}"/>
    <cellStyle name="Comma 42 27" xfId="27543" xr:uid="{00000000-0005-0000-0000-00001C340000}"/>
    <cellStyle name="Comma 42 27 2" xfId="27544" xr:uid="{00000000-0005-0000-0000-00001D340000}"/>
    <cellStyle name="Comma 42 27 2 2" xfId="27545" xr:uid="{00000000-0005-0000-0000-00001E340000}"/>
    <cellStyle name="Comma 42 27 3" xfId="27546" xr:uid="{00000000-0005-0000-0000-00001F340000}"/>
    <cellStyle name="Comma 42 28" xfId="27547" xr:uid="{00000000-0005-0000-0000-000020340000}"/>
    <cellStyle name="Comma 42 28 2" xfId="27548" xr:uid="{00000000-0005-0000-0000-000021340000}"/>
    <cellStyle name="Comma 42 28 2 2" xfId="27549" xr:uid="{00000000-0005-0000-0000-000022340000}"/>
    <cellStyle name="Comma 42 28 3" xfId="27550" xr:uid="{00000000-0005-0000-0000-000023340000}"/>
    <cellStyle name="Comma 42 29" xfId="27551" xr:uid="{00000000-0005-0000-0000-000024340000}"/>
    <cellStyle name="Comma 42 29 2" xfId="27552" xr:uid="{00000000-0005-0000-0000-000025340000}"/>
    <cellStyle name="Comma 42 3" xfId="9027" xr:uid="{00000000-0005-0000-0000-000026340000}"/>
    <cellStyle name="Comma 42 3 2" xfId="27554" xr:uid="{00000000-0005-0000-0000-000027340000}"/>
    <cellStyle name="Comma 42 3 2 2" xfId="27555" xr:uid="{00000000-0005-0000-0000-000028340000}"/>
    <cellStyle name="Comma 42 3 3" xfId="27556" xr:uid="{00000000-0005-0000-0000-000029340000}"/>
    <cellStyle name="Comma 42 3 3 2" xfId="27557" xr:uid="{00000000-0005-0000-0000-00002A340000}"/>
    <cellStyle name="Comma 42 3 3 2 2" xfId="27558" xr:uid="{00000000-0005-0000-0000-00002B340000}"/>
    <cellStyle name="Comma 42 3 3 3" xfId="27559" xr:uid="{00000000-0005-0000-0000-00002C340000}"/>
    <cellStyle name="Comma 42 3 4" xfId="27560" xr:uid="{00000000-0005-0000-0000-00002D340000}"/>
    <cellStyle name="Comma 42 3 5" xfId="27561" xr:uid="{00000000-0005-0000-0000-00002E340000}"/>
    <cellStyle name="Comma 42 3 6" xfId="27562" xr:uid="{00000000-0005-0000-0000-00002F340000}"/>
    <cellStyle name="Comma 42 3 7" xfId="27553" xr:uid="{00000000-0005-0000-0000-000030340000}"/>
    <cellStyle name="Comma 42 30" xfId="27563" xr:uid="{00000000-0005-0000-0000-000031340000}"/>
    <cellStyle name="Comma 42 30 2" xfId="27564" xr:uid="{00000000-0005-0000-0000-000032340000}"/>
    <cellStyle name="Comma 42 30 2 2" xfId="27565" xr:uid="{00000000-0005-0000-0000-000033340000}"/>
    <cellStyle name="Comma 42 30 3" xfId="27566" xr:uid="{00000000-0005-0000-0000-000034340000}"/>
    <cellStyle name="Comma 42 31" xfId="27567" xr:uid="{00000000-0005-0000-0000-000035340000}"/>
    <cellStyle name="Comma 42 32" xfId="27568" xr:uid="{00000000-0005-0000-0000-000036340000}"/>
    <cellStyle name="Comma 42 33" xfId="27569" xr:uid="{00000000-0005-0000-0000-000037340000}"/>
    <cellStyle name="Comma 42 34" xfId="27458" xr:uid="{00000000-0005-0000-0000-000038340000}"/>
    <cellStyle name="Comma 42 4" xfId="27570" xr:uid="{00000000-0005-0000-0000-000039340000}"/>
    <cellStyle name="Comma 42 4 2" xfId="27571" xr:uid="{00000000-0005-0000-0000-00003A340000}"/>
    <cellStyle name="Comma 42 4 2 2" xfId="27572" xr:uid="{00000000-0005-0000-0000-00003B340000}"/>
    <cellStyle name="Comma 42 4 3" xfId="27573" xr:uid="{00000000-0005-0000-0000-00003C340000}"/>
    <cellStyle name="Comma 42 4 3 2" xfId="27574" xr:uid="{00000000-0005-0000-0000-00003D340000}"/>
    <cellStyle name="Comma 42 4 3 2 2" xfId="27575" xr:uid="{00000000-0005-0000-0000-00003E340000}"/>
    <cellStyle name="Comma 42 4 3 3" xfId="27576" xr:uid="{00000000-0005-0000-0000-00003F340000}"/>
    <cellStyle name="Comma 42 4 4" xfId="27577" xr:uid="{00000000-0005-0000-0000-000040340000}"/>
    <cellStyle name="Comma 42 4 5" xfId="27578" xr:uid="{00000000-0005-0000-0000-000041340000}"/>
    <cellStyle name="Comma 42 4 6" xfId="27579" xr:uid="{00000000-0005-0000-0000-000042340000}"/>
    <cellStyle name="Comma 42 5" xfId="27580" xr:uid="{00000000-0005-0000-0000-000043340000}"/>
    <cellStyle name="Comma 42 5 2" xfId="27581" xr:uid="{00000000-0005-0000-0000-000044340000}"/>
    <cellStyle name="Comma 42 5 2 2" xfId="27582" xr:uid="{00000000-0005-0000-0000-000045340000}"/>
    <cellStyle name="Comma 42 5 3" xfId="27583" xr:uid="{00000000-0005-0000-0000-000046340000}"/>
    <cellStyle name="Comma 42 5 3 2" xfId="27584" xr:uid="{00000000-0005-0000-0000-000047340000}"/>
    <cellStyle name="Comma 42 5 3 2 2" xfId="27585" xr:uid="{00000000-0005-0000-0000-000048340000}"/>
    <cellStyle name="Comma 42 5 3 3" xfId="27586" xr:uid="{00000000-0005-0000-0000-000049340000}"/>
    <cellStyle name="Comma 42 5 4" xfId="27587" xr:uid="{00000000-0005-0000-0000-00004A340000}"/>
    <cellStyle name="Comma 42 5 5" xfId="27588" xr:uid="{00000000-0005-0000-0000-00004B340000}"/>
    <cellStyle name="Comma 42 6" xfId="27589" xr:uid="{00000000-0005-0000-0000-00004C340000}"/>
    <cellStyle name="Comma 42 6 2" xfId="27590" xr:uid="{00000000-0005-0000-0000-00004D340000}"/>
    <cellStyle name="Comma 42 6 2 2" xfId="27591" xr:uid="{00000000-0005-0000-0000-00004E340000}"/>
    <cellStyle name="Comma 42 6 3" xfId="27592" xr:uid="{00000000-0005-0000-0000-00004F340000}"/>
    <cellStyle name="Comma 42 6 4" xfId="27593" xr:uid="{00000000-0005-0000-0000-000050340000}"/>
    <cellStyle name="Comma 42 7" xfId="27594" xr:uid="{00000000-0005-0000-0000-000051340000}"/>
    <cellStyle name="Comma 42 7 2" xfId="27595" xr:uid="{00000000-0005-0000-0000-000052340000}"/>
    <cellStyle name="Comma 42 7 2 2" xfId="27596" xr:uid="{00000000-0005-0000-0000-000053340000}"/>
    <cellStyle name="Comma 42 7 3" xfId="27597" xr:uid="{00000000-0005-0000-0000-000054340000}"/>
    <cellStyle name="Comma 42 7 4" xfId="27598" xr:uid="{00000000-0005-0000-0000-000055340000}"/>
    <cellStyle name="Comma 42 8" xfId="27599" xr:uid="{00000000-0005-0000-0000-000056340000}"/>
    <cellStyle name="Comma 42 8 2" xfId="27600" xr:uid="{00000000-0005-0000-0000-000057340000}"/>
    <cellStyle name="Comma 42 8 2 2" xfId="27601" xr:uid="{00000000-0005-0000-0000-000058340000}"/>
    <cellStyle name="Comma 42 8 3" xfId="27602" xr:uid="{00000000-0005-0000-0000-000059340000}"/>
    <cellStyle name="Comma 42 8 4" xfId="27603" xr:uid="{00000000-0005-0000-0000-00005A340000}"/>
    <cellStyle name="Comma 42 9" xfId="27604" xr:uid="{00000000-0005-0000-0000-00005B340000}"/>
    <cellStyle name="Comma 42 9 2" xfId="27605" xr:uid="{00000000-0005-0000-0000-00005C340000}"/>
    <cellStyle name="Comma 42 9 2 2" xfId="27606" xr:uid="{00000000-0005-0000-0000-00005D340000}"/>
    <cellStyle name="Comma 42 9 3" xfId="27607" xr:uid="{00000000-0005-0000-0000-00005E340000}"/>
    <cellStyle name="Comma 42 9 4" xfId="27608" xr:uid="{00000000-0005-0000-0000-00005F340000}"/>
    <cellStyle name="Comma 43" xfId="2911" xr:uid="{00000000-0005-0000-0000-000060340000}"/>
    <cellStyle name="Comma 43 10" xfId="2912" xr:uid="{00000000-0005-0000-0000-000061340000}"/>
    <cellStyle name="Comma 43 10 2" xfId="9028" xr:uid="{00000000-0005-0000-0000-000062340000}"/>
    <cellStyle name="Comma 43 10 2 2" xfId="27612" xr:uid="{00000000-0005-0000-0000-000063340000}"/>
    <cellStyle name="Comma 43 10 2 3" xfId="27611" xr:uid="{00000000-0005-0000-0000-000064340000}"/>
    <cellStyle name="Comma 43 10 3" xfId="27613" xr:uid="{00000000-0005-0000-0000-000065340000}"/>
    <cellStyle name="Comma 43 10 4" xfId="27614" xr:uid="{00000000-0005-0000-0000-000066340000}"/>
    <cellStyle name="Comma 43 10 5" xfId="27610" xr:uid="{00000000-0005-0000-0000-000067340000}"/>
    <cellStyle name="Comma 43 11" xfId="9029" xr:uid="{00000000-0005-0000-0000-000068340000}"/>
    <cellStyle name="Comma 43 11 2" xfId="27616" xr:uid="{00000000-0005-0000-0000-000069340000}"/>
    <cellStyle name="Comma 43 11 2 2" xfId="27617" xr:uid="{00000000-0005-0000-0000-00006A340000}"/>
    <cellStyle name="Comma 43 11 3" xfId="27618" xr:uid="{00000000-0005-0000-0000-00006B340000}"/>
    <cellStyle name="Comma 43 11 4" xfId="27619" xr:uid="{00000000-0005-0000-0000-00006C340000}"/>
    <cellStyle name="Comma 43 11 5" xfId="27615" xr:uid="{00000000-0005-0000-0000-00006D340000}"/>
    <cellStyle name="Comma 43 12" xfId="27620" xr:uid="{00000000-0005-0000-0000-00006E340000}"/>
    <cellStyle name="Comma 43 12 2" xfId="27621" xr:uid="{00000000-0005-0000-0000-00006F340000}"/>
    <cellStyle name="Comma 43 12 2 2" xfId="27622" xr:uid="{00000000-0005-0000-0000-000070340000}"/>
    <cellStyle name="Comma 43 12 3" xfId="27623" xr:uid="{00000000-0005-0000-0000-000071340000}"/>
    <cellStyle name="Comma 43 12 4" xfId="27624" xr:uid="{00000000-0005-0000-0000-000072340000}"/>
    <cellStyle name="Comma 43 13" xfId="27625" xr:uid="{00000000-0005-0000-0000-000073340000}"/>
    <cellStyle name="Comma 43 13 2" xfId="27626" xr:uid="{00000000-0005-0000-0000-000074340000}"/>
    <cellStyle name="Comma 43 13 2 2" xfId="27627" xr:uid="{00000000-0005-0000-0000-000075340000}"/>
    <cellStyle name="Comma 43 13 3" xfId="27628" xr:uid="{00000000-0005-0000-0000-000076340000}"/>
    <cellStyle name="Comma 43 13 4" xfId="27629" xr:uid="{00000000-0005-0000-0000-000077340000}"/>
    <cellStyle name="Comma 43 14" xfId="27630" xr:uid="{00000000-0005-0000-0000-000078340000}"/>
    <cellStyle name="Comma 43 14 2" xfId="27631" xr:uid="{00000000-0005-0000-0000-000079340000}"/>
    <cellStyle name="Comma 43 14 2 2" xfId="27632" xr:uid="{00000000-0005-0000-0000-00007A340000}"/>
    <cellStyle name="Comma 43 14 3" xfId="27633" xr:uid="{00000000-0005-0000-0000-00007B340000}"/>
    <cellStyle name="Comma 43 14 4" xfId="27634" xr:uid="{00000000-0005-0000-0000-00007C340000}"/>
    <cellStyle name="Comma 43 15" xfId="27635" xr:uid="{00000000-0005-0000-0000-00007D340000}"/>
    <cellStyle name="Comma 43 15 2" xfId="27636" xr:uid="{00000000-0005-0000-0000-00007E340000}"/>
    <cellStyle name="Comma 43 15 2 2" xfId="27637" xr:uid="{00000000-0005-0000-0000-00007F340000}"/>
    <cellStyle name="Comma 43 15 3" xfId="27638" xr:uid="{00000000-0005-0000-0000-000080340000}"/>
    <cellStyle name="Comma 43 15 4" xfId="27639" xr:uid="{00000000-0005-0000-0000-000081340000}"/>
    <cellStyle name="Comma 43 16" xfId="27640" xr:uid="{00000000-0005-0000-0000-000082340000}"/>
    <cellStyle name="Comma 43 16 2" xfId="27641" xr:uid="{00000000-0005-0000-0000-000083340000}"/>
    <cellStyle name="Comma 43 16 2 2" xfId="27642" xr:uid="{00000000-0005-0000-0000-000084340000}"/>
    <cellStyle name="Comma 43 16 3" xfId="27643" xr:uid="{00000000-0005-0000-0000-000085340000}"/>
    <cellStyle name="Comma 43 17" xfId="27644" xr:uid="{00000000-0005-0000-0000-000086340000}"/>
    <cellStyle name="Comma 43 17 2" xfId="27645" xr:uid="{00000000-0005-0000-0000-000087340000}"/>
    <cellStyle name="Comma 43 17 2 2" xfId="27646" xr:uid="{00000000-0005-0000-0000-000088340000}"/>
    <cellStyle name="Comma 43 17 3" xfId="27647" xr:uid="{00000000-0005-0000-0000-000089340000}"/>
    <cellStyle name="Comma 43 18" xfId="27648" xr:uid="{00000000-0005-0000-0000-00008A340000}"/>
    <cellStyle name="Comma 43 18 2" xfId="27649" xr:uid="{00000000-0005-0000-0000-00008B340000}"/>
    <cellStyle name="Comma 43 18 2 2" xfId="27650" xr:uid="{00000000-0005-0000-0000-00008C340000}"/>
    <cellStyle name="Comma 43 18 3" xfId="27651" xr:uid="{00000000-0005-0000-0000-00008D340000}"/>
    <cellStyle name="Comma 43 19" xfId="27652" xr:uid="{00000000-0005-0000-0000-00008E340000}"/>
    <cellStyle name="Comma 43 19 2" xfId="27653" xr:uid="{00000000-0005-0000-0000-00008F340000}"/>
    <cellStyle name="Comma 43 19 2 2" xfId="27654" xr:uid="{00000000-0005-0000-0000-000090340000}"/>
    <cellStyle name="Comma 43 19 3" xfId="27655" xr:uid="{00000000-0005-0000-0000-000091340000}"/>
    <cellStyle name="Comma 43 2" xfId="2913" xr:uid="{00000000-0005-0000-0000-000092340000}"/>
    <cellStyle name="Comma 43 2 2" xfId="9030" xr:uid="{00000000-0005-0000-0000-000093340000}"/>
    <cellStyle name="Comma 43 2 2 2" xfId="27658" xr:uid="{00000000-0005-0000-0000-000094340000}"/>
    <cellStyle name="Comma 43 2 2 3" xfId="27657" xr:uid="{00000000-0005-0000-0000-000095340000}"/>
    <cellStyle name="Comma 43 2 3" xfId="27659" xr:uid="{00000000-0005-0000-0000-000096340000}"/>
    <cellStyle name="Comma 43 2 3 2" xfId="27660" xr:uid="{00000000-0005-0000-0000-000097340000}"/>
    <cellStyle name="Comma 43 2 3 2 2" xfId="27661" xr:uid="{00000000-0005-0000-0000-000098340000}"/>
    <cellStyle name="Comma 43 2 3 3" xfId="27662" xr:uid="{00000000-0005-0000-0000-000099340000}"/>
    <cellStyle name="Comma 43 2 4" xfId="27663" xr:uid="{00000000-0005-0000-0000-00009A340000}"/>
    <cellStyle name="Comma 43 2 5" xfId="27664" xr:uid="{00000000-0005-0000-0000-00009B340000}"/>
    <cellStyle name="Comma 43 2 6" xfId="27665" xr:uid="{00000000-0005-0000-0000-00009C340000}"/>
    <cellStyle name="Comma 43 2 7" xfId="27656" xr:uid="{00000000-0005-0000-0000-00009D340000}"/>
    <cellStyle name="Comma 43 20" xfId="27666" xr:uid="{00000000-0005-0000-0000-00009E340000}"/>
    <cellStyle name="Comma 43 20 2" xfId="27667" xr:uid="{00000000-0005-0000-0000-00009F340000}"/>
    <cellStyle name="Comma 43 20 2 2" xfId="27668" xr:uid="{00000000-0005-0000-0000-0000A0340000}"/>
    <cellStyle name="Comma 43 20 3" xfId="27669" xr:uid="{00000000-0005-0000-0000-0000A1340000}"/>
    <cellStyle name="Comma 43 21" xfId="27670" xr:uid="{00000000-0005-0000-0000-0000A2340000}"/>
    <cellStyle name="Comma 43 21 2" xfId="27671" xr:uid="{00000000-0005-0000-0000-0000A3340000}"/>
    <cellStyle name="Comma 43 21 2 2" xfId="27672" xr:uid="{00000000-0005-0000-0000-0000A4340000}"/>
    <cellStyle name="Comma 43 21 3" xfId="27673" xr:uid="{00000000-0005-0000-0000-0000A5340000}"/>
    <cellStyle name="Comma 43 22" xfId="27674" xr:uid="{00000000-0005-0000-0000-0000A6340000}"/>
    <cellStyle name="Comma 43 22 2" xfId="27675" xr:uid="{00000000-0005-0000-0000-0000A7340000}"/>
    <cellStyle name="Comma 43 22 2 2" xfId="27676" xr:uid="{00000000-0005-0000-0000-0000A8340000}"/>
    <cellStyle name="Comma 43 22 3" xfId="27677" xr:uid="{00000000-0005-0000-0000-0000A9340000}"/>
    <cellStyle name="Comma 43 23" xfId="27678" xr:uid="{00000000-0005-0000-0000-0000AA340000}"/>
    <cellStyle name="Comma 43 23 2" xfId="27679" xr:uid="{00000000-0005-0000-0000-0000AB340000}"/>
    <cellStyle name="Comma 43 23 2 2" xfId="27680" xr:uid="{00000000-0005-0000-0000-0000AC340000}"/>
    <cellStyle name="Comma 43 23 3" xfId="27681" xr:uid="{00000000-0005-0000-0000-0000AD340000}"/>
    <cellStyle name="Comma 43 24" xfId="27682" xr:uid="{00000000-0005-0000-0000-0000AE340000}"/>
    <cellStyle name="Comma 43 24 2" xfId="27683" xr:uid="{00000000-0005-0000-0000-0000AF340000}"/>
    <cellStyle name="Comma 43 24 2 2" xfId="27684" xr:uid="{00000000-0005-0000-0000-0000B0340000}"/>
    <cellStyle name="Comma 43 24 3" xfId="27685" xr:uid="{00000000-0005-0000-0000-0000B1340000}"/>
    <cellStyle name="Comma 43 25" xfId="27686" xr:uid="{00000000-0005-0000-0000-0000B2340000}"/>
    <cellStyle name="Comma 43 25 2" xfId="27687" xr:uid="{00000000-0005-0000-0000-0000B3340000}"/>
    <cellStyle name="Comma 43 25 2 2" xfId="27688" xr:uid="{00000000-0005-0000-0000-0000B4340000}"/>
    <cellStyle name="Comma 43 25 3" xfId="27689" xr:uid="{00000000-0005-0000-0000-0000B5340000}"/>
    <cellStyle name="Comma 43 26" xfId="27690" xr:uid="{00000000-0005-0000-0000-0000B6340000}"/>
    <cellStyle name="Comma 43 26 2" xfId="27691" xr:uid="{00000000-0005-0000-0000-0000B7340000}"/>
    <cellStyle name="Comma 43 26 2 2" xfId="27692" xr:uid="{00000000-0005-0000-0000-0000B8340000}"/>
    <cellStyle name="Comma 43 26 3" xfId="27693" xr:uid="{00000000-0005-0000-0000-0000B9340000}"/>
    <cellStyle name="Comma 43 27" xfId="27694" xr:uid="{00000000-0005-0000-0000-0000BA340000}"/>
    <cellStyle name="Comma 43 27 2" xfId="27695" xr:uid="{00000000-0005-0000-0000-0000BB340000}"/>
    <cellStyle name="Comma 43 27 2 2" xfId="27696" xr:uid="{00000000-0005-0000-0000-0000BC340000}"/>
    <cellStyle name="Comma 43 27 3" xfId="27697" xr:uid="{00000000-0005-0000-0000-0000BD340000}"/>
    <cellStyle name="Comma 43 28" xfId="27698" xr:uid="{00000000-0005-0000-0000-0000BE340000}"/>
    <cellStyle name="Comma 43 28 2" xfId="27699" xr:uid="{00000000-0005-0000-0000-0000BF340000}"/>
    <cellStyle name="Comma 43 28 2 2" xfId="27700" xr:uid="{00000000-0005-0000-0000-0000C0340000}"/>
    <cellStyle name="Comma 43 28 3" xfId="27701" xr:uid="{00000000-0005-0000-0000-0000C1340000}"/>
    <cellStyle name="Comma 43 29" xfId="27702" xr:uid="{00000000-0005-0000-0000-0000C2340000}"/>
    <cellStyle name="Comma 43 29 2" xfId="27703" xr:uid="{00000000-0005-0000-0000-0000C3340000}"/>
    <cellStyle name="Comma 43 3" xfId="2914" xr:uid="{00000000-0005-0000-0000-0000C4340000}"/>
    <cellStyle name="Comma 43 3 2" xfId="9031" xr:uid="{00000000-0005-0000-0000-0000C5340000}"/>
    <cellStyle name="Comma 43 3 2 2" xfId="27706" xr:uid="{00000000-0005-0000-0000-0000C6340000}"/>
    <cellStyle name="Comma 43 3 2 3" xfId="27705" xr:uid="{00000000-0005-0000-0000-0000C7340000}"/>
    <cellStyle name="Comma 43 3 3" xfId="27707" xr:uid="{00000000-0005-0000-0000-0000C8340000}"/>
    <cellStyle name="Comma 43 3 3 2" xfId="27708" xr:uid="{00000000-0005-0000-0000-0000C9340000}"/>
    <cellStyle name="Comma 43 3 3 2 2" xfId="27709" xr:uid="{00000000-0005-0000-0000-0000CA340000}"/>
    <cellStyle name="Comma 43 3 3 3" xfId="27710" xr:uid="{00000000-0005-0000-0000-0000CB340000}"/>
    <cellStyle name="Comma 43 3 4" xfId="27711" xr:uid="{00000000-0005-0000-0000-0000CC340000}"/>
    <cellStyle name="Comma 43 3 5" xfId="27712" xr:uid="{00000000-0005-0000-0000-0000CD340000}"/>
    <cellStyle name="Comma 43 3 6" xfId="27713" xr:uid="{00000000-0005-0000-0000-0000CE340000}"/>
    <cellStyle name="Comma 43 3 7" xfId="27704" xr:uid="{00000000-0005-0000-0000-0000CF340000}"/>
    <cellStyle name="Comma 43 30" xfId="27714" xr:uid="{00000000-0005-0000-0000-0000D0340000}"/>
    <cellStyle name="Comma 43 30 2" xfId="27715" xr:uid="{00000000-0005-0000-0000-0000D1340000}"/>
    <cellStyle name="Comma 43 30 2 2" xfId="27716" xr:uid="{00000000-0005-0000-0000-0000D2340000}"/>
    <cellStyle name="Comma 43 30 3" xfId="27717" xr:uid="{00000000-0005-0000-0000-0000D3340000}"/>
    <cellStyle name="Comma 43 31" xfId="27718" xr:uid="{00000000-0005-0000-0000-0000D4340000}"/>
    <cellStyle name="Comma 43 32" xfId="27719" xr:uid="{00000000-0005-0000-0000-0000D5340000}"/>
    <cellStyle name="Comma 43 33" xfId="27720" xr:uid="{00000000-0005-0000-0000-0000D6340000}"/>
    <cellStyle name="Comma 43 34" xfId="27609" xr:uid="{00000000-0005-0000-0000-0000D7340000}"/>
    <cellStyle name="Comma 43 4" xfId="2915" xr:uid="{00000000-0005-0000-0000-0000D8340000}"/>
    <cellStyle name="Comma 43 4 2" xfId="9032" xr:uid="{00000000-0005-0000-0000-0000D9340000}"/>
    <cellStyle name="Comma 43 4 2 2" xfId="27723" xr:uid="{00000000-0005-0000-0000-0000DA340000}"/>
    <cellStyle name="Comma 43 4 2 3" xfId="27722" xr:uid="{00000000-0005-0000-0000-0000DB340000}"/>
    <cellStyle name="Comma 43 4 3" xfId="27724" xr:uid="{00000000-0005-0000-0000-0000DC340000}"/>
    <cellStyle name="Comma 43 4 3 2" xfId="27725" xr:uid="{00000000-0005-0000-0000-0000DD340000}"/>
    <cellStyle name="Comma 43 4 3 2 2" xfId="27726" xr:uid="{00000000-0005-0000-0000-0000DE340000}"/>
    <cellStyle name="Comma 43 4 3 3" xfId="27727" xr:uid="{00000000-0005-0000-0000-0000DF340000}"/>
    <cellStyle name="Comma 43 4 4" xfId="27728" xr:uid="{00000000-0005-0000-0000-0000E0340000}"/>
    <cellStyle name="Comma 43 4 5" xfId="27729" xr:uid="{00000000-0005-0000-0000-0000E1340000}"/>
    <cellStyle name="Comma 43 4 6" xfId="27721" xr:uid="{00000000-0005-0000-0000-0000E2340000}"/>
    <cellStyle name="Comma 43 5" xfId="2916" xr:uid="{00000000-0005-0000-0000-0000E3340000}"/>
    <cellStyle name="Comma 43 5 2" xfId="9033" xr:uid="{00000000-0005-0000-0000-0000E4340000}"/>
    <cellStyle name="Comma 43 5 2 2" xfId="27732" xr:uid="{00000000-0005-0000-0000-0000E5340000}"/>
    <cellStyle name="Comma 43 5 2 3" xfId="27731" xr:uid="{00000000-0005-0000-0000-0000E6340000}"/>
    <cellStyle name="Comma 43 5 3" xfId="27733" xr:uid="{00000000-0005-0000-0000-0000E7340000}"/>
    <cellStyle name="Comma 43 5 3 2" xfId="27734" xr:uid="{00000000-0005-0000-0000-0000E8340000}"/>
    <cellStyle name="Comma 43 5 3 2 2" xfId="27735" xr:uid="{00000000-0005-0000-0000-0000E9340000}"/>
    <cellStyle name="Comma 43 5 3 3" xfId="27736" xr:uid="{00000000-0005-0000-0000-0000EA340000}"/>
    <cellStyle name="Comma 43 5 4" xfId="27737" xr:uid="{00000000-0005-0000-0000-0000EB340000}"/>
    <cellStyle name="Comma 43 5 5" xfId="27738" xr:uid="{00000000-0005-0000-0000-0000EC340000}"/>
    <cellStyle name="Comma 43 5 6" xfId="27730" xr:uid="{00000000-0005-0000-0000-0000ED340000}"/>
    <cellStyle name="Comma 43 6" xfId="2917" xr:uid="{00000000-0005-0000-0000-0000EE340000}"/>
    <cellStyle name="Comma 43 6 2" xfId="9034" xr:uid="{00000000-0005-0000-0000-0000EF340000}"/>
    <cellStyle name="Comma 43 6 2 2" xfId="27741" xr:uid="{00000000-0005-0000-0000-0000F0340000}"/>
    <cellStyle name="Comma 43 6 2 3" xfId="27740" xr:uid="{00000000-0005-0000-0000-0000F1340000}"/>
    <cellStyle name="Comma 43 6 3" xfId="27742" xr:uid="{00000000-0005-0000-0000-0000F2340000}"/>
    <cellStyle name="Comma 43 6 4" xfId="27743" xr:uid="{00000000-0005-0000-0000-0000F3340000}"/>
    <cellStyle name="Comma 43 6 5" xfId="27739" xr:uid="{00000000-0005-0000-0000-0000F4340000}"/>
    <cellStyle name="Comma 43 7" xfId="2918" xr:uid="{00000000-0005-0000-0000-0000F5340000}"/>
    <cellStyle name="Comma 43 7 2" xfId="9035" xr:uid="{00000000-0005-0000-0000-0000F6340000}"/>
    <cellStyle name="Comma 43 7 2 2" xfId="27746" xr:uid="{00000000-0005-0000-0000-0000F7340000}"/>
    <cellStyle name="Comma 43 7 2 3" xfId="27745" xr:uid="{00000000-0005-0000-0000-0000F8340000}"/>
    <cellStyle name="Comma 43 7 3" xfId="27747" xr:uid="{00000000-0005-0000-0000-0000F9340000}"/>
    <cellStyle name="Comma 43 7 4" xfId="27748" xr:uid="{00000000-0005-0000-0000-0000FA340000}"/>
    <cellStyle name="Comma 43 7 5" xfId="27744" xr:uid="{00000000-0005-0000-0000-0000FB340000}"/>
    <cellStyle name="Comma 43 8" xfId="2919" xr:uid="{00000000-0005-0000-0000-0000FC340000}"/>
    <cellStyle name="Comma 43 8 2" xfId="9036" xr:uid="{00000000-0005-0000-0000-0000FD340000}"/>
    <cellStyle name="Comma 43 8 2 2" xfId="27751" xr:uid="{00000000-0005-0000-0000-0000FE340000}"/>
    <cellStyle name="Comma 43 8 2 3" xfId="27750" xr:uid="{00000000-0005-0000-0000-0000FF340000}"/>
    <cellStyle name="Comma 43 8 3" xfId="27752" xr:uid="{00000000-0005-0000-0000-000000350000}"/>
    <cellStyle name="Comma 43 8 4" xfId="27753" xr:uid="{00000000-0005-0000-0000-000001350000}"/>
    <cellStyle name="Comma 43 8 5" xfId="27749" xr:uid="{00000000-0005-0000-0000-000002350000}"/>
    <cellStyle name="Comma 43 9" xfId="2920" xr:uid="{00000000-0005-0000-0000-000003350000}"/>
    <cellStyle name="Comma 43 9 2" xfId="9037" xr:uid="{00000000-0005-0000-0000-000004350000}"/>
    <cellStyle name="Comma 43 9 2 2" xfId="27756" xr:uid="{00000000-0005-0000-0000-000005350000}"/>
    <cellStyle name="Comma 43 9 2 3" xfId="27755" xr:uid="{00000000-0005-0000-0000-000006350000}"/>
    <cellStyle name="Comma 43 9 3" xfId="27757" xr:uid="{00000000-0005-0000-0000-000007350000}"/>
    <cellStyle name="Comma 43 9 4" xfId="27758" xr:uid="{00000000-0005-0000-0000-000008350000}"/>
    <cellStyle name="Comma 43 9 5" xfId="27754" xr:uid="{00000000-0005-0000-0000-000009350000}"/>
    <cellStyle name="Comma 44" xfId="2921" xr:uid="{00000000-0005-0000-0000-00000A350000}"/>
    <cellStyle name="Comma 44 10" xfId="2922" xr:uid="{00000000-0005-0000-0000-00000B350000}"/>
    <cellStyle name="Comma 44 10 2" xfId="9038" xr:uid="{00000000-0005-0000-0000-00000C350000}"/>
    <cellStyle name="Comma 44 10 2 2" xfId="27762" xr:uid="{00000000-0005-0000-0000-00000D350000}"/>
    <cellStyle name="Comma 44 10 2 3" xfId="27761" xr:uid="{00000000-0005-0000-0000-00000E350000}"/>
    <cellStyle name="Comma 44 10 3" xfId="27763" xr:uid="{00000000-0005-0000-0000-00000F350000}"/>
    <cellStyle name="Comma 44 10 4" xfId="27764" xr:uid="{00000000-0005-0000-0000-000010350000}"/>
    <cellStyle name="Comma 44 10 5" xfId="27760" xr:uid="{00000000-0005-0000-0000-000011350000}"/>
    <cellStyle name="Comma 44 11" xfId="9039" xr:uid="{00000000-0005-0000-0000-000012350000}"/>
    <cellStyle name="Comma 44 11 2" xfId="27766" xr:uid="{00000000-0005-0000-0000-000013350000}"/>
    <cellStyle name="Comma 44 11 2 2" xfId="27767" xr:uid="{00000000-0005-0000-0000-000014350000}"/>
    <cellStyle name="Comma 44 11 3" xfId="27768" xr:uid="{00000000-0005-0000-0000-000015350000}"/>
    <cellStyle name="Comma 44 11 4" xfId="27769" xr:uid="{00000000-0005-0000-0000-000016350000}"/>
    <cellStyle name="Comma 44 11 5" xfId="27765" xr:uid="{00000000-0005-0000-0000-000017350000}"/>
    <cellStyle name="Comma 44 12" xfId="27770" xr:uid="{00000000-0005-0000-0000-000018350000}"/>
    <cellStyle name="Comma 44 12 2" xfId="27771" xr:uid="{00000000-0005-0000-0000-000019350000}"/>
    <cellStyle name="Comma 44 12 2 2" xfId="27772" xr:uid="{00000000-0005-0000-0000-00001A350000}"/>
    <cellStyle name="Comma 44 12 3" xfId="27773" xr:uid="{00000000-0005-0000-0000-00001B350000}"/>
    <cellStyle name="Comma 44 12 4" xfId="27774" xr:uid="{00000000-0005-0000-0000-00001C350000}"/>
    <cellStyle name="Comma 44 13" xfId="27775" xr:uid="{00000000-0005-0000-0000-00001D350000}"/>
    <cellStyle name="Comma 44 13 2" xfId="27776" xr:uid="{00000000-0005-0000-0000-00001E350000}"/>
    <cellStyle name="Comma 44 13 2 2" xfId="27777" xr:uid="{00000000-0005-0000-0000-00001F350000}"/>
    <cellStyle name="Comma 44 13 3" xfId="27778" xr:uid="{00000000-0005-0000-0000-000020350000}"/>
    <cellStyle name="Comma 44 13 4" xfId="27779" xr:uid="{00000000-0005-0000-0000-000021350000}"/>
    <cellStyle name="Comma 44 14" xfId="27780" xr:uid="{00000000-0005-0000-0000-000022350000}"/>
    <cellStyle name="Comma 44 14 2" xfId="27781" xr:uid="{00000000-0005-0000-0000-000023350000}"/>
    <cellStyle name="Comma 44 14 2 2" xfId="27782" xr:uid="{00000000-0005-0000-0000-000024350000}"/>
    <cellStyle name="Comma 44 14 3" xfId="27783" xr:uid="{00000000-0005-0000-0000-000025350000}"/>
    <cellStyle name="Comma 44 14 4" xfId="27784" xr:uid="{00000000-0005-0000-0000-000026350000}"/>
    <cellStyle name="Comma 44 15" xfId="27785" xr:uid="{00000000-0005-0000-0000-000027350000}"/>
    <cellStyle name="Comma 44 15 2" xfId="27786" xr:uid="{00000000-0005-0000-0000-000028350000}"/>
    <cellStyle name="Comma 44 15 2 2" xfId="27787" xr:uid="{00000000-0005-0000-0000-000029350000}"/>
    <cellStyle name="Comma 44 15 3" xfId="27788" xr:uid="{00000000-0005-0000-0000-00002A350000}"/>
    <cellStyle name="Comma 44 15 4" xfId="27789" xr:uid="{00000000-0005-0000-0000-00002B350000}"/>
    <cellStyle name="Comma 44 16" xfId="27790" xr:uid="{00000000-0005-0000-0000-00002C350000}"/>
    <cellStyle name="Comma 44 16 2" xfId="27791" xr:uid="{00000000-0005-0000-0000-00002D350000}"/>
    <cellStyle name="Comma 44 16 2 2" xfId="27792" xr:uid="{00000000-0005-0000-0000-00002E350000}"/>
    <cellStyle name="Comma 44 16 3" xfId="27793" xr:uid="{00000000-0005-0000-0000-00002F350000}"/>
    <cellStyle name="Comma 44 17" xfId="27794" xr:uid="{00000000-0005-0000-0000-000030350000}"/>
    <cellStyle name="Comma 44 17 2" xfId="27795" xr:uid="{00000000-0005-0000-0000-000031350000}"/>
    <cellStyle name="Comma 44 17 2 2" xfId="27796" xr:uid="{00000000-0005-0000-0000-000032350000}"/>
    <cellStyle name="Comma 44 17 3" xfId="27797" xr:uid="{00000000-0005-0000-0000-000033350000}"/>
    <cellStyle name="Comma 44 18" xfId="27798" xr:uid="{00000000-0005-0000-0000-000034350000}"/>
    <cellStyle name="Comma 44 18 2" xfId="27799" xr:uid="{00000000-0005-0000-0000-000035350000}"/>
    <cellStyle name="Comma 44 18 2 2" xfId="27800" xr:uid="{00000000-0005-0000-0000-000036350000}"/>
    <cellStyle name="Comma 44 18 3" xfId="27801" xr:uid="{00000000-0005-0000-0000-000037350000}"/>
    <cellStyle name="Comma 44 19" xfId="27802" xr:uid="{00000000-0005-0000-0000-000038350000}"/>
    <cellStyle name="Comma 44 19 2" xfId="27803" xr:uid="{00000000-0005-0000-0000-000039350000}"/>
    <cellStyle name="Comma 44 19 2 2" xfId="27804" xr:uid="{00000000-0005-0000-0000-00003A350000}"/>
    <cellStyle name="Comma 44 19 3" xfId="27805" xr:uid="{00000000-0005-0000-0000-00003B350000}"/>
    <cellStyle name="Comma 44 2" xfId="2923" xr:uid="{00000000-0005-0000-0000-00003C350000}"/>
    <cellStyle name="Comma 44 2 2" xfId="9040" xr:uid="{00000000-0005-0000-0000-00003D350000}"/>
    <cellStyle name="Comma 44 2 2 2" xfId="27808" xr:uid="{00000000-0005-0000-0000-00003E350000}"/>
    <cellStyle name="Comma 44 2 2 3" xfId="27807" xr:uid="{00000000-0005-0000-0000-00003F350000}"/>
    <cellStyle name="Comma 44 2 3" xfId="27809" xr:uid="{00000000-0005-0000-0000-000040350000}"/>
    <cellStyle name="Comma 44 2 3 2" xfId="27810" xr:uid="{00000000-0005-0000-0000-000041350000}"/>
    <cellStyle name="Comma 44 2 3 2 2" xfId="27811" xr:uid="{00000000-0005-0000-0000-000042350000}"/>
    <cellStyle name="Comma 44 2 3 3" xfId="27812" xr:uid="{00000000-0005-0000-0000-000043350000}"/>
    <cellStyle name="Comma 44 2 4" xfId="27813" xr:uid="{00000000-0005-0000-0000-000044350000}"/>
    <cellStyle name="Comma 44 2 5" xfId="27814" xr:uid="{00000000-0005-0000-0000-000045350000}"/>
    <cellStyle name="Comma 44 2 6" xfId="27815" xr:uid="{00000000-0005-0000-0000-000046350000}"/>
    <cellStyle name="Comma 44 2 7" xfId="27806" xr:uid="{00000000-0005-0000-0000-000047350000}"/>
    <cellStyle name="Comma 44 20" xfId="27816" xr:uid="{00000000-0005-0000-0000-000048350000}"/>
    <cellStyle name="Comma 44 20 2" xfId="27817" xr:uid="{00000000-0005-0000-0000-000049350000}"/>
    <cellStyle name="Comma 44 20 2 2" xfId="27818" xr:uid="{00000000-0005-0000-0000-00004A350000}"/>
    <cellStyle name="Comma 44 20 3" xfId="27819" xr:uid="{00000000-0005-0000-0000-00004B350000}"/>
    <cellStyle name="Comma 44 21" xfId="27820" xr:uid="{00000000-0005-0000-0000-00004C350000}"/>
    <cellStyle name="Comma 44 21 2" xfId="27821" xr:uid="{00000000-0005-0000-0000-00004D350000}"/>
    <cellStyle name="Comma 44 21 2 2" xfId="27822" xr:uid="{00000000-0005-0000-0000-00004E350000}"/>
    <cellStyle name="Comma 44 21 3" xfId="27823" xr:uid="{00000000-0005-0000-0000-00004F350000}"/>
    <cellStyle name="Comma 44 22" xfId="27824" xr:uid="{00000000-0005-0000-0000-000050350000}"/>
    <cellStyle name="Comma 44 22 2" xfId="27825" xr:uid="{00000000-0005-0000-0000-000051350000}"/>
    <cellStyle name="Comma 44 22 2 2" xfId="27826" xr:uid="{00000000-0005-0000-0000-000052350000}"/>
    <cellStyle name="Comma 44 22 3" xfId="27827" xr:uid="{00000000-0005-0000-0000-000053350000}"/>
    <cellStyle name="Comma 44 23" xfId="27828" xr:uid="{00000000-0005-0000-0000-000054350000}"/>
    <cellStyle name="Comma 44 23 2" xfId="27829" xr:uid="{00000000-0005-0000-0000-000055350000}"/>
    <cellStyle name="Comma 44 23 2 2" xfId="27830" xr:uid="{00000000-0005-0000-0000-000056350000}"/>
    <cellStyle name="Comma 44 23 3" xfId="27831" xr:uid="{00000000-0005-0000-0000-000057350000}"/>
    <cellStyle name="Comma 44 24" xfId="27832" xr:uid="{00000000-0005-0000-0000-000058350000}"/>
    <cellStyle name="Comma 44 24 2" xfId="27833" xr:uid="{00000000-0005-0000-0000-000059350000}"/>
    <cellStyle name="Comma 44 24 2 2" xfId="27834" xr:uid="{00000000-0005-0000-0000-00005A350000}"/>
    <cellStyle name="Comma 44 24 3" xfId="27835" xr:uid="{00000000-0005-0000-0000-00005B350000}"/>
    <cellStyle name="Comma 44 25" xfId="27836" xr:uid="{00000000-0005-0000-0000-00005C350000}"/>
    <cellStyle name="Comma 44 25 2" xfId="27837" xr:uid="{00000000-0005-0000-0000-00005D350000}"/>
    <cellStyle name="Comma 44 25 2 2" xfId="27838" xr:uid="{00000000-0005-0000-0000-00005E350000}"/>
    <cellStyle name="Comma 44 25 3" xfId="27839" xr:uid="{00000000-0005-0000-0000-00005F350000}"/>
    <cellStyle name="Comma 44 26" xfId="27840" xr:uid="{00000000-0005-0000-0000-000060350000}"/>
    <cellStyle name="Comma 44 26 2" xfId="27841" xr:uid="{00000000-0005-0000-0000-000061350000}"/>
    <cellStyle name="Comma 44 26 2 2" xfId="27842" xr:uid="{00000000-0005-0000-0000-000062350000}"/>
    <cellStyle name="Comma 44 26 3" xfId="27843" xr:uid="{00000000-0005-0000-0000-000063350000}"/>
    <cellStyle name="Comma 44 27" xfId="27844" xr:uid="{00000000-0005-0000-0000-000064350000}"/>
    <cellStyle name="Comma 44 27 2" xfId="27845" xr:uid="{00000000-0005-0000-0000-000065350000}"/>
    <cellStyle name="Comma 44 27 2 2" xfId="27846" xr:uid="{00000000-0005-0000-0000-000066350000}"/>
    <cellStyle name="Comma 44 27 3" xfId="27847" xr:uid="{00000000-0005-0000-0000-000067350000}"/>
    <cellStyle name="Comma 44 28" xfId="27848" xr:uid="{00000000-0005-0000-0000-000068350000}"/>
    <cellStyle name="Comma 44 28 2" xfId="27849" xr:uid="{00000000-0005-0000-0000-000069350000}"/>
    <cellStyle name="Comma 44 28 2 2" xfId="27850" xr:uid="{00000000-0005-0000-0000-00006A350000}"/>
    <cellStyle name="Comma 44 28 3" xfId="27851" xr:uid="{00000000-0005-0000-0000-00006B350000}"/>
    <cellStyle name="Comma 44 29" xfId="27852" xr:uid="{00000000-0005-0000-0000-00006C350000}"/>
    <cellStyle name="Comma 44 29 2" xfId="27853" xr:uid="{00000000-0005-0000-0000-00006D350000}"/>
    <cellStyle name="Comma 44 3" xfId="2924" xr:uid="{00000000-0005-0000-0000-00006E350000}"/>
    <cellStyle name="Comma 44 3 2" xfId="9041" xr:uid="{00000000-0005-0000-0000-00006F350000}"/>
    <cellStyle name="Comma 44 3 2 2" xfId="27856" xr:uid="{00000000-0005-0000-0000-000070350000}"/>
    <cellStyle name="Comma 44 3 2 3" xfId="27855" xr:uid="{00000000-0005-0000-0000-000071350000}"/>
    <cellStyle name="Comma 44 3 3" xfId="27857" xr:uid="{00000000-0005-0000-0000-000072350000}"/>
    <cellStyle name="Comma 44 3 3 2" xfId="27858" xr:uid="{00000000-0005-0000-0000-000073350000}"/>
    <cellStyle name="Comma 44 3 3 2 2" xfId="27859" xr:uid="{00000000-0005-0000-0000-000074350000}"/>
    <cellStyle name="Comma 44 3 3 3" xfId="27860" xr:uid="{00000000-0005-0000-0000-000075350000}"/>
    <cellStyle name="Comma 44 3 4" xfId="27861" xr:uid="{00000000-0005-0000-0000-000076350000}"/>
    <cellStyle name="Comma 44 3 5" xfId="27862" xr:uid="{00000000-0005-0000-0000-000077350000}"/>
    <cellStyle name="Comma 44 3 6" xfId="27863" xr:uid="{00000000-0005-0000-0000-000078350000}"/>
    <cellStyle name="Comma 44 3 7" xfId="27854" xr:uid="{00000000-0005-0000-0000-000079350000}"/>
    <cellStyle name="Comma 44 30" xfId="27864" xr:uid="{00000000-0005-0000-0000-00007A350000}"/>
    <cellStyle name="Comma 44 30 2" xfId="27865" xr:uid="{00000000-0005-0000-0000-00007B350000}"/>
    <cellStyle name="Comma 44 30 2 2" xfId="27866" xr:uid="{00000000-0005-0000-0000-00007C350000}"/>
    <cellStyle name="Comma 44 30 3" xfId="27867" xr:uid="{00000000-0005-0000-0000-00007D350000}"/>
    <cellStyle name="Comma 44 31" xfId="27868" xr:uid="{00000000-0005-0000-0000-00007E350000}"/>
    <cellStyle name="Comma 44 32" xfId="27869" xr:uid="{00000000-0005-0000-0000-00007F350000}"/>
    <cellStyle name="Comma 44 33" xfId="27870" xr:uid="{00000000-0005-0000-0000-000080350000}"/>
    <cellStyle name="Comma 44 34" xfId="27759" xr:uid="{00000000-0005-0000-0000-000081350000}"/>
    <cellStyle name="Comma 44 4" xfId="2925" xr:uid="{00000000-0005-0000-0000-000082350000}"/>
    <cellStyle name="Comma 44 4 2" xfId="9042" xr:uid="{00000000-0005-0000-0000-000083350000}"/>
    <cellStyle name="Comma 44 4 2 2" xfId="27873" xr:uid="{00000000-0005-0000-0000-000084350000}"/>
    <cellStyle name="Comma 44 4 2 3" xfId="27872" xr:uid="{00000000-0005-0000-0000-000085350000}"/>
    <cellStyle name="Comma 44 4 3" xfId="27874" xr:uid="{00000000-0005-0000-0000-000086350000}"/>
    <cellStyle name="Comma 44 4 3 2" xfId="27875" xr:uid="{00000000-0005-0000-0000-000087350000}"/>
    <cellStyle name="Comma 44 4 3 2 2" xfId="27876" xr:uid="{00000000-0005-0000-0000-000088350000}"/>
    <cellStyle name="Comma 44 4 3 3" xfId="27877" xr:uid="{00000000-0005-0000-0000-000089350000}"/>
    <cellStyle name="Comma 44 4 4" xfId="27878" xr:uid="{00000000-0005-0000-0000-00008A350000}"/>
    <cellStyle name="Comma 44 4 5" xfId="27879" xr:uid="{00000000-0005-0000-0000-00008B350000}"/>
    <cellStyle name="Comma 44 4 6" xfId="27871" xr:uid="{00000000-0005-0000-0000-00008C350000}"/>
    <cellStyle name="Comma 44 5" xfId="2926" xr:uid="{00000000-0005-0000-0000-00008D350000}"/>
    <cellStyle name="Comma 44 5 2" xfId="9043" xr:uid="{00000000-0005-0000-0000-00008E350000}"/>
    <cellStyle name="Comma 44 5 2 2" xfId="27882" xr:uid="{00000000-0005-0000-0000-00008F350000}"/>
    <cellStyle name="Comma 44 5 2 3" xfId="27881" xr:uid="{00000000-0005-0000-0000-000090350000}"/>
    <cellStyle name="Comma 44 5 3" xfId="27883" xr:uid="{00000000-0005-0000-0000-000091350000}"/>
    <cellStyle name="Comma 44 5 3 2" xfId="27884" xr:uid="{00000000-0005-0000-0000-000092350000}"/>
    <cellStyle name="Comma 44 5 3 2 2" xfId="27885" xr:uid="{00000000-0005-0000-0000-000093350000}"/>
    <cellStyle name="Comma 44 5 3 3" xfId="27886" xr:uid="{00000000-0005-0000-0000-000094350000}"/>
    <cellStyle name="Comma 44 5 4" xfId="27887" xr:uid="{00000000-0005-0000-0000-000095350000}"/>
    <cellStyle name="Comma 44 5 5" xfId="27888" xr:uid="{00000000-0005-0000-0000-000096350000}"/>
    <cellStyle name="Comma 44 5 6" xfId="27880" xr:uid="{00000000-0005-0000-0000-000097350000}"/>
    <cellStyle name="Comma 44 6" xfId="2927" xr:uid="{00000000-0005-0000-0000-000098350000}"/>
    <cellStyle name="Comma 44 6 2" xfId="9044" xr:uid="{00000000-0005-0000-0000-000099350000}"/>
    <cellStyle name="Comma 44 6 2 2" xfId="27891" xr:uid="{00000000-0005-0000-0000-00009A350000}"/>
    <cellStyle name="Comma 44 6 2 3" xfId="27890" xr:uid="{00000000-0005-0000-0000-00009B350000}"/>
    <cellStyle name="Comma 44 6 3" xfId="27892" xr:uid="{00000000-0005-0000-0000-00009C350000}"/>
    <cellStyle name="Comma 44 6 4" xfId="27893" xr:uid="{00000000-0005-0000-0000-00009D350000}"/>
    <cellStyle name="Comma 44 6 5" xfId="27889" xr:uid="{00000000-0005-0000-0000-00009E350000}"/>
    <cellStyle name="Comma 44 7" xfId="2928" xr:uid="{00000000-0005-0000-0000-00009F350000}"/>
    <cellStyle name="Comma 44 7 2" xfId="9045" xr:uid="{00000000-0005-0000-0000-0000A0350000}"/>
    <cellStyle name="Comma 44 7 2 2" xfId="27896" xr:uid="{00000000-0005-0000-0000-0000A1350000}"/>
    <cellStyle name="Comma 44 7 2 3" xfId="27895" xr:uid="{00000000-0005-0000-0000-0000A2350000}"/>
    <cellStyle name="Comma 44 7 3" xfId="27897" xr:uid="{00000000-0005-0000-0000-0000A3350000}"/>
    <cellStyle name="Comma 44 7 4" xfId="27898" xr:uid="{00000000-0005-0000-0000-0000A4350000}"/>
    <cellStyle name="Comma 44 7 5" xfId="27894" xr:uid="{00000000-0005-0000-0000-0000A5350000}"/>
    <cellStyle name="Comma 44 8" xfId="2929" xr:uid="{00000000-0005-0000-0000-0000A6350000}"/>
    <cellStyle name="Comma 44 8 2" xfId="9046" xr:uid="{00000000-0005-0000-0000-0000A7350000}"/>
    <cellStyle name="Comma 44 8 2 2" xfId="27901" xr:uid="{00000000-0005-0000-0000-0000A8350000}"/>
    <cellStyle name="Comma 44 8 2 3" xfId="27900" xr:uid="{00000000-0005-0000-0000-0000A9350000}"/>
    <cellStyle name="Comma 44 8 3" xfId="27902" xr:uid="{00000000-0005-0000-0000-0000AA350000}"/>
    <cellStyle name="Comma 44 8 4" xfId="27903" xr:uid="{00000000-0005-0000-0000-0000AB350000}"/>
    <cellStyle name="Comma 44 8 5" xfId="27899" xr:uid="{00000000-0005-0000-0000-0000AC350000}"/>
    <cellStyle name="Comma 44 9" xfId="2930" xr:uid="{00000000-0005-0000-0000-0000AD350000}"/>
    <cellStyle name="Comma 44 9 2" xfId="9047" xr:uid="{00000000-0005-0000-0000-0000AE350000}"/>
    <cellStyle name="Comma 44 9 2 2" xfId="27906" xr:uid="{00000000-0005-0000-0000-0000AF350000}"/>
    <cellStyle name="Comma 44 9 2 3" xfId="27905" xr:uid="{00000000-0005-0000-0000-0000B0350000}"/>
    <cellStyle name="Comma 44 9 3" xfId="27907" xr:uid="{00000000-0005-0000-0000-0000B1350000}"/>
    <cellStyle name="Comma 44 9 4" xfId="27908" xr:uid="{00000000-0005-0000-0000-0000B2350000}"/>
    <cellStyle name="Comma 44 9 5" xfId="27904" xr:uid="{00000000-0005-0000-0000-0000B3350000}"/>
    <cellStyle name="Comma 45" xfId="2931" xr:uid="{00000000-0005-0000-0000-0000B4350000}"/>
    <cellStyle name="Comma 45 10" xfId="2932" xr:uid="{00000000-0005-0000-0000-0000B5350000}"/>
    <cellStyle name="Comma 45 10 2" xfId="9048" xr:uid="{00000000-0005-0000-0000-0000B6350000}"/>
    <cellStyle name="Comma 45 10 2 2" xfId="27912" xr:uid="{00000000-0005-0000-0000-0000B7350000}"/>
    <cellStyle name="Comma 45 10 2 3" xfId="27911" xr:uid="{00000000-0005-0000-0000-0000B8350000}"/>
    <cellStyle name="Comma 45 10 3" xfId="27913" xr:uid="{00000000-0005-0000-0000-0000B9350000}"/>
    <cellStyle name="Comma 45 10 4" xfId="27914" xr:uid="{00000000-0005-0000-0000-0000BA350000}"/>
    <cellStyle name="Comma 45 10 5" xfId="27910" xr:uid="{00000000-0005-0000-0000-0000BB350000}"/>
    <cellStyle name="Comma 45 11" xfId="9049" xr:uid="{00000000-0005-0000-0000-0000BC350000}"/>
    <cellStyle name="Comma 45 11 2" xfId="27916" xr:uid="{00000000-0005-0000-0000-0000BD350000}"/>
    <cellStyle name="Comma 45 11 2 2" xfId="27917" xr:uid="{00000000-0005-0000-0000-0000BE350000}"/>
    <cellStyle name="Comma 45 11 3" xfId="27918" xr:uid="{00000000-0005-0000-0000-0000BF350000}"/>
    <cellStyle name="Comma 45 11 4" xfId="27919" xr:uid="{00000000-0005-0000-0000-0000C0350000}"/>
    <cellStyle name="Comma 45 11 5" xfId="27915" xr:uid="{00000000-0005-0000-0000-0000C1350000}"/>
    <cellStyle name="Comma 45 12" xfId="27920" xr:uid="{00000000-0005-0000-0000-0000C2350000}"/>
    <cellStyle name="Comma 45 12 2" xfId="27921" xr:uid="{00000000-0005-0000-0000-0000C3350000}"/>
    <cellStyle name="Comma 45 12 2 2" xfId="27922" xr:uid="{00000000-0005-0000-0000-0000C4350000}"/>
    <cellStyle name="Comma 45 12 3" xfId="27923" xr:uid="{00000000-0005-0000-0000-0000C5350000}"/>
    <cellStyle name="Comma 45 12 4" xfId="27924" xr:uid="{00000000-0005-0000-0000-0000C6350000}"/>
    <cellStyle name="Comma 45 13" xfId="27925" xr:uid="{00000000-0005-0000-0000-0000C7350000}"/>
    <cellStyle name="Comma 45 13 2" xfId="27926" xr:uid="{00000000-0005-0000-0000-0000C8350000}"/>
    <cellStyle name="Comma 45 13 2 2" xfId="27927" xr:uid="{00000000-0005-0000-0000-0000C9350000}"/>
    <cellStyle name="Comma 45 13 3" xfId="27928" xr:uid="{00000000-0005-0000-0000-0000CA350000}"/>
    <cellStyle name="Comma 45 13 4" xfId="27929" xr:uid="{00000000-0005-0000-0000-0000CB350000}"/>
    <cellStyle name="Comma 45 14" xfId="27930" xr:uid="{00000000-0005-0000-0000-0000CC350000}"/>
    <cellStyle name="Comma 45 14 2" xfId="27931" xr:uid="{00000000-0005-0000-0000-0000CD350000}"/>
    <cellStyle name="Comma 45 14 2 2" xfId="27932" xr:uid="{00000000-0005-0000-0000-0000CE350000}"/>
    <cellStyle name="Comma 45 14 3" xfId="27933" xr:uid="{00000000-0005-0000-0000-0000CF350000}"/>
    <cellStyle name="Comma 45 14 4" xfId="27934" xr:uid="{00000000-0005-0000-0000-0000D0350000}"/>
    <cellStyle name="Comma 45 15" xfId="27935" xr:uid="{00000000-0005-0000-0000-0000D1350000}"/>
    <cellStyle name="Comma 45 15 2" xfId="27936" xr:uid="{00000000-0005-0000-0000-0000D2350000}"/>
    <cellStyle name="Comma 45 15 2 2" xfId="27937" xr:uid="{00000000-0005-0000-0000-0000D3350000}"/>
    <cellStyle name="Comma 45 15 3" xfId="27938" xr:uid="{00000000-0005-0000-0000-0000D4350000}"/>
    <cellStyle name="Comma 45 15 4" xfId="27939" xr:uid="{00000000-0005-0000-0000-0000D5350000}"/>
    <cellStyle name="Comma 45 16" xfId="27940" xr:uid="{00000000-0005-0000-0000-0000D6350000}"/>
    <cellStyle name="Comma 45 16 2" xfId="27941" xr:uid="{00000000-0005-0000-0000-0000D7350000}"/>
    <cellStyle name="Comma 45 16 2 2" xfId="27942" xr:uid="{00000000-0005-0000-0000-0000D8350000}"/>
    <cellStyle name="Comma 45 16 3" xfId="27943" xr:uid="{00000000-0005-0000-0000-0000D9350000}"/>
    <cellStyle name="Comma 45 17" xfId="27944" xr:uid="{00000000-0005-0000-0000-0000DA350000}"/>
    <cellStyle name="Comma 45 17 2" xfId="27945" xr:uid="{00000000-0005-0000-0000-0000DB350000}"/>
    <cellStyle name="Comma 45 17 2 2" xfId="27946" xr:uid="{00000000-0005-0000-0000-0000DC350000}"/>
    <cellStyle name="Comma 45 17 3" xfId="27947" xr:uid="{00000000-0005-0000-0000-0000DD350000}"/>
    <cellStyle name="Comma 45 18" xfId="27948" xr:uid="{00000000-0005-0000-0000-0000DE350000}"/>
    <cellStyle name="Comma 45 18 2" xfId="27949" xr:uid="{00000000-0005-0000-0000-0000DF350000}"/>
    <cellStyle name="Comma 45 18 2 2" xfId="27950" xr:uid="{00000000-0005-0000-0000-0000E0350000}"/>
    <cellStyle name="Comma 45 18 3" xfId="27951" xr:uid="{00000000-0005-0000-0000-0000E1350000}"/>
    <cellStyle name="Comma 45 19" xfId="27952" xr:uid="{00000000-0005-0000-0000-0000E2350000}"/>
    <cellStyle name="Comma 45 19 2" xfId="27953" xr:uid="{00000000-0005-0000-0000-0000E3350000}"/>
    <cellStyle name="Comma 45 19 2 2" xfId="27954" xr:uid="{00000000-0005-0000-0000-0000E4350000}"/>
    <cellStyle name="Comma 45 19 3" xfId="27955" xr:uid="{00000000-0005-0000-0000-0000E5350000}"/>
    <cellStyle name="Comma 45 2" xfId="2933" xr:uid="{00000000-0005-0000-0000-0000E6350000}"/>
    <cellStyle name="Comma 45 2 2" xfId="9050" xr:uid="{00000000-0005-0000-0000-0000E7350000}"/>
    <cellStyle name="Comma 45 2 2 2" xfId="27958" xr:uid="{00000000-0005-0000-0000-0000E8350000}"/>
    <cellStyle name="Comma 45 2 2 3" xfId="27957" xr:uid="{00000000-0005-0000-0000-0000E9350000}"/>
    <cellStyle name="Comma 45 2 3" xfId="27959" xr:uid="{00000000-0005-0000-0000-0000EA350000}"/>
    <cellStyle name="Comma 45 2 3 2" xfId="27960" xr:uid="{00000000-0005-0000-0000-0000EB350000}"/>
    <cellStyle name="Comma 45 2 3 2 2" xfId="27961" xr:uid="{00000000-0005-0000-0000-0000EC350000}"/>
    <cellStyle name="Comma 45 2 3 3" xfId="27962" xr:uid="{00000000-0005-0000-0000-0000ED350000}"/>
    <cellStyle name="Comma 45 2 4" xfId="27963" xr:uid="{00000000-0005-0000-0000-0000EE350000}"/>
    <cellStyle name="Comma 45 2 5" xfId="27964" xr:uid="{00000000-0005-0000-0000-0000EF350000}"/>
    <cellStyle name="Comma 45 2 6" xfId="27965" xr:uid="{00000000-0005-0000-0000-0000F0350000}"/>
    <cellStyle name="Comma 45 2 7" xfId="27956" xr:uid="{00000000-0005-0000-0000-0000F1350000}"/>
    <cellStyle name="Comma 45 20" xfId="27966" xr:uid="{00000000-0005-0000-0000-0000F2350000}"/>
    <cellStyle name="Comma 45 20 2" xfId="27967" xr:uid="{00000000-0005-0000-0000-0000F3350000}"/>
    <cellStyle name="Comma 45 20 2 2" xfId="27968" xr:uid="{00000000-0005-0000-0000-0000F4350000}"/>
    <cellStyle name="Comma 45 20 3" xfId="27969" xr:uid="{00000000-0005-0000-0000-0000F5350000}"/>
    <cellStyle name="Comma 45 21" xfId="27970" xr:uid="{00000000-0005-0000-0000-0000F6350000}"/>
    <cellStyle name="Comma 45 21 2" xfId="27971" xr:uid="{00000000-0005-0000-0000-0000F7350000}"/>
    <cellStyle name="Comma 45 21 2 2" xfId="27972" xr:uid="{00000000-0005-0000-0000-0000F8350000}"/>
    <cellStyle name="Comma 45 21 3" xfId="27973" xr:uid="{00000000-0005-0000-0000-0000F9350000}"/>
    <cellStyle name="Comma 45 22" xfId="27974" xr:uid="{00000000-0005-0000-0000-0000FA350000}"/>
    <cellStyle name="Comma 45 22 2" xfId="27975" xr:uid="{00000000-0005-0000-0000-0000FB350000}"/>
    <cellStyle name="Comma 45 22 2 2" xfId="27976" xr:uid="{00000000-0005-0000-0000-0000FC350000}"/>
    <cellStyle name="Comma 45 22 3" xfId="27977" xr:uid="{00000000-0005-0000-0000-0000FD350000}"/>
    <cellStyle name="Comma 45 23" xfId="27978" xr:uid="{00000000-0005-0000-0000-0000FE350000}"/>
    <cellStyle name="Comma 45 23 2" xfId="27979" xr:uid="{00000000-0005-0000-0000-0000FF350000}"/>
    <cellStyle name="Comma 45 23 2 2" xfId="27980" xr:uid="{00000000-0005-0000-0000-000000360000}"/>
    <cellStyle name="Comma 45 23 3" xfId="27981" xr:uid="{00000000-0005-0000-0000-000001360000}"/>
    <cellStyle name="Comma 45 24" xfId="27982" xr:uid="{00000000-0005-0000-0000-000002360000}"/>
    <cellStyle name="Comma 45 24 2" xfId="27983" xr:uid="{00000000-0005-0000-0000-000003360000}"/>
    <cellStyle name="Comma 45 24 2 2" xfId="27984" xr:uid="{00000000-0005-0000-0000-000004360000}"/>
    <cellStyle name="Comma 45 24 3" xfId="27985" xr:uid="{00000000-0005-0000-0000-000005360000}"/>
    <cellStyle name="Comma 45 25" xfId="27986" xr:uid="{00000000-0005-0000-0000-000006360000}"/>
    <cellStyle name="Comma 45 25 2" xfId="27987" xr:uid="{00000000-0005-0000-0000-000007360000}"/>
    <cellStyle name="Comma 45 25 2 2" xfId="27988" xr:uid="{00000000-0005-0000-0000-000008360000}"/>
    <cellStyle name="Comma 45 25 3" xfId="27989" xr:uid="{00000000-0005-0000-0000-000009360000}"/>
    <cellStyle name="Comma 45 26" xfId="27990" xr:uid="{00000000-0005-0000-0000-00000A360000}"/>
    <cellStyle name="Comma 45 26 2" xfId="27991" xr:uid="{00000000-0005-0000-0000-00000B360000}"/>
    <cellStyle name="Comma 45 26 2 2" xfId="27992" xr:uid="{00000000-0005-0000-0000-00000C360000}"/>
    <cellStyle name="Comma 45 26 3" xfId="27993" xr:uid="{00000000-0005-0000-0000-00000D360000}"/>
    <cellStyle name="Comma 45 27" xfId="27994" xr:uid="{00000000-0005-0000-0000-00000E360000}"/>
    <cellStyle name="Comma 45 27 2" xfId="27995" xr:uid="{00000000-0005-0000-0000-00000F360000}"/>
    <cellStyle name="Comma 45 27 2 2" xfId="27996" xr:uid="{00000000-0005-0000-0000-000010360000}"/>
    <cellStyle name="Comma 45 27 3" xfId="27997" xr:uid="{00000000-0005-0000-0000-000011360000}"/>
    <cellStyle name="Comma 45 28" xfId="27998" xr:uid="{00000000-0005-0000-0000-000012360000}"/>
    <cellStyle name="Comma 45 28 2" xfId="27999" xr:uid="{00000000-0005-0000-0000-000013360000}"/>
    <cellStyle name="Comma 45 28 2 2" xfId="28000" xr:uid="{00000000-0005-0000-0000-000014360000}"/>
    <cellStyle name="Comma 45 28 3" xfId="28001" xr:uid="{00000000-0005-0000-0000-000015360000}"/>
    <cellStyle name="Comma 45 29" xfId="28002" xr:uid="{00000000-0005-0000-0000-000016360000}"/>
    <cellStyle name="Comma 45 29 2" xfId="28003" xr:uid="{00000000-0005-0000-0000-000017360000}"/>
    <cellStyle name="Comma 45 3" xfId="2934" xr:uid="{00000000-0005-0000-0000-000018360000}"/>
    <cellStyle name="Comma 45 3 2" xfId="9051" xr:uid="{00000000-0005-0000-0000-000019360000}"/>
    <cellStyle name="Comma 45 3 2 2" xfId="28006" xr:uid="{00000000-0005-0000-0000-00001A360000}"/>
    <cellStyle name="Comma 45 3 2 3" xfId="28005" xr:uid="{00000000-0005-0000-0000-00001B360000}"/>
    <cellStyle name="Comma 45 3 3" xfId="28007" xr:uid="{00000000-0005-0000-0000-00001C360000}"/>
    <cellStyle name="Comma 45 3 3 2" xfId="28008" xr:uid="{00000000-0005-0000-0000-00001D360000}"/>
    <cellStyle name="Comma 45 3 3 2 2" xfId="28009" xr:uid="{00000000-0005-0000-0000-00001E360000}"/>
    <cellStyle name="Comma 45 3 3 3" xfId="28010" xr:uid="{00000000-0005-0000-0000-00001F360000}"/>
    <cellStyle name="Comma 45 3 4" xfId="28011" xr:uid="{00000000-0005-0000-0000-000020360000}"/>
    <cellStyle name="Comma 45 3 5" xfId="28012" xr:uid="{00000000-0005-0000-0000-000021360000}"/>
    <cellStyle name="Comma 45 3 6" xfId="28013" xr:uid="{00000000-0005-0000-0000-000022360000}"/>
    <cellStyle name="Comma 45 3 7" xfId="28004" xr:uid="{00000000-0005-0000-0000-000023360000}"/>
    <cellStyle name="Comma 45 30" xfId="28014" xr:uid="{00000000-0005-0000-0000-000024360000}"/>
    <cellStyle name="Comma 45 30 2" xfId="28015" xr:uid="{00000000-0005-0000-0000-000025360000}"/>
    <cellStyle name="Comma 45 30 2 2" xfId="28016" xr:uid="{00000000-0005-0000-0000-000026360000}"/>
    <cellStyle name="Comma 45 30 3" xfId="28017" xr:uid="{00000000-0005-0000-0000-000027360000}"/>
    <cellStyle name="Comma 45 31" xfId="28018" xr:uid="{00000000-0005-0000-0000-000028360000}"/>
    <cellStyle name="Comma 45 32" xfId="28019" xr:uid="{00000000-0005-0000-0000-000029360000}"/>
    <cellStyle name="Comma 45 33" xfId="28020" xr:uid="{00000000-0005-0000-0000-00002A360000}"/>
    <cellStyle name="Comma 45 34" xfId="27909" xr:uid="{00000000-0005-0000-0000-00002B360000}"/>
    <cellStyle name="Comma 45 4" xfId="2935" xr:uid="{00000000-0005-0000-0000-00002C360000}"/>
    <cellStyle name="Comma 45 4 2" xfId="9052" xr:uid="{00000000-0005-0000-0000-00002D360000}"/>
    <cellStyle name="Comma 45 4 2 2" xfId="28023" xr:uid="{00000000-0005-0000-0000-00002E360000}"/>
    <cellStyle name="Comma 45 4 2 3" xfId="28022" xr:uid="{00000000-0005-0000-0000-00002F360000}"/>
    <cellStyle name="Comma 45 4 3" xfId="28024" xr:uid="{00000000-0005-0000-0000-000030360000}"/>
    <cellStyle name="Comma 45 4 3 2" xfId="28025" xr:uid="{00000000-0005-0000-0000-000031360000}"/>
    <cellStyle name="Comma 45 4 3 2 2" xfId="28026" xr:uid="{00000000-0005-0000-0000-000032360000}"/>
    <cellStyle name="Comma 45 4 3 3" xfId="28027" xr:uid="{00000000-0005-0000-0000-000033360000}"/>
    <cellStyle name="Comma 45 4 4" xfId="28028" xr:uid="{00000000-0005-0000-0000-000034360000}"/>
    <cellStyle name="Comma 45 4 5" xfId="28029" xr:uid="{00000000-0005-0000-0000-000035360000}"/>
    <cellStyle name="Comma 45 4 6" xfId="28030" xr:uid="{00000000-0005-0000-0000-000036360000}"/>
    <cellStyle name="Comma 45 4 7" xfId="28021" xr:uid="{00000000-0005-0000-0000-000037360000}"/>
    <cellStyle name="Comma 45 5" xfId="2936" xr:uid="{00000000-0005-0000-0000-000038360000}"/>
    <cellStyle name="Comma 45 5 2" xfId="9053" xr:uid="{00000000-0005-0000-0000-000039360000}"/>
    <cellStyle name="Comma 45 5 2 2" xfId="28033" xr:uid="{00000000-0005-0000-0000-00003A360000}"/>
    <cellStyle name="Comma 45 5 2 3" xfId="28032" xr:uid="{00000000-0005-0000-0000-00003B360000}"/>
    <cellStyle name="Comma 45 5 3" xfId="28034" xr:uid="{00000000-0005-0000-0000-00003C360000}"/>
    <cellStyle name="Comma 45 5 3 2" xfId="28035" xr:uid="{00000000-0005-0000-0000-00003D360000}"/>
    <cellStyle name="Comma 45 5 3 2 2" xfId="28036" xr:uid="{00000000-0005-0000-0000-00003E360000}"/>
    <cellStyle name="Comma 45 5 3 3" xfId="28037" xr:uid="{00000000-0005-0000-0000-00003F360000}"/>
    <cellStyle name="Comma 45 5 4" xfId="28038" xr:uid="{00000000-0005-0000-0000-000040360000}"/>
    <cellStyle name="Comma 45 5 5" xfId="28039" xr:uid="{00000000-0005-0000-0000-000041360000}"/>
    <cellStyle name="Comma 45 5 6" xfId="28031" xr:uid="{00000000-0005-0000-0000-000042360000}"/>
    <cellStyle name="Comma 45 6" xfId="2937" xr:uid="{00000000-0005-0000-0000-000043360000}"/>
    <cellStyle name="Comma 45 6 2" xfId="9054" xr:uid="{00000000-0005-0000-0000-000044360000}"/>
    <cellStyle name="Comma 45 6 2 2" xfId="28042" xr:uid="{00000000-0005-0000-0000-000045360000}"/>
    <cellStyle name="Comma 45 6 2 3" xfId="28041" xr:uid="{00000000-0005-0000-0000-000046360000}"/>
    <cellStyle name="Comma 45 6 3" xfId="28043" xr:uid="{00000000-0005-0000-0000-000047360000}"/>
    <cellStyle name="Comma 45 6 4" xfId="28044" xr:uid="{00000000-0005-0000-0000-000048360000}"/>
    <cellStyle name="Comma 45 6 5" xfId="28040" xr:uid="{00000000-0005-0000-0000-000049360000}"/>
    <cellStyle name="Comma 45 7" xfId="2938" xr:uid="{00000000-0005-0000-0000-00004A360000}"/>
    <cellStyle name="Comma 45 7 2" xfId="9055" xr:uid="{00000000-0005-0000-0000-00004B360000}"/>
    <cellStyle name="Comma 45 7 2 2" xfId="28047" xr:uid="{00000000-0005-0000-0000-00004C360000}"/>
    <cellStyle name="Comma 45 7 2 3" xfId="28046" xr:uid="{00000000-0005-0000-0000-00004D360000}"/>
    <cellStyle name="Comma 45 7 3" xfId="28048" xr:uid="{00000000-0005-0000-0000-00004E360000}"/>
    <cellStyle name="Comma 45 7 4" xfId="28049" xr:uid="{00000000-0005-0000-0000-00004F360000}"/>
    <cellStyle name="Comma 45 7 5" xfId="28045" xr:uid="{00000000-0005-0000-0000-000050360000}"/>
    <cellStyle name="Comma 45 8" xfId="2939" xr:uid="{00000000-0005-0000-0000-000051360000}"/>
    <cellStyle name="Comma 45 8 2" xfId="9056" xr:uid="{00000000-0005-0000-0000-000052360000}"/>
    <cellStyle name="Comma 45 8 2 2" xfId="28052" xr:uid="{00000000-0005-0000-0000-000053360000}"/>
    <cellStyle name="Comma 45 8 2 3" xfId="28051" xr:uid="{00000000-0005-0000-0000-000054360000}"/>
    <cellStyle name="Comma 45 8 3" xfId="28053" xr:uid="{00000000-0005-0000-0000-000055360000}"/>
    <cellStyle name="Comma 45 8 4" xfId="28054" xr:uid="{00000000-0005-0000-0000-000056360000}"/>
    <cellStyle name="Comma 45 8 5" xfId="28050" xr:uid="{00000000-0005-0000-0000-000057360000}"/>
    <cellStyle name="Comma 45 9" xfId="2940" xr:uid="{00000000-0005-0000-0000-000058360000}"/>
    <cellStyle name="Comma 45 9 2" xfId="9057" xr:uid="{00000000-0005-0000-0000-000059360000}"/>
    <cellStyle name="Comma 45 9 2 2" xfId="28057" xr:uid="{00000000-0005-0000-0000-00005A360000}"/>
    <cellStyle name="Comma 45 9 2 3" xfId="28056" xr:uid="{00000000-0005-0000-0000-00005B360000}"/>
    <cellStyle name="Comma 45 9 3" xfId="28058" xr:uid="{00000000-0005-0000-0000-00005C360000}"/>
    <cellStyle name="Comma 45 9 4" xfId="28059" xr:uid="{00000000-0005-0000-0000-00005D360000}"/>
    <cellStyle name="Comma 45 9 5" xfId="28055" xr:uid="{00000000-0005-0000-0000-00005E360000}"/>
    <cellStyle name="Comma 46" xfId="2941" xr:uid="{00000000-0005-0000-0000-00005F360000}"/>
    <cellStyle name="Comma 46 10" xfId="2942" xr:uid="{00000000-0005-0000-0000-000060360000}"/>
    <cellStyle name="Comma 46 10 2" xfId="9058" xr:uid="{00000000-0005-0000-0000-000061360000}"/>
    <cellStyle name="Comma 46 10 3" xfId="28061" xr:uid="{00000000-0005-0000-0000-000062360000}"/>
    <cellStyle name="Comma 46 11" xfId="9059" xr:uid="{00000000-0005-0000-0000-000063360000}"/>
    <cellStyle name="Comma 46 11 2" xfId="28062" xr:uid="{00000000-0005-0000-0000-000064360000}"/>
    <cellStyle name="Comma 46 12" xfId="28063" xr:uid="{00000000-0005-0000-0000-000065360000}"/>
    <cellStyle name="Comma 46 13" xfId="28064" xr:uid="{00000000-0005-0000-0000-000066360000}"/>
    <cellStyle name="Comma 46 14" xfId="28065" xr:uid="{00000000-0005-0000-0000-000067360000}"/>
    <cellStyle name="Comma 46 15" xfId="28066" xr:uid="{00000000-0005-0000-0000-000068360000}"/>
    <cellStyle name="Comma 46 16" xfId="28067" xr:uid="{00000000-0005-0000-0000-000069360000}"/>
    <cellStyle name="Comma 46 17" xfId="28068" xr:uid="{00000000-0005-0000-0000-00006A360000}"/>
    <cellStyle name="Comma 46 18" xfId="28069" xr:uid="{00000000-0005-0000-0000-00006B360000}"/>
    <cellStyle name="Comma 46 19" xfId="28060" xr:uid="{00000000-0005-0000-0000-00006C360000}"/>
    <cellStyle name="Comma 46 2" xfId="2943" xr:uid="{00000000-0005-0000-0000-00006D360000}"/>
    <cellStyle name="Comma 46 2 2" xfId="9060" xr:uid="{00000000-0005-0000-0000-00006E360000}"/>
    <cellStyle name="Comma 46 2 2 2" xfId="28071" xr:uid="{00000000-0005-0000-0000-00006F360000}"/>
    <cellStyle name="Comma 46 2 3" xfId="28070" xr:uid="{00000000-0005-0000-0000-000070360000}"/>
    <cellStyle name="Comma 46 3" xfId="2944" xr:uid="{00000000-0005-0000-0000-000071360000}"/>
    <cellStyle name="Comma 46 3 2" xfId="9061" xr:uid="{00000000-0005-0000-0000-000072360000}"/>
    <cellStyle name="Comma 46 3 3" xfId="28072" xr:uid="{00000000-0005-0000-0000-000073360000}"/>
    <cellStyle name="Comma 46 4" xfId="2945" xr:uid="{00000000-0005-0000-0000-000074360000}"/>
    <cellStyle name="Comma 46 4 2" xfId="9062" xr:uid="{00000000-0005-0000-0000-000075360000}"/>
    <cellStyle name="Comma 46 4 3" xfId="28073" xr:uid="{00000000-0005-0000-0000-000076360000}"/>
    <cellStyle name="Comma 46 5" xfId="2946" xr:uid="{00000000-0005-0000-0000-000077360000}"/>
    <cellStyle name="Comma 46 5 2" xfId="9063" xr:uid="{00000000-0005-0000-0000-000078360000}"/>
    <cellStyle name="Comma 46 5 3" xfId="28074" xr:uid="{00000000-0005-0000-0000-000079360000}"/>
    <cellStyle name="Comma 46 6" xfId="2947" xr:uid="{00000000-0005-0000-0000-00007A360000}"/>
    <cellStyle name="Comma 46 6 2" xfId="9064" xr:uid="{00000000-0005-0000-0000-00007B360000}"/>
    <cellStyle name="Comma 46 6 3" xfId="28075" xr:uid="{00000000-0005-0000-0000-00007C360000}"/>
    <cellStyle name="Comma 46 7" xfId="2948" xr:uid="{00000000-0005-0000-0000-00007D360000}"/>
    <cellStyle name="Comma 46 7 2" xfId="9065" xr:uid="{00000000-0005-0000-0000-00007E360000}"/>
    <cellStyle name="Comma 46 7 3" xfId="28076" xr:uid="{00000000-0005-0000-0000-00007F360000}"/>
    <cellStyle name="Comma 46 8" xfId="2949" xr:uid="{00000000-0005-0000-0000-000080360000}"/>
    <cellStyle name="Comma 46 8 2" xfId="9066" xr:uid="{00000000-0005-0000-0000-000081360000}"/>
    <cellStyle name="Comma 46 8 3" xfId="28077" xr:uid="{00000000-0005-0000-0000-000082360000}"/>
    <cellStyle name="Comma 46 9" xfId="2950" xr:uid="{00000000-0005-0000-0000-000083360000}"/>
    <cellStyle name="Comma 46 9 2" xfId="9067" xr:uid="{00000000-0005-0000-0000-000084360000}"/>
    <cellStyle name="Comma 46 9 3" xfId="28078" xr:uid="{00000000-0005-0000-0000-000085360000}"/>
    <cellStyle name="Comma 47" xfId="2951" xr:uid="{00000000-0005-0000-0000-000086360000}"/>
    <cellStyle name="Comma 47 10" xfId="2952" xr:uid="{00000000-0005-0000-0000-000087360000}"/>
    <cellStyle name="Comma 47 10 2" xfId="9068" xr:uid="{00000000-0005-0000-0000-000088360000}"/>
    <cellStyle name="Comma 47 10 3" xfId="28080" xr:uid="{00000000-0005-0000-0000-000089360000}"/>
    <cellStyle name="Comma 47 11" xfId="9069" xr:uid="{00000000-0005-0000-0000-00008A360000}"/>
    <cellStyle name="Comma 47 11 2" xfId="28081" xr:uid="{00000000-0005-0000-0000-00008B360000}"/>
    <cellStyle name="Comma 47 12" xfId="28082" xr:uid="{00000000-0005-0000-0000-00008C360000}"/>
    <cellStyle name="Comma 47 13" xfId="28083" xr:uid="{00000000-0005-0000-0000-00008D360000}"/>
    <cellStyle name="Comma 47 14" xfId="28084" xr:uid="{00000000-0005-0000-0000-00008E360000}"/>
    <cellStyle name="Comma 47 15" xfId="28085" xr:uid="{00000000-0005-0000-0000-00008F360000}"/>
    <cellStyle name="Comma 47 16" xfId="28086" xr:uid="{00000000-0005-0000-0000-000090360000}"/>
    <cellStyle name="Comma 47 17" xfId="28087" xr:uid="{00000000-0005-0000-0000-000091360000}"/>
    <cellStyle name="Comma 47 18" xfId="28088" xr:uid="{00000000-0005-0000-0000-000092360000}"/>
    <cellStyle name="Comma 47 19" xfId="28079" xr:uid="{00000000-0005-0000-0000-000093360000}"/>
    <cellStyle name="Comma 47 2" xfId="2953" xr:uid="{00000000-0005-0000-0000-000094360000}"/>
    <cellStyle name="Comma 47 2 2" xfId="9070" xr:uid="{00000000-0005-0000-0000-000095360000}"/>
    <cellStyle name="Comma 47 2 2 2" xfId="28090" xr:uid="{00000000-0005-0000-0000-000096360000}"/>
    <cellStyle name="Comma 47 2 3" xfId="28089" xr:uid="{00000000-0005-0000-0000-000097360000}"/>
    <cellStyle name="Comma 47 3" xfId="2954" xr:uid="{00000000-0005-0000-0000-000098360000}"/>
    <cellStyle name="Comma 47 3 2" xfId="9071" xr:uid="{00000000-0005-0000-0000-000099360000}"/>
    <cellStyle name="Comma 47 3 3" xfId="28091" xr:uid="{00000000-0005-0000-0000-00009A360000}"/>
    <cellStyle name="Comma 47 4" xfId="2955" xr:uid="{00000000-0005-0000-0000-00009B360000}"/>
    <cellStyle name="Comma 47 4 2" xfId="9072" xr:uid="{00000000-0005-0000-0000-00009C360000}"/>
    <cellStyle name="Comma 47 4 3" xfId="28092" xr:uid="{00000000-0005-0000-0000-00009D360000}"/>
    <cellStyle name="Comma 47 5" xfId="2956" xr:uid="{00000000-0005-0000-0000-00009E360000}"/>
    <cellStyle name="Comma 47 5 2" xfId="9073" xr:uid="{00000000-0005-0000-0000-00009F360000}"/>
    <cellStyle name="Comma 47 5 3" xfId="28093" xr:uid="{00000000-0005-0000-0000-0000A0360000}"/>
    <cellStyle name="Comma 47 6" xfId="2957" xr:uid="{00000000-0005-0000-0000-0000A1360000}"/>
    <cellStyle name="Comma 47 6 2" xfId="9074" xr:uid="{00000000-0005-0000-0000-0000A2360000}"/>
    <cellStyle name="Comma 47 6 3" xfId="28094" xr:uid="{00000000-0005-0000-0000-0000A3360000}"/>
    <cellStyle name="Comma 47 7" xfId="2958" xr:uid="{00000000-0005-0000-0000-0000A4360000}"/>
    <cellStyle name="Comma 47 7 2" xfId="9075" xr:uid="{00000000-0005-0000-0000-0000A5360000}"/>
    <cellStyle name="Comma 47 7 3" xfId="28095" xr:uid="{00000000-0005-0000-0000-0000A6360000}"/>
    <cellStyle name="Comma 47 8" xfId="2959" xr:uid="{00000000-0005-0000-0000-0000A7360000}"/>
    <cellStyle name="Comma 47 8 2" xfId="9076" xr:uid="{00000000-0005-0000-0000-0000A8360000}"/>
    <cellStyle name="Comma 47 8 3" xfId="28096" xr:uid="{00000000-0005-0000-0000-0000A9360000}"/>
    <cellStyle name="Comma 47 9" xfId="2960" xr:uid="{00000000-0005-0000-0000-0000AA360000}"/>
    <cellStyle name="Comma 47 9 2" xfId="9077" xr:uid="{00000000-0005-0000-0000-0000AB360000}"/>
    <cellStyle name="Comma 47 9 3" xfId="28097" xr:uid="{00000000-0005-0000-0000-0000AC360000}"/>
    <cellStyle name="Comma 48" xfId="2961" xr:uid="{00000000-0005-0000-0000-0000AD360000}"/>
    <cellStyle name="Comma 48 10" xfId="2962" xr:uid="{00000000-0005-0000-0000-0000AE360000}"/>
    <cellStyle name="Comma 48 10 2" xfId="9078" xr:uid="{00000000-0005-0000-0000-0000AF360000}"/>
    <cellStyle name="Comma 48 10 3" xfId="28099" xr:uid="{00000000-0005-0000-0000-0000B0360000}"/>
    <cellStyle name="Comma 48 11" xfId="9079" xr:uid="{00000000-0005-0000-0000-0000B1360000}"/>
    <cellStyle name="Comma 48 11 2" xfId="28100" xr:uid="{00000000-0005-0000-0000-0000B2360000}"/>
    <cellStyle name="Comma 48 12" xfId="28101" xr:uid="{00000000-0005-0000-0000-0000B3360000}"/>
    <cellStyle name="Comma 48 13" xfId="28102" xr:uid="{00000000-0005-0000-0000-0000B4360000}"/>
    <cellStyle name="Comma 48 14" xfId="28103" xr:uid="{00000000-0005-0000-0000-0000B5360000}"/>
    <cellStyle name="Comma 48 15" xfId="28104" xr:uid="{00000000-0005-0000-0000-0000B6360000}"/>
    <cellStyle name="Comma 48 16" xfId="28105" xr:uid="{00000000-0005-0000-0000-0000B7360000}"/>
    <cellStyle name="Comma 48 17" xfId="28106" xr:uid="{00000000-0005-0000-0000-0000B8360000}"/>
    <cellStyle name="Comma 48 18" xfId="28107" xr:uid="{00000000-0005-0000-0000-0000B9360000}"/>
    <cellStyle name="Comma 48 19" xfId="28098" xr:uid="{00000000-0005-0000-0000-0000BA360000}"/>
    <cellStyle name="Comma 48 2" xfId="2963" xr:uid="{00000000-0005-0000-0000-0000BB360000}"/>
    <cellStyle name="Comma 48 2 2" xfId="9080" xr:uid="{00000000-0005-0000-0000-0000BC360000}"/>
    <cellStyle name="Comma 48 2 2 2" xfId="28109" xr:uid="{00000000-0005-0000-0000-0000BD360000}"/>
    <cellStyle name="Comma 48 2 3" xfId="28108" xr:uid="{00000000-0005-0000-0000-0000BE360000}"/>
    <cellStyle name="Comma 48 3" xfId="2964" xr:uid="{00000000-0005-0000-0000-0000BF360000}"/>
    <cellStyle name="Comma 48 3 2" xfId="9081" xr:uid="{00000000-0005-0000-0000-0000C0360000}"/>
    <cellStyle name="Comma 48 3 3" xfId="28110" xr:uid="{00000000-0005-0000-0000-0000C1360000}"/>
    <cellStyle name="Comma 48 4" xfId="2965" xr:uid="{00000000-0005-0000-0000-0000C2360000}"/>
    <cellStyle name="Comma 48 4 2" xfId="9082" xr:uid="{00000000-0005-0000-0000-0000C3360000}"/>
    <cellStyle name="Comma 48 4 3" xfId="28111" xr:uid="{00000000-0005-0000-0000-0000C4360000}"/>
    <cellStyle name="Comma 48 5" xfId="2966" xr:uid="{00000000-0005-0000-0000-0000C5360000}"/>
    <cellStyle name="Comma 48 5 2" xfId="9083" xr:uid="{00000000-0005-0000-0000-0000C6360000}"/>
    <cellStyle name="Comma 48 5 3" xfId="28112" xr:uid="{00000000-0005-0000-0000-0000C7360000}"/>
    <cellStyle name="Comma 48 6" xfId="2967" xr:uid="{00000000-0005-0000-0000-0000C8360000}"/>
    <cellStyle name="Comma 48 6 2" xfId="9084" xr:uid="{00000000-0005-0000-0000-0000C9360000}"/>
    <cellStyle name="Comma 48 6 3" xfId="28113" xr:uid="{00000000-0005-0000-0000-0000CA360000}"/>
    <cellStyle name="Comma 48 7" xfId="2968" xr:uid="{00000000-0005-0000-0000-0000CB360000}"/>
    <cellStyle name="Comma 48 7 2" xfId="9085" xr:uid="{00000000-0005-0000-0000-0000CC360000}"/>
    <cellStyle name="Comma 48 7 3" xfId="28114" xr:uid="{00000000-0005-0000-0000-0000CD360000}"/>
    <cellStyle name="Comma 48 8" xfId="2969" xr:uid="{00000000-0005-0000-0000-0000CE360000}"/>
    <cellStyle name="Comma 48 8 2" xfId="9086" xr:uid="{00000000-0005-0000-0000-0000CF360000}"/>
    <cellStyle name="Comma 48 8 3" xfId="28115" xr:uid="{00000000-0005-0000-0000-0000D0360000}"/>
    <cellStyle name="Comma 48 9" xfId="2970" xr:uid="{00000000-0005-0000-0000-0000D1360000}"/>
    <cellStyle name="Comma 48 9 2" xfId="9087" xr:uid="{00000000-0005-0000-0000-0000D2360000}"/>
    <cellStyle name="Comma 48 9 3" xfId="28116" xr:uid="{00000000-0005-0000-0000-0000D3360000}"/>
    <cellStyle name="Comma 49" xfId="2971" xr:uid="{00000000-0005-0000-0000-0000D4360000}"/>
    <cellStyle name="Comma 49 10" xfId="16164" xr:uid="{00000000-0005-0000-0000-0000D5360000}"/>
    <cellStyle name="Comma 49 10 2" xfId="28117" xr:uid="{00000000-0005-0000-0000-0000D6360000}"/>
    <cellStyle name="Comma 49 11" xfId="28118" xr:uid="{00000000-0005-0000-0000-0000D7360000}"/>
    <cellStyle name="Comma 49 12" xfId="28119" xr:uid="{00000000-0005-0000-0000-0000D8360000}"/>
    <cellStyle name="Comma 49 13" xfId="28120" xr:uid="{00000000-0005-0000-0000-0000D9360000}"/>
    <cellStyle name="Comma 49 14" xfId="28121" xr:uid="{00000000-0005-0000-0000-0000DA360000}"/>
    <cellStyle name="Comma 49 15" xfId="28122" xr:uid="{00000000-0005-0000-0000-0000DB360000}"/>
    <cellStyle name="Comma 49 16" xfId="28123" xr:uid="{00000000-0005-0000-0000-0000DC360000}"/>
    <cellStyle name="Comma 49 17" xfId="28124" xr:uid="{00000000-0005-0000-0000-0000DD360000}"/>
    <cellStyle name="Comma 49 18" xfId="28125" xr:uid="{00000000-0005-0000-0000-0000DE360000}"/>
    <cellStyle name="Comma 49 2" xfId="2972" xr:uid="{00000000-0005-0000-0000-0000DF360000}"/>
    <cellStyle name="Comma 49 2 2" xfId="2973" xr:uid="{00000000-0005-0000-0000-0000E0360000}"/>
    <cellStyle name="Comma 49 2 2 2" xfId="28126" xr:uid="{00000000-0005-0000-0000-0000E1360000}"/>
    <cellStyle name="Comma 49 2 3" xfId="2974" xr:uid="{00000000-0005-0000-0000-0000E2360000}"/>
    <cellStyle name="Comma 49 3" xfId="2975" xr:uid="{00000000-0005-0000-0000-0000E3360000}"/>
    <cellStyle name="Comma 49 3 2" xfId="2976" xr:uid="{00000000-0005-0000-0000-0000E4360000}"/>
    <cellStyle name="Comma 49 3 2 2" xfId="2977" xr:uid="{00000000-0005-0000-0000-0000E5360000}"/>
    <cellStyle name="Comma 49 3 2 2 2" xfId="2978" xr:uid="{00000000-0005-0000-0000-0000E6360000}"/>
    <cellStyle name="Comma 49 3 2 2 2 2" xfId="2979" xr:uid="{00000000-0005-0000-0000-0000E7360000}"/>
    <cellStyle name="Comma 49 3 2 2 2 2 2" xfId="19014" xr:uid="{00000000-0005-0000-0000-0000E8360000}"/>
    <cellStyle name="Comma 49 3 2 2 2 3" xfId="18496" xr:uid="{00000000-0005-0000-0000-0000E9360000}"/>
    <cellStyle name="Comma 49 3 2 2 3" xfId="2980" xr:uid="{00000000-0005-0000-0000-0000EA360000}"/>
    <cellStyle name="Comma 49 3 2 2 3 2" xfId="18732" xr:uid="{00000000-0005-0000-0000-0000EB360000}"/>
    <cellStyle name="Comma 49 3 2 2 4" xfId="18205" xr:uid="{00000000-0005-0000-0000-0000EC360000}"/>
    <cellStyle name="Comma 49 3 2 3" xfId="2981" xr:uid="{00000000-0005-0000-0000-0000ED360000}"/>
    <cellStyle name="Comma 49 3 2 3 2" xfId="2982" xr:uid="{00000000-0005-0000-0000-0000EE360000}"/>
    <cellStyle name="Comma 49 3 2 3 2 2" xfId="18894" xr:uid="{00000000-0005-0000-0000-0000EF360000}"/>
    <cellStyle name="Comma 49 3 2 3 3" xfId="18375" xr:uid="{00000000-0005-0000-0000-0000F0360000}"/>
    <cellStyle name="Comma 49 3 2 4" xfId="2983" xr:uid="{00000000-0005-0000-0000-0000F1360000}"/>
    <cellStyle name="Comma 49 3 2 4 2" xfId="18615" xr:uid="{00000000-0005-0000-0000-0000F2360000}"/>
    <cellStyle name="Comma 49 3 2 5" xfId="18061" xr:uid="{00000000-0005-0000-0000-0000F3360000}"/>
    <cellStyle name="Comma 49 3 2 6" xfId="28128" xr:uid="{00000000-0005-0000-0000-0000F4360000}"/>
    <cellStyle name="Comma 49 3 3" xfId="2984" xr:uid="{00000000-0005-0000-0000-0000F5360000}"/>
    <cellStyle name="Comma 49 3 3 2" xfId="2985" xr:uid="{00000000-0005-0000-0000-0000F6360000}"/>
    <cellStyle name="Comma 49 3 3 2 2" xfId="2986" xr:uid="{00000000-0005-0000-0000-0000F7360000}"/>
    <cellStyle name="Comma 49 3 3 2 2 2" xfId="18927" xr:uid="{00000000-0005-0000-0000-0000F8360000}"/>
    <cellStyle name="Comma 49 3 3 2 3" xfId="18409" xr:uid="{00000000-0005-0000-0000-0000F9360000}"/>
    <cellStyle name="Comma 49 3 3 3" xfId="2987" xr:uid="{00000000-0005-0000-0000-0000FA360000}"/>
    <cellStyle name="Comma 49 3 3 3 2" xfId="18645" xr:uid="{00000000-0005-0000-0000-0000FB360000}"/>
    <cellStyle name="Comma 49 3 3 4" xfId="18118" xr:uid="{00000000-0005-0000-0000-0000FC360000}"/>
    <cellStyle name="Comma 49 3 4" xfId="2988" xr:uid="{00000000-0005-0000-0000-0000FD360000}"/>
    <cellStyle name="Comma 49 3 4 2" xfId="2989" xr:uid="{00000000-0005-0000-0000-0000FE360000}"/>
    <cellStyle name="Comma 49 3 4 2 2" xfId="18808" xr:uid="{00000000-0005-0000-0000-0000FF360000}"/>
    <cellStyle name="Comma 49 3 4 3" xfId="18281" xr:uid="{00000000-0005-0000-0000-000000370000}"/>
    <cellStyle name="Comma 49 3 5" xfId="2990" xr:uid="{00000000-0005-0000-0000-000001370000}"/>
    <cellStyle name="Comma 49 3 5 2" xfId="18528" xr:uid="{00000000-0005-0000-0000-000002370000}"/>
    <cellStyle name="Comma 49 3 6" xfId="17964" xr:uid="{00000000-0005-0000-0000-000003370000}"/>
    <cellStyle name="Comma 49 3 7" xfId="28127" xr:uid="{00000000-0005-0000-0000-000004370000}"/>
    <cellStyle name="Comma 49 4" xfId="2991" xr:uid="{00000000-0005-0000-0000-000005370000}"/>
    <cellStyle name="Comma 49 4 2" xfId="2992" xr:uid="{00000000-0005-0000-0000-000006370000}"/>
    <cellStyle name="Comma 49 4 2 2" xfId="9088" xr:uid="{00000000-0005-0000-0000-000007370000}"/>
    <cellStyle name="Comma 49 4 3" xfId="2993" xr:uid="{00000000-0005-0000-0000-000008370000}"/>
    <cellStyle name="Comma 49 4 4" xfId="2994" xr:uid="{00000000-0005-0000-0000-000009370000}"/>
    <cellStyle name="Comma 49 4 4 2" xfId="2995" xr:uid="{00000000-0005-0000-0000-00000A370000}"/>
    <cellStyle name="Comma 49 4 5" xfId="28129" xr:uid="{00000000-0005-0000-0000-00000B370000}"/>
    <cellStyle name="Comma 49 5" xfId="2996" xr:uid="{00000000-0005-0000-0000-00000C370000}"/>
    <cellStyle name="Comma 49 5 2" xfId="2997" xr:uid="{00000000-0005-0000-0000-00000D370000}"/>
    <cellStyle name="Comma 49 5 2 2" xfId="2998" xr:uid="{00000000-0005-0000-0000-00000E370000}"/>
    <cellStyle name="Comma 49 5 2 2 2" xfId="2999" xr:uid="{00000000-0005-0000-0000-00000F370000}"/>
    <cellStyle name="Comma 49 5 2 2 2 2" xfId="18966" xr:uid="{00000000-0005-0000-0000-000010370000}"/>
    <cellStyle name="Comma 49 5 2 2 3" xfId="18448" xr:uid="{00000000-0005-0000-0000-000011370000}"/>
    <cellStyle name="Comma 49 5 2 3" xfId="3000" xr:uid="{00000000-0005-0000-0000-000012370000}"/>
    <cellStyle name="Comma 49 5 2 3 2" xfId="18684" xr:uid="{00000000-0005-0000-0000-000013370000}"/>
    <cellStyle name="Comma 49 5 2 4" xfId="18157" xr:uid="{00000000-0005-0000-0000-000014370000}"/>
    <cellStyle name="Comma 49 5 3" xfId="3001" xr:uid="{00000000-0005-0000-0000-000015370000}"/>
    <cellStyle name="Comma 49 5 3 2" xfId="3002" xr:uid="{00000000-0005-0000-0000-000016370000}"/>
    <cellStyle name="Comma 49 5 3 2 2" xfId="18845" xr:uid="{00000000-0005-0000-0000-000017370000}"/>
    <cellStyle name="Comma 49 5 3 3" xfId="18324" xr:uid="{00000000-0005-0000-0000-000018370000}"/>
    <cellStyle name="Comma 49 5 4" xfId="3003" xr:uid="{00000000-0005-0000-0000-000019370000}"/>
    <cellStyle name="Comma 49 5 4 2" xfId="18567" xr:uid="{00000000-0005-0000-0000-00001A370000}"/>
    <cellStyle name="Comma 49 5 5" xfId="18008" xr:uid="{00000000-0005-0000-0000-00001B370000}"/>
    <cellStyle name="Comma 49 5 6" xfId="28130" xr:uid="{00000000-0005-0000-0000-00001C370000}"/>
    <cellStyle name="Comma 49 6" xfId="3004" xr:uid="{00000000-0005-0000-0000-00001D370000}"/>
    <cellStyle name="Comma 49 6 2" xfId="9089" xr:uid="{00000000-0005-0000-0000-00001E370000}"/>
    <cellStyle name="Comma 49 6 3" xfId="28131" xr:uid="{00000000-0005-0000-0000-00001F370000}"/>
    <cellStyle name="Comma 49 7" xfId="3005" xr:uid="{00000000-0005-0000-0000-000020370000}"/>
    <cellStyle name="Comma 49 7 2" xfId="3006" xr:uid="{00000000-0005-0000-0000-000021370000}"/>
    <cellStyle name="Comma 49 7 2 2" xfId="3007" xr:uid="{00000000-0005-0000-0000-000022370000}"/>
    <cellStyle name="Comma 49 7 2 2 2" xfId="18907" xr:uid="{00000000-0005-0000-0000-000023370000}"/>
    <cellStyle name="Comma 49 7 2 3" xfId="18389" xr:uid="{00000000-0005-0000-0000-000024370000}"/>
    <cellStyle name="Comma 49 7 3" xfId="3008" xr:uid="{00000000-0005-0000-0000-000025370000}"/>
    <cellStyle name="Comma 49 7 3 2" xfId="18625" xr:uid="{00000000-0005-0000-0000-000026370000}"/>
    <cellStyle name="Comma 49 7 4" xfId="18098" xr:uid="{00000000-0005-0000-0000-000027370000}"/>
    <cellStyle name="Comma 49 7 5" xfId="28132" xr:uid="{00000000-0005-0000-0000-000028370000}"/>
    <cellStyle name="Comma 49 8" xfId="3009" xr:uid="{00000000-0005-0000-0000-000029370000}"/>
    <cellStyle name="Comma 49 8 2" xfId="3010" xr:uid="{00000000-0005-0000-0000-00002A370000}"/>
    <cellStyle name="Comma 49 8 2 2" xfId="18769" xr:uid="{00000000-0005-0000-0000-00002B370000}"/>
    <cellStyle name="Comma 49 8 3" xfId="18242" xr:uid="{00000000-0005-0000-0000-00002C370000}"/>
    <cellStyle name="Comma 49 8 4" xfId="28133" xr:uid="{00000000-0005-0000-0000-00002D370000}"/>
    <cellStyle name="Comma 49 9" xfId="3011" xr:uid="{00000000-0005-0000-0000-00002E370000}"/>
    <cellStyle name="Comma 49 9 2" xfId="18508" xr:uid="{00000000-0005-0000-0000-00002F370000}"/>
    <cellStyle name="Comma 49 9 3" xfId="28134" xr:uid="{00000000-0005-0000-0000-000030370000}"/>
    <cellStyle name="Comma 5" xfId="3012" xr:uid="{00000000-0005-0000-0000-000031370000}"/>
    <cellStyle name="Comma 5 10" xfId="3013" xr:uid="{00000000-0005-0000-0000-000032370000}"/>
    <cellStyle name="Comma 5 10 2" xfId="3014" xr:uid="{00000000-0005-0000-0000-000033370000}"/>
    <cellStyle name="Comma 5 10 2 2" xfId="9090" xr:uid="{00000000-0005-0000-0000-000034370000}"/>
    <cellStyle name="Comma 5 10 3" xfId="9091" xr:uid="{00000000-0005-0000-0000-000035370000}"/>
    <cellStyle name="Comma 5 11" xfId="3015" xr:uid="{00000000-0005-0000-0000-000036370000}"/>
    <cellStyle name="Comma 5 11 2" xfId="3016" xr:uid="{00000000-0005-0000-0000-000037370000}"/>
    <cellStyle name="Comma 5 11 2 2" xfId="9092" xr:uid="{00000000-0005-0000-0000-000038370000}"/>
    <cellStyle name="Comma 5 11 3" xfId="9093" xr:uid="{00000000-0005-0000-0000-000039370000}"/>
    <cellStyle name="Comma 5 12" xfId="3017" xr:uid="{00000000-0005-0000-0000-00003A370000}"/>
    <cellStyle name="Comma 5 12 2" xfId="3018" xr:uid="{00000000-0005-0000-0000-00003B370000}"/>
    <cellStyle name="Comma 5 12 2 2" xfId="9094" xr:uid="{00000000-0005-0000-0000-00003C370000}"/>
    <cellStyle name="Comma 5 12 3" xfId="9095" xr:uid="{00000000-0005-0000-0000-00003D370000}"/>
    <cellStyle name="Comma 5 13" xfId="3019" xr:uid="{00000000-0005-0000-0000-00003E370000}"/>
    <cellStyle name="Comma 5 13 2" xfId="3020" xr:uid="{00000000-0005-0000-0000-00003F370000}"/>
    <cellStyle name="Comma 5 13 2 2" xfId="9096" xr:uid="{00000000-0005-0000-0000-000040370000}"/>
    <cellStyle name="Comma 5 13 3" xfId="9097" xr:uid="{00000000-0005-0000-0000-000041370000}"/>
    <cellStyle name="Comma 5 14" xfId="3021" xr:uid="{00000000-0005-0000-0000-000042370000}"/>
    <cellStyle name="Comma 5 14 2" xfId="3022" xr:uid="{00000000-0005-0000-0000-000043370000}"/>
    <cellStyle name="Comma 5 14 2 2" xfId="9098" xr:uid="{00000000-0005-0000-0000-000044370000}"/>
    <cellStyle name="Comma 5 14 3" xfId="9099" xr:uid="{00000000-0005-0000-0000-000045370000}"/>
    <cellStyle name="Comma 5 15" xfId="3023" xr:uid="{00000000-0005-0000-0000-000046370000}"/>
    <cellStyle name="Comma 5 15 2" xfId="3024" xr:uid="{00000000-0005-0000-0000-000047370000}"/>
    <cellStyle name="Comma 5 15 2 2" xfId="9100" xr:uid="{00000000-0005-0000-0000-000048370000}"/>
    <cellStyle name="Comma 5 15 3" xfId="9101" xr:uid="{00000000-0005-0000-0000-000049370000}"/>
    <cellStyle name="Comma 5 16" xfId="3025" xr:uid="{00000000-0005-0000-0000-00004A370000}"/>
    <cellStyle name="Comma 5 16 2" xfId="3026" xr:uid="{00000000-0005-0000-0000-00004B370000}"/>
    <cellStyle name="Comma 5 16 2 2" xfId="9102" xr:uid="{00000000-0005-0000-0000-00004C370000}"/>
    <cellStyle name="Comma 5 16 3" xfId="9103" xr:uid="{00000000-0005-0000-0000-00004D370000}"/>
    <cellStyle name="Comma 5 17" xfId="3027" xr:uid="{00000000-0005-0000-0000-00004E370000}"/>
    <cellStyle name="Comma 5 17 2" xfId="3028" xr:uid="{00000000-0005-0000-0000-00004F370000}"/>
    <cellStyle name="Comma 5 17 2 2" xfId="9104" xr:uid="{00000000-0005-0000-0000-000050370000}"/>
    <cellStyle name="Comma 5 17 3" xfId="9105" xr:uid="{00000000-0005-0000-0000-000051370000}"/>
    <cellStyle name="Comma 5 18" xfId="3029" xr:uid="{00000000-0005-0000-0000-000052370000}"/>
    <cellStyle name="Comma 5 18 2" xfId="9106" xr:uid="{00000000-0005-0000-0000-000053370000}"/>
    <cellStyle name="Comma 5 19" xfId="3030" xr:uid="{00000000-0005-0000-0000-000054370000}"/>
    <cellStyle name="Comma 5 19 2" xfId="9107" xr:uid="{00000000-0005-0000-0000-000055370000}"/>
    <cellStyle name="Comma 5 2" xfId="3031" xr:uid="{00000000-0005-0000-0000-000056370000}"/>
    <cellStyle name="Comma 5 2 2" xfId="3032" xr:uid="{00000000-0005-0000-0000-000057370000}"/>
    <cellStyle name="Comma 5 2 2 2" xfId="9108" xr:uid="{00000000-0005-0000-0000-000058370000}"/>
    <cellStyle name="Comma 5 2 2 2 2" xfId="28137" xr:uid="{00000000-0005-0000-0000-000059370000}"/>
    <cellStyle name="Comma 5 2 2 3" xfId="28136" xr:uid="{00000000-0005-0000-0000-00005A370000}"/>
    <cellStyle name="Comma 5 2 3" xfId="9109" xr:uid="{00000000-0005-0000-0000-00005B370000}"/>
    <cellStyle name="Comma 5 2 3 2" xfId="28138" xr:uid="{00000000-0005-0000-0000-00005C370000}"/>
    <cellStyle name="Comma 5 2 4" xfId="28139" xr:uid="{00000000-0005-0000-0000-00005D370000}"/>
    <cellStyle name="Comma 5 2 5" xfId="28135" xr:uid="{00000000-0005-0000-0000-00005E370000}"/>
    <cellStyle name="Comma 5 20" xfId="3033" xr:uid="{00000000-0005-0000-0000-00005F370000}"/>
    <cellStyle name="Comma 5 20 2" xfId="9110" xr:uid="{00000000-0005-0000-0000-000060370000}"/>
    <cellStyle name="Comma 5 21" xfId="3034" xr:uid="{00000000-0005-0000-0000-000061370000}"/>
    <cellStyle name="Comma 5 21 2" xfId="9111" xr:uid="{00000000-0005-0000-0000-000062370000}"/>
    <cellStyle name="Comma 5 22" xfId="3035" xr:uid="{00000000-0005-0000-0000-000063370000}"/>
    <cellStyle name="Comma 5 22 2" xfId="9112" xr:uid="{00000000-0005-0000-0000-000064370000}"/>
    <cellStyle name="Comma 5 23" xfId="3036" xr:uid="{00000000-0005-0000-0000-000065370000}"/>
    <cellStyle name="Comma 5 23 2" xfId="9113" xr:uid="{00000000-0005-0000-0000-000066370000}"/>
    <cellStyle name="Comma 5 24" xfId="9114" xr:uid="{00000000-0005-0000-0000-000067370000}"/>
    <cellStyle name="Comma 5 3" xfId="3037" xr:uid="{00000000-0005-0000-0000-000068370000}"/>
    <cellStyle name="Comma 5 3 2" xfId="3038" xr:uid="{00000000-0005-0000-0000-000069370000}"/>
    <cellStyle name="Comma 5 3 2 2" xfId="9115" xr:uid="{00000000-0005-0000-0000-00006A370000}"/>
    <cellStyle name="Comma 5 3 2 2 2" xfId="28142" xr:uid="{00000000-0005-0000-0000-00006B370000}"/>
    <cellStyle name="Comma 5 3 2 3" xfId="28141" xr:uid="{00000000-0005-0000-0000-00006C370000}"/>
    <cellStyle name="Comma 5 3 3" xfId="9116" xr:uid="{00000000-0005-0000-0000-00006D370000}"/>
    <cellStyle name="Comma 5 3 3 2" xfId="28143" xr:uid="{00000000-0005-0000-0000-00006E370000}"/>
    <cellStyle name="Comma 5 3 4" xfId="28144" xr:uid="{00000000-0005-0000-0000-00006F370000}"/>
    <cellStyle name="Comma 5 3 5" xfId="28140" xr:uid="{00000000-0005-0000-0000-000070370000}"/>
    <cellStyle name="Comma 5 4" xfId="3039" xr:uid="{00000000-0005-0000-0000-000071370000}"/>
    <cellStyle name="Comma 5 4 2" xfId="3040" xr:uid="{00000000-0005-0000-0000-000072370000}"/>
    <cellStyle name="Comma 5 4 2 2" xfId="9117" xr:uid="{00000000-0005-0000-0000-000073370000}"/>
    <cellStyle name="Comma 5 4 2 2 2" xfId="28147" xr:uid="{00000000-0005-0000-0000-000074370000}"/>
    <cellStyle name="Comma 5 4 2 3" xfId="28146" xr:uid="{00000000-0005-0000-0000-000075370000}"/>
    <cellStyle name="Comma 5 4 3" xfId="9118" xr:uid="{00000000-0005-0000-0000-000076370000}"/>
    <cellStyle name="Comma 5 4 3 2" xfId="28148" xr:uid="{00000000-0005-0000-0000-000077370000}"/>
    <cellStyle name="Comma 5 4 4" xfId="28145" xr:uid="{00000000-0005-0000-0000-000078370000}"/>
    <cellStyle name="Comma 5 5" xfId="3041" xr:uid="{00000000-0005-0000-0000-000079370000}"/>
    <cellStyle name="Comma 5 5 2" xfId="3042" xr:uid="{00000000-0005-0000-0000-00007A370000}"/>
    <cellStyle name="Comma 5 5 2 2" xfId="9119" xr:uid="{00000000-0005-0000-0000-00007B370000}"/>
    <cellStyle name="Comma 5 5 2 3" xfId="28150" xr:uid="{00000000-0005-0000-0000-00007C370000}"/>
    <cellStyle name="Comma 5 5 3" xfId="9120" xr:uid="{00000000-0005-0000-0000-00007D370000}"/>
    <cellStyle name="Comma 5 5 4" xfId="28149" xr:uid="{00000000-0005-0000-0000-00007E370000}"/>
    <cellStyle name="Comma 5 6" xfId="3043" xr:uid="{00000000-0005-0000-0000-00007F370000}"/>
    <cellStyle name="Comma 5 6 2" xfId="3044" xr:uid="{00000000-0005-0000-0000-000080370000}"/>
    <cellStyle name="Comma 5 6 2 2" xfId="9121" xr:uid="{00000000-0005-0000-0000-000081370000}"/>
    <cellStyle name="Comma 5 6 3" xfId="9122" xr:uid="{00000000-0005-0000-0000-000082370000}"/>
    <cellStyle name="Comma 5 6 4" xfId="28151" xr:uid="{00000000-0005-0000-0000-000083370000}"/>
    <cellStyle name="Comma 5 7" xfId="3045" xr:uid="{00000000-0005-0000-0000-000084370000}"/>
    <cellStyle name="Comma 5 7 2" xfId="3046" xr:uid="{00000000-0005-0000-0000-000085370000}"/>
    <cellStyle name="Comma 5 7 2 2" xfId="9123" xr:uid="{00000000-0005-0000-0000-000086370000}"/>
    <cellStyle name="Comma 5 7 3" xfId="9124" xr:uid="{00000000-0005-0000-0000-000087370000}"/>
    <cellStyle name="Comma 5 7 4" xfId="28152" xr:uid="{00000000-0005-0000-0000-000088370000}"/>
    <cellStyle name="Comma 5 8" xfId="3047" xr:uid="{00000000-0005-0000-0000-000089370000}"/>
    <cellStyle name="Comma 5 8 2" xfId="3048" xr:uid="{00000000-0005-0000-0000-00008A370000}"/>
    <cellStyle name="Comma 5 8 2 2" xfId="9125" xr:uid="{00000000-0005-0000-0000-00008B370000}"/>
    <cellStyle name="Comma 5 8 3" xfId="9126" xr:uid="{00000000-0005-0000-0000-00008C370000}"/>
    <cellStyle name="Comma 5 9" xfId="3049" xr:uid="{00000000-0005-0000-0000-00008D370000}"/>
    <cellStyle name="Comma 5 9 2" xfId="3050" xr:uid="{00000000-0005-0000-0000-00008E370000}"/>
    <cellStyle name="Comma 5 9 2 2" xfId="9127" xr:uid="{00000000-0005-0000-0000-00008F370000}"/>
    <cellStyle name="Comma 5 9 3" xfId="9128" xr:uid="{00000000-0005-0000-0000-000090370000}"/>
    <cellStyle name="Comma 50" xfId="3051" xr:uid="{00000000-0005-0000-0000-000091370000}"/>
    <cellStyle name="Comma 50 10" xfId="28153" xr:uid="{00000000-0005-0000-0000-000092370000}"/>
    <cellStyle name="Comma 50 11" xfId="28154" xr:uid="{00000000-0005-0000-0000-000093370000}"/>
    <cellStyle name="Comma 50 12" xfId="28155" xr:uid="{00000000-0005-0000-0000-000094370000}"/>
    <cellStyle name="Comma 50 13" xfId="28156" xr:uid="{00000000-0005-0000-0000-000095370000}"/>
    <cellStyle name="Comma 50 14" xfId="28157" xr:uid="{00000000-0005-0000-0000-000096370000}"/>
    <cellStyle name="Comma 50 15" xfId="28158" xr:uid="{00000000-0005-0000-0000-000097370000}"/>
    <cellStyle name="Comma 50 16" xfId="28159" xr:uid="{00000000-0005-0000-0000-000098370000}"/>
    <cellStyle name="Comma 50 17" xfId="28160" xr:uid="{00000000-0005-0000-0000-000099370000}"/>
    <cellStyle name="Comma 50 18" xfId="28161" xr:uid="{00000000-0005-0000-0000-00009A370000}"/>
    <cellStyle name="Comma 50 2" xfId="3052" xr:uid="{00000000-0005-0000-0000-00009B370000}"/>
    <cellStyle name="Comma 50 2 2" xfId="3053" xr:uid="{00000000-0005-0000-0000-00009C370000}"/>
    <cellStyle name="Comma 50 2 2 2" xfId="28162" xr:uid="{00000000-0005-0000-0000-00009D370000}"/>
    <cellStyle name="Comma 50 2 3" xfId="3054" xr:uid="{00000000-0005-0000-0000-00009E370000}"/>
    <cellStyle name="Comma 50 3" xfId="3055" xr:uid="{00000000-0005-0000-0000-00009F370000}"/>
    <cellStyle name="Comma 50 3 2" xfId="9129" xr:uid="{00000000-0005-0000-0000-0000A0370000}"/>
    <cellStyle name="Comma 50 3 3" xfId="28163" xr:uid="{00000000-0005-0000-0000-0000A1370000}"/>
    <cellStyle name="Comma 50 4" xfId="3056" xr:uid="{00000000-0005-0000-0000-0000A2370000}"/>
    <cellStyle name="Comma 50 4 2" xfId="9130" xr:uid="{00000000-0005-0000-0000-0000A3370000}"/>
    <cellStyle name="Comma 50 4 3" xfId="28164" xr:uid="{00000000-0005-0000-0000-0000A4370000}"/>
    <cellStyle name="Comma 50 5" xfId="9131" xr:uid="{00000000-0005-0000-0000-0000A5370000}"/>
    <cellStyle name="Comma 50 5 2" xfId="28165" xr:uid="{00000000-0005-0000-0000-0000A6370000}"/>
    <cellStyle name="Comma 50 6" xfId="28166" xr:uid="{00000000-0005-0000-0000-0000A7370000}"/>
    <cellStyle name="Comma 50 7" xfId="28167" xr:uid="{00000000-0005-0000-0000-0000A8370000}"/>
    <cellStyle name="Comma 50 8" xfId="28168" xr:uid="{00000000-0005-0000-0000-0000A9370000}"/>
    <cellStyle name="Comma 50 9" xfId="28169" xr:uid="{00000000-0005-0000-0000-0000AA370000}"/>
    <cellStyle name="Comma 51" xfId="3057" xr:uid="{00000000-0005-0000-0000-0000AB370000}"/>
    <cellStyle name="Comma 51 10" xfId="28171" xr:uid="{00000000-0005-0000-0000-0000AC370000}"/>
    <cellStyle name="Comma 51 11" xfId="28172" xr:uid="{00000000-0005-0000-0000-0000AD370000}"/>
    <cellStyle name="Comma 51 12" xfId="28173" xr:uid="{00000000-0005-0000-0000-0000AE370000}"/>
    <cellStyle name="Comma 51 13" xfId="28174" xr:uid="{00000000-0005-0000-0000-0000AF370000}"/>
    <cellStyle name="Comma 51 14" xfId="28175" xr:uid="{00000000-0005-0000-0000-0000B0370000}"/>
    <cellStyle name="Comma 51 15" xfId="28176" xr:uid="{00000000-0005-0000-0000-0000B1370000}"/>
    <cellStyle name="Comma 51 16" xfId="28177" xr:uid="{00000000-0005-0000-0000-0000B2370000}"/>
    <cellStyle name="Comma 51 17" xfId="28178" xr:uid="{00000000-0005-0000-0000-0000B3370000}"/>
    <cellStyle name="Comma 51 18" xfId="28179" xr:uid="{00000000-0005-0000-0000-0000B4370000}"/>
    <cellStyle name="Comma 51 19" xfId="28170" xr:uid="{00000000-0005-0000-0000-0000B5370000}"/>
    <cellStyle name="Comma 51 2" xfId="3058" xr:uid="{00000000-0005-0000-0000-0000B6370000}"/>
    <cellStyle name="Comma 51 2 2" xfId="3059" xr:uid="{00000000-0005-0000-0000-0000B7370000}"/>
    <cellStyle name="Comma 51 2 2 2" xfId="3060" xr:uid="{00000000-0005-0000-0000-0000B8370000}"/>
    <cellStyle name="Comma 51 2 2 2 2" xfId="3061" xr:uid="{00000000-0005-0000-0000-0000B9370000}"/>
    <cellStyle name="Comma 51 2 2 2 2 2" xfId="18972" xr:uid="{00000000-0005-0000-0000-0000BA370000}"/>
    <cellStyle name="Comma 51 2 2 2 3" xfId="18454" xr:uid="{00000000-0005-0000-0000-0000BB370000}"/>
    <cellStyle name="Comma 51 2 2 3" xfId="3062" xr:uid="{00000000-0005-0000-0000-0000BC370000}"/>
    <cellStyle name="Comma 51 2 2 3 2" xfId="18690" xr:uid="{00000000-0005-0000-0000-0000BD370000}"/>
    <cellStyle name="Comma 51 2 2 4" xfId="18163" xr:uid="{00000000-0005-0000-0000-0000BE370000}"/>
    <cellStyle name="Comma 51 2 2 5" xfId="28181" xr:uid="{00000000-0005-0000-0000-0000BF370000}"/>
    <cellStyle name="Comma 51 2 3" xfId="3063" xr:uid="{00000000-0005-0000-0000-0000C0370000}"/>
    <cellStyle name="Comma 51 2 3 2" xfId="3064" xr:uid="{00000000-0005-0000-0000-0000C1370000}"/>
    <cellStyle name="Comma 51 2 3 2 2" xfId="18851" xr:uid="{00000000-0005-0000-0000-0000C2370000}"/>
    <cellStyle name="Comma 51 2 3 3" xfId="18330" xr:uid="{00000000-0005-0000-0000-0000C3370000}"/>
    <cellStyle name="Comma 51 2 4" xfId="3065" xr:uid="{00000000-0005-0000-0000-0000C4370000}"/>
    <cellStyle name="Comma 51 2 4 2" xfId="18573" xr:uid="{00000000-0005-0000-0000-0000C5370000}"/>
    <cellStyle name="Comma 51 2 5" xfId="18014" xr:uid="{00000000-0005-0000-0000-0000C6370000}"/>
    <cellStyle name="Comma 51 2 6" xfId="28180" xr:uid="{00000000-0005-0000-0000-0000C7370000}"/>
    <cellStyle name="Comma 51 3" xfId="3066" xr:uid="{00000000-0005-0000-0000-0000C8370000}"/>
    <cellStyle name="Comma 51 3 2" xfId="3067" xr:uid="{00000000-0005-0000-0000-0000C9370000}"/>
    <cellStyle name="Comma 51 3 2 2" xfId="3068" xr:uid="{00000000-0005-0000-0000-0000CA370000}"/>
    <cellStyle name="Comma 51 3 2 2 2" xfId="18910" xr:uid="{00000000-0005-0000-0000-0000CB370000}"/>
    <cellStyle name="Comma 51 3 2 3" xfId="18392" xr:uid="{00000000-0005-0000-0000-0000CC370000}"/>
    <cellStyle name="Comma 51 3 2 4" xfId="28183" xr:uid="{00000000-0005-0000-0000-0000CD370000}"/>
    <cellStyle name="Comma 51 3 3" xfId="3069" xr:uid="{00000000-0005-0000-0000-0000CE370000}"/>
    <cellStyle name="Comma 51 3 3 2" xfId="18628" xr:uid="{00000000-0005-0000-0000-0000CF370000}"/>
    <cellStyle name="Comma 51 3 4" xfId="18101" xr:uid="{00000000-0005-0000-0000-0000D0370000}"/>
    <cellStyle name="Comma 51 3 5" xfId="28182" xr:uid="{00000000-0005-0000-0000-0000D1370000}"/>
    <cellStyle name="Comma 51 4" xfId="3070" xr:uid="{00000000-0005-0000-0000-0000D2370000}"/>
    <cellStyle name="Comma 51 4 2" xfId="3071" xr:uid="{00000000-0005-0000-0000-0000D3370000}"/>
    <cellStyle name="Comma 51 4 2 2" xfId="18776" xr:uid="{00000000-0005-0000-0000-0000D4370000}"/>
    <cellStyle name="Comma 51 4 3" xfId="18249" xr:uid="{00000000-0005-0000-0000-0000D5370000}"/>
    <cellStyle name="Comma 51 4 4" xfId="28184" xr:uid="{00000000-0005-0000-0000-0000D6370000}"/>
    <cellStyle name="Comma 51 5" xfId="3072" xr:uid="{00000000-0005-0000-0000-0000D7370000}"/>
    <cellStyle name="Comma 51 5 2" xfId="18511" xr:uid="{00000000-0005-0000-0000-0000D8370000}"/>
    <cellStyle name="Comma 51 5 3" xfId="28185" xr:uid="{00000000-0005-0000-0000-0000D9370000}"/>
    <cellStyle name="Comma 51 6" xfId="16591" xr:uid="{00000000-0005-0000-0000-0000DA370000}"/>
    <cellStyle name="Comma 51 6 2" xfId="28186" xr:uid="{00000000-0005-0000-0000-0000DB370000}"/>
    <cellStyle name="Comma 51 7" xfId="28187" xr:uid="{00000000-0005-0000-0000-0000DC370000}"/>
    <cellStyle name="Comma 51 8" xfId="28188" xr:uid="{00000000-0005-0000-0000-0000DD370000}"/>
    <cellStyle name="Comma 51 9" xfId="28189" xr:uid="{00000000-0005-0000-0000-0000DE370000}"/>
    <cellStyle name="Comma 52" xfId="3073" xr:uid="{00000000-0005-0000-0000-0000DF370000}"/>
    <cellStyle name="Comma 52 10" xfId="28190" xr:uid="{00000000-0005-0000-0000-0000E0370000}"/>
    <cellStyle name="Comma 52 11" xfId="28191" xr:uid="{00000000-0005-0000-0000-0000E1370000}"/>
    <cellStyle name="Comma 52 12" xfId="28192" xr:uid="{00000000-0005-0000-0000-0000E2370000}"/>
    <cellStyle name="Comma 52 13" xfId="28193" xr:uid="{00000000-0005-0000-0000-0000E3370000}"/>
    <cellStyle name="Comma 52 14" xfId="28194" xr:uid="{00000000-0005-0000-0000-0000E4370000}"/>
    <cellStyle name="Comma 52 15" xfId="28195" xr:uid="{00000000-0005-0000-0000-0000E5370000}"/>
    <cellStyle name="Comma 52 16" xfId="28196" xr:uid="{00000000-0005-0000-0000-0000E6370000}"/>
    <cellStyle name="Comma 52 17" xfId="28197" xr:uid="{00000000-0005-0000-0000-0000E7370000}"/>
    <cellStyle name="Comma 52 18" xfId="28198" xr:uid="{00000000-0005-0000-0000-0000E8370000}"/>
    <cellStyle name="Comma 52 2" xfId="3074" xr:uid="{00000000-0005-0000-0000-0000E9370000}"/>
    <cellStyle name="Comma 52 2 2" xfId="9132" xr:uid="{00000000-0005-0000-0000-0000EA370000}"/>
    <cellStyle name="Comma 52 2 2 2" xfId="28200" xr:uid="{00000000-0005-0000-0000-0000EB370000}"/>
    <cellStyle name="Comma 52 2 3" xfId="28199" xr:uid="{00000000-0005-0000-0000-0000EC370000}"/>
    <cellStyle name="Comma 52 3" xfId="3075" xr:uid="{00000000-0005-0000-0000-0000ED370000}"/>
    <cellStyle name="Comma 52 3 2" xfId="28201" xr:uid="{00000000-0005-0000-0000-0000EE370000}"/>
    <cellStyle name="Comma 52 4" xfId="3076" xr:uid="{00000000-0005-0000-0000-0000EF370000}"/>
    <cellStyle name="Comma 52 5" xfId="28202" xr:uid="{00000000-0005-0000-0000-0000F0370000}"/>
    <cellStyle name="Comma 52 6" xfId="28203" xr:uid="{00000000-0005-0000-0000-0000F1370000}"/>
    <cellStyle name="Comma 52 7" xfId="28204" xr:uid="{00000000-0005-0000-0000-0000F2370000}"/>
    <cellStyle name="Comma 52 8" xfId="28205" xr:uid="{00000000-0005-0000-0000-0000F3370000}"/>
    <cellStyle name="Comma 52 9" xfId="28206" xr:uid="{00000000-0005-0000-0000-0000F4370000}"/>
    <cellStyle name="Comma 53" xfId="3077" xr:uid="{00000000-0005-0000-0000-0000F5370000}"/>
    <cellStyle name="Comma 53 10" xfId="28207" xr:uid="{00000000-0005-0000-0000-0000F6370000}"/>
    <cellStyle name="Comma 53 11" xfId="28208" xr:uid="{00000000-0005-0000-0000-0000F7370000}"/>
    <cellStyle name="Comma 53 12" xfId="28209" xr:uid="{00000000-0005-0000-0000-0000F8370000}"/>
    <cellStyle name="Comma 53 13" xfId="28210" xr:uid="{00000000-0005-0000-0000-0000F9370000}"/>
    <cellStyle name="Comma 53 14" xfId="28211" xr:uid="{00000000-0005-0000-0000-0000FA370000}"/>
    <cellStyle name="Comma 53 15" xfId="28212" xr:uid="{00000000-0005-0000-0000-0000FB370000}"/>
    <cellStyle name="Comma 53 16" xfId="28213" xr:uid="{00000000-0005-0000-0000-0000FC370000}"/>
    <cellStyle name="Comma 53 17" xfId="28214" xr:uid="{00000000-0005-0000-0000-0000FD370000}"/>
    <cellStyle name="Comma 53 18" xfId="28215" xr:uid="{00000000-0005-0000-0000-0000FE370000}"/>
    <cellStyle name="Comma 53 2" xfId="3078" xr:uid="{00000000-0005-0000-0000-0000FF370000}"/>
    <cellStyle name="Comma 53 2 2" xfId="28216" xr:uid="{00000000-0005-0000-0000-000000380000}"/>
    <cellStyle name="Comma 53 2 3" xfId="28217" xr:uid="{00000000-0005-0000-0000-000001380000}"/>
    <cellStyle name="Comma 53 2 4" xfId="28218" xr:uid="{00000000-0005-0000-0000-000002380000}"/>
    <cellStyle name="Comma 53 3" xfId="3079" xr:uid="{00000000-0005-0000-0000-000003380000}"/>
    <cellStyle name="Comma 53 3 2" xfId="28219" xr:uid="{00000000-0005-0000-0000-000004380000}"/>
    <cellStyle name="Comma 53 3 3" xfId="28220" xr:uid="{00000000-0005-0000-0000-000005380000}"/>
    <cellStyle name="Comma 53 3 4" xfId="28221" xr:uid="{00000000-0005-0000-0000-000006380000}"/>
    <cellStyle name="Comma 53 3 4 2" xfId="39191" xr:uid="{00000000-0005-0000-0000-000007380000}"/>
    <cellStyle name="Comma 53 4" xfId="28222" xr:uid="{00000000-0005-0000-0000-000008380000}"/>
    <cellStyle name="Comma 53 5" xfId="28223" xr:uid="{00000000-0005-0000-0000-000009380000}"/>
    <cellStyle name="Comma 53 6" xfId="28224" xr:uid="{00000000-0005-0000-0000-00000A380000}"/>
    <cellStyle name="Comma 53 7" xfId="28225" xr:uid="{00000000-0005-0000-0000-00000B380000}"/>
    <cellStyle name="Comma 53 8" xfId="28226" xr:uid="{00000000-0005-0000-0000-00000C380000}"/>
    <cellStyle name="Comma 53 9" xfId="28227" xr:uid="{00000000-0005-0000-0000-00000D380000}"/>
    <cellStyle name="Comma 54" xfId="3080" xr:uid="{00000000-0005-0000-0000-00000E380000}"/>
    <cellStyle name="Comma 54 2" xfId="3081" xr:uid="{00000000-0005-0000-0000-00000F380000}"/>
    <cellStyle name="Comma 54 2 2" xfId="9133" xr:uid="{00000000-0005-0000-0000-000010380000}"/>
    <cellStyle name="Comma 54 2 2 2" xfId="28230" xr:uid="{00000000-0005-0000-0000-000011380000}"/>
    <cellStyle name="Comma 54 2 3" xfId="28229" xr:uid="{00000000-0005-0000-0000-000012380000}"/>
    <cellStyle name="Comma 54 3" xfId="3082" xr:uid="{00000000-0005-0000-0000-000013380000}"/>
    <cellStyle name="Comma 54 3 2" xfId="9134" xr:uid="{00000000-0005-0000-0000-000014380000}"/>
    <cellStyle name="Comma 54 3 2 2" xfId="39192" xr:uid="{00000000-0005-0000-0000-000015380000}"/>
    <cellStyle name="Comma 54 3 2 3" xfId="28232" xr:uid="{00000000-0005-0000-0000-000016380000}"/>
    <cellStyle name="Comma 54 3 3" xfId="28231" xr:uid="{00000000-0005-0000-0000-000017380000}"/>
    <cellStyle name="Comma 54 4" xfId="3083" xr:uid="{00000000-0005-0000-0000-000018380000}"/>
    <cellStyle name="Comma 54 4 2" xfId="3084" xr:uid="{00000000-0005-0000-0000-000019380000}"/>
    <cellStyle name="Comma 54 4 3" xfId="28233" xr:uid="{00000000-0005-0000-0000-00001A380000}"/>
    <cellStyle name="Comma 54 5" xfId="28228" xr:uid="{00000000-0005-0000-0000-00001B380000}"/>
    <cellStyle name="Comma 55" xfId="3085" xr:uid="{00000000-0005-0000-0000-00001C380000}"/>
    <cellStyle name="Comma 55 2" xfId="3086" xr:uid="{00000000-0005-0000-0000-00001D380000}"/>
    <cellStyle name="Comma 55 2 2" xfId="3087" xr:uid="{00000000-0005-0000-0000-00001E380000}"/>
    <cellStyle name="Comma 55 2 2 2" xfId="3088" xr:uid="{00000000-0005-0000-0000-00001F380000}"/>
    <cellStyle name="Comma 55 2 2 2 2" xfId="3089" xr:uid="{00000000-0005-0000-0000-000020380000}"/>
    <cellStyle name="Comma 55 2 2 2 2 2" xfId="19001" xr:uid="{00000000-0005-0000-0000-000021380000}"/>
    <cellStyle name="Comma 55 2 2 2 3" xfId="18483" xr:uid="{00000000-0005-0000-0000-000022380000}"/>
    <cellStyle name="Comma 55 2 2 3" xfId="3090" xr:uid="{00000000-0005-0000-0000-000023380000}"/>
    <cellStyle name="Comma 55 2 2 3 2" xfId="18719" xr:uid="{00000000-0005-0000-0000-000024380000}"/>
    <cellStyle name="Comma 55 2 2 4" xfId="18192" xr:uid="{00000000-0005-0000-0000-000025380000}"/>
    <cellStyle name="Comma 55 2 2 5" xfId="28236" xr:uid="{00000000-0005-0000-0000-000026380000}"/>
    <cellStyle name="Comma 55 2 3" xfId="3091" xr:uid="{00000000-0005-0000-0000-000027380000}"/>
    <cellStyle name="Comma 55 2 3 2" xfId="3092" xr:uid="{00000000-0005-0000-0000-000028380000}"/>
    <cellStyle name="Comma 55 2 3 2 2" xfId="18881" xr:uid="{00000000-0005-0000-0000-000029380000}"/>
    <cellStyle name="Comma 55 2 3 3" xfId="18362" xr:uid="{00000000-0005-0000-0000-00002A380000}"/>
    <cellStyle name="Comma 55 2 4" xfId="3093" xr:uid="{00000000-0005-0000-0000-00002B380000}"/>
    <cellStyle name="Comma 55 2 4 2" xfId="18602" xr:uid="{00000000-0005-0000-0000-00002C380000}"/>
    <cellStyle name="Comma 55 2 5" xfId="18048" xr:uid="{00000000-0005-0000-0000-00002D380000}"/>
    <cellStyle name="Comma 55 2 6" xfId="28235" xr:uid="{00000000-0005-0000-0000-00002E380000}"/>
    <cellStyle name="Comma 55 3" xfId="3094" xr:uid="{00000000-0005-0000-0000-00002F380000}"/>
    <cellStyle name="Comma 55 3 2" xfId="3095" xr:uid="{00000000-0005-0000-0000-000030380000}"/>
    <cellStyle name="Comma 55 3 2 2" xfId="3096" xr:uid="{00000000-0005-0000-0000-000031380000}"/>
    <cellStyle name="Comma 55 3 2 2 2" xfId="18914" xr:uid="{00000000-0005-0000-0000-000032380000}"/>
    <cellStyle name="Comma 55 3 2 2 3" xfId="39193" xr:uid="{00000000-0005-0000-0000-000033380000}"/>
    <cellStyle name="Comma 55 3 2 3" xfId="18396" xr:uid="{00000000-0005-0000-0000-000034380000}"/>
    <cellStyle name="Comma 55 3 2 4" xfId="28238" xr:uid="{00000000-0005-0000-0000-000035380000}"/>
    <cellStyle name="Comma 55 3 3" xfId="3097" xr:uid="{00000000-0005-0000-0000-000036380000}"/>
    <cellStyle name="Comma 55 3 3 2" xfId="18632" xr:uid="{00000000-0005-0000-0000-000037380000}"/>
    <cellStyle name="Comma 55 3 4" xfId="18105" xr:uid="{00000000-0005-0000-0000-000038380000}"/>
    <cellStyle name="Comma 55 3 5" xfId="28237" xr:uid="{00000000-0005-0000-0000-000039380000}"/>
    <cellStyle name="Comma 55 4" xfId="3098" xr:uid="{00000000-0005-0000-0000-00003A380000}"/>
    <cellStyle name="Comma 55 4 2" xfId="3099" xr:uid="{00000000-0005-0000-0000-00003B380000}"/>
    <cellStyle name="Comma 55 4 2 2" xfId="18794" xr:uid="{00000000-0005-0000-0000-00003C380000}"/>
    <cellStyle name="Comma 55 4 3" xfId="18267" xr:uid="{00000000-0005-0000-0000-00003D380000}"/>
    <cellStyle name="Comma 55 4 4" xfId="28239" xr:uid="{00000000-0005-0000-0000-00003E380000}"/>
    <cellStyle name="Comma 55 5" xfId="3100" xr:uid="{00000000-0005-0000-0000-00003F380000}"/>
    <cellStyle name="Comma 55 5 2" xfId="18515" xr:uid="{00000000-0005-0000-0000-000040380000}"/>
    <cellStyle name="Comma 55 6" xfId="17599" xr:uid="{00000000-0005-0000-0000-000041380000}"/>
    <cellStyle name="Comma 55 7" xfId="28234" xr:uid="{00000000-0005-0000-0000-000042380000}"/>
    <cellStyle name="Comma 56" xfId="3101" xr:uid="{00000000-0005-0000-0000-000043380000}"/>
    <cellStyle name="Comma 56 2" xfId="9135" xr:uid="{00000000-0005-0000-0000-000044380000}"/>
    <cellStyle name="Comma 56 2 2" xfId="28241" xr:uid="{00000000-0005-0000-0000-000045380000}"/>
    <cellStyle name="Comma 56 2 3" xfId="28240" xr:uid="{00000000-0005-0000-0000-000046380000}"/>
    <cellStyle name="Comma 56 3" xfId="28242" xr:uid="{00000000-0005-0000-0000-000047380000}"/>
    <cellStyle name="Comma 56 3 2" xfId="28243" xr:uid="{00000000-0005-0000-0000-000048380000}"/>
    <cellStyle name="Comma 56 3 2 2" xfId="39194" xr:uid="{00000000-0005-0000-0000-000049380000}"/>
    <cellStyle name="Comma 56 4" xfId="28244" xr:uid="{00000000-0005-0000-0000-00004A380000}"/>
    <cellStyle name="Comma 57" xfId="3102" xr:uid="{00000000-0005-0000-0000-00004B380000}"/>
    <cellStyle name="Comma 57 2" xfId="9136" xr:uid="{00000000-0005-0000-0000-00004C380000}"/>
    <cellStyle name="Comma 57 2 2" xfId="28246" xr:uid="{00000000-0005-0000-0000-00004D380000}"/>
    <cellStyle name="Comma 57 2 3" xfId="28245" xr:uid="{00000000-0005-0000-0000-00004E380000}"/>
    <cellStyle name="Comma 57 3" xfId="28247" xr:uid="{00000000-0005-0000-0000-00004F380000}"/>
    <cellStyle name="Comma 57 3 2" xfId="28248" xr:uid="{00000000-0005-0000-0000-000050380000}"/>
    <cellStyle name="Comma 57 3 2 2" xfId="39195" xr:uid="{00000000-0005-0000-0000-000051380000}"/>
    <cellStyle name="Comma 57 4" xfId="28249" xr:uid="{00000000-0005-0000-0000-000052380000}"/>
    <cellStyle name="Comma 58" xfId="3103" xr:uid="{00000000-0005-0000-0000-000053380000}"/>
    <cellStyle name="Comma 58 2" xfId="9137" xr:uid="{00000000-0005-0000-0000-000054380000}"/>
    <cellStyle name="Comma 58 2 2" xfId="28251" xr:uid="{00000000-0005-0000-0000-000055380000}"/>
    <cellStyle name="Comma 58 2 3" xfId="28250" xr:uid="{00000000-0005-0000-0000-000056380000}"/>
    <cellStyle name="Comma 58 3" xfId="28252" xr:uid="{00000000-0005-0000-0000-000057380000}"/>
    <cellStyle name="Comma 58 3 2" xfId="28253" xr:uid="{00000000-0005-0000-0000-000058380000}"/>
    <cellStyle name="Comma 58 3 2 2" xfId="39196" xr:uid="{00000000-0005-0000-0000-000059380000}"/>
    <cellStyle name="Comma 58 4" xfId="28254" xr:uid="{00000000-0005-0000-0000-00005A380000}"/>
    <cellStyle name="Comma 59" xfId="3104" xr:uid="{00000000-0005-0000-0000-00005B380000}"/>
    <cellStyle name="Comma 59 2" xfId="3105" xr:uid="{00000000-0005-0000-0000-00005C380000}"/>
    <cellStyle name="Comma 59 2 2" xfId="9138" xr:uid="{00000000-0005-0000-0000-00005D380000}"/>
    <cellStyle name="Comma 59 2 2 2" xfId="28256" xr:uid="{00000000-0005-0000-0000-00005E380000}"/>
    <cellStyle name="Comma 59 2 3" xfId="28255" xr:uid="{00000000-0005-0000-0000-00005F380000}"/>
    <cellStyle name="Comma 59 3" xfId="3106" xr:uid="{00000000-0005-0000-0000-000060380000}"/>
    <cellStyle name="Comma 59 3 2" xfId="9139" xr:uid="{00000000-0005-0000-0000-000061380000}"/>
    <cellStyle name="Comma 59 3 2 2" xfId="39197" xr:uid="{00000000-0005-0000-0000-000062380000}"/>
    <cellStyle name="Comma 59 3 2 3" xfId="28258" xr:uid="{00000000-0005-0000-0000-000063380000}"/>
    <cellStyle name="Comma 59 3 3" xfId="28257" xr:uid="{00000000-0005-0000-0000-000064380000}"/>
    <cellStyle name="Comma 59 4" xfId="9140" xr:uid="{00000000-0005-0000-0000-000065380000}"/>
    <cellStyle name="Comma 59 4 2" xfId="28259" xr:uid="{00000000-0005-0000-0000-000066380000}"/>
    <cellStyle name="Comma 6" xfId="3107" xr:uid="{00000000-0005-0000-0000-000067380000}"/>
    <cellStyle name="Comma 6 10" xfId="3108" xr:uid="{00000000-0005-0000-0000-000068380000}"/>
    <cellStyle name="Comma 6 10 2" xfId="9141" xr:uid="{00000000-0005-0000-0000-000069380000}"/>
    <cellStyle name="Comma 6 10 2 2" xfId="28262" xr:uid="{00000000-0005-0000-0000-00006A380000}"/>
    <cellStyle name="Comma 6 10 2 2 2" xfId="28263" xr:uid="{00000000-0005-0000-0000-00006B380000}"/>
    <cellStyle name="Comma 6 10 2 2 2 2" xfId="28264" xr:uid="{00000000-0005-0000-0000-00006C380000}"/>
    <cellStyle name="Comma 6 10 2 2 3" xfId="28265" xr:uid="{00000000-0005-0000-0000-00006D380000}"/>
    <cellStyle name="Comma 6 10 2 3" xfId="28266" xr:uid="{00000000-0005-0000-0000-00006E380000}"/>
    <cellStyle name="Comma 6 10 2 3 2" xfId="28267" xr:uid="{00000000-0005-0000-0000-00006F380000}"/>
    <cellStyle name="Comma 6 10 2 4" xfId="28268" xr:uid="{00000000-0005-0000-0000-000070380000}"/>
    <cellStyle name="Comma 6 10 2 5" xfId="28261" xr:uid="{00000000-0005-0000-0000-000071380000}"/>
    <cellStyle name="Comma 6 10 3" xfId="28269" xr:uid="{00000000-0005-0000-0000-000072380000}"/>
    <cellStyle name="Comma 6 10 3 2" xfId="28270" xr:uid="{00000000-0005-0000-0000-000073380000}"/>
    <cellStyle name="Comma 6 10 3 2 2" xfId="28271" xr:uid="{00000000-0005-0000-0000-000074380000}"/>
    <cellStyle name="Comma 6 10 3 3" xfId="28272" xr:uid="{00000000-0005-0000-0000-000075380000}"/>
    <cellStyle name="Comma 6 10 4" xfId="28273" xr:uid="{00000000-0005-0000-0000-000076380000}"/>
    <cellStyle name="Comma 6 10 4 2" xfId="28274" xr:uid="{00000000-0005-0000-0000-000077380000}"/>
    <cellStyle name="Comma 6 10 5" xfId="28275" xr:uid="{00000000-0005-0000-0000-000078380000}"/>
    <cellStyle name="Comma 6 10 6" xfId="28260" xr:uid="{00000000-0005-0000-0000-000079380000}"/>
    <cellStyle name="Comma 6 11" xfId="3109" xr:uid="{00000000-0005-0000-0000-00007A380000}"/>
    <cellStyle name="Comma 6 11 2" xfId="9142" xr:uid="{00000000-0005-0000-0000-00007B380000}"/>
    <cellStyle name="Comma 6 11 2 2" xfId="28278" xr:uid="{00000000-0005-0000-0000-00007C380000}"/>
    <cellStyle name="Comma 6 11 2 2 2" xfId="28279" xr:uid="{00000000-0005-0000-0000-00007D380000}"/>
    <cellStyle name="Comma 6 11 2 3" xfId="28280" xr:uid="{00000000-0005-0000-0000-00007E380000}"/>
    <cellStyle name="Comma 6 11 2 4" xfId="28277" xr:uid="{00000000-0005-0000-0000-00007F380000}"/>
    <cellStyle name="Comma 6 11 3" xfId="28281" xr:uid="{00000000-0005-0000-0000-000080380000}"/>
    <cellStyle name="Comma 6 11 3 2" xfId="28282" xr:uid="{00000000-0005-0000-0000-000081380000}"/>
    <cellStyle name="Comma 6 11 4" xfId="28283" xr:uid="{00000000-0005-0000-0000-000082380000}"/>
    <cellStyle name="Comma 6 11 5" xfId="28276" xr:uid="{00000000-0005-0000-0000-000083380000}"/>
    <cellStyle name="Comma 6 12" xfId="9143" xr:uid="{00000000-0005-0000-0000-000084380000}"/>
    <cellStyle name="Comma 6 12 2" xfId="28285" xr:uid="{00000000-0005-0000-0000-000085380000}"/>
    <cellStyle name="Comma 6 12 2 2" xfId="28286" xr:uid="{00000000-0005-0000-0000-000086380000}"/>
    <cellStyle name="Comma 6 12 3" xfId="28287" xr:uid="{00000000-0005-0000-0000-000087380000}"/>
    <cellStyle name="Comma 6 12 4" xfId="28284" xr:uid="{00000000-0005-0000-0000-000088380000}"/>
    <cellStyle name="Comma 6 13" xfId="28288" xr:uid="{00000000-0005-0000-0000-000089380000}"/>
    <cellStyle name="Comma 6 13 2" xfId="28289" xr:uid="{00000000-0005-0000-0000-00008A380000}"/>
    <cellStyle name="Comma 6 14" xfId="28290" xr:uid="{00000000-0005-0000-0000-00008B380000}"/>
    <cellStyle name="Comma 6 14 2" xfId="28291" xr:uid="{00000000-0005-0000-0000-00008C380000}"/>
    <cellStyle name="Comma 6 15" xfId="28292" xr:uid="{00000000-0005-0000-0000-00008D380000}"/>
    <cellStyle name="Comma 6 15 2" xfId="28293" xr:uid="{00000000-0005-0000-0000-00008E380000}"/>
    <cellStyle name="Comma 6 16" xfId="28294" xr:uid="{00000000-0005-0000-0000-00008F380000}"/>
    <cellStyle name="Comma 6 17" xfId="28295" xr:uid="{00000000-0005-0000-0000-000090380000}"/>
    <cellStyle name="Comma 6 2" xfId="3110" xr:uid="{00000000-0005-0000-0000-000091380000}"/>
    <cellStyle name="Comma 6 2 2" xfId="3111" xr:uid="{00000000-0005-0000-0000-000092380000}"/>
    <cellStyle name="Comma 6 2 2 2" xfId="9144" xr:uid="{00000000-0005-0000-0000-000093380000}"/>
    <cellStyle name="Comma 6 2 2 2 2" xfId="28299" xr:uid="{00000000-0005-0000-0000-000094380000}"/>
    <cellStyle name="Comma 6 2 2 2 2 2" xfId="28300" xr:uid="{00000000-0005-0000-0000-000095380000}"/>
    <cellStyle name="Comma 6 2 2 2 2 2 2" xfId="28301" xr:uid="{00000000-0005-0000-0000-000096380000}"/>
    <cellStyle name="Comma 6 2 2 2 2 3" xfId="28302" xr:uid="{00000000-0005-0000-0000-000097380000}"/>
    <cellStyle name="Comma 6 2 2 2 3" xfId="28303" xr:uid="{00000000-0005-0000-0000-000098380000}"/>
    <cellStyle name="Comma 6 2 2 2 3 2" xfId="28304" xr:uid="{00000000-0005-0000-0000-000099380000}"/>
    <cellStyle name="Comma 6 2 2 2 4" xfId="28305" xr:uid="{00000000-0005-0000-0000-00009A380000}"/>
    <cellStyle name="Comma 6 2 2 2 5" xfId="28298" xr:uid="{00000000-0005-0000-0000-00009B380000}"/>
    <cellStyle name="Comma 6 2 2 3" xfId="28306" xr:uid="{00000000-0005-0000-0000-00009C380000}"/>
    <cellStyle name="Comma 6 2 2 3 2" xfId="28307" xr:uid="{00000000-0005-0000-0000-00009D380000}"/>
    <cellStyle name="Comma 6 2 2 3 2 2" xfId="28308" xr:uid="{00000000-0005-0000-0000-00009E380000}"/>
    <cellStyle name="Comma 6 2 2 3 3" xfId="28309" xr:uid="{00000000-0005-0000-0000-00009F380000}"/>
    <cellStyle name="Comma 6 2 2 4" xfId="28310" xr:uid="{00000000-0005-0000-0000-0000A0380000}"/>
    <cellStyle name="Comma 6 2 2 4 2" xfId="28311" xr:uid="{00000000-0005-0000-0000-0000A1380000}"/>
    <cellStyle name="Comma 6 2 2 5" xfId="28312" xr:uid="{00000000-0005-0000-0000-0000A2380000}"/>
    <cellStyle name="Comma 6 2 2 6" xfId="28297" xr:uid="{00000000-0005-0000-0000-0000A3380000}"/>
    <cellStyle name="Comma 6 2 3" xfId="9145" xr:uid="{00000000-0005-0000-0000-0000A4380000}"/>
    <cellStyle name="Comma 6 2 3 2" xfId="28314" xr:uid="{00000000-0005-0000-0000-0000A5380000}"/>
    <cellStyle name="Comma 6 2 3 3" xfId="28313" xr:uid="{00000000-0005-0000-0000-0000A6380000}"/>
    <cellStyle name="Comma 6 2 4" xfId="28315" xr:uid="{00000000-0005-0000-0000-0000A7380000}"/>
    <cellStyle name="Comma 6 2 5" xfId="28316" xr:uid="{00000000-0005-0000-0000-0000A8380000}"/>
    <cellStyle name="Comma 6 2 6" xfId="28317" xr:uid="{00000000-0005-0000-0000-0000A9380000}"/>
    <cellStyle name="Comma 6 2 6 2" xfId="39198" xr:uid="{00000000-0005-0000-0000-0000AA380000}"/>
    <cellStyle name="Comma 6 2 7" xfId="28296" xr:uid="{00000000-0005-0000-0000-0000AB380000}"/>
    <cellStyle name="Comma 6 3" xfId="3112" xr:uid="{00000000-0005-0000-0000-0000AC380000}"/>
    <cellStyle name="Comma 6 3 2" xfId="3113" xr:uid="{00000000-0005-0000-0000-0000AD380000}"/>
    <cellStyle name="Comma 6 3 2 2" xfId="9146" xr:uid="{00000000-0005-0000-0000-0000AE380000}"/>
    <cellStyle name="Comma 6 3 2 2 2" xfId="28321" xr:uid="{00000000-0005-0000-0000-0000AF380000}"/>
    <cellStyle name="Comma 6 3 2 2 2 2" xfId="28322" xr:uid="{00000000-0005-0000-0000-0000B0380000}"/>
    <cellStyle name="Comma 6 3 2 2 3" xfId="28323" xr:uid="{00000000-0005-0000-0000-0000B1380000}"/>
    <cellStyle name="Comma 6 3 2 2 4" xfId="28320" xr:uid="{00000000-0005-0000-0000-0000B2380000}"/>
    <cellStyle name="Comma 6 3 2 3" xfId="28324" xr:uid="{00000000-0005-0000-0000-0000B3380000}"/>
    <cellStyle name="Comma 6 3 2 3 2" xfId="28325" xr:uid="{00000000-0005-0000-0000-0000B4380000}"/>
    <cellStyle name="Comma 6 3 2 4" xfId="28326" xr:uid="{00000000-0005-0000-0000-0000B5380000}"/>
    <cellStyle name="Comma 6 3 2 5" xfId="28319" xr:uid="{00000000-0005-0000-0000-0000B6380000}"/>
    <cellStyle name="Comma 6 3 3" xfId="9147" xr:uid="{00000000-0005-0000-0000-0000B7380000}"/>
    <cellStyle name="Comma 6 3 3 2" xfId="28328" xr:uid="{00000000-0005-0000-0000-0000B8380000}"/>
    <cellStyle name="Comma 6 3 3 2 2" xfId="28329" xr:uid="{00000000-0005-0000-0000-0000B9380000}"/>
    <cellStyle name="Comma 6 3 3 3" xfId="28330" xr:uid="{00000000-0005-0000-0000-0000BA380000}"/>
    <cellStyle name="Comma 6 3 3 4" xfId="28327" xr:uid="{00000000-0005-0000-0000-0000BB380000}"/>
    <cellStyle name="Comma 6 3 4" xfId="28331" xr:uid="{00000000-0005-0000-0000-0000BC380000}"/>
    <cellStyle name="Comma 6 3 4 2" xfId="28332" xr:uid="{00000000-0005-0000-0000-0000BD380000}"/>
    <cellStyle name="Comma 6 3 5" xfId="28333" xr:uid="{00000000-0005-0000-0000-0000BE380000}"/>
    <cellStyle name="Comma 6 3 5 2" xfId="28334" xr:uid="{00000000-0005-0000-0000-0000BF380000}"/>
    <cellStyle name="Comma 6 3 6" xfId="28335" xr:uid="{00000000-0005-0000-0000-0000C0380000}"/>
    <cellStyle name="Comma 6 3 7" xfId="28336" xr:uid="{00000000-0005-0000-0000-0000C1380000}"/>
    <cellStyle name="Comma 6 3 7 2" xfId="39199" xr:uid="{00000000-0005-0000-0000-0000C2380000}"/>
    <cellStyle name="Comma 6 3 8" xfId="28318" xr:uid="{00000000-0005-0000-0000-0000C3380000}"/>
    <cellStyle name="Comma 6 4" xfId="3114" xr:uid="{00000000-0005-0000-0000-0000C4380000}"/>
    <cellStyle name="Comma 6 4 2" xfId="3115" xr:uid="{00000000-0005-0000-0000-0000C5380000}"/>
    <cellStyle name="Comma 6 4 2 2" xfId="9148" xr:uid="{00000000-0005-0000-0000-0000C6380000}"/>
    <cellStyle name="Comma 6 4 2 2 2" xfId="28340" xr:uid="{00000000-0005-0000-0000-0000C7380000}"/>
    <cellStyle name="Comma 6 4 2 2 2 2" xfId="28341" xr:uid="{00000000-0005-0000-0000-0000C8380000}"/>
    <cellStyle name="Comma 6 4 2 2 3" xfId="28342" xr:uid="{00000000-0005-0000-0000-0000C9380000}"/>
    <cellStyle name="Comma 6 4 2 2 4" xfId="28339" xr:uid="{00000000-0005-0000-0000-0000CA380000}"/>
    <cellStyle name="Comma 6 4 2 3" xfId="28343" xr:uid="{00000000-0005-0000-0000-0000CB380000}"/>
    <cellStyle name="Comma 6 4 2 3 2" xfId="28344" xr:uid="{00000000-0005-0000-0000-0000CC380000}"/>
    <cellStyle name="Comma 6 4 2 4" xfId="28345" xr:uid="{00000000-0005-0000-0000-0000CD380000}"/>
    <cellStyle name="Comma 6 4 2 5" xfId="28338" xr:uid="{00000000-0005-0000-0000-0000CE380000}"/>
    <cellStyle name="Comma 6 4 3" xfId="9149" xr:uid="{00000000-0005-0000-0000-0000CF380000}"/>
    <cellStyle name="Comma 6 4 3 2" xfId="28347" xr:uid="{00000000-0005-0000-0000-0000D0380000}"/>
    <cellStyle name="Comma 6 4 3 2 2" xfId="28348" xr:uid="{00000000-0005-0000-0000-0000D1380000}"/>
    <cellStyle name="Comma 6 4 3 3" xfId="28349" xr:uid="{00000000-0005-0000-0000-0000D2380000}"/>
    <cellStyle name="Comma 6 4 3 4" xfId="28346" xr:uid="{00000000-0005-0000-0000-0000D3380000}"/>
    <cellStyle name="Comma 6 4 4" xfId="28350" xr:uid="{00000000-0005-0000-0000-0000D4380000}"/>
    <cellStyle name="Comma 6 4 4 2" xfId="28351" xr:uid="{00000000-0005-0000-0000-0000D5380000}"/>
    <cellStyle name="Comma 6 4 5" xfId="28352" xr:uid="{00000000-0005-0000-0000-0000D6380000}"/>
    <cellStyle name="Comma 6 4 5 2" xfId="28353" xr:uid="{00000000-0005-0000-0000-0000D7380000}"/>
    <cellStyle name="Comma 6 4 6" xfId="28354" xr:uid="{00000000-0005-0000-0000-0000D8380000}"/>
    <cellStyle name="Comma 6 4 7" xfId="28337" xr:uid="{00000000-0005-0000-0000-0000D9380000}"/>
    <cellStyle name="Comma 6 5" xfId="3116" xr:uid="{00000000-0005-0000-0000-0000DA380000}"/>
    <cellStyle name="Comma 6 5 2" xfId="3117" xr:uid="{00000000-0005-0000-0000-0000DB380000}"/>
    <cellStyle name="Comma 6 5 2 2" xfId="9150" xr:uid="{00000000-0005-0000-0000-0000DC380000}"/>
    <cellStyle name="Comma 6 5 2 2 2" xfId="28358" xr:uid="{00000000-0005-0000-0000-0000DD380000}"/>
    <cellStyle name="Comma 6 5 2 2 2 2" xfId="28359" xr:uid="{00000000-0005-0000-0000-0000DE380000}"/>
    <cellStyle name="Comma 6 5 2 2 3" xfId="28360" xr:uid="{00000000-0005-0000-0000-0000DF380000}"/>
    <cellStyle name="Comma 6 5 2 2 4" xfId="28357" xr:uid="{00000000-0005-0000-0000-0000E0380000}"/>
    <cellStyle name="Comma 6 5 2 3" xfId="28361" xr:uid="{00000000-0005-0000-0000-0000E1380000}"/>
    <cellStyle name="Comma 6 5 2 3 2" xfId="28362" xr:uid="{00000000-0005-0000-0000-0000E2380000}"/>
    <cellStyle name="Comma 6 5 2 4" xfId="28363" xr:uid="{00000000-0005-0000-0000-0000E3380000}"/>
    <cellStyle name="Comma 6 5 2 5" xfId="28356" xr:uid="{00000000-0005-0000-0000-0000E4380000}"/>
    <cellStyle name="Comma 6 5 3" xfId="9151" xr:uid="{00000000-0005-0000-0000-0000E5380000}"/>
    <cellStyle name="Comma 6 5 3 2" xfId="28365" xr:uid="{00000000-0005-0000-0000-0000E6380000}"/>
    <cellStyle name="Comma 6 5 3 2 2" xfId="28366" xr:uid="{00000000-0005-0000-0000-0000E7380000}"/>
    <cellStyle name="Comma 6 5 3 3" xfId="28367" xr:uid="{00000000-0005-0000-0000-0000E8380000}"/>
    <cellStyle name="Comma 6 5 3 4" xfId="28364" xr:uid="{00000000-0005-0000-0000-0000E9380000}"/>
    <cellStyle name="Comma 6 5 4" xfId="28368" xr:uid="{00000000-0005-0000-0000-0000EA380000}"/>
    <cellStyle name="Comma 6 5 4 2" xfId="28369" xr:uid="{00000000-0005-0000-0000-0000EB380000}"/>
    <cellStyle name="Comma 6 5 5" xfId="28370" xr:uid="{00000000-0005-0000-0000-0000EC380000}"/>
    <cellStyle name="Comma 6 5 6" xfId="28355" xr:uid="{00000000-0005-0000-0000-0000ED380000}"/>
    <cellStyle name="Comma 6 6" xfId="3118" xr:uid="{00000000-0005-0000-0000-0000EE380000}"/>
    <cellStyle name="Comma 6 6 2" xfId="9152" xr:uid="{00000000-0005-0000-0000-0000EF380000}"/>
    <cellStyle name="Comma 6 6 2 2" xfId="28373" xr:uid="{00000000-0005-0000-0000-0000F0380000}"/>
    <cellStyle name="Comma 6 6 2 2 2" xfId="28374" xr:uid="{00000000-0005-0000-0000-0000F1380000}"/>
    <cellStyle name="Comma 6 6 2 2 2 2" xfId="28375" xr:uid="{00000000-0005-0000-0000-0000F2380000}"/>
    <cellStyle name="Comma 6 6 2 2 3" xfId="28376" xr:uid="{00000000-0005-0000-0000-0000F3380000}"/>
    <cellStyle name="Comma 6 6 2 3" xfId="28377" xr:uid="{00000000-0005-0000-0000-0000F4380000}"/>
    <cellStyle name="Comma 6 6 2 3 2" xfId="28378" xr:uid="{00000000-0005-0000-0000-0000F5380000}"/>
    <cellStyle name="Comma 6 6 2 4" xfId="28379" xr:uid="{00000000-0005-0000-0000-0000F6380000}"/>
    <cellStyle name="Comma 6 6 2 5" xfId="28372" xr:uid="{00000000-0005-0000-0000-0000F7380000}"/>
    <cellStyle name="Comma 6 6 3" xfId="28380" xr:uid="{00000000-0005-0000-0000-0000F8380000}"/>
    <cellStyle name="Comma 6 6 3 2" xfId="28381" xr:uid="{00000000-0005-0000-0000-0000F9380000}"/>
    <cellStyle name="Comma 6 6 3 2 2" xfId="28382" xr:uid="{00000000-0005-0000-0000-0000FA380000}"/>
    <cellStyle name="Comma 6 6 3 3" xfId="28383" xr:uid="{00000000-0005-0000-0000-0000FB380000}"/>
    <cellStyle name="Comma 6 6 4" xfId="28384" xr:uid="{00000000-0005-0000-0000-0000FC380000}"/>
    <cellStyle name="Comma 6 6 4 2" xfId="28385" xr:uid="{00000000-0005-0000-0000-0000FD380000}"/>
    <cellStyle name="Comma 6 6 5" xfId="28386" xr:uid="{00000000-0005-0000-0000-0000FE380000}"/>
    <cellStyle name="Comma 6 6 6" xfId="28371" xr:uid="{00000000-0005-0000-0000-0000FF380000}"/>
    <cellStyle name="Comma 6 7" xfId="3119" xr:uid="{00000000-0005-0000-0000-000000390000}"/>
    <cellStyle name="Comma 6 7 2" xfId="9153" xr:uid="{00000000-0005-0000-0000-000001390000}"/>
    <cellStyle name="Comma 6 7 2 2" xfId="28389" xr:uid="{00000000-0005-0000-0000-000002390000}"/>
    <cellStyle name="Comma 6 7 2 2 2" xfId="28390" xr:uid="{00000000-0005-0000-0000-000003390000}"/>
    <cellStyle name="Comma 6 7 2 2 2 2" xfId="28391" xr:uid="{00000000-0005-0000-0000-000004390000}"/>
    <cellStyle name="Comma 6 7 2 2 3" xfId="28392" xr:uid="{00000000-0005-0000-0000-000005390000}"/>
    <cellStyle name="Comma 6 7 2 3" xfId="28393" xr:uid="{00000000-0005-0000-0000-000006390000}"/>
    <cellStyle name="Comma 6 7 2 3 2" xfId="28394" xr:uid="{00000000-0005-0000-0000-000007390000}"/>
    <cellStyle name="Comma 6 7 2 4" xfId="28395" xr:uid="{00000000-0005-0000-0000-000008390000}"/>
    <cellStyle name="Comma 6 7 2 5" xfId="28388" xr:uid="{00000000-0005-0000-0000-000009390000}"/>
    <cellStyle name="Comma 6 7 3" xfId="28396" xr:uid="{00000000-0005-0000-0000-00000A390000}"/>
    <cellStyle name="Comma 6 7 3 2" xfId="28397" xr:uid="{00000000-0005-0000-0000-00000B390000}"/>
    <cellStyle name="Comma 6 7 3 2 2" xfId="28398" xr:uid="{00000000-0005-0000-0000-00000C390000}"/>
    <cellStyle name="Comma 6 7 3 3" xfId="28399" xr:uid="{00000000-0005-0000-0000-00000D390000}"/>
    <cellStyle name="Comma 6 7 4" xfId="28400" xr:uid="{00000000-0005-0000-0000-00000E390000}"/>
    <cellStyle name="Comma 6 7 4 2" xfId="28401" xr:uid="{00000000-0005-0000-0000-00000F390000}"/>
    <cellStyle name="Comma 6 7 5" xfId="28402" xr:uid="{00000000-0005-0000-0000-000010390000}"/>
    <cellStyle name="Comma 6 7 6" xfId="28387" xr:uid="{00000000-0005-0000-0000-000011390000}"/>
    <cellStyle name="Comma 6 8" xfId="3120" xr:uid="{00000000-0005-0000-0000-000012390000}"/>
    <cellStyle name="Comma 6 8 2" xfId="9154" xr:uid="{00000000-0005-0000-0000-000013390000}"/>
    <cellStyle name="Comma 6 8 2 2" xfId="28405" xr:uid="{00000000-0005-0000-0000-000014390000}"/>
    <cellStyle name="Comma 6 8 2 2 2" xfId="28406" xr:uid="{00000000-0005-0000-0000-000015390000}"/>
    <cellStyle name="Comma 6 8 2 2 2 2" xfId="28407" xr:uid="{00000000-0005-0000-0000-000016390000}"/>
    <cellStyle name="Comma 6 8 2 2 3" xfId="28408" xr:uid="{00000000-0005-0000-0000-000017390000}"/>
    <cellStyle name="Comma 6 8 2 3" xfId="28409" xr:uid="{00000000-0005-0000-0000-000018390000}"/>
    <cellStyle name="Comma 6 8 2 3 2" xfId="28410" xr:uid="{00000000-0005-0000-0000-000019390000}"/>
    <cellStyle name="Comma 6 8 2 4" xfId="28411" xr:uid="{00000000-0005-0000-0000-00001A390000}"/>
    <cellStyle name="Comma 6 8 2 5" xfId="28404" xr:uid="{00000000-0005-0000-0000-00001B390000}"/>
    <cellStyle name="Comma 6 8 3" xfId="28412" xr:uid="{00000000-0005-0000-0000-00001C390000}"/>
    <cellStyle name="Comma 6 8 3 2" xfId="28413" xr:uid="{00000000-0005-0000-0000-00001D390000}"/>
    <cellStyle name="Comma 6 8 3 2 2" xfId="28414" xr:uid="{00000000-0005-0000-0000-00001E390000}"/>
    <cellStyle name="Comma 6 8 3 3" xfId="28415" xr:uid="{00000000-0005-0000-0000-00001F390000}"/>
    <cellStyle name="Comma 6 8 4" xfId="28416" xr:uid="{00000000-0005-0000-0000-000020390000}"/>
    <cellStyle name="Comma 6 8 4 2" xfId="28417" xr:uid="{00000000-0005-0000-0000-000021390000}"/>
    <cellStyle name="Comma 6 8 5" xfId="28418" xr:uid="{00000000-0005-0000-0000-000022390000}"/>
    <cellStyle name="Comma 6 8 6" xfId="28403" xr:uid="{00000000-0005-0000-0000-000023390000}"/>
    <cellStyle name="Comma 6 9" xfId="3121" xr:uid="{00000000-0005-0000-0000-000024390000}"/>
    <cellStyle name="Comma 6 9 2" xfId="9155" xr:uid="{00000000-0005-0000-0000-000025390000}"/>
    <cellStyle name="Comma 6 9 2 2" xfId="28421" xr:uid="{00000000-0005-0000-0000-000026390000}"/>
    <cellStyle name="Comma 6 9 2 2 2" xfId="28422" xr:uid="{00000000-0005-0000-0000-000027390000}"/>
    <cellStyle name="Comma 6 9 2 2 2 2" xfId="28423" xr:uid="{00000000-0005-0000-0000-000028390000}"/>
    <cellStyle name="Comma 6 9 2 2 3" xfId="28424" xr:uid="{00000000-0005-0000-0000-000029390000}"/>
    <cellStyle name="Comma 6 9 2 3" xfId="28425" xr:uid="{00000000-0005-0000-0000-00002A390000}"/>
    <cellStyle name="Comma 6 9 2 3 2" xfId="28426" xr:uid="{00000000-0005-0000-0000-00002B390000}"/>
    <cellStyle name="Comma 6 9 2 4" xfId="28427" xr:uid="{00000000-0005-0000-0000-00002C390000}"/>
    <cellStyle name="Comma 6 9 2 5" xfId="28420" xr:uid="{00000000-0005-0000-0000-00002D390000}"/>
    <cellStyle name="Comma 6 9 3" xfId="28428" xr:uid="{00000000-0005-0000-0000-00002E390000}"/>
    <cellStyle name="Comma 6 9 3 2" xfId="28429" xr:uid="{00000000-0005-0000-0000-00002F390000}"/>
    <cellStyle name="Comma 6 9 3 2 2" xfId="28430" xr:uid="{00000000-0005-0000-0000-000030390000}"/>
    <cellStyle name="Comma 6 9 3 3" xfId="28431" xr:uid="{00000000-0005-0000-0000-000031390000}"/>
    <cellStyle name="Comma 6 9 4" xfId="28432" xr:uid="{00000000-0005-0000-0000-000032390000}"/>
    <cellStyle name="Comma 6 9 4 2" xfId="28433" xr:uid="{00000000-0005-0000-0000-000033390000}"/>
    <cellStyle name="Comma 6 9 5" xfId="28434" xr:uid="{00000000-0005-0000-0000-000034390000}"/>
    <cellStyle name="Comma 6 9 6" xfId="28419" xr:uid="{00000000-0005-0000-0000-000035390000}"/>
    <cellStyle name="Comma 60" xfId="3122" xr:uid="{00000000-0005-0000-0000-000036390000}"/>
    <cellStyle name="Comma 60 2" xfId="3123" xr:uid="{00000000-0005-0000-0000-000037390000}"/>
    <cellStyle name="Comma 60 2 2" xfId="9156" xr:uid="{00000000-0005-0000-0000-000038390000}"/>
    <cellStyle name="Comma 60 2 2 2" xfId="28435" xr:uid="{00000000-0005-0000-0000-000039390000}"/>
    <cellStyle name="Comma 60 3" xfId="3124" xr:uid="{00000000-0005-0000-0000-00003A390000}"/>
    <cellStyle name="Comma 60 3 2" xfId="9157" xr:uid="{00000000-0005-0000-0000-00003B390000}"/>
    <cellStyle name="Comma 60 3 2 2" xfId="39200" xr:uid="{00000000-0005-0000-0000-00003C390000}"/>
    <cellStyle name="Comma 60 3 2 3" xfId="28437" xr:uid="{00000000-0005-0000-0000-00003D390000}"/>
    <cellStyle name="Comma 60 3 3" xfId="28436" xr:uid="{00000000-0005-0000-0000-00003E390000}"/>
    <cellStyle name="Comma 60 4" xfId="9158" xr:uid="{00000000-0005-0000-0000-00003F390000}"/>
    <cellStyle name="Comma 60 4 2" xfId="28438" xr:uid="{00000000-0005-0000-0000-000040390000}"/>
    <cellStyle name="Comma 60 5" xfId="28439" xr:uid="{00000000-0005-0000-0000-000041390000}"/>
    <cellStyle name="Comma 61" xfId="3125" xr:uid="{00000000-0005-0000-0000-000042390000}"/>
    <cellStyle name="Comma 61 2" xfId="9159" xr:uid="{00000000-0005-0000-0000-000043390000}"/>
    <cellStyle name="Comma 61 2 2" xfId="28440" xr:uid="{00000000-0005-0000-0000-000044390000}"/>
    <cellStyle name="Comma 61 3" xfId="28441" xr:uid="{00000000-0005-0000-0000-000045390000}"/>
    <cellStyle name="Comma 61 3 2" xfId="28442" xr:uid="{00000000-0005-0000-0000-000046390000}"/>
    <cellStyle name="Comma 61 3 2 2" xfId="39201" xr:uid="{00000000-0005-0000-0000-000047390000}"/>
    <cellStyle name="Comma 61 4" xfId="28443" xr:uid="{00000000-0005-0000-0000-000048390000}"/>
    <cellStyle name="Comma 61 5" xfId="28444" xr:uid="{00000000-0005-0000-0000-000049390000}"/>
    <cellStyle name="Comma 62" xfId="3126" xr:uid="{00000000-0005-0000-0000-00004A390000}"/>
    <cellStyle name="Comma 62 2" xfId="9160" xr:uid="{00000000-0005-0000-0000-00004B390000}"/>
    <cellStyle name="Comma 62 2 2" xfId="28446" xr:uid="{00000000-0005-0000-0000-00004C390000}"/>
    <cellStyle name="Comma 62 2 3" xfId="28445" xr:uid="{00000000-0005-0000-0000-00004D390000}"/>
    <cellStyle name="Comma 62 3" xfId="28447" xr:uid="{00000000-0005-0000-0000-00004E390000}"/>
    <cellStyle name="Comma 62 3 2" xfId="28448" xr:uid="{00000000-0005-0000-0000-00004F390000}"/>
    <cellStyle name="Comma 62 3 2 2" xfId="39202" xr:uid="{00000000-0005-0000-0000-000050390000}"/>
    <cellStyle name="Comma 62 4" xfId="28449" xr:uid="{00000000-0005-0000-0000-000051390000}"/>
    <cellStyle name="Comma 63" xfId="3127" xr:uid="{00000000-0005-0000-0000-000052390000}"/>
    <cellStyle name="Comma 63 2" xfId="9161" xr:uid="{00000000-0005-0000-0000-000053390000}"/>
    <cellStyle name="Comma 63 2 2" xfId="28451" xr:uid="{00000000-0005-0000-0000-000054390000}"/>
    <cellStyle name="Comma 63 2 3" xfId="28450" xr:uid="{00000000-0005-0000-0000-000055390000}"/>
    <cellStyle name="Comma 63 3" xfId="28452" xr:uid="{00000000-0005-0000-0000-000056390000}"/>
    <cellStyle name="Comma 63 3 2" xfId="28453" xr:uid="{00000000-0005-0000-0000-000057390000}"/>
    <cellStyle name="Comma 63 3 2 2" xfId="39203" xr:uid="{00000000-0005-0000-0000-000058390000}"/>
    <cellStyle name="Comma 63 4" xfId="28454" xr:uid="{00000000-0005-0000-0000-000059390000}"/>
    <cellStyle name="Comma 64" xfId="3128" xr:uid="{00000000-0005-0000-0000-00005A390000}"/>
    <cellStyle name="Comma 64 2" xfId="9162" xr:uid="{00000000-0005-0000-0000-00005B390000}"/>
    <cellStyle name="Comma 64 2 2" xfId="28456" xr:uid="{00000000-0005-0000-0000-00005C390000}"/>
    <cellStyle name="Comma 64 2 3" xfId="28455" xr:uid="{00000000-0005-0000-0000-00005D390000}"/>
    <cellStyle name="Comma 64 3" xfId="28457" xr:uid="{00000000-0005-0000-0000-00005E390000}"/>
    <cellStyle name="Comma 64 4" xfId="28458" xr:uid="{00000000-0005-0000-0000-00005F390000}"/>
    <cellStyle name="Comma 65" xfId="3129" xr:uid="{00000000-0005-0000-0000-000060390000}"/>
    <cellStyle name="Comma 65 2" xfId="9163" xr:uid="{00000000-0005-0000-0000-000061390000}"/>
    <cellStyle name="Comma 65 2 2" xfId="28460" xr:uid="{00000000-0005-0000-0000-000062390000}"/>
    <cellStyle name="Comma 65 2 3" xfId="28459" xr:uid="{00000000-0005-0000-0000-000063390000}"/>
    <cellStyle name="Comma 65 3" xfId="28461" xr:uid="{00000000-0005-0000-0000-000064390000}"/>
    <cellStyle name="Comma 65 4" xfId="28462" xr:uid="{00000000-0005-0000-0000-000065390000}"/>
    <cellStyle name="Comma 66" xfId="3130" xr:uid="{00000000-0005-0000-0000-000066390000}"/>
    <cellStyle name="Comma 66 2" xfId="9164" xr:uid="{00000000-0005-0000-0000-000067390000}"/>
    <cellStyle name="Comma 66 2 2" xfId="28464" xr:uid="{00000000-0005-0000-0000-000068390000}"/>
    <cellStyle name="Comma 66 2 3" xfId="28463" xr:uid="{00000000-0005-0000-0000-000069390000}"/>
    <cellStyle name="Comma 66 3" xfId="28465" xr:uid="{00000000-0005-0000-0000-00006A390000}"/>
    <cellStyle name="Comma 66 4" xfId="28466" xr:uid="{00000000-0005-0000-0000-00006B390000}"/>
    <cellStyle name="Comma 67" xfId="3131" xr:uid="{00000000-0005-0000-0000-00006C390000}"/>
    <cellStyle name="Comma 67 2" xfId="9165" xr:uid="{00000000-0005-0000-0000-00006D390000}"/>
    <cellStyle name="Comma 67 2 2" xfId="28468" xr:uid="{00000000-0005-0000-0000-00006E390000}"/>
    <cellStyle name="Comma 67 2 3" xfId="28467" xr:uid="{00000000-0005-0000-0000-00006F390000}"/>
    <cellStyle name="Comma 67 3" xfId="28469" xr:uid="{00000000-0005-0000-0000-000070390000}"/>
    <cellStyle name="Comma 67 4" xfId="28470" xr:uid="{00000000-0005-0000-0000-000071390000}"/>
    <cellStyle name="Comma 68" xfId="3132" xr:uid="{00000000-0005-0000-0000-000072390000}"/>
    <cellStyle name="Comma 68 2" xfId="9166" xr:uid="{00000000-0005-0000-0000-000073390000}"/>
    <cellStyle name="Comma 68 2 2" xfId="28472" xr:uid="{00000000-0005-0000-0000-000074390000}"/>
    <cellStyle name="Comma 68 2 3" xfId="28471" xr:uid="{00000000-0005-0000-0000-000075390000}"/>
    <cellStyle name="Comma 68 3" xfId="28473" xr:uid="{00000000-0005-0000-0000-000076390000}"/>
    <cellStyle name="Comma 68 4" xfId="28474" xr:uid="{00000000-0005-0000-0000-000077390000}"/>
    <cellStyle name="Comma 69" xfId="3133" xr:uid="{00000000-0005-0000-0000-000078390000}"/>
    <cellStyle name="Comma 69 2" xfId="9167" xr:uid="{00000000-0005-0000-0000-000079390000}"/>
    <cellStyle name="Comma 69 2 2" xfId="28476" xr:uid="{00000000-0005-0000-0000-00007A390000}"/>
    <cellStyle name="Comma 69 2 3" xfId="28475" xr:uid="{00000000-0005-0000-0000-00007B390000}"/>
    <cellStyle name="Comma 69 3" xfId="28477" xr:uid="{00000000-0005-0000-0000-00007C390000}"/>
    <cellStyle name="Comma 69 4" xfId="28478" xr:uid="{00000000-0005-0000-0000-00007D390000}"/>
    <cellStyle name="Comma 7" xfId="3134" xr:uid="{00000000-0005-0000-0000-00007E390000}"/>
    <cellStyle name="Comma 7 10" xfId="3135" xr:uid="{00000000-0005-0000-0000-00007F390000}"/>
    <cellStyle name="Comma 7 10 2" xfId="9168" xr:uid="{00000000-0005-0000-0000-000080390000}"/>
    <cellStyle name="Comma 7 11" xfId="3136" xr:uid="{00000000-0005-0000-0000-000081390000}"/>
    <cellStyle name="Comma 7 11 2" xfId="9169" xr:uid="{00000000-0005-0000-0000-000082390000}"/>
    <cellStyle name="Comma 7 12" xfId="9170" xr:uid="{00000000-0005-0000-0000-000083390000}"/>
    <cellStyle name="Comma 7 2" xfId="3137" xr:uid="{00000000-0005-0000-0000-000084390000}"/>
    <cellStyle name="Comma 7 2 10" xfId="28480" xr:uid="{00000000-0005-0000-0000-000085390000}"/>
    <cellStyle name="Comma 7 2 11" xfId="28481" xr:uid="{00000000-0005-0000-0000-000086390000}"/>
    <cellStyle name="Comma 7 2 12" xfId="28482" xr:uid="{00000000-0005-0000-0000-000087390000}"/>
    <cellStyle name="Comma 7 2 13" xfId="28483" xr:uid="{00000000-0005-0000-0000-000088390000}"/>
    <cellStyle name="Comma 7 2 14" xfId="28484" xr:uid="{00000000-0005-0000-0000-000089390000}"/>
    <cellStyle name="Comma 7 2 15" xfId="28485" xr:uid="{00000000-0005-0000-0000-00008A390000}"/>
    <cellStyle name="Comma 7 2 16" xfId="28486" xr:uid="{00000000-0005-0000-0000-00008B390000}"/>
    <cellStyle name="Comma 7 2 17" xfId="28487" xr:uid="{00000000-0005-0000-0000-00008C390000}"/>
    <cellStyle name="Comma 7 2 18" xfId="28488" xr:uid="{00000000-0005-0000-0000-00008D390000}"/>
    <cellStyle name="Comma 7 2 19" xfId="28489" xr:uid="{00000000-0005-0000-0000-00008E390000}"/>
    <cellStyle name="Comma 7 2 2" xfId="3138" xr:uid="{00000000-0005-0000-0000-00008F390000}"/>
    <cellStyle name="Comma 7 2 2 10" xfId="28491" xr:uid="{00000000-0005-0000-0000-000090390000}"/>
    <cellStyle name="Comma 7 2 2 11" xfId="28492" xr:uid="{00000000-0005-0000-0000-000091390000}"/>
    <cellStyle name="Comma 7 2 2 12" xfId="28493" xr:uid="{00000000-0005-0000-0000-000092390000}"/>
    <cellStyle name="Comma 7 2 2 13" xfId="28494" xr:uid="{00000000-0005-0000-0000-000093390000}"/>
    <cellStyle name="Comma 7 2 2 14" xfId="28495" xr:uid="{00000000-0005-0000-0000-000094390000}"/>
    <cellStyle name="Comma 7 2 2 15" xfId="28496" xr:uid="{00000000-0005-0000-0000-000095390000}"/>
    <cellStyle name="Comma 7 2 2 16" xfId="28497" xr:uid="{00000000-0005-0000-0000-000096390000}"/>
    <cellStyle name="Comma 7 2 2 17" xfId="28498" xr:uid="{00000000-0005-0000-0000-000097390000}"/>
    <cellStyle name="Comma 7 2 2 18" xfId="28490" xr:uid="{00000000-0005-0000-0000-000098390000}"/>
    <cellStyle name="Comma 7 2 2 2" xfId="9171" xr:uid="{00000000-0005-0000-0000-000099390000}"/>
    <cellStyle name="Comma 7 2 2 2 2" xfId="28499" xr:uid="{00000000-0005-0000-0000-00009A390000}"/>
    <cellStyle name="Comma 7 2 2 3" xfId="28500" xr:uid="{00000000-0005-0000-0000-00009B390000}"/>
    <cellStyle name="Comma 7 2 2 4" xfId="28501" xr:uid="{00000000-0005-0000-0000-00009C390000}"/>
    <cellStyle name="Comma 7 2 2 5" xfId="28502" xr:uid="{00000000-0005-0000-0000-00009D390000}"/>
    <cellStyle name="Comma 7 2 2 6" xfId="28503" xr:uid="{00000000-0005-0000-0000-00009E390000}"/>
    <cellStyle name="Comma 7 2 2 7" xfId="28504" xr:uid="{00000000-0005-0000-0000-00009F390000}"/>
    <cellStyle name="Comma 7 2 2 8" xfId="28505" xr:uid="{00000000-0005-0000-0000-0000A0390000}"/>
    <cellStyle name="Comma 7 2 2 9" xfId="28506" xr:uid="{00000000-0005-0000-0000-0000A1390000}"/>
    <cellStyle name="Comma 7 2 20" xfId="28507" xr:uid="{00000000-0005-0000-0000-0000A2390000}"/>
    <cellStyle name="Comma 7 2 20 2" xfId="39204" xr:uid="{00000000-0005-0000-0000-0000A3390000}"/>
    <cellStyle name="Comma 7 2 21" xfId="28479" xr:uid="{00000000-0005-0000-0000-0000A4390000}"/>
    <cellStyle name="Comma 7 2 3" xfId="9172" xr:uid="{00000000-0005-0000-0000-0000A5390000}"/>
    <cellStyle name="Comma 7 2 3 2" xfId="28508" xr:uid="{00000000-0005-0000-0000-0000A6390000}"/>
    <cellStyle name="Comma 7 2 4" xfId="28509" xr:uid="{00000000-0005-0000-0000-0000A7390000}"/>
    <cellStyle name="Comma 7 2 5" xfId="28510" xr:uid="{00000000-0005-0000-0000-0000A8390000}"/>
    <cellStyle name="Comma 7 2 6" xfId="28511" xr:uid="{00000000-0005-0000-0000-0000A9390000}"/>
    <cellStyle name="Comma 7 2 7" xfId="28512" xr:uid="{00000000-0005-0000-0000-0000AA390000}"/>
    <cellStyle name="Comma 7 2 8" xfId="28513" xr:uid="{00000000-0005-0000-0000-0000AB390000}"/>
    <cellStyle name="Comma 7 2 9" xfId="28514" xr:uid="{00000000-0005-0000-0000-0000AC390000}"/>
    <cellStyle name="Comma 7 3" xfId="3139" xr:uid="{00000000-0005-0000-0000-0000AD390000}"/>
    <cellStyle name="Comma 7 3 2" xfId="3140" xr:uid="{00000000-0005-0000-0000-0000AE390000}"/>
    <cellStyle name="Comma 7 3 2 2" xfId="9173" xr:uid="{00000000-0005-0000-0000-0000AF390000}"/>
    <cellStyle name="Comma 7 3 2 2 2" xfId="28517" xr:uid="{00000000-0005-0000-0000-0000B0390000}"/>
    <cellStyle name="Comma 7 3 2 3" xfId="28516" xr:uid="{00000000-0005-0000-0000-0000B1390000}"/>
    <cellStyle name="Comma 7 3 3" xfId="9174" xr:uid="{00000000-0005-0000-0000-0000B2390000}"/>
    <cellStyle name="Comma 7 3 3 2" xfId="28518" xr:uid="{00000000-0005-0000-0000-0000B3390000}"/>
    <cellStyle name="Comma 7 3 4" xfId="28515" xr:uid="{00000000-0005-0000-0000-0000B4390000}"/>
    <cellStyle name="Comma 7 4" xfId="3141" xr:uid="{00000000-0005-0000-0000-0000B5390000}"/>
    <cellStyle name="Comma 7 4 2" xfId="3142" xr:uid="{00000000-0005-0000-0000-0000B6390000}"/>
    <cellStyle name="Comma 7 4 2 2" xfId="9175" xr:uid="{00000000-0005-0000-0000-0000B7390000}"/>
    <cellStyle name="Comma 7 4 2 2 2" xfId="28521" xr:uid="{00000000-0005-0000-0000-0000B8390000}"/>
    <cellStyle name="Comma 7 4 2 3" xfId="28520" xr:uid="{00000000-0005-0000-0000-0000B9390000}"/>
    <cellStyle name="Comma 7 4 3" xfId="9176" xr:uid="{00000000-0005-0000-0000-0000BA390000}"/>
    <cellStyle name="Comma 7 4 3 2" xfId="28522" xr:uid="{00000000-0005-0000-0000-0000BB390000}"/>
    <cellStyle name="Comma 7 4 4" xfId="28519" xr:uid="{00000000-0005-0000-0000-0000BC390000}"/>
    <cellStyle name="Comma 7 5" xfId="3143" xr:uid="{00000000-0005-0000-0000-0000BD390000}"/>
    <cellStyle name="Comma 7 5 2" xfId="3144" xr:uid="{00000000-0005-0000-0000-0000BE390000}"/>
    <cellStyle name="Comma 7 5 2 2" xfId="9177" xr:uid="{00000000-0005-0000-0000-0000BF390000}"/>
    <cellStyle name="Comma 7 5 2 3" xfId="28524" xr:uid="{00000000-0005-0000-0000-0000C0390000}"/>
    <cellStyle name="Comma 7 5 3" xfId="9178" xr:uid="{00000000-0005-0000-0000-0000C1390000}"/>
    <cellStyle name="Comma 7 5 4" xfId="28523" xr:uid="{00000000-0005-0000-0000-0000C2390000}"/>
    <cellStyle name="Comma 7 6" xfId="3145" xr:uid="{00000000-0005-0000-0000-0000C3390000}"/>
    <cellStyle name="Comma 7 6 2" xfId="9179" xr:uid="{00000000-0005-0000-0000-0000C4390000}"/>
    <cellStyle name="Comma 7 6 3" xfId="28525" xr:uid="{00000000-0005-0000-0000-0000C5390000}"/>
    <cellStyle name="Comma 7 7" xfId="3146" xr:uid="{00000000-0005-0000-0000-0000C6390000}"/>
    <cellStyle name="Comma 7 7 2" xfId="9180" xr:uid="{00000000-0005-0000-0000-0000C7390000}"/>
    <cellStyle name="Comma 7 7 3" xfId="28526" xr:uid="{00000000-0005-0000-0000-0000C8390000}"/>
    <cellStyle name="Comma 7 8" xfId="3147" xr:uid="{00000000-0005-0000-0000-0000C9390000}"/>
    <cellStyle name="Comma 7 8 2" xfId="9181" xr:uid="{00000000-0005-0000-0000-0000CA390000}"/>
    <cellStyle name="Comma 7 9" xfId="3148" xr:uid="{00000000-0005-0000-0000-0000CB390000}"/>
    <cellStyle name="Comma 7 9 2" xfId="9182" xr:uid="{00000000-0005-0000-0000-0000CC390000}"/>
    <cellStyle name="Comma 70" xfId="3149" xr:uid="{00000000-0005-0000-0000-0000CD390000}"/>
    <cellStyle name="Comma 70 2" xfId="9183" xr:uid="{00000000-0005-0000-0000-0000CE390000}"/>
    <cellStyle name="Comma 70 2 2" xfId="28528" xr:uid="{00000000-0005-0000-0000-0000CF390000}"/>
    <cellStyle name="Comma 70 2 3" xfId="28527" xr:uid="{00000000-0005-0000-0000-0000D0390000}"/>
    <cellStyle name="Comma 70 3" xfId="28529" xr:uid="{00000000-0005-0000-0000-0000D1390000}"/>
    <cellStyle name="Comma 70 4" xfId="28530" xr:uid="{00000000-0005-0000-0000-0000D2390000}"/>
    <cellStyle name="Comma 71" xfId="3150" xr:uid="{00000000-0005-0000-0000-0000D3390000}"/>
    <cellStyle name="Comma 71 2" xfId="9184" xr:uid="{00000000-0005-0000-0000-0000D4390000}"/>
    <cellStyle name="Comma 71 2 2" xfId="28533" xr:uid="{00000000-0005-0000-0000-0000D5390000}"/>
    <cellStyle name="Comma 71 2 3" xfId="28532" xr:uid="{00000000-0005-0000-0000-0000D6390000}"/>
    <cellStyle name="Comma 71 3" xfId="28534" xr:uid="{00000000-0005-0000-0000-0000D7390000}"/>
    <cellStyle name="Comma 71 4" xfId="28535" xr:uid="{00000000-0005-0000-0000-0000D8390000}"/>
    <cellStyle name="Comma 71 5" xfId="28536" xr:uid="{00000000-0005-0000-0000-0000D9390000}"/>
    <cellStyle name="Comma 71 6" xfId="28531" xr:uid="{00000000-0005-0000-0000-0000DA390000}"/>
    <cellStyle name="Comma 72" xfId="3151" xr:uid="{00000000-0005-0000-0000-0000DB390000}"/>
    <cellStyle name="Comma 72 2" xfId="9185" xr:uid="{00000000-0005-0000-0000-0000DC390000}"/>
    <cellStyle name="Comma 72 2 2" xfId="28539" xr:uid="{00000000-0005-0000-0000-0000DD390000}"/>
    <cellStyle name="Comma 72 2 3" xfId="28538" xr:uid="{00000000-0005-0000-0000-0000DE390000}"/>
    <cellStyle name="Comma 72 3" xfId="28540" xr:uid="{00000000-0005-0000-0000-0000DF390000}"/>
    <cellStyle name="Comma 72 4" xfId="28541" xr:uid="{00000000-0005-0000-0000-0000E0390000}"/>
    <cellStyle name="Comma 72 5" xfId="28542" xr:uid="{00000000-0005-0000-0000-0000E1390000}"/>
    <cellStyle name="Comma 72 6" xfId="28537" xr:uid="{00000000-0005-0000-0000-0000E2390000}"/>
    <cellStyle name="Comma 73" xfId="3152" xr:uid="{00000000-0005-0000-0000-0000E3390000}"/>
    <cellStyle name="Comma 73 2" xfId="9186" xr:uid="{00000000-0005-0000-0000-0000E4390000}"/>
    <cellStyle name="Comma 73 2 2" xfId="28545" xr:uid="{00000000-0005-0000-0000-0000E5390000}"/>
    <cellStyle name="Comma 73 2 3" xfId="28544" xr:uid="{00000000-0005-0000-0000-0000E6390000}"/>
    <cellStyle name="Comma 73 3" xfId="28546" xr:uid="{00000000-0005-0000-0000-0000E7390000}"/>
    <cellStyle name="Comma 73 4" xfId="28547" xr:uid="{00000000-0005-0000-0000-0000E8390000}"/>
    <cellStyle name="Comma 73 5" xfId="28548" xr:uid="{00000000-0005-0000-0000-0000E9390000}"/>
    <cellStyle name="Comma 73 6" xfId="28543" xr:uid="{00000000-0005-0000-0000-0000EA390000}"/>
    <cellStyle name="Comma 74" xfId="3153" xr:uid="{00000000-0005-0000-0000-0000EB390000}"/>
    <cellStyle name="Comma 74 2" xfId="9187" xr:uid="{00000000-0005-0000-0000-0000EC390000}"/>
    <cellStyle name="Comma 74 2 2" xfId="28551" xr:uid="{00000000-0005-0000-0000-0000ED390000}"/>
    <cellStyle name="Comma 74 2 3" xfId="28550" xr:uid="{00000000-0005-0000-0000-0000EE390000}"/>
    <cellStyle name="Comma 74 3" xfId="28552" xr:uid="{00000000-0005-0000-0000-0000EF390000}"/>
    <cellStyle name="Comma 74 4" xfId="28553" xr:uid="{00000000-0005-0000-0000-0000F0390000}"/>
    <cellStyle name="Comma 74 5" xfId="28554" xr:uid="{00000000-0005-0000-0000-0000F1390000}"/>
    <cellStyle name="Comma 74 6" xfId="28549" xr:uid="{00000000-0005-0000-0000-0000F2390000}"/>
    <cellStyle name="Comma 75" xfId="3154" xr:uid="{00000000-0005-0000-0000-0000F3390000}"/>
    <cellStyle name="Comma 75 2" xfId="9188" xr:uid="{00000000-0005-0000-0000-0000F4390000}"/>
    <cellStyle name="Comma 75 2 2" xfId="28557" xr:uid="{00000000-0005-0000-0000-0000F5390000}"/>
    <cellStyle name="Comma 75 2 3" xfId="28556" xr:uid="{00000000-0005-0000-0000-0000F6390000}"/>
    <cellStyle name="Comma 75 3" xfId="28558" xr:uid="{00000000-0005-0000-0000-0000F7390000}"/>
    <cellStyle name="Comma 75 4" xfId="28559" xr:uid="{00000000-0005-0000-0000-0000F8390000}"/>
    <cellStyle name="Comma 75 5" xfId="28560" xr:uid="{00000000-0005-0000-0000-0000F9390000}"/>
    <cellStyle name="Comma 75 6" xfId="28555" xr:uid="{00000000-0005-0000-0000-0000FA390000}"/>
    <cellStyle name="Comma 76" xfId="3155" xr:uid="{00000000-0005-0000-0000-0000FB390000}"/>
    <cellStyle name="Comma 76 2" xfId="9189" xr:uid="{00000000-0005-0000-0000-0000FC390000}"/>
    <cellStyle name="Comma 76 2 2" xfId="28563" xr:uid="{00000000-0005-0000-0000-0000FD390000}"/>
    <cellStyle name="Comma 76 2 3" xfId="28562" xr:uid="{00000000-0005-0000-0000-0000FE390000}"/>
    <cellStyle name="Comma 76 3" xfId="28564" xr:uid="{00000000-0005-0000-0000-0000FF390000}"/>
    <cellStyle name="Comma 76 4" xfId="28565" xr:uid="{00000000-0005-0000-0000-0000003A0000}"/>
    <cellStyle name="Comma 76 5" xfId="28566" xr:uid="{00000000-0005-0000-0000-0000013A0000}"/>
    <cellStyle name="Comma 76 6" xfId="28561" xr:uid="{00000000-0005-0000-0000-0000023A0000}"/>
    <cellStyle name="Comma 77" xfId="3156" xr:uid="{00000000-0005-0000-0000-0000033A0000}"/>
    <cellStyle name="Comma 77 2" xfId="9190" xr:uid="{00000000-0005-0000-0000-0000043A0000}"/>
    <cellStyle name="Comma 77 2 2" xfId="28569" xr:uid="{00000000-0005-0000-0000-0000053A0000}"/>
    <cellStyle name="Comma 77 2 3" xfId="28568" xr:uid="{00000000-0005-0000-0000-0000063A0000}"/>
    <cellStyle name="Comma 77 3" xfId="28570" xr:uid="{00000000-0005-0000-0000-0000073A0000}"/>
    <cellStyle name="Comma 77 4" xfId="28571" xr:uid="{00000000-0005-0000-0000-0000083A0000}"/>
    <cellStyle name="Comma 77 5" xfId="28572" xr:uid="{00000000-0005-0000-0000-0000093A0000}"/>
    <cellStyle name="Comma 77 6" xfId="28567" xr:uid="{00000000-0005-0000-0000-00000A3A0000}"/>
    <cellStyle name="Comma 78" xfId="3157" xr:uid="{00000000-0005-0000-0000-00000B3A0000}"/>
    <cellStyle name="Comma 78 2" xfId="9191" xr:uid="{00000000-0005-0000-0000-00000C3A0000}"/>
    <cellStyle name="Comma 78 2 2" xfId="28575" xr:uid="{00000000-0005-0000-0000-00000D3A0000}"/>
    <cellStyle name="Comma 78 2 3" xfId="28574" xr:uid="{00000000-0005-0000-0000-00000E3A0000}"/>
    <cellStyle name="Comma 78 3" xfId="28576" xr:uid="{00000000-0005-0000-0000-00000F3A0000}"/>
    <cellStyle name="Comma 78 4" xfId="28577" xr:uid="{00000000-0005-0000-0000-0000103A0000}"/>
    <cellStyle name="Comma 78 5" xfId="28578" xr:uid="{00000000-0005-0000-0000-0000113A0000}"/>
    <cellStyle name="Comma 78 6" xfId="28573" xr:uid="{00000000-0005-0000-0000-0000123A0000}"/>
    <cellStyle name="Comma 79" xfId="3158" xr:uid="{00000000-0005-0000-0000-0000133A0000}"/>
    <cellStyle name="Comma 79 2" xfId="3159" xr:uid="{00000000-0005-0000-0000-0000143A0000}"/>
    <cellStyle name="Comma 79 2 2" xfId="3160" xr:uid="{00000000-0005-0000-0000-0000153A0000}"/>
    <cellStyle name="Comma 79 2 2 2" xfId="3161" xr:uid="{00000000-0005-0000-0000-0000163A0000}"/>
    <cellStyle name="Comma 79 2 2 2 2" xfId="18952" xr:uid="{00000000-0005-0000-0000-0000173A0000}"/>
    <cellStyle name="Comma 79 2 2 3" xfId="18434" xr:uid="{00000000-0005-0000-0000-0000183A0000}"/>
    <cellStyle name="Comma 79 2 2 4" xfId="28581" xr:uid="{00000000-0005-0000-0000-0000193A0000}"/>
    <cellStyle name="Comma 79 2 3" xfId="3162" xr:uid="{00000000-0005-0000-0000-00001A3A0000}"/>
    <cellStyle name="Comma 79 2 3 2" xfId="18670" xr:uid="{00000000-0005-0000-0000-00001B3A0000}"/>
    <cellStyle name="Comma 79 2 4" xfId="18143" xr:uid="{00000000-0005-0000-0000-00001C3A0000}"/>
    <cellStyle name="Comma 79 2 5" xfId="28580" xr:uid="{00000000-0005-0000-0000-00001D3A0000}"/>
    <cellStyle name="Comma 79 3" xfId="3163" xr:uid="{00000000-0005-0000-0000-00001E3A0000}"/>
    <cellStyle name="Comma 79 3 2" xfId="3164" xr:uid="{00000000-0005-0000-0000-00001F3A0000}"/>
    <cellStyle name="Comma 79 3 2 2" xfId="18831" xr:uid="{00000000-0005-0000-0000-0000203A0000}"/>
    <cellStyle name="Comma 79 3 3" xfId="18310" xr:uid="{00000000-0005-0000-0000-0000213A0000}"/>
    <cellStyle name="Comma 79 3 4" xfId="28582" xr:uid="{00000000-0005-0000-0000-0000223A0000}"/>
    <cellStyle name="Comma 79 4" xfId="3165" xr:uid="{00000000-0005-0000-0000-0000233A0000}"/>
    <cellStyle name="Comma 79 4 2" xfId="18553" xr:uid="{00000000-0005-0000-0000-0000243A0000}"/>
    <cellStyle name="Comma 79 4 3" xfId="28583" xr:uid="{00000000-0005-0000-0000-0000253A0000}"/>
    <cellStyle name="Comma 79 5" xfId="17991" xr:uid="{00000000-0005-0000-0000-0000263A0000}"/>
    <cellStyle name="Comma 79 5 2" xfId="28584" xr:uid="{00000000-0005-0000-0000-0000273A0000}"/>
    <cellStyle name="Comma 79 6" xfId="28579" xr:uid="{00000000-0005-0000-0000-0000283A0000}"/>
    <cellStyle name="Comma 8" xfId="3166" xr:uid="{00000000-0005-0000-0000-0000293A0000}"/>
    <cellStyle name="Comma 8 10" xfId="3167" xr:uid="{00000000-0005-0000-0000-00002A3A0000}"/>
    <cellStyle name="Comma 8 10 2" xfId="9192" xr:uid="{00000000-0005-0000-0000-00002B3A0000}"/>
    <cellStyle name="Comma 8 11" xfId="3168" xr:uid="{00000000-0005-0000-0000-00002C3A0000}"/>
    <cellStyle name="Comma 8 11 2" xfId="9193" xr:uid="{00000000-0005-0000-0000-00002D3A0000}"/>
    <cellStyle name="Comma 8 12" xfId="9194" xr:uid="{00000000-0005-0000-0000-00002E3A0000}"/>
    <cellStyle name="Comma 8 2" xfId="3169" xr:uid="{00000000-0005-0000-0000-00002F3A0000}"/>
    <cellStyle name="Comma 8 2 10" xfId="28586" xr:uid="{00000000-0005-0000-0000-0000303A0000}"/>
    <cellStyle name="Comma 8 2 11" xfId="28587" xr:uid="{00000000-0005-0000-0000-0000313A0000}"/>
    <cellStyle name="Comma 8 2 12" xfId="28588" xr:uid="{00000000-0005-0000-0000-0000323A0000}"/>
    <cellStyle name="Comma 8 2 13" xfId="28589" xr:uid="{00000000-0005-0000-0000-0000333A0000}"/>
    <cellStyle name="Comma 8 2 14" xfId="28590" xr:uid="{00000000-0005-0000-0000-0000343A0000}"/>
    <cellStyle name="Comma 8 2 15" xfId="28591" xr:uid="{00000000-0005-0000-0000-0000353A0000}"/>
    <cellStyle name="Comma 8 2 16" xfId="28592" xr:uid="{00000000-0005-0000-0000-0000363A0000}"/>
    <cellStyle name="Comma 8 2 17" xfId="28593" xr:uid="{00000000-0005-0000-0000-0000373A0000}"/>
    <cellStyle name="Comma 8 2 18" xfId="28594" xr:uid="{00000000-0005-0000-0000-0000383A0000}"/>
    <cellStyle name="Comma 8 2 19" xfId="28595" xr:uid="{00000000-0005-0000-0000-0000393A0000}"/>
    <cellStyle name="Comma 8 2 2" xfId="3170" xr:uid="{00000000-0005-0000-0000-00003A3A0000}"/>
    <cellStyle name="Comma 8 2 2 10" xfId="28597" xr:uid="{00000000-0005-0000-0000-00003B3A0000}"/>
    <cellStyle name="Comma 8 2 2 11" xfId="28598" xr:uid="{00000000-0005-0000-0000-00003C3A0000}"/>
    <cellStyle name="Comma 8 2 2 12" xfId="28599" xr:uid="{00000000-0005-0000-0000-00003D3A0000}"/>
    <cellStyle name="Comma 8 2 2 13" xfId="28600" xr:uid="{00000000-0005-0000-0000-00003E3A0000}"/>
    <cellStyle name="Comma 8 2 2 14" xfId="28601" xr:uid="{00000000-0005-0000-0000-00003F3A0000}"/>
    <cellStyle name="Comma 8 2 2 15" xfId="28602" xr:uid="{00000000-0005-0000-0000-0000403A0000}"/>
    <cellStyle name="Comma 8 2 2 16" xfId="28603" xr:uid="{00000000-0005-0000-0000-0000413A0000}"/>
    <cellStyle name="Comma 8 2 2 17" xfId="28604" xr:uid="{00000000-0005-0000-0000-0000423A0000}"/>
    <cellStyle name="Comma 8 2 2 18" xfId="28605" xr:uid="{00000000-0005-0000-0000-0000433A0000}"/>
    <cellStyle name="Comma 8 2 2 19" xfId="28596" xr:uid="{00000000-0005-0000-0000-0000443A0000}"/>
    <cellStyle name="Comma 8 2 2 2" xfId="9195" xr:uid="{00000000-0005-0000-0000-0000453A0000}"/>
    <cellStyle name="Comma 8 2 2 2 2" xfId="28607" xr:uid="{00000000-0005-0000-0000-0000463A0000}"/>
    <cellStyle name="Comma 8 2 2 2 3" xfId="28608" xr:uid="{00000000-0005-0000-0000-0000473A0000}"/>
    <cellStyle name="Comma 8 2 2 2 4" xfId="28609" xr:uid="{00000000-0005-0000-0000-0000483A0000}"/>
    <cellStyle name="Comma 8 2 2 2 5" xfId="28606" xr:uid="{00000000-0005-0000-0000-0000493A0000}"/>
    <cellStyle name="Comma 8 2 2 3" xfId="28610" xr:uid="{00000000-0005-0000-0000-00004A3A0000}"/>
    <cellStyle name="Comma 8 2 2 3 2" xfId="28611" xr:uid="{00000000-0005-0000-0000-00004B3A0000}"/>
    <cellStyle name="Comma 8 2 2 4" xfId="28612" xr:uid="{00000000-0005-0000-0000-00004C3A0000}"/>
    <cellStyle name="Comma 8 2 2 5" xfId="28613" xr:uid="{00000000-0005-0000-0000-00004D3A0000}"/>
    <cellStyle name="Comma 8 2 2 6" xfId="28614" xr:uid="{00000000-0005-0000-0000-00004E3A0000}"/>
    <cellStyle name="Comma 8 2 2 7" xfId="28615" xr:uid="{00000000-0005-0000-0000-00004F3A0000}"/>
    <cellStyle name="Comma 8 2 2 8" xfId="28616" xr:uid="{00000000-0005-0000-0000-0000503A0000}"/>
    <cellStyle name="Comma 8 2 2 9" xfId="28617" xr:uid="{00000000-0005-0000-0000-0000513A0000}"/>
    <cellStyle name="Comma 8 2 20" xfId="28585" xr:uid="{00000000-0005-0000-0000-0000523A0000}"/>
    <cellStyle name="Comma 8 2 3" xfId="9196" xr:uid="{00000000-0005-0000-0000-0000533A0000}"/>
    <cellStyle name="Comma 8 2 3 2" xfId="28619" xr:uid="{00000000-0005-0000-0000-0000543A0000}"/>
    <cellStyle name="Comma 8 2 3 3" xfId="28620" xr:uid="{00000000-0005-0000-0000-0000553A0000}"/>
    <cellStyle name="Comma 8 2 3 4" xfId="28621" xr:uid="{00000000-0005-0000-0000-0000563A0000}"/>
    <cellStyle name="Comma 8 2 3 5" xfId="28618" xr:uid="{00000000-0005-0000-0000-0000573A0000}"/>
    <cellStyle name="Comma 8 2 4" xfId="28622" xr:uid="{00000000-0005-0000-0000-0000583A0000}"/>
    <cellStyle name="Comma 8 2 4 2" xfId="28623" xr:uid="{00000000-0005-0000-0000-0000593A0000}"/>
    <cellStyle name="Comma 8 2 4 3" xfId="28624" xr:uid="{00000000-0005-0000-0000-00005A3A0000}"/>
    <cellStyle name="Comma 8 2 4 4" xfId="28625" xr:uid="{00000000-0005-0000-0000-00005B3A0000}"/>
    <cellStyle name="Comma 8 2 5" xfId="28626" xr:uid="{00000000-0005-0000-0000-00005C3A0000}"/>
    <cellStyle name="Comma 8 2 6" xfId="28627" xr:uid="{00000000-0005-0000-0000-00005D3A0000}"/>
    <cellStyle name="Comma 8 2 7" xfId="28628" xr:uid="{00000000-0005-0000-0000-00005E3A0000}"/>
    <cellStyle name="Comma 8 2 8" xfId="28629" xr:uid="{00000000-0005-0000-0000-00005F3A0000}"/>
    <cellStyle name="Comma 8 2 9" xfId="28630" xr:uid="{00000000-0005-0000-0000-0000603A0000}"/>
    <cellStyle name="Comma 8 3" xfId="3171" xr:uid="{00000000-0005-0000-0000-0000613A0000}"/>
    <cellStyle name="Comma 8 3 2" xfId="3172" xr:uid="{00000000-0005-0000-0000-0000623A0000}"/>
    <cellStyle name="Comma 8 3 2 2" xfId="9197" xr:uid="{00000000-0005-0000-0000-0000633A0000}"/>
    <cellStyle name="Comma 8 3 2 2 2" xfId="28634" xr:uid="{00000000-0005-0000-0000-0000643A0000}"/>
    <cellStyle name="Comma 8 3 2 2 3" xfId="28633" xr:uid="{00000000-0005-0000-0000-0000653A0000}"/>
    <cellStyle name="Comma 8 3 2 3" xfId="28635" xr:uid="{00000000-0005-0000-0000-0000663A0000}"/>
    <cellStyle name="Comma 8 3 2 4" xfId="28636" xr:uid="{00000000-0005-0000-0000-0000673A0000}"/>
    <cellStyle name="Comma 8 3 2 5" xfId="28632" xr:uid="{00000000-0005-0000-0000-0000683A0000}"/>
    <cellStyle name="Comma 8 3 3" xfId="9198" xr:uid="{00000000-0005-0000-0000-0000693A0000}"/>
    <cellStyle name="Comma 8 3 3 2" xfId="28638" xr:uid="{00000000-0005-0000-0000-00006A3A0000}"/>
    <cellStyle name="Comma 8 3 3 3" xfId="28639" xr:uid="{00000000-0005-0000-0000-00006B3A0000}"/>
    <cellStyle name="Comma 8 3 3 4" xfId="28637" xr:uid="{00000000-0005-0000-0000-00006C3A0000}"/>
    <cellStyle name="Comma 8 3 4" xfId="28640" xr:uid="{00000000-0005-0000-0000-00006D3A0000}"/>
    <cellStyle name="Comma 8 3 4 2" xfId="28641" xr:uid="{00000000-0005-0000-0000-00006E3A0000}"/>
    <cellStyle name="Comma 8 3 5" xfId="28642" xr:uid="{00000000-0005-0000-0000-00006F3A0000}"/>
    <cellStyle name="Comma 8 3 6" xfId="28631" xr:uid="{00000000-0005-0000-0000-0000703A0000}"/>
    <cellStyle name="Comma 8 4" xfId="3173" xr:uid="{00000000-0005-0000-0000-0000713A0000}"/>
    <cellStyle name="Comma 8 4 2" xfId="3174" xr:uid="{00000000-0005-0000-0000-0000723A0000}"/>
    <cellStyle name="Comma 8 4 2 2" xfId="9199" xr:uid="{00000000-0005-0000-0000-0000733A0000}"/>
    <cellStyle name="Comma 8 4 2 2 2" xfId="28645" xr:uid="{00000000-0005-0000-0000-0000743A0000}"/>
    <cellStyle name="Comma 8 4 2 3" xfId="28644" xr:uid="{00000000-0005-0000-0000-0000753A0000}"/>
    <cellStyle name="Comma 8 4 3" xfId="9200" xr:uid="{00000000-0005-0000-0000-0000763A0000}"/>
    <cellStyle name="Comma 8 4 3 2" xfId="28646" xr:uid="{00000000-0005-0000-0000-0000773A0000}"/>
    <cellStyle name="Comma 8 4 4" xfId="28643" xr:uid="{00000000-0005-0000-0000-0000783A0000}"/>
    <cellStyle name="Comma 8 5" xfId="3175" xr:uid="{00000000-0005-0000-0000-0000793A0000}"/>
    <cellStyle name="Comma 8 5 2" xfId="3176" xr:uid="{00000000-0005-0000-0000-00007A3A0000}"/>
    <cellStyle name="Comma 8 5 2 2" xfId="9201" xr:uid="{00000000-0005-0000-0000-00007B3A0000}"/>
    <cellStyle name="Comma 8 5 2 3" xfId="28648" xr:uid="{00000000-0005-0000-0000-00007C3A0000}"/>
    <cellStyle name="Comma 8 5 3" xfId="9202" xr:uid="{00000000-0005-0000-0000-00007D3A0000}"/>
    <cellStyle name="Comma 8 5 4" xfId="28647" xr:uid="{00000000-0005-0000-0000-00007E3A0000}"/>
    <cellStyle name="Comma 8 6" xfId="3177" xr:uid="{00000000-0005-0000-0000-00007F3A0000}"/>
    <cellStyle name="Comma 8 6 2" xfId="9203" xr:uid="{00000000-0005-0000-0000-0000803A0000}"/>
    <cellStyle name="Comma 8 6 2 2" xfId="28650" xr:uid="{00000000-0005-0000-0000-0000813A0000}"/>
    <cellStyle name="Comma 8 6 3" xfId="28649" xr:uid="{00000000-0005-0000-0000-0000823A0000}"/>
    <cellStyle name="Comma 8 7" xfId="3178" xr:uid="{00000000-0005-0000-0000-0000833A0000}"/>
    <cellStyle name="Comma 8 7 2" xfId="9204" xr:uid="{00000000-0005-0000-0000-0000843A0000}"/>
    <cellStyle name="Comma 8 7 3" xfId="28651" xr:uid="{00000000-0005-0000-0000-0000853A0000}"/>
    <cellStyle name="Comma 8 8" xfId="3179" xr:uid="{00000000-0005-0000-0000-0000863A0000}"/>
    <cellStyle name="Comma 8 8 2" xfId="9205" xr:uid="{00000000-0005-0000-0000-0000873A0000}"/>
    <cellStyle name="Comma 8 8 3" xfId="28652" xr:uid="{00000000-0005-0000-0000-0000883A0000}"/>
    <cellStyle name="Comma 8 9" xfId="3180" xr:uid="{00000000-0005-0000-0000-0000893A0000}"/>
    <cellStyle name="Comma 8 9 2" xfId="9206" xr:uid="{00000000-0005-0000-0000-00008A3A0000}"/>
    <cellStyle name="Comma 80" xfId="3181" xr:uid="{00000000-0005-0000-0000-00008B3A0000}"/>
    <cellStyle name="Comma 80 2" xfId="3182" xr:uid="{00000000-0005-0000-0000-00008C3A0000}"/>
    <cellStyle name="Comma 80 2 2" xfId="3183" xr:uid="{00000000-0005-0000-0000-00008D3A0000}"/>
    <cellStyle name="Comma 80 2 2 2" xfId="3184" xr:uid="{00000000-0005-0000-0000-00008E3A0000}"/>
    <cellStyle name="Comma 80 2 2 2 2" xfId="18964" xr:uid="{00000000-0005-0000-0000-00008F3A0000}"/>
    <cellStyle name="Comma 80 2 2 3" xfId="18446" xr:uid="{00000000-0005-0000-0000-0000903A0000}"/>
    <cellStyle name="Comma 80 2 2 4" xfId="28655" xr:uid="{00000000-0005-0000-0000-0000913A0000}"/>
    <cellStyle name="Comma 80 2 3" xfId="3185" xr:uid="{00000000-0005-0000-0000-0000923A0000}"/>
    <cellStyle name="Comma 80 2 3 2" xfId="18682" xr:uid="{00000000-0005-0000-0000-0000933A0000}"/>
    <cellStyle name="Comma 80 2 4" xfId="18155" xr:uid="{00000000-0005-0000-0000-0000943A0000}"/>
    <cellStyle name="Comma 80 2 5" xfId="28654" xr:uid="{00000000-0005-0000-0000-0000953A0000}"/>
    <cellStyle name="Comma 80 3" xfId="3186" xr:uid="{00000000-0005-0000-0000-0000963A0000}"/>
    <cellStyle name="Comma 80 3 2" xfId="3187" xr:uid="{00000000-0005-0000-0000-0000973A0000}"/>
    <cellStyle name="Comma 80 3 2 2" xfId="18843" xr:uid="{00000000-0005-0000-0000-0000983A0000}"/>
    <cellStyle name="Comma 80 3 3" xfId="18322" xr:uid="{00000000-0005-0000-0000-0000993A0000}"/>
    <cellStyle name="Comma 80 3 4" xfId="28656" xr:uid="{00000000-0005-0000-0000-00009A3A0000}"/>
    <cellStyle name="Comma 80 4" xfId="3188" xr:uid="{00000000-0005-0000-0000-00009B3A0000}"/>
    <cellStyle name="Comma 80 4 2" xfId="18565" xr:uid="{00000000-0005-0000-0000-00009C3A0000}"/>
    <cellStyle name="Comma 80 4 3" xfId="28657" xr:uid="{00000000-0005-0000-0000-00009D3A0000}"/>
    <cellStyle name="Comma 80 5" xfId="18006" xr:uid="{00000000-0005-0000-0000-00009E3A0000}"/>
    <cellStyle name="Comma 80 5 2" xfId="28658" xr:uid="{00000000-0005-0000-0000-00009F3A0000}"/>
    <cellStyle name="Comma 80 6" xfId="28653" xr:uid="{00000000-0005-0000-0000-0000A03A0000}"/>
    <cellStyle name="Comma 81" xfId="3189" xr:uid="{00000000-0005-0000-0000-0000A13A0000}"/>
    <cellStyle name="Comma 81 2" xfId="9207" xr:uid="{00000000-0005-0000-0000-0000A23A0000}"/>
    <cellStyle name="Comma 81 2 2" xfId="28659" xr:uid="{00000000-0005-0000-0000-0000A33A0000}"/>
    <cellStyle name="Comma 81 3" xfId="28660" xr:uid="{00000000-0005-0000-0000-0000A43A0000}"/>
    <cellStyle name="Comma 81 4" xfId="28661" xr:uid="{00000000-0005-0000-0000-0000A53A0000}"/>
    <cellStyle name="Comma 81 5" xfId="28662" xr:uid="{00000000-0005-0000-0000-0000A63A0000}"/>
    <cellStyle name="Comma 82" xfId="3190" xr:uid="{00000000-0005-0000-0000-0000A73A0000}"/>
    <cellStyle name="Comma 82 2" xfId="28663" xr:uid="{00000000-0005-0000-0000-0000A83A0000}"/>
    <cellStyle name="Comma 82 2 2" xfId="28664" xr:uid="{00000000-0005-0000-0000-0000A93A0000}"/>
    <cellStyle name="Comma 82 3" xfId="28665" xr:uid="{00000000-0005-0000-0000-0000AA3A0000}"/>
    <cellStyle name="Comma 82 4" xfId="28666" xr:uid="{00000000-0005-0000-0000-0000AB3A0000}"/>
    <cellStyle name="Comma 82 5" xfId="28667" xr:uid="{00000000-0005-0000-0000-0000AC3A0000}"/>
    <cellStyle name="Comma 83" xfId="3191" xr:uid="{00000000-0005-0000-0000-0000AD3A0000}"/>
    <cellStyle name="Comma 83 2" xfId="28668" xr:uid="{00000000-0005-0000-0000-0000AE3A0000}"/>
    <cellStyle name="Comma 83 2 2" xfId="28669" xr:uid="{00000000-0005-0000-0000-0000AF3A0000}"/>
    <cellStyle name="Comma 83 3" xfId="28670" xr:uid="{00000000-0005-0000-0000-0000B03A0000}"/>
    <cellStyle name="Comma 83 4" xfId="28671" xr:uid="{00000000-0005-0000-0000-0000B13A0000}"/>
    <cellStyle name="Comma 83 5" xfId="28672" xr:uid="{00000000-0005-0000-0000-0000B23A0000}"/>
    <cellStyle name="Comma 84" xfId="3192" xr:uid="{00000000-0005-0000-0000-0000B33A0000}"/>
    <cellStyle name="Comma 84 2" xfId="28673" xr:uid="{00000000-0005-0000-0000-0000B43A0000}"/>
    <cellStyle name="Comma 84 2 2" xfId="28674" xr:uid="{00000000-0005-0000-0000-0000B53A0000}"/>
    <cellStyle name="Comma 84 3" xfId="28675" xr:uid="{00000000-0005-0000-0000-0000B63A0000}"/>
    <cellStyle name="Comma 84 4" xfId="28676" xr:uid="{00000000-0005-0000-0000-0000B73A0000}"/>
    <cellStyle name="Comma 84 5" xfId="28677" xr:uid="{00000000-0005-0000-0000-0000B83A0000}"/>
    <cellStyle name="Comma 85" xfId="3193" xr:uid="{00000000-0005-0000-0000-0000B93A0000}"/>
    <cellStyle name="Comma 85 2" xfId="28678" xr:uid="{00000000-0005-0000-0000-0000BA3A0000}"/>
    <cellStyle name="Comma 85 2 2" xfId="28679" xr:uid="{00000000-0005-0000-0000-0000BB3A0000}"/>
    <cellStyle name="Comma 85 3" xfId="28680" xr:uid="{00000000-0005-0000-0000-0000BC3A0000}"/>
    <cellStyle name="Comma 85 4" xfId="28681" xr:uid="{00000000-0005-0000-0000-0000BD3A0000}"/>
    <cellStyle name="Comma 85 5" xfId="28682" xr:uid="{00000000-0005-0000-0000-0000BE3A0000}"/>
    <cellStyle name="Comma 86" xfId="3194" xr:uid="{00000000-0005-0000-0000-0000BF3A0000}"/>
    <cellStyle name="Comma 86 2" xfId="3195" xr:uid="{00000000-0005-0000-0000-0000C03A0000}"/>
    <cellStyle name="Comma 86 2 2" xfId="18742" xr:uid="{00000000-0005-0000-0000-0000C13A0000}"/>
    <cellStyle name="Comma 86 2 2 2" xfId="28685" xr:uid="{00000000-0005-0000-0000-0000C23A0000}"/>
    <cellStyle name="Comma 86 2 3" xfId="28684" xr:uid="{00000000-0005-0000-0000-0000C33A0000}"/>
    <cellStyle name="Comma 86 3" xfId="9208" xr:uid="{00000000-0005-0000-0000-0000C43A0000}"/>
    <cellStyle name="Comma 86 3 2" xfId="28686" xr:uid="{00000000-0005-0000-0000-0000C53A0000}"/>
    <cellStyle name="Comma 86 4" xfId="28687" xr:uid="{00000000-0005-0000-0000-0000C63A0000}"/>
    <cellStyle name="Comma 86 5" xfId="28688" xr:uid="{00000000-0005-0000-0000-0000C73A0000}"/>
    <cellStyle name="Comma 86 6" xfId="28683" xr:uid="{00000000-0005-0000-0000-0000C83A0000}"/>
    <cellStyle name="Comma 87" xfId="3196" xr:uid="{00000000-0005-0000-0000-0000C93A0000}"/>
    <cellStyle name="Comma 87 2" xfId="3197" xr:uid="{00000000-0005-0000-0000-0000CA3A0000}"/>
    <cellStyle name="Comma 87 2 2" xfId="18904" xr:uid="{00000000-0005-0000-0000-0000CB3A0000}"/>
    <cellStyle name="Comma 87 2 2 2" xfId="28691" xr:uid="{00000000-0005-0000-0000-0000CC3A0000}"/>
    <cellStyle name="Comma 87 2 3" xfId="28690" xr:uid="{00000000-0005-0000-0000-0000CD3A0000}"/>
    <cellStyle name="Comma 87 3" xfId="18386" xr:uid="{00000000-0005-0000-0000-0000CE3A0000}"/>
    <cellStyle name="Comma 87 3 2" xfId="28692" xr:uid="{00000000-0005-0000-0000-0000CF3A0000}"/>
    <cellStyle name="Comma 87 4" xfId="28693" xr:uid="{00000000-0005-0000-0000-0000D03A0000}"/>
    <cellStyle name="Comma 87 5" xfId="28689" xr:uid="{00000000-0005-0000-0000-0000D13A0000}"/>
    <cellStyle name="Comma 88" xfId="3198" xr:uid="{00000000-0005-0000-0000-0000D23A0000}"/>
    <cellStyle name="Comma 88 2" xfId="3199" xr:uid="{00000000-0005-0000-0000-0000D33A0000}"/>
    <cellStyle name="Comma 88 2 2" xfId="18775" xr:uid="{00000000-0005-0000-0000-0000D43A0000}"/>
    <cellStyle name="Comma 88 2 2 2" xfId="28696" xr:uid="{00000000-0005-0000-0000-0000D53A0000}"/>
    <cellStyle name="Comma 88 2 3" xfId="28695" xr:uid="{00000000-0005-0000-0000-0000D63A0000}"/>
    <cellStyle name="Comma 88 3" xfId="18248" xr:uid="{00000000-0005-0000-0000-0000D73A0000}"/>
    <cellStyle name="Comma 88 3 2" xfId="28697" xr:uid="{00000000-0005-0000-0000-0000D83A0000}"/>
    <cellStyle name="Comma 88 4" xfId="28698" xr:uid="{00000000-0005-0000-0000-0000D93A0000}"/>
    <cellStyle name="Comma 88 5" xfId="28694" xr:uid="{00000000-0005-0000-0000-0000DA3A0000}"/>
    <cellStyle name="Comma 89" xfId="3200" xr:uid="{00000000-0005-0000-0000-0000DB3A0000}"/>
    <cellStyle name="Comma 89 2" xfId="28699" xr:uid="{00000000-0005-0000-0000-0000DC3A0000}"/>
    <cellStyle name="Comma 89 2 2" xfId="28700" xr:uid="{00000000-0005-0000-0000-0000DD3A0000}"/>
    <cellStyle name="Comma 89 3" xfId="28701" xr:uid="{00000000-0005-0000-0000-0000DE3A0000}"/>
    <cellStyle name="Comma 89 4" xfId="28702" xr:uid="{00000000-0005-0000-0000-0000DF3A0000}"/>
    <cellStyle name="Comma 9" xfId="3201" xr:uid="{00000000-0005-0000-0000-0000E03A0000}"/>
    <cellStyle name="Comma 9 2" xfId="3202" xr:uid="{00000000-0005-0000-0000-0000E13A0000}"/>
    <cellStyle name="Comma 9 2 10" xfId="28704" xr:uid="{00000000-0005-0000-0000-0000E23A0000}"/>
    <cellStyle name="Comma 9 2 11" xfId="28705" xr:uid="{00000000-0005-0000-0000-0000E33A0000}"/>
    <cellStyle name="Comma 9 2 12" xfId="28706" xr:uid="{00000000-0005-0000-0000-0000E43A0000}"/>
    <cellStyle name="Comma 9 2 13" xfId="28707" xr:uid="{00000000-0005-0000-0000-0000E53A0000}"/>
    <cellStyle name="Comma 9 2 14" xfId="28708" xr:uid="{00000000-0005-0000-0000-0000E63A0000}"/>
    <cellStyle name="Comma 9 2 15" xfId="28709" xr:uid="{00000000-0005-0000-0000-0000E73A0000}"/>
    <cellStyle name="Comma 9 2 16" xfId="28710" xr:uid="{00000000-0005-0000-0000-0000E83A0000}"/>
    <cellStyle name="Comma 9 2 17" xfId="28711" xr:uid="{00000000-0005-0000-0000-0000E93A0000}"/>
    <cellStyle name="Comma 9 2 18" xfId="28712" xr:uid="{00000000-0005-0000-0000-0000EA3A0000}"/>
    <cellStyle name="Comma 9 2 19" xfId="28713" xr:uid="{00000000-0005-0000-0000-0000EB3A0000}"/>
    <cellStyle name="Comma 9 2 2" xfId="9209" xr:uid="{00000000-0005-0000-0000-0000EC3A0000}"/>
    <cellStyle name="Comma 9 2 2 10" xfId="28715" xr:uid="{00000000-0005-0000-0000-0000ED3A0000}"/>
    <cellStyle name="Comma 9 2 2 11" xfId="28716" xr:uid="{00000000-0005-0000-0000-0000EE3A0000}"/>
    <cellStyle name="Comma 9 2 2 12" xfId="28717" xr:uid="{00000000-0005-0000-0000-0000EF3A0000}"/>
    <cellStyle name="Comma 9 2 2 13" xfId="28718" xr:uid="{00000000-0005-0000-0000-0000F03A0000}"/>
    <cellStyle name="Comma 9 2 2 14" xfId="28719" xr:uid="{00000000-0005-0000-0000-0000F13A0000}"/>
    <cellStyle name="Comma 9 2 2 15" xfId="28720" xr:uid="{00000000-0005-0000-0000-0000F23A0000}"/>
    <cellStyle name="Comma 9 2 2 16" xfId="28721" xr:uid="{00000000-0005-0000-0000-0000F33A0000}"/>
    <cellStyle name="Comma 9 2 2 17" xfId="28722" xr:uid="{00000000-0005-0000-0000-0000F43A0000}"/>
    <cellStyle name="Comma 9 2 2 18" xfId="28714" xr:uid="{00000000-0005-0000-0000-0000F53A0000}"/>
    <cellStyle name="Comma 9 2 2 2" xfId="28723" xr:uid="{00000000-0005-0000-0000-0000F63A0000}"/>
    <cellStyle name="Comma 9 2 2 2 2" xfId="28724" xr:uid="{00000000-0005-0000-0000-0000F73A0000}"/>
    <cellStyle name="Comma 9 2 2 2 3" xfId="28725" xr:uid="{00000000-0005-0000-0000-0000F83A0000}"/>
    <cellStyle name="Comma 9 2 2 3" xfId="28726" xr:uid="{00000000-0005-0000-0000-0000F93A0000}"/>
    <cellStyle name="Comma 9 2 2 4" xfId="28727" xr:uid="{00000000-0005-0000-0000-0000FA3A0000}"/>
    <cellStyle name="Comma 9 2 2 5" xfId="28728" xr:uid="{00000000-0005-0000-0000-0000FB3A0000}"/>
    <cellStyle name="Comma 9 2 2 6" xfId="28729" xr:uid="{00000000-0005-0000-0000-0000FC3A0000}"/>
    <cellStyle name="Comma 9 2 2 7" xfId="28730" xr:uid="{00000000-0005-0000-0000-0000FD3A0000}"/>
    <cellStyle name="Comma 9 2 2 8" xfId="28731" xr:uid="{00000000-0005-0000-0000-0000FE3A0000}"/>
    <cellStyle name="Comma 9 2 2 9" xfId="28732" xr:uid="{00000000-0005-0000-0000-0000FF3A0000}"/>
    <cellStyle name="Comma 9 2 20" xfId="28703" xr:uid="{00000000-0005-0000-0000-0000003B0000}"/>
    <cellStyle name="Comma 9 2 3" xfId="28733" xr:uid="{00000000-0005-0000-0000-0000013B0000}"/>
    <cellStyle name="Comma 9 2 3 2" xfId="28734" xr:uid="{00000000-0005-0000-0000-0000023B0000}"/>
    <cellStyle name="Comma 9 2 3 3" xfId="28735" xr:uid="{00000000-0005-0000-0000-0000033B0000}"/>
    <cellStyle name="Comma 9 2 4" xfId="28736" xr:uid="{00000000-0005-0000-0000-0000043B0000}"/>
    <cellStyle name="Comma 9 2 4 2" xfId="28737" xr:uid="{00000000-0005-0000-0000-0000053B0000}"/>
    <cellStyle name="Comma 9 2 4 3" xfId="28738" xr:uid="{00000000-0005-0000-0000-0000063B0000}"/>
    <cellStyle name="Comma 9 2 5" xfId="28739" xr:uid="{00000000-0005-0000-0000-0000073B0000}"/>
    <cellStyle name="Comma 9 2 6" xfId="28740" xr:uid="{00000000-0005-0000-0000-0000083B0000}"/>
    <cellStyle name="Comma 9 2 7" xfId="28741" xr:uid="{00000000-0005-0000-0000-0000093B0000}"/>
    <cellStyle name="Comma 9 2 8" xfId="28742" xr:uid="{00000000-0005-0000-0000-00000A3B0000}"/>
    <cellStyle name="Comma 9 2 9" xfId="28743" xr:uid="{00000000-0005-0000-0000-00000B3B0000}"/>
    <cellStyle name="Comma 9 3" xfId="3203" xr:uid="{00000000-0005-0000-0000-00000C3B0000}"/>
    <cellStyle name="Comma 9 3 2" xfId="9210" xr:uid="{00000000-0005-0000-0000-00000D3B0000}"/>
    <cellStyle name="Comma 9 3 2 2" xfId="28746" xr:uid="{00000000-0005-0000-0000-00000E3B0000}"/>
    <cellStyle name="Comma 9 3 2 3" xfId="28745" xr:uid="{00000000-0005-0000-0000-00000F3B0000}"/>
    <cellStyle name="Comma 9 3 3" xfId="28747" xr:uid="{00000000-0005-0000-0000-0000103B0000}"/>
    <cellStyle name="Comma 9 3 3 2" xfId="28748" xr:uid="{00000000-0005-0000-0000-0000113B0000}"/>
    <cellStyle name="Comma 9 3 4" xfId="28749" xr:uid="{00000000-0005-0000-0000-0000123B0000}"/>
    <cellStyle name="Comma 9 3 5" xfId="28744" xr:uid="{00000000-0005-0000-0000-0000133B0000}"/>
    <cellStyle name="Comma 9 4" xfId="3204" xr:uid="{00000000-0005-0000-0000-0000143B0000}"/>
    <cellStyle name="Comma 9 4 2" xfId="9211" xr:uid="{00000000-0005-0000-0000-0000153B0000}"/>
    <cellStyle name="Comma 9 4 2 2" xfId="28752" xr:uid="{00000000-0005-0000-0000-0000163B0000}"/>
    <cellStyle name="Comma 9 4 2 3" xfId="28751" xr:uid="{00000000-0005-0000-0000-0000173B0000}"/>
    <cellStyle name="Comma 9 4 3" xfId="28753" xr:uid="{00000000-0005-0000-0000-0000183B0000}"/>
    <cellStyle name="Comma 9 4 4" xfId="28750" xr:uid="{00000000-0005-0000-0000-0000193B0000}"/>
    <cellStyle name="Comma 9 5" xfId="3205" xr:uid="{00000000-0005-0000-0000-00001A3B0000}"/>
    <cellStyle name="Comma 9 5 2" xfId="9212" xr:uid="{00000000-0005-0000-0000-00001B3B0000}"/>
    <cellStyle name="Comma 9 5 2 2" xfId="28755" xr:uid="{00000000-0005-0000-0000-00001C3B0000}"/>
    <cellStyle name="Comma 9 5 3" xfId="28754" xr:uid="{00000000-0005-0000-0000-00001D3B0000}"/>
    <cellStyle name="Comma 9 6" xfId="9213" xr:uid="{00000000-0005-0000-0000-00001E3B0000}"/>
    <cellStyle name="Comma 9 6 2" xfId="28757" xr:uid="{00000000-0005-0000-0000-00001F3B0000}"/>
    <cellStyle name="Comma 9 6 3" xfId="28756" xr:uid="{00000000-0005-0000-0000-0000203B0000}"/>
    <cellStyle name="Comma 9 7" xfId="28758" xr:uid="{00000000-0005-0000-0000-0000213B0000}"/>
    <cellStyle name="Comma 9 8" xfId="28759" xr:uid="{00000000-0005-0000-0000-0000223B0000}"/>
    <cellStyle name="Comma 90" xfId="3206" xr:uid="{00000000-0005-0000-0000-0000233B0000}"/>
    <cellStyle name="Comma 90 2" xfId="9214" xr:uid="{00000000-0005-0000-0000-0000243B0000}"/>
    <cellStyle name="Comma 90 2 2" xfId="28761" xr:uid="{00000000-0005-0000-0000-0000253B0000}"/>
    <cellStyle name="Comma 90 2 3" xfId="28760" xr:uid="{00000000-0005-0000-0000-0000263B0000}"/>
    <cellStyle name="Comma 90 3" xfId="28762" xr:uid="{00000000-0005-0000-0000-0000273B0000}"/>
    <cellStyle name="Comma 90 4" xfId="28763" xr:uid="{00000000-0005-0000-0000-0000283B0000}"/>
    <cellStyle name="Comma 91" xfId="8" xr:uid="{00000000-0005-0000-0000-0000293B0000}"/>
    <cellStyle name="Comma 91 2" xfId="28765" xr:uid="{00000000-0005-0000-0000-00002A3B0000}"/>
    <cellStyle name="Comma 91 2 2" xfId="28766" xr:uid="{00000000-0005-0000-0000-00002B3B0000}"/>
    <cellStyle name="Comma 91 3" xfId="28767" xr:uid="{00000000-0005-0000-0000-00002C3B0000}"/>
    <cellStyle name="Comma 91 4" xfId="28768" xr:uid="{00000000-0005-0000-0000-00002D3B0000}"/>
    <cellStyle name="Comma 91 5" xfId="28764" xr:uid="{00000000-0005-0000-0000-00002E3B0000}"/>
    <cellStyle name="Comma 92" xfId="9215" xr:uid="{00000000-0005-0000-0000-00002F3B0000}"/>
    <cellStyle name="Comma 92 2" xfId="28770" xr:uid="{00000000-0005-0000-0000-0000303B0000}"/>
    <cellStyle name="Comma 92 2 2" xfId="28771" xr:uid="{00000000-0005-0000-0000-0000313B0000}"/>
    <cellStyle name="Comma 92 3" xfId="28772" xr:uid="{00000000-0005-0000-0000-0000323B0000}"/>
    <cellStyle name="Comma 92 4" xfId="28773" xr:uid="{00000000-0005-0000-0000-0000333B0000}"/>
    <cellStyle name="Comma 92 5" xfId="28769" xr:uid="{00000000-0005-0000-0000-0000343B0000}"/>
    <cellStyle name="Comma 93" xfId="9216" xr:uid="{00000000-0005-0000-0000-0000353B0000}"/>
    <cellStyle name="Comma 93 2" xfId="28775" xr:uid="{00000000-0005-0000-0000-0000363B0000}"/>
    <cellStyle name="Comma 93 2 2" xfId="28776" xr:uid="{00000000-0005-0000-0000-0000373B0000}"/>
    <cellStyle name="Comma 93 3" xfId="28777" xr:uid="{00000000-0005-0000-0000-0000383B0000}"/>
    <cellStyle name="Comma 93 4" xfId="28778" xr:uid="{00000000-0005-0000-0000-0000393B0000}"/>
    <cellStyle name="Comma 93 5" xfId="28774" xr:uid="{00000000-0005-0000-0000-00003A3B0000}"/>
    <cellStyle name="Comma 94" xfId="9217" xr:uid="{00000000-0005-0000-0000-00003B3B0000}"/>
    <cellStyle name="Comma 94 2" xfId="28780" xr:uid="{00000000-0005-0000-0000-00003C3B0000}"/>
    <cellStyle name="Comma 94 2 2" xfId="28781" xr:uid="{00000000-0005-0000-0000-00003D3B0000}"/>
    <cellStyle name="Comma 94 3" xfId="28782" xr:uid="{00000000-0005-0000-0000-00003E3B0000}"/>
    <cellStyle name="Comma 94 4" xfId="28783" xr:uid="{00000000-0005-0000-0000-00003F3B0000}"/>
    <cellStyle name="Comma 94 5" xfId="28779" xr:uid="{00000000-0005-0000-0000-0000403B0000}"/>
    <cellStyle name="Comma 95" xfId="9218" xr:uid="{00000000-0005-0000-0000-0000413B0000}"/>
    <cellStyle name="Comma 95 2" xfId="28785" xr:uid="{00000000-0005-0000-0000-0000423B0000}"/>
    <cellStyle name="Comma 95 2 2" xfId="28786" xr:uid="{00000000-0005-0000-0000-0000433B0000}"/>
    <cellStyle name="Comma 95 3" xfId="28787" xr:uid="{00000000-0005-0000-0000-0000443B0000}"/>
    <cellStyle name="Comma 95 4" xfId="28788" xr:uid="{00000000-0005-0000-0000-0000453B0000}"/>
    <cellStyle name="Comma 95 5" xfId="28784" xr:uid="{00000000-0005-0000-0000-0000463B0000}"/>
    <cellStyle name="Comma 96" xfId="9219" xr:uid="{00000000-0005-0000-0000-0000473B0000}"/>
    <cellStyle name="Comma 96 2" xfId="28789" xr:uid="{00000000-0005-0000-0000-0000483B0000}"/>
    <cellStyle name="Comma 96 2 2" xfId="28790" xr:uid="{00000000-0005-0000-0000-0000493B0000}"/>
    <cellStyle name="Comma 96 3" xfId="28791" xr:uid="{00000000-0005-0000-0000-00004A3B0000}"/>
    <cellStyle name="Comma 96 4" xfId="28792" xr:uid="{00000000-0005-0000-0000-00004B3B0000}"/>
    <cellStyle name="Comma 97" xfId="9220" xr:uid="{00000000-0005-0000-0000-00004C3B0000}"/>
    <cellStyle name="Comma 97 2" xfId="28793" xr:uid="{00000000-0005-0000-0000-00004D3B0000}"/>
    <cellStyle name="Comma 97 2 2" xfId="28794" xr:uid="{00000000-0005-0000-0000-00004E3B0000}"/>
    <cellStyle name="Comma 97 3" xfId="28795" xr:uid="{00000000-0005-0000-0000-00004F3B0000}"/>
    <cellStyle name="Comma 97 4" xfId="28796" xr:uid="{00000000-0005-0000-0000-0000503B0000}"/>
    <cellStyle name="Comma 98" xfId="9221" xr:uid="{00000000-0005-0000-0000-0000513B0000}"/>
    <cellStyle name="Comma 98 2" xfId="28797" xr:uid="{00000000-0005-0000-0000-0000523B0000}"/>
    <cellStyle name="Comma 98 2 2" xfId="28798" xr:uid="{00000000-0005-0000-0000-0000533B0000}"/>
    <cellStyle name="Comma 98 3" xfId="28799" xr:uid="{00000000-0005-0000-0000-0000543B0000}"/>
    <cellStyle name="Comma 98 4" xfId="28800" xr:uid="{00000000-0005-0000-0000-0000553B0000}"/>
    <cellStyle name="Comma 99" xfId="9222" xr:uid="{00000000-0005-0000-0000-0000563B0000}"/>
    <cellStyle name="Comma 99 2" xfId="28801" xr:uid="{00000000-0005-0000-0000-0000573B0000}"/>
    <cellStyle name="Comma 99 2 2" xfId="28802" xr:uid="{00000000-0005-0000-0000-0000583B0000}"/>
    <cellStyle name="Comma 99 3" xfId="28803" xr:uid="{00000000-0005-0000-0000-0000593B0000}"/>
    <cellStyle name="Comma 99 4" xfId="28804" xr:uid="{00000000-0005-0000-0000-00005A3B0000}"/>
    <cellStyle name="Comma Style (brackets)" xfId="28805" xr:uid="{00000000-0005-0000-0000-00005B3B0000}"/>
    <cellStyle name="Comma Style (brackets) 2" xfId="28806" xr:uid="{00000000-0005-0000-0000-00005C3B0000}"/>
    <cellStyle name="Comma0" xfId="33" xr:uid="{00000000-0005-0000-0000-00005D3B0000}"/>
    <cellStyle name="Comma0 - Style1" xfId="28807" xr:uid="{00000000-0005-0000-0000-00005E3B0000}"/>
    <cellStyle name="Comma0 - Style1 2" xfId="28808" xr:uid="{00000000-0005-0000-0000-00005F3B0000}"/>
    <cellStyle name="Comma0 - Style1 3" xfId="28809" xr:uid="{00000000-0005-0000-0000-0000603B0000}"/>
    <cellStyle name="Comma0 - Style2" xfId="28810" xr:uid="{00000000-0005-0000-0000-0000613B0000}"/>
    <cellStyle name="Comma0 - Style2 2" xfId="28811" xr:uid="{00000000-0005-0000-0000-0000623B0000}"/>
    <cellStyle name="Comma0 - Style5" xfId="28812" xr:uid="{00000000-0005-0000-0000-0000633B0000}"/>
    <cellStyle name="Comma0 2" xfId="3207" xr:uid="{00000000-0005-0000-0000-0000643B0000}"/>
    <cellStyle name="Comma0 2 2" xfId="9223" xr:uid="{00000000-0005-0000-0000-0000653B0000}"/>
    <cellStyle name="Comma0 2 3" xfId="28813" xr:uid="{00000000-0005-0000-0000-0000663B0000}"/>
    <cellStyle name="Comma0 3" xfId="3208" xr:uid="{00000000-0005-0000-0000-0000673B0000}"/>
    <cellStyle name="Comma0 3 2" xfId="3209" xr:uid="{00000000-0005-0000-0000-0000683B0000}"/>
    <cellStyle name="Comma0 3 2 2" xfId="9224" xr:uid="{00000000-0005-0000-0000-0000693B0000}"/>
    <cellStyle name="Comma0 3 3" xfId="9225" xr:uid="{00000000-0005-0000-0000-00006A3B0000}"/>
    <cellStyle name="Comma0 3 4" xfId="28814" xr:uid="{00000000-0005-0000-0000-00006B3B0000}"/>
    <cellStyle name="Comma0 4" xfId="9226" xr:uid="{00000000-0005-0000-0000-00006C3B0000}"/>
    <cellStyle name="Comma0 4 2" xfId="28815" xr:uid="{00000000-0005-0000-0000-00006D3B0000}"/>
    <cellStyle name="Comma0 5" xfId="28816" xr:uid="{00000000-0005-0000-0000-00006E3B0000}"/>
    <cellStyle name="Comma0_Output.REC" xfId="28817" xr:uid="{00000000-0005-0000-0000-00006F3B0000}"/>
    <cellStyle name="Comma1 - Style1" xfId="28818" xr:uid="{00000000-0005-0000-0000-0000703B0000}"/>
    <cellStyle name="Copied" xfId="3210" xr:uid="{00000000-0005-0000-0000-0000713B0000}"/>
    <cellStyle name="Copied 2" xfId="28819" xr:uid="{00000000-0005-0000-0000-0000723B0000}"/>
    <cellStyle name="Copied 3" xfId="28820" xr:uid="{00000000-0005-0000-0000-0000733B0000}"/>
    <cellStyle name="Currency ." xfId="28821" xr:uid="{00000000-0005-0000-0000-0000753B0000}"/>
    <cellStyle name="Currency . 2" xfId="28822" xr:uid="{00000000-0005-0000-0000-0000763B0000}"/>
    <cellStyle name="Currency .00" xfId="28823" xr:uid="{00000000-0005-0000-0000-0000773B0000}"/>
    <cellStyle name="Currency .00 2" xfId="28824" xr:uid="{00000000-0005-0000-0000-0000783B0000}"/>
    <cellStyle name="Currency .00 2 2" xfId="28825" xr:uid="{00000000-0005-0000-0000-0000793B0000}"/>
    <cellStyle name="Currency .00 3" xfId="28826" xr:uid="{00000000-0005-0000-0000-00007A3B0000}"/>
    <cellStyle name="Currency .00 3 2" xfId="28827" xr:uid="{00000000-0005-0000-0000-00007B3B0000}"/>
    <cellStyle name="Currency .00 3 2 2" xfId="28828" xr:uid="{00000000-0005-0000-0000-00007C3B0000}"/>
    <cellStyle name="Currency .00 3 3" xfId="28829" xr:uid="{00000000-0005-0000-0000-00007D3B0000}"/>
    <cellStyle name="Currency .00 4" xfId="28830" xr:uid="{00000000-0005-0000-0000-00007E3B0000}"/>
    <cellStyle name="Currency .00 4 2" xfId="28831" xr:uid="{00000000-0005-0000-0000-00007F3B0000}"/>
    <cellStyle name="Currency .00 4 2 2" xfId="28832" xr:uid="{00000000-0005-0000-0000-0000803B0000}"/>
    <cellStyle name="Currency .00 4 3" xfId="28833" xr:uid="{00000000-0005-0000-0000-0000813B0000}"/>
    <cellStyle name="Currency .00 5" xfId="28834" xr:uid="{00000000-0005-0000-0000-0000823B0000}"/>
    <cellStyle name="Currency .00 5 2" xfId="28835" xr:uid="{00000000-0005-0000-0000-0000833B0000}"/>
    <cellStyle name="Currency .00 5 2 2" xfId="28836" xr:uid="{00000000-0005-0000-0000-0000843B0000}"/>
    <cellStyle name="Currency .00 5 3" xfId="28837" xr:uid="{00000000-0005-0000-0000-0000853B0000}"/>
    <cellStyle name="Currency .00 6" xfId="28838" xr:uid="{00000000-0005-0000-0000-0000863B0000}"/>
    <cellStyle name="Currency [$0]" xfId="3211" xr:uid="{00000000-0005-0000-0000-0000873B0000}"/>
    <cellStyle name="Currency [$0] 2" xfId="3212" xr:uid="{00000000-0005-0000-0000-0000883B0000}"/>
    <cellStyle name="Currency [$0] 2 2" xfId="9227" xr:uid="{00000000-0005-0000-0000-0000893B0000}"/>
    <cellStyle name="Currency [$0] 2 3" xfId="28839" xr:uid="{00000000-0005-0000-0000-00008A3B0000}"/>
    <cellStyle name="Currency [$0] 3" xfId="3213" xr:uid="{00000000-0005-0000-0000-00008B3B0000}"/>
    <cellStyle name="Currency [$0] 3 2" xfId="3214" xr:uid="{00000000-0005-0000-0000-00008C3B0000}"/>
    <cellStyle name="Currency [$0] 3 2 2" xfId="9228" xr:uid="{00000000-0005-0000-0000-00008D3B0000}"/>
    <cellStyle name="Currency [$0] 3 3" xfId="9229" xr:uid="{00000000-0005-0000-0000-00008E3B0000}"/>
    <cellStyle name="Currency [$0] 3 4" xfId="28840" xr:uid="{00000000-0005-0000-0000-00008F3B0000}"/>
    <cellStyle name="Currency [$0] 4" xfId="9230" xr:uid="{00000000-0005-0000-0000-0000903B0000}"/>
    <cellStyle name="Currency [£0]" xfId="3215" xr:uid="{00000000-0005-0000-0000-0000913B0000}"/>
    <cellStyle name="Currency [£0] 2" xfId="28841" xr:uid="{00000000-0005-0000-0000-0000923B0000}"/>
    <cellStyle name="Currency [£0] 3" xfId="28842" xr:uid="{00000000-0005-0000-0000-0000933B0000}"/>
    <cellStyle name="Currency [0.00]" xfId="28843" xr:uid="{00000000-0005-0000-0000-0000943B0000}"/>
    <cellStyle name="Currency [0.00] 2" xfId="28844" xr:uid="{00000000-0005-0000-0000-0000953B0000}"/>
    <cellStyle name="Currency [0] 10" xfId="28845" xr:uid="{00000000-0005-0000-0000-0000963B0000}"/>
    <cellStyle name="Currency [0] 10 2" xfId="28846" xr:uid="{00000000-0005-0000-0000-0000973B0000}"/>
    <cellStyle name="Currency [0] 11" xfId="28847" xr:uid="{00000000-0005-0000-0000-0000983B0000}"/>
    <cellStyle name="Currency [0] 11 2" xfId="28848" xr:uid="{00000000-0005-0000-0000-0000993B0000}"/>
    <cellStyle name="Currency [0] 12" xfId="28849" xr:uid="{00000000-0005-0000-0000-00009A3B0000}"/>
    <cellStyle name="Currency [0] 12 2" xfId="28850" xr:uid="{00000000-0005-0000-0000-00009B3B0000}"/>
    <cellStyle name="Currency [0] 13" xfId="28851" xr:uid="{00000000-0005-0000-0000-00009C3B0000}"/>
    <cellStyle name="Currency [0] 13 2" xfId="28852" xr:uid="{00000000-0005-0000-0000-00009D3B0000}"/>
    <cellStyle name="Currency [0] 14" xfId="28853" xr:uid="{00000000-0005-0000-0000-00009E3B0000}"/>
    <cellStyle name="Currency [0] 14 2" xfId="28854" xr:uid="{00000000-0005-0000-0000-00009F3B0000}"/>
    <cellStyle name="Currency [0] 15" xfId="28855" xr:uid="{00000000-0005-0000-0000-0000A03B0000}"/>
    <cellStyle name="Currency [0] 15 2" xfId="28856" xr:uid="{00000000-0005-0000-0000-0000A13B0000}"/>
    <cellStyle name="Currency [0] 16" xfId="28857" xr:uid="{00000000-0005-0000-0000-0000A23B0000}"/>
    <cellStyle name="Currency [0] 16 2" xfId="28858" xr:uid="{00000000-0005-0000-0000-0000A33B0000}"/>
    <cellStyle name="Currency [0] 17" xfId="28859" xr:uid="{00000000-0005-0000-0000-0000A43B0000}"/>
    <cellStyle name="Currency [0] 17 2" xfId="28860" xr:uid="{00000000-0005-0000-0000-0000A53B0000}"/>
    <cellStyle name="Currency [0] 18" xfId="28861" xr:uid="{00000000-0005-0000-0000-0000A63B0000}"/>
    <cellStyle name="Currency [0] 18 2" xfId="28862" xr:uid="{00000000-0005-0000-0000-0000A73B0000}"/>
    <cellStyle name="Currency [0] 19" xfId="28863" xr:uid="{00000000-0005-0000-0000-0000A83B0000}"/>
    <cellStyle name="Currency [0] 19 2" xfId="28864" xr:uid="{00000000-0005-0000-0000-0000A93B0000}"/>
    <cellStyle name="Currency [0] 2" xfId="28865" xr:uid="{00000000-0005-0000-0000-0000AA3B0000}"/>
    <cellStyle name="Currency [0] 2 10" xfId="28866" xr:uid="{00000000-0005-0000-0000-0000AB3B0000}"/>
    <cellStyle name="Currency [0] 2 11" xfId="28867" xr:uid="{00000000-0005-0000-0000-0000AC3B0000}"/>
    <cellStyle name="Currency [0] 2 12" xfId="28868" xr:uid="{00000000-0005-0000-0000-0000AD3B0000}"/>
    <cellStyle name="Currency [0] 2 13" xfId="28869" xr:uid="{00000000-0005-0000-0000-0000AE3B0000}"/>
    <cellStyle name="Currency [0] 2 14" xfId="28870" xr:uid="{00000000-0005-0000-0000-0000AF3B0000}"/>
    <cellStyle name="Currency [0] 2 15" xfId="28871" xr:uid="{00000000-0005-0000-0000-0000B03B0000}"/>
    <cellStyle name="Currency [0] 2 16" xfId="28872" xr:uid="{00000000-0005-0000-0000-0000B13B0000}"/>
    <cellStyle name="Currency [0] 2 17" xfId="28873" xr:uid="{00000000-0005-0000-0000-0000B23B0000}"/>
    <cellStyle name="Currency [0] 2 18" xfId="28874" xr:uid="{00000000-0005-0000-0000-0000B33B0000}"/>
    <cellStyle name="Currency [0] 2 2" xfId="28875" xr:uid="{00000000-0005-0000-0000-0000B43B0000}"/>
    <cellStyle name="Currency [0] 2 2 10" xfId="28876" xr:uid="{00000000-0005-0000-0000-0000B53B0000}"/>
    <cellStyle name="Currency [0] 2 2 11" xfId="28877" xr:uid="{00000000-0005-0000-0000-0000B63B0000}"/>
    <cellStyle name="Currency [0] 2 2 12" xfId="28878" xr:uid="{00000000-0005-0000-0000-0000B73B0000}"/>
    <cellStyle name="Currency [0] 2 2 13" xfId="28879" xr:uid="{00000000-0005-0000-0000-0000B83B0000}"/>
    <cellStyle name="Currency [0] 2 2 14" xfId="28880" xr:uid="{00000000-0005-0000-0000-0000B93B0000}"/>
    <cellStyle name="Currency [0] 2 2 15" xfId="28881" xr:uid="{00000000-0005-0000-0000-0000BA3B0000}"/>
    <cellStyle name="Currency [0] 2 2 2" xfId="28882" xr:uid="{00000000-0005-0000-0000-0000BB3B0000}"/>
    <cellStyle name="Currency [0] 2 2 3" xfId="28883" xr:uid="{00000000-0005-0000-0000-0000BC3B0000}"/>
    <cellStyle name="Currency [0] 2 2 4" xfId="28884" xr:uid="{00000000-0005-0000-0000-0000BD3B0000}"/>
    <cellStyle name="Currency [0] 2 2 5" xfId="28885" xr:uid="{00000000-0005-0000-0000-0000BE3B0000}"/>
    <cellStyle name="Currency [0] 2 2 6" xfId="28886" xr:uid="{00000000-0005-0000-0000-0000BF3B0000}"/>
    <cellStyle name="Currency [0] 2 2 7" xfId="28887" xr:uid="{00000000-0005-0000-0000-0000C03B0000}"/>
    <cellStyle name="Currency [0] 2 2 8" xfId="28888" xr:uid="{00000000-0005-0000-0000-0000C13B0000}"/>
    <cellStyle name="Currency [0] 2 2 9" xfId="28889" xr:uid="{00000000-0005-0000-0000-0000C23B0000}"/>
    <cellStyle name="Currency [0] 2 3" xfId="28890" xr:uid="{00000000-0005-0000-0000-0000C33B0000}"/>
    <cellStyle name="Currency [0] 2 4" xfId="28891" xr:uid="{00000000-0005-0000-0000-0000C43B0000}"/>
    <cellStyle name="Currency [0] 2 5" xfId="28892" xr:uid="{00000000-0005-0000-0000-0000C53B0000}"/>
    <cellStyle name="Currency [0] 2 6" xfId="28893" xr:uid="{00000000-0005-0000-0000-0000C63B0000}"/>
    <cellStyle name="Currency [0] 2 7" xfId="28894" xr:uid="{00000000-0005-0000-0000-0000C73B0000}"/>
    <cellStyle name="Currency [0] 2 8" xfId="28895" xr:uid="{00000000-0005-0000-0000-0000C83B0000}"/>
    <cellStyle name="Currency [0] 2 9" xfId="28896" xr:uid="{00000000-0005-0000-0000-0000C93B0000}"/>
    <cellStyle name="Currency [0] 20" xfId="28897" xr:uid="{00000000-0005-0000-0000-0000CA3B0000}"/>
    <cellStyle name="Currency [0] 20 2" xfId="28898" xr:uid="{00000000-0005-0000-0000-0000CB3B0000}"/>
    <cellStyle name="Currency [0] 21" xfId="28899" xr:uid="{00000000-0005-0000-0000-0000CC3B0000}"/>
    <cellStyle name="Currency [0] 21 2" xfId="28900" xr:uid="{00000000-0005-0000-0000-0000CD3B0000}"/>
    <cellStyle name="Currency [0] 22" xfId="28901" xr:uid="{00000000-0005-0000-0000-0000CE3B0000}"/>
    <cellStyle name="Currency [0] 22 2" xfId="28902" xr:uid="{00000000-0005-0000-0000-0000CF3B0000}"/>
    <cellStyle name="Currency [0] 23" xfId="28903" xr:uid="{00000000-0005-0000-0000-0000D03B0000}"/>
    <cellStyle name="Currency [0] 23 2" xfId="28904" xr:uid="{00000000-0005-0000-0000-0000D13B0000}"/>
    <cellStyle name="Currency [0] 24" xfId="28905" xr:uid="{00000000-0005-0000-0000-0000D23B0000}"/>
    <cellStyle name="Currency [0] 24 2" xfId="28906" xr:uid="{00000000-0005-0000-0000-0000D33B0000}"/>
    <cellStyle name="Currency [0] 24 2 2" xfId="28907" xr:uid="{00000000-0005-0000-0000-0000D43B0000}"/>
    <cellStyle name="Currency [0] 24 3" xfId="28908" xr:uid="{00000000-0005-0000-0000-0000D53B0000}"/>
    <cellStyle name="Currency [0] 25" xfId="28909" xr:uid="{00000000-0005-0000-0000-0000D63B0000}"/>
    <cellStyle name="Currency [0] 25 2" xfId="28910" xr:uid="{00000000-0005-0000-0000-0000D73B0000}"/>
    <cellStyle name="Currency [0] 25 2 2" xfId="28911" xr:uid="{00000000-0005-0000-0000-0000D83B0000}"/>
    <cellStyle name="Currency [0] 25 3" xfId="28912" xr:uid="{00000000-0005-0000-0000-0000D93B0000}"/>
    <cellStyle name="Currency [0] 3" xfId="28913" xr:uid="{00000000-0005-0000-0000-0000DA3B0000}"/>
    <cellStyle name="Currency [0] 3 2" xfId="28914" xr:uid="{00000000-0005-0000-0000-0000DB3B0000}"/>
    <cellStyle name="Currency [0] 4" xfId="28915" xr:uid="{00000000-0005-0000-0000-0000DC3B0000}"/>
    <cellStyle name="Currency [0] 4 2" xfId="28916" xr:uid="{00000000-0005-0000-0000-0000DD3B0000}"/>
    <cellStyle name="Currency [0] 5" xfId="28917" xr:uid="{00000000-0005-0000-0000-0000DE3B0000}"/>
    <cellStyle name="Currency [0] 5 2" xfId="28918" xr:uid="{00000000-0005-0000-0000-0000DF3B0000}"/>
    <cellStyle name="Currency [0] 6" xfId="28919" xr:uid="{00000000-0005-0000-0000-0000E03B0000}"/>
    <cellStyle name="Currency [0] 6 2" xfId="28920" xr:uid="{00000000-0005-0000-0000-0000E13B0000}"/>
    <cellStyle name="Currency [0] 7" xfId="28921" xr:uid="{00000000-0005-0000-0000-0000E23B0000}"/>
    <cellStyle name="Currency [0] 7 2" xfId="28922" xr:uid="{00000000-0005-0000-0000-0000E33B0000}"/>
    <cellStyle name="Currency [0] 8" xfId="28923" xr:uid="{00000000-0005-0000-0000-0000E43B0000}"/>
    <cellStyle name="Currency [0] 8 2" xfId="28924" xr:uid="{00000000-0005-0000-0000-0000E53B0000}"/>
    <cellStyle name="Currency [0] 9" xfId="28925" xr:uid="{00000000-0005-0000-0000-0000E63B0000}"/>
    <cellStyle name="Currency [0] 9 2" xfId="28926" xr:uid="{00000000-0005-0000-0000-0000E73B0000}"/>
    <cellStyle name="Currency [00]" xfId="28927" xr:uid="{00000000-0005-0000-0000-0000E83B0000}"/>
    <cellStyle name="Currency 10" xfId="3216" xr:uid="{00000000-0005-0000-0000-0000E93B0000}"/>
    <cellStyle name="Currency 10 2" xfId="9231" xr:uid="{00000000-0005-0000-0000-0000EA3B0000}"/>
    <cellStyle name="Currency 10 2 10" xfId="28930" xr:uid="{00000000-0005-0000-0000-0000EB3B0000}"/>
    <cellStyle name="Currency 10 2 11" xfId="28931" xr:uid="{00000000-0005-0000-0000-0000EC3B0000}"/>
    <cellStyle name="Currency 10 2 12" xfId="28932" xr:uid="{00000000-0005-0000-0000-0000ED3B0000}"/>
    <cellStyle name="Currency 10 2 13" xfId="28933" xr:uid="{00000000-0005-0000-0000-0000EE3B0000}"/>
    <cellStyle name="Currency 10 2 14" xfId="28934" xr:uid="{00000000-0005-0000-0000-0000EF3B0000}"/>
    <cellStyle name="Currency 10 2 15" xfId="28935" xr:uid="{00000000-0005-0000-0000-0000F03B0000}"/>
    <cellStyle name="Currency 10 2 16" xfId="28936" xr:uid="{00000000-0005-0000-0000-0000F13B0000}"/>
    <cellStyle name="Currency 10 2 17" xfId="28937" xr:uid="{00000000-0005-0000-0000-0000F23B0000}"/>
    <cellStyle name="Currency 10 2 18" xfId="28938" xr:uid="{00000000-0005-0000-0000-0000F33B0000}"/>
    <cellStyle name="Currency 10 2 19" xfId="28929" xr:uid="{00000000-0005-0000-0000-0000F43B0000}"/>
    <cellStyle name="Currency 10 2 2" xfId="28939" xr:uid="{00000000-0005-0000-0000-0000F53B0000}"/>
    <cellStyle name="Currency 10 2 2 10" xfId="28940" xr:uid="{00000000-0005-0000-0000-0000F63B0000}"/>
    <cellStyle name="Currency 10 2 2 11" xfId="28941" xr:uid="{00000000-0005-0000-0000-0000F73B0000}"/>
    <cellStyle name="Currency 10 2 2 12" xfId="28942" xr:uid="{00000000-0005-0000-0000-0000F83B0000}"/>
    <cellStyle name="Currency 10 2 2 13" xfId="28943" xr:uid="{00000000-0005-0000-0000-0000F93B0000}"/>
    <cellStyle name="Currency 10 2 2 14" xfId="28944" xr:uid="{00000000-0005-0000-0000-0000FA3B0000}"/>
    <cellStyle name="Currency 10 2 2 15" xfId="28945" xr:uid="{00000000-0005-0000-0000-0000FB3B0000}"/>
    <cellStyle name="Currency 10 2 2 2" xfId="28946" xr:uid="{00000000-0005-0000-0000-0000FC3B0000}"/>
    <cellStyle name="Currency 10 2 2 3" xfId="28947" xr:uid="{00000000-0005-0000-0000-0000FD3B0000}"/>
    <cellStyle name="Currency 10 2 2 4" xfId="28948" xr:uid="{00000000-0005-0000-0000-0000FE3B0000}"/>
    <cellStyle name="Currency 10 2 2 5" xfId="28949" xr:uid="{00000000-0005-0000-0000-0000FF3B0000}"/>
    <cellStyle name="Currency 10 2 2 6" xfId="28950" xr:uid="{00000000-0005-0000-0000-0000003C0000}"/>
    <cellStyle name="Currency 10 2 2 7" xfId="28951" xr:uid="{00000000-0005-0000-0000-0000013C0000}"/>
    <cellStyle name="Currency 10 2 2 8" xfId="28952" xr:uid="{00000000-0005-0000-0000-0000023C0000}"/>
    <cellStyle name="Currency 10 2 2 9" xfId="28953" xr:uid="{00000000-0005-0000-0000-0000033C0000}"/>
    <cellStyle name="Currency 10 2 3" xfId="28954" xr:uid="{00000000-0005-0000-0000-0000043C0000}"/>
    <cellStyle name="Currency 10 2 4" xfId="28955" xr:uid="{00000000-0005-0000-0000-0000053C0000}"/>
    <cellStyle name="Currency 10 2 5" xfId="28956" xr:uid="{00000000-0005-0000-0000-0000063C0000}"/>
    <cellStyle name="Currency 10 2 6" xfId="28957" xr:uid="{00000000-0005-0000-0000-0000073C0000}"/>
    <cellStyle name="Currency 10 2 7" xfId="28958" xr:uid="{00000000-0005-0000-0000-0000083C0000}"/>
    <cellStyle name="Currency 10 2 8" xfId="28959" xr:uid="{00000000-0005-0000-0000-0000093C0000}"/>
    <cellStyle name="Currency 10 2 9" xfId="28960" xr:uid="{00000000-0005-0000-0000-00000A3C0000}"/>
    <cellStyle name="Currency 10 3" xfId="28961" xr:uid="{00000000-0005-0000-0000-00000B3C0000}"/>
    <cellStyle name="Currency 10 3 2" xfId="28962" xr:uid="{00000000-0005-0000-0000-00000C3C0000}"/>
    <cellStyle name="Currency 10 4" xfId="28963" xr:uid="{00000000-0005-0000-0000-00000D3C0000}"/>
    <cellStyle name="Currency 10 4 2" xfId="28964" xr:uid="{00000000-0005-0000-0000-00000E3C0000}"/>
    <cellStyle name="Currency 10 5" xfId="28965" xr:uid="{00000000-0005-0000-0000-00000F3C0000}"/>
    <cellStyle name="Currency 10 6" xfId="28966" xr:uid="{00000000-0005-0000-0000-0000103C0000}"/>
    <cellStyle name="Currency 10 7" xfId="28928" xr:uid="{00000000-0005-0000-0000-0000113C0000}"/>
    <cellStyle name="Currency 11" xfId="3217" xr:uid="{00000000-0005-0000-0000-0000123C0000}"/>
    <cellStyle name="Currency 11 2" xfId="9232" xr:uid="{00000000-0005-0000-0000-0000133C0000}"/>
    <cellStyle name="Currency 11 2 10" xfId="28969" xr:uid="{00000000-0005-0000-0000-0000143C0000}"/>
    <cellStyle name="Currency 11 2 11" xfId="28970" xr:uid="{00000000-0005-0000-0000-0000153C0000}"/>
    <cellStyle name="Currency 11 2 12" xfId="28971" xr:uid="{00000000-0005-0000-0000-0000163C0000}"/>
    <cellStyle name="Currency 11 2 13" xfId="28972" xr:uid="{00000000-0005-0000-0000-0000173C0000}"/>
    <cellStyle name="Currency 11 2 14" xfId="28973" xr:uid="{00000000-0005-0000-0000-0000183C0000}"/>
    <cellStyle name="Currency 11 2 15" xfId="28974" xr:uid="{00000000-0005-0000-0000-0000193C0000}"/>
    <cellStyle name="Currency 11 2 16" xfId="28975" xr:uid="{00000000-0005-0000-0000-00001A3C0000}"/>
    <cellStyle name="Currency 11 2 17" xfId="28976" xr:uid="{00000000-0005-0000-0000-00001B3C0000}"/>
    <cellStyle name="Currency 11 2 18" xfId="28977" xr:uid="{00000000-0005-0000-0000-00001C3C0000}"/>
    <cellStyle name="Currency 11 2 19" xfId="28968" xr:uid="{00000000-0005-0000-0000-00001D3C0000}"/>
    <cellStyle name="Currency 11 2 2" xfId="28978" xr:uid="{00000000-0005-0000-0000-00001E3C0000}"/>
    <cellStyle name="Currency 11 2 2 10" xfId="28979" xr:uid="{00000000-0005-0000-0000-00001F3C0000}"/>
    <cellStyle name="Currency 11 2 2 11" xfId="28980" xr:uid="{00000000-0005-0000-0000-0000203C0000}"/>
    <cellStyle name="Currency 11 2 2 12" xfId="28981" xr:uid="{00000000-0005-0000-0000-0000213C0000}"/>
    <cellStyle name="Currency 11 2 2 13" xfId="28982" xr:uid="{00000000-0005-0000-0000-0000223C0000}"/>
    <cellStyle name="Currency 11 2 2 14" xfId="28983" xr:uid="{00000000-0005-0000-0000-0000233C0000}"/>
    <cellStyle name="Currency 11 2 2 15" xfId="28984" xr:uid="{00000000-0005-0000-0000-0000243C0000}"/>
    <cellStyle name="Currency 11 2 2 2" xfId="28985" xr:uid="{00000000-0005-0000-0000-0000253C0000}"/>
    <cellStyle name="Currency 11 2 2 3" xfId="28986" xr:uid="{00000000-0005-0000-0000-0000263C0000}"/>
    <cellStyle name="Currency 11 2 2 4" xfId="28987" xr:uid="{00000000-0005-0000-0000-0000273C0000}"/>
    <cellStyle name="Currency 11 2 2 5" xfId="28988" xr:uid="{00000000-0005-0000-0000-0000283C0000}"/>
    <cellStyle name="Currency 11 2 2 6" xfId="28989" xr:uid="{00000000-0005-0000-0000-0000293C0000}"/>
    <cellStyle name="Currency 11 2 2 7" xfId="28990" xr:uid="{00000000-0005-0000-0000-00002A3C0000}"/>
    <cellStyle name="Currency 11 2 2 8" xfId="28991" xr:uid="{00000000-0005-0000-0000-00002B3C0000}"/>
    <cellStyle name="Currency 11 2 2 9" xfId="28992" xr:uid="{00000000-0005-0000-0000-00002C3C0000}"/>
    <cellStyle name="Currency 11 2 3" xfId="28993" xr:uid="{00000000-0005-0000-0000-00002D3C0000}"/>
    <cellStyle name="Currency 11 2 4" xfId="28994" xr:uid="{00000000-0005-0000-0000-00002E3C0000}"/>
    <cellStyle name="Currency 11 2 5" xfId="28995" xr:uid="{00000000-0005-0000-0000-00002F3C0000}"/>
    <cellStyle name="Currency 11 2 6" xfId="28996" xr:uid="{00000000-0005-0000-0000-0000303C0000}"/>
    <cellStyle name="Currency 11 2 7" xfId="28997" xr:uid="{00000000-0005-0000-0000-0000313C0000}"/>
    <cellStyle name="Currency 11 2 8" xfId="28998" xr:uid="{00000000-0005-0000-0000-0000323C0000}"/>
    <cellStyle name="Currency 11 2 9" xfId="28999" xr:uid="{00000000-0005-0000-0000-0000333C0000}"/>
    <cellStyle name="Currency 11 3" xfId="29000" xr:uid="{00000000-0005-0000-0000-0000343C0000}"/>
    <cellStyle name="Currency 11 3 2" xfId="29001" xr:uid="{00000000-0005-0000-0000-0000353C0000}"/>
    <cellStyle name="Currency 11 4" xfId="29002" xr:uid="{00000000-0005-0000-0000-0000363C0000}"/>
    <cellStyle name="Currency 11 4 2" xfId="29003" xr:uid="{00000000-0005-0000-0000-0000373C0000}"/>
    <cellStyle name="Currency 11 5" xfId="29004" xr:uid="{00000000-0005-0000-0000-0000383C0000}"/>
    <cellStyle name="Currency 11 6" xfId="29005" xr:uid="{00000000-0005-0000-0000-0000393C0000}"/>
    <cellStyle name="Currency 11 7" xfId="28967" xr:uid="{00000000-0005-0000-0000-00003A3C0000}"/>
    <cellStyle name="Currency 12" xfId="3218" xr:uid="{00000000-0005-0000-0000-00003B3C0000}"/>
    <cellStyle name="Currency 12 10" xfId="29007" xr:uid="{00000000-0005-0000-0000-00003C3C0000}"/>
    <cellStyle name="Currency 12 11" xfId="29008" xr:uid="{00000000-0005-0000-0000-00003D3C0000}"/>
    <cellStyle name="Currency 12 12" xfId="29009" xr:uid="{00000000-0005-0000-0000-00003E3C0000}"/>
    <cellStyle name="Currency 12 13" xfId="29010" xr:uid="{00000000-0005-0000-0000-00003F3C0000}"/>
    <cellStyle name="Currency 12 14" xfId="29011" xr:uid="{00000000-0005-0000-0000-0000403C0000}"/>
    <cellStyle name="Currency 12 15" xfId="29012" xr:uid="{00000000-0005-0000-0000-0000413C0000}"/>
    <cellStyle name="Currency 12 16" xfId="29013" xr:uid="{00000000-0005-0000-0000-0000423C0000}"/>
    <cellStyle name="Currency 12 17" xfId="29014" xr:uid="{00000000-0005-0000-0000-0000433C0000}"/>
    <cellStyle name="Currency 12 18" xfId="29015" xr:uid="{00000000-0005-0000-0000-0000443C0000}"/>
    <cellStyle name="Currency 12 19" xfId="29016" xr:uid="{00000000-0005-0000-0000-0000453C0000}"/>
    <cellStyle name="Currency 12 2" xfId="9233" xr:uid="{00000000-0005-0000-0000-0000463C0000}"/>
    <cellStyle name="Currency 12 2 10" xfId="29018" xr:uid="{00000000-0005-0000-0000-0000473C0000}"/>
    <cellStyle name="Currency 12 2 11" xfId="29019" xr:uid="{00000000-0005-0000-0000-0000483C0000}"/>
    <cellStyle name="Currency 12 2 12" xfId="29020" xr:uid="{00000000-0005-0000-0000-0000493C0000}"/>
    <cellStyle name="Currency 12 2 13" xfId="29021" xr:uid="{00000000-0005-0000-0000-00004A3C0000}"/>
    <cellStyle name="Currency 12 2 14" xfId="29022" xr:uid="{00000000-0005-0000-0000-00004B3C0000}"/>
    <cellStyle name="Currency 12 2 15" xfId="29023" xr:uid="{00000000-0005-0000-0000-00004C3C0000}"/>
    <cellStyle name="Currency 12 2 16" xfId="29024" xr:uid="{00000000-0005-0000-0000-00004D3C0000}"/>
    <cellStyle name="Currency 12 2 17" xfId="29025" xr:uid="{00000000-0005-0000-0000-00004E3C0000}"/>
    <cellStyle name="Currency 12 2 18" xfId="29017" xr:uid="{00000000-0005-0000-0000-00004F3C0000}"/>
    <cellStyle name="Currency 12 2 2" xfId="29026" xr:uid="{00000000-0005-0000-0000-0000503C0000}"/>
    <cellStyle name="Currency 12 2 3" xfId="29027" xr:uid="{00000000-0005-0000-0000-0000513C0000}"/>
    <cellStyle name="Currency 12 2 4" xfId="29028" xr:uid="{00000000-0005-0000-0000-0000523C0000}"/>
    <cellStyle name="Currency 12 2 5" xfId="29029" xr:uid="{00000000-0005-0000-0000-0000533C0000}"/>
    <cellStyle name="Currency 12 2 6" xfId="29030" xr:uid="{00000000-0005-0000-0000-0000543C0000}"/>
    <cellStyle name="Currency 12 2 7" xfId="29031" xr:uid="{00000000-0005-0000-0000-0000553C0000}"/>
    <cellStyle name="Currency 12 2 8" xfId="29032" xr:uid="{00000000-0005-0000-0000-0000563C0000}"/>
    <cellStyle name="Currency 12 2 9" xfId="29033" xr:uid="{00000000-0005-0000-0000-0000573C0000}"/>
    <cellStyle name="Currency 12 20" xfId="29006" xr:uid="{00000000-0005-0000-0000-0000583C0000}"/>
    <cellStyle name="Currency 12 3" xfId="29034" xr:uid="{00000000-0005-0000-0000-0000593C0000}"/>
    <cellStyle name="Currency 12 3 2" xfId="29035" xr:uid="{00000000-0005-0000-0000-00005A3C0000}"/>
    <cellStyle name="Currency 12 3 3" xfId="29036" xr:uid="{00000000-0005-0000-0000-00005B3C0000}"/>
    <cellStyle name="Currency 12 4" xfId="29037" xr:uid="{00000000-0005-0000-0000-00005C3C0000}"/>
    <cellStyle name="Currency 12 4 2" xfId="29038" xr:uid="{00000000-0005-0000-0000-00005D3C0000}"/>
    <cellStyle name="Currency 12 4 3" xfId="29039" xr:uid="{00000000-0005-0000-0000-00005E3C0000}"/>
    <cellStyle name="Currency 12 5" xfId="29040" xr:uid="{00000000-0005-0000-0000-00005F3C0000}"/>
    <cellStyle name="Currency 12 6" xfId="29041" xr:uid="{00000000-0005-0000-0000-0000603C0000}"/>
    <cellStyle name="Currency 12 7" xfId="29042" xr:uid="{00000000-0005-0000-0000-0000613C0000}"/>
    <cellStyle name="Currency 12 8" xfId="29043" xr:uid="{00000000-0005-0000-0000-0000623C0000}"/>
    <cellStyle name="Currency 12 9" xfId="29044" xr:uid="{00000000-0005-0000-0000-0000633C0000}"/>
    <cellStyle name="Currency 13" xfId="3219" xr:uid="{00000000-0005-0000-0000-0000643C0000}"/>
    <cellStyle name="Currency 13 10" xfId="29046" xr:uid="{00000000-0005-0000-0000-0000653C0000}"/>
    <cellStyle name="Currency 13 11" xfId="29047" xr:uid="{00000000-0005-0000-0000-0000663C0000}"/>
    <cellStyle name="Currency 13 12" xfId="29048" xr:uid="{00000000-0005-0000-0000-0000673C0000}"/>
    <cellStyle name="Currency 13 13" xfId="29049" xr:uid="{00000000-0005-0000-0000-0000683C0000}"/>
    <cellStyle name="Currency 13 14" xfId="29050" xr:uid="{00000000-0005-0000-0000-0000693C0000}"/>
    <cellStyle name="Currency 13 15" xfId="29051" xr:uid="{00000000-0005-0000-0000-00006A3C0000}"/>
    <cellStyle name="Currency 13 16" xfId="29052" xr:uid="{00000000-0005-0000-0000-00006B3C0000}"/>
    <cellStyle name="Currency 13 17" xfId="29053" xr:uid="{00000000-0005-0000-0000-00006C3C0000}"/>
    <cellStyle name="Currency 13 18" xfId="29054" xr:uid="{00000000-0005-0000-0000-00006D3C0000}"/>
    <cellStyle name="Currency 13 19" xfId="29055" xr:uid="{00000000-0005-0000-0000-00006E3C0000}"/>
    <cellStyle name="Currency 13 2" xfId="3220" xr:uid="{00000000-0005-0000-0000-00006F3C0000}"/>
    <cellStyle name="Currency 13 2 10" xfId="29057" xr:uid="{00000000-0005-0000-0000-0000703C0000}"/>
    <cellStyle name="Currency 13 2 11" xfId="29058" xr:uid="{00000000-0005-0000-0000-0000713C0000}"/>
    <cellStyle name="Currency 13 2 12" xfId="29059" xr:uid="{00000000-0005-0000-0000-0000723C0000}"/>
    <cellStyle name="Currency 13 2 13" xfId="29060" xr:uid="{00000000-0005-0000-0000-0000733C0000}"/>
    <cellStyle name="Currency 13 2 14" xfId="29061" xr:uid="{00000000-0005-0000-0000-0000743C0000}"/>
    <cellStyle name="Currency 13 2 15" xfId="29062" xr:uid="{00000000-0005-0000-0000-0000753C0000}"/>
    <cellStyle name="Currency 13 2 16" xfId="29063" xr:uid="{00000000-0005-0000-0000-0000763C0000}"/>
    <cellStyle name="Currency 13 2 17" xfId="29064" xr:uid="{00000000-0005-0000-0000-0000773C0000}"/>
    <cellStyle name="Currency 13 2 18" xfId="29056" xr:uid="{00000000-0005-0000-0000-0000783C0000}"/>
    <cellStyle name="Currency 13 2 2" xfId="3221" xr:uid="{00000000-0005-0000-0000-0000793C0000}"/>
    <cellStyle name="Currency 13 2 2 2" xfId="9234" xr:uid="{00000000-0005-0000-0000-00007A3C0000}"/>
    <cellStyle name="Currency 13 2 2 3" xfId="29065" xr:uid="{00000000-0005-0000-0000-00007B3C0000}"/>
    <cellStyle name="Currency 13 2 3" xfId="9235" xr:uid="{00000000-0005-0000-0000-00007C3C0000}"/>
    <cellStyle name="Currency 13 2 3 2" xfId="29066" xr:uid="{00000000-0005-0000-0000-00007D3C0000}"/>
    <cellStyle name="Currency 13 2 4" xfId="29067" xr:uid="{00000000-0005-0000-0000-00007E3C0000}"/>
    <cellStyle name="Currency 13 2 5" xfId="29068" xr:uid="{00000000-0005-0000-0000-00007F3C0000}"/>
    <cellStyle name="Currency 13 2 6" xfId="29069" xr:uid="{00000000-0005-0000-0000-0000803C0000}"/>
    <cellStyle name="Currency 13 2 7" xfId="29070" xr:uid="{00000000-0005-0000-0000-0000813C0000}"/>
    <cellStyle name="Currency 13 2 8" xfId="29071" xr:uid="{00000000-0005-0000-0000-0000823C0000}"/>
    <cellStyle name="Currency 13 2 9" xfId="29072" xr:uid="{00000000-0005-0000-0000-0000833C0000}"/>
    <cellStyle name="Currency 13 20" xfId="29045" xr:uid="{00000000-0005-0000-0000-0000843C0000}"/>
    <cellStyle name="Currency 13 3" xfId="3222" xr:uid="{00000000-0005-0000-0000-0000853C0000}"/>
    <cellStyle name="Currency 13 3 2" xfId="3223" xr:uid="{00000000-0005-0000-0000-0000863C0000}"/>
    <cellStyle name="Currency 13 3 2 2" xfId="9236" xr:uid="{00000000-0005-0000-0000-0000873C0000}"/>
    <cellStyle name="Currency 13 3 2 3" xfId="29074" xr:uid="{00000000-0005-0000-0000-0000883C0000}"/>
    <cellStyle name="Currency 13 3 3" xfId="9237" xr:uid="{00000000-0005-0000-0000-0000893C0000}"/>
    <cellStyle name="Currency 13 3 3 2" xfId="29075" xr:uid="{00000000-0005-0000-0000-00008A3C0000}"/>
    <cellStyle name="Currency 13 3 4" xfId="29073" xr:uid="{00000000-0005-0000-0000-00008B3C0000}"/>
    <cellStyle name="Currency 13 4" xfId="3224" xr:uid="{00000000-0005-0000-0000-00008C3C0000}"/>
    <cellStyle name="Currency 13 4 2" xfId="9238" xr:uid="{00000000-0005-0000-0000-00008D3C0000}"/>
    <cellStyle name="Currency 13 4 2 2" xfId="29077" xr:uid="{00000000-0005-0000-0000-00008E3C0000}"/>
    <cellStyle name="Currency 13 4 3" xfId="29078" xr:uid="{00000000-0005-0000-0000-00008F3C0000}"/>
    <cellStyle name="Currency 13 4 4" xfId="29076" xr:uid="{00000000-0005-0000-0000-0000903C0000}"/>
    <cellStyle name="Currency 13 5" xfId="9239" xr:uid="{00000000-0005-0000-0000-0000913C0000}"/>
    <cellStyle name="Currency 13 5 2" xfId="29079" xr:uid="{00000000-0005-0000-0000-0000923C0000}"/>
    <cellStyle name="Currency 13 6" xfId="29080" xr:uid="{00000000-0005-0000-0000-0000933C0000}"/>
    <cellStyle name="Currency 13 7" xfId="29081" xr:uid="{00000000-0005-0000-0000-0000943C0000}"/>
    <cellStyle name="Currency 13 8" xfId="29082" xr:uid="{00000000-0005-0000-0000-0000953C0000}"/>
    <cellStyle name="Currency 13 9" xfId="29083" xr:uid="{00000000-0005-0000-0000-0000963C0000}"/>
    <cellStyle name="Currency 14" xfId="3225" xr:uid="{00000000-0005-0000-0000-0000973C0000}"/>
    <cellStyle name="Currency 14 2" xfId="9240" xr:uid="{00000000-0005-0000-0000-0000983C0000}"/>
    <cellStyle name="Currency 14 2 2" xfId="29086" xr:uid="{00000000-0005-0000-0000-0000993C0000}"/>
    <cellStyle name="Currency 14 2 3" xfId="29085" xr:uid="{00000000-0005-0000-0000-00009A3C0000}"/>
    <cellStyle name="Currency 14 3" xfId="29087" xr:uid="{00000000-0005-0000-0000-00009B3C0000}"/>
    <cellStyle name="Currency 14 3 2" xfId="29088" xr:uid="{00000000-0005-0000-0000-00009C3C0000}"/>
    <cellStyle name="Currency 14 4" xfId="29089" xr:uid="{00000000-0005-0000-0000-00009D3C0000}"/>
    <cellStyle name="Currency 14 4 2" xfId="29090" xr:uid="{00000000-0005-0000-0000-00009E3C0000}"/>
    <cellStyle name="Currency 14 5" xfId="29091" xr:uid="{00000000-0005-0000-0000-00009F3C0000}"/>
    <cellStyle name="Currency 14 6" xfId="29092" xr:uid="{00000000-0005-0000-0000-0000A03C0000}"/>
    <cellStyle name="Currency 14 7" xfId="29084" xr:uid="{00000000-0005-0000-0000-0000A13C0000}"/>
    <cellStyle name="Currency 15" xfId="3226" xr:uid="{00000000-0005-0000-0000-0000A23C0000}"/>
    <cellStyle name="Currency 15 2" xfId="3227" xr:uid="{00000000-0005-0000-0000-0000A33C0000}"/>
    <cellStyle name="Currency 15 2 2" xfId="3228" xr:uid="{00000000-0005-0000-0000-0000A43C0000}"/>
    <cellStyle name="Currency 15 2 2 2" xfId="9241" xr:uid="{00000000-0005-0000-0000-0000A53C0000}"/>
    <cellStyle name="Currency 15 2 2 3" xfId="29094" xr:uid="{00000000-0005-0000-0000-0000A63C0000}"/>
    <cellStyle name="Currency 15 2 3" xfId="9242" xr:uid="{00000000-0005-0000-0000-0000A73C0000}"/>
    <cellStyle name="Currency 15 2 4" xfId="29093" xr:uid="{00000000-0005-0000-0000-0000A83C0000}"/>
    <cellStyle name="Currency 15 3" xfId="9243" xr:uid="{00000000-0005-0000-0000-0000A93C0000}"/>
    <cellStyle name="Currency 15 3 2" xfId="29096" xr:uid="{00000000-0005-0000-0000-0000AA3C0000}"/>
    <cellStyle name="Currency 15 3 3" xfId="29095" xr:uid="{00000000-0005-0000-0000-0000AB3C0000}"/>
    <cellStyle name="Currency 15 4" xfId="29097" xr:uid="{00000000-0005-0000-0000-0000AC3C0000}"/>
    <cellStyle name="Currency 15 4 2" xfId="29098" xr:uid="{00000000-0005-0000-0000-0000AD3C0000}"/>
    <cellStyle name="Currency 15 5" xfId="29099" xr:uid="{00000000-0005-0000-0000-0000AE3C0000}"/>
    <cellStyle name="Currency 15 6" xfId="29100" xr:uid="{00000000-0005-0000-0000-0000AF3C0000}"/>
    <cellStyle name="Currency 16" xfId="3229" xr:uid="{00000000-0005-0000-0000-0000B03C0000}"/>
    <cellStyle name="Currency 16 2" xfId="9244" xr:uid="{00000000-0005-0000-0000-0000B13C0000}"/>
    <cellStyle name="Currency 16 2 2" xfId="29103" xr:uid="{00000000-0005-0000-0000-0000B23C0000}"/>
    <cellStyle name="Currency 16 2 3" xfId="29102" xr:uid="{00000000-0005-0000-0000-0000B33C0000}"/>
    <cellStyle name="Currency 16 3" xfId="29104" xr:uid="{00000000-0005-0000-0000-0000B43C0000}"/>
    <cellStyle name="Currency 16 3 2" xfId="29105" xr:uid="{00000000-0005-0000-0000-0000B53C0000}"/>
    <cellStyle name="Currency 16 4" xfId="29106" xr:uid="{00000000-0005-0000-0000-0000B63C0000}"/>
    <cellStyle name="Currency 16 4 2" xfId="29107" xr:uid="{00000000-0005-0000-0000-0000B73C0000}"/>
    <cellStyle name="Currency 16 5" xfId="29108" xr:uid="{00000000-0005-0000-0000-0000B83C0000}"/>
    <cellStyle name="Currency 16 6" xfId="29109" xr:uid="{00000000-0005-0000-0000-0000B93C0000}"/>
    <cellStyle name="Currency 16 7" xfId="29101" xr:uid="{00000000-0005-0000-0000-0000BA3C0000}"/>
    <cellStyle name="Currency 17" xfId="3230" xr:uid="{00000000-0005-0000-0000-0000BB3C0000}"/>
    <cellStyle name="Currency 17 2" xfId="9245" xr:uid="{00000000-0005-0000-0000-0000BC3C0000}"/>
    <cellStyle name="Currency 17 2 2" xfId="29112" xr:uid="{00000000-0005-0000-0000-0000BD3C0000}"/>
    <cellStyle name="Currency 17 2 3" xfId="29111" xr:uid="{00000000-0005-0000-0000-0000BE3C0000}"/>
    <cellStyle name="Currency 17 3" xfId="29113" xr:uid="{00000000-0005-0000-0000-0000BF3C0000}"/>
    <cellStyle name="Currency 17 4" xfId="29114" xr:uid="{00000000-0005-0000-0000-0000C03C0000}"/>
    <cellStyle name="Currency 17 5" xfId="29110" xr:uid="{00000000-0005-0000-0000-0000C13C0000}"/>
    <cellStyle name="Currency 18" xfId="3231" xr:uid="{00000000-0005-0000-0000-0000C23C0000}"/>
    <cellStyle name="Currency 18 2" xfId="9246" xr:uid="{00000000-0005-0000-0000-0000C33C0000}"/>
    <cellStyle name="Currency 18 2 2" xfId="29117" xr:uid="{00000000-0005-0000-0000-0000C43C0000}"/>
    <cellStyle name="Currency 18 2 3" xfId="29118" xr:uid="{00000000-0005-0000-0000-0000C53C0000}"/>
    <cellStyle name="Currency 18 2 4" xfId="29116" xr:uid="{00000000-0005-0000-0000-0000C63C0000}"/>
    <cellStyle name="Currency 18 3" xfId="29119" xr:uid="{00000000-0005-0000-0000-0000C73C0000}"/>
    <cellStyle name="Currency 18 4" xfId="29120" xr:uid="{00000000-0005-0000-0000-0000C83C0000}"/>
    <cellStyle name="Currency 18 5" xfId="29115" xr:uid="{00000000-0005-0000-0000-0000C93C0000}"/>
    <cellStyle name="Currency 19" xfId="3232" xr:uid="{00000000-0005-0000-0000-0000CA3C0000}"/>
    <cellStyle name="Currency 19 2" xfId="9247" xr:uid="{00000000-0005-0000-0000-0000CB3C0000}"/>
    <cellStyle name="Currency 19 2 2" xfId="29123" xr:uid="{00000000-0005-0000-0000-0000CC3C0000}"/>
    <cellStyle name="Currency 19 2 3" xfId="29124" xr:uid="{00000000-0005-0000-0000-0000CD3C0000}"/>
    <cellStyle name="Currency 19 2 4" xfId="29122" xr:uid="{00000000-0005-0000-0000-0000CE3C0000}"/>
    <cellStyle name="Currency 19 3" xfId="29125" xr:uid="{00000000-0005-0000-0000-0000CF3C0000}"/>
    <cellStyle name="Currency 19 4" xfId="29126" xr:uid="{00000000-0005-0000-0000-0000D03C0000}"/>
    <cellStyle name="Currency 19 5" xfId="29121" xr:uid="{00000000-0005-0000-0000-0000D13C0000}"/>
    <cellStyle name="Currency 2" xfId="3233" xr:uid="{00000000-0005-0000-0000-0000D23C0000}"/>
    <cellStyle name="Currency 2 2" xfId="3234" xr:uid="{00000000-0005-0000-0000-0000D33C0000}"/>
    <cellStyle name="Currency 2 2 2" xfId="3235" xr:uid="{00000000-0005-0000-0000-0000D43C0000}"/>
    <cellStyle name="Currency 2 2 2 2" xfId="9248" xr:uid="{00000000-0005-0000-0000-0000D53C0000}"/>
    <cellStyle name="Currency 2 2 2 2 2" xfId="29129" xr:uid="{00000000-0005-0000-0000-0000D63C0000}"/>
    <cellStyle name="Currency 2 2 2 3" xfId="29128" xr:uid="{00000000-0005-0000-0000-0000D73C0000}"/>
    <cellStyle name="Currency 2 2 3" xfId="3236" xr:uid="{00000000-0005-0000-0000-0000D83C0000}"/>
    <cellStyle name="Currency 2 2 3 2" xfId="29130" xr:uid="{00000000-0005-0000-0000-0000D93C0000}"/>
    <cellStyle name="Currency 2 2 4" xfId="29131" xr:uid="{00000000-0005-0000-0000-0000DA3C0000}"/>
    <cellStyle name="Currency 2 2 5" xfId="29132" xr:uid="{00000000-0005-0000-0000-0000DB3C0000}"/>
    <cellStyle name="Currency 2 2 6" xfId="29133" xr:uid="{00000000-0005-0000-0000-0000DC3C0000}"/>
    <cellStyle name="Currency 2 2 6 2" xfId="39205" xr:uid="{00000000-0005-0000-0000-0000DD3C0000}"/>
    <cellStyle name="Currency 2 2 7" xfId="29127" xr:uid="{00000000-0005-0000-0000-0000DE3C0000}"/>
    <cellStyle name="Currency 2 3" xfId="3237" xr:uid="{00000000-0005-0000-0000-0000DF3C0000}"/>
    <cellStyle name="Currency 2 3 10" xfId="29134" xr:uid="{00000000-0005-0000-0000-0000E03C0000}"/>
    <cellStyle name="Currency 2 3 11" xfId="29135" xr:uid="{00000000-0005-0000-0000-0000E13C0000}"/>
    <cellStyle name="Currency 2 3 12" xfId="29136" xr:uid="{00000000-0005-0000-0000-0000E23C0000}"/>
    <cellStyle name="Currency 2 3 13" xfId="29137" xr:uid="{00000000-0005-0000-0000-0000E33C0000}"/>
    <cellStyle name="Currency 2 3 14" xfId="29138" xr:uid="{00000000-0005-0000-0000-0000E43C0000}"/>
    <cellStyle name="Currency 2 3 15" xfId="29139" xr:uid="{00000000-0005-0000-0000-0000E53C0000}"/>
    <cellStyle name="Currency 2 3 16" xfId="29140" xr:uid="{00000000-0005-0000-0000-0000E63C0000}"/>
    <cellStyle name="Currency 2 3 17" xfId="29141" xr:uid="{00000000-0005-0000-0000-0000E73C0000}"/>
    <cellStyle name="Currency 2 3 18" xfId="29142" xr:uid="{00000000-0005-0000-0000-0000E83C0000}"/>
    <cellStyle name="Currency 2 3 19" xfId="29143" xr:uid="{00000000-0005-0000-0000-0000E93C0000}"/>
    <cellStyle name="Currency 2 3 19 2" xfId="39206" xr:uid="{00000000-0005-0000-0000-0000EA3C0000}"/>
    <cellStyle name="Currency 2 3 2" xfId="29144" xr:uid="{00000000-0005-0000-0000-0000EB3C0000}"/>
    <cellStyle name="Currency 2 3 2 10" xfId="29145" xr:uid="{00000000-0005-0000-0000-0000EC3C0000}"/>
    <cellStyle name="Currency 2 3 2 11" xfId="29146" xr:uid="{00000000-0005-0000-0000-0000ED3C0000}"/>
    <cellStyle name="Currency 2 3 2 12" xfId="29147" xr:uid="{00000000-0005-0000-0000-0000EE3C0000}"/>
    <cellStyle name="Currency 2 3 2 13" xfId="29148" xr:uid="{00000000-0005-0000-0000-0000EF3C0000}"/>
    <cellStyle name="Currency 2 3 2 14" xfId="29149" xr:uid="{00000000-0005-0000-0000-0000F03C0000}"/>
    <cellStyle name="Currency 2 3 2 15" xfId="29150" xr:uid="{00000000-0005-0000-0000-0000F13C0000}"/>
    <cellStyle name="Currency 2 3 2 16" xfId="29151" xr:uid="{00000000-0005-0000-0000-0000F23C0000}"/>
    <cellStyle name="Currency 2 3 2 17" xfId="29152" xr:uid="{00000000-0005-0000-0000-0000F33C0000}"/>
    <cellStyle name="Currency 2 3 2 2" xfId="29153" xr:uid="{00000000-0005-0000-0000-0000F43C0000}"/>
    <cellStyle name="Currency 2 3 2 3" xfId="29154" xr:uid="{00000000-0005-0000-0000-0000F53C0000}"/>
    <cellStyle name="Currency 2 3 2 4" xfId="29155" xr:uid="{00000000-0005-0000-0000-0000F63C0000}"/>
    <cellStyle name="Currency 2 3 2 5" xfId="29156" xr:uid="{00000000-0005-0000-0000-0000F73C0000}"/>
    <cellStyle name="Currency 2 3 2 6" xfId="29157" xr:uid="{00000000-0005-0000-0000-0000F83C0000}"/>
    <cellStyle name="Currency 2 3 2 7" xfId="29158" xr:uid="{00000000-0005-0000-0000-0000F93C0000}"/>
    <cellStyle name="Currency 2 3 2 8" xfId="29159" xr:uid="{00000000-0005-0000-0000-0000FA3C0000}"/>
    <cellStyle name="Currency 2 3 2 9" xfId="29160" xr:uid="{00000000-0005-0000-0000-0000FB3C0000}"/>
    <cellStyle name="Currency 2 3 3" xfId="29161" xr:uid="{00000000-0005-0000-0000-0000FC3C0000}"/>
    <cellStyle name="Currency 2 3 4" xfId="29162" xr:uid="{00000000-0005-0000-0000-0000FD3C0000}"/>
    <cellStyle name="Currency 2 3 5" xfId="29163" xr:uid="{00000000-0005-0000-0000-0000FE3C0000}"/>
    <cellStyle name="Currency 2 3 6" xfId="29164" xr:uid="{00000000-0005-0000-0000-0000FF3C0000}"/>
    <cellStyle name="Currency 2 3 7" xfId="29165" xr:uid="{00000000-0005-0000-0000-0000003D0000}"/>
    <cellStyle name="Currency 2 3 8" xfId="29166" xr:uid="{00000000-0005-0000-0000-0000013D0000}"/>
    <cellStyle name="Currency 2 3 9" xfId="29167" xr:uid="{00000000-0005-0000-0000-0000023D0000}"/>
    <cellStyle name="Currency 2 4" xfId="3238" xr:uid="{00000000-0005-0000-0000-0000033D0000}"/>
    <cellStyle name="Currency 2 4 2" xfId="9249" xr:uid="{00000000-0005-0000-0000-0000043D0000}"/>
    <cellStyle name="Currency 2 4 2 2" xfId="29170" xr:uid="{00000000-0005-0000-0000-0000053D0000}"/>
    <cellStyle name="Currency 2 4 2 3" xfId="29169" xr:uid="{00000000-0005-0000-0000-0000063D0000}"/>
    <cellStyle name="Currency 2 4 3" xfId="29171" xr:uid="{00000000-0005-0000-0000-0000073D0000}"/>
    <cellStyle name="Currency 2 4 4" xfId="29168" xr:uid="{00000000-0005-0000-0000-0000083D0000}"/>
    <cellStyle name="Currency 2 5" xfId="3239" xr:uid="{00000000-0005-0000-0000-0000093D0000}"/>
    <cellStyle name="Currency 2 5 2" xfId="9250" xr:uid="{00000000-0005-0000-0000-00000A3D0000}"/>
    <cellStyle name="Currency 2 5 2 2" xfId="29174" xr:uid="{00000000-0005-0000-0000-00000B3D0000}"/>
    <cellStyle name="Currency 2 5 2 3" xfId="29173" xr:uid="{00000000-0005-0000-0000-00000C3D0000}"/>
    <cellStyle name="Currency 2 5 3" xfId="29175" xr:uid="{00000000-0005-0000-0000-00000D3D0000}"/>
    <cellStyle name="Currency 2 5 4" xfId="29172" xr:uid="{00000000-0005-0000-0000-00000E3D0000}"/>
    <cellStyle name="Currency 2 6" xfId="29176" xr:uid="{00000000-0005-0000-0000-00000F3D0000}"/>
    <cellStyle name="Currency 2 7" xfId="29177" xr:uid="{00000000-0005-0000-0000-0000103D0000}"/>
    <cellStyle name="Currency 20" xfId="3240" xr:uid="{00000000-0005-0000-0000-0000113D0000}"/>
    <cellStyle name="Currency 20 2" xfId="9251" xr:uid="{00000000-0005-0000-0000-0000123D0000}"/>
    <cellStyle name="Currency 20 2 2" xfId="29180" xr:uid="{00000000-0005-0000-0000-0000133D0000}"/>
    <cellStyle name="Currency 20 2 3" xfId="29179" xr:uid="{00000000-0005-0000-0000-0000143D0000}"/>
    <cellStyle name="Currency 20 3" xfId="29181" xr:uid="{00000000-0005-0000-0000-0000153D0000}"/>
    <cellStyle name="Currency 20 4" xfId="29182" xr:uid="{00000000-0005-0000-0000-0000163D0000}"/>
    <cellStyle name="Currency 20 5" xfId="29178" xr:uid="{00000000-0005-0000-0000-0000173D0000}"/>
    <cellStyle name="Currency 21" xfId="3241" xr:uid="{00000000-0005-0000-0000-0000183D0000}"/>
    <cellStyle name="Currency 21 2" xfId="9252" xr:uid="{00000000-0005-0000-0000-0000193D0000}"/>
    <cellStyle name="Currency 21 2 2" xfId="29185" xr:uid="{00000000-0005-0000-0000-00001A3D0000}"/>
    <cellStyle name="Currency 21 2 3" xfId="29184" xr:uid="{00000000-0005-0000-0000-00001B3D0000}"/>
    <cellStyle name="Currency 21 3" xfId="29186" xr:uid="{00000000-0005-0000-0000-00001C3D0000}"/>
    <cellStyle name="Currency 21 4" xfId="29187" xr:uid="{00000000-0005-0000-0000-00001D3D0000}"/>
    <cellStyle name="Currency 21 5" xfId="29183" xr:uid="{00000000-0005-0000-0000-00001E3D0000}"/>
    <cellStyle name="Currency 22" xfId="3242" xr:uid="{00000000-0005-0000-0000-00001F3D0000}"/>
    <cellStyle name="Currency 22 2" xfId="9253" xr:uid="{00000000-0005-0000-0000-0000203D0000}"/>
    <cellStyle name="Currency 22 2 2" xfId="29190" xr:uid="{00000000-0005-0000-0000-0000213D0000}"/>
    <cellStyle name="Currency 22 2 3" xfId="29189" xr:uid="{00000000-0005-0000-0000-0000223D0000}"/>
    <cellStyle name="Currency 22 3" xfId="29191" xr:uid="{00000000-0005-0000-0000-0000233D0000}"/>
    <cellStyle name="Currency 22 4" xfId="29192" xr:uid="{00000000-0005-0000-0000-0000243D0000}"/>
    <cellStyle name="Currency 22 5" xfId="29188" xr:uid="{00000000-0005-0000-0000-0000253D0000}"/>
    <cellStyle name="Currency 23" xfId="3243" xr:uid="{00000000-0005-0000-0000-0000263D0000}"/>
    <cellStyle name="Currency 23 2" xfId="9254" xr:uid="{00000000-0005-0000-0000-0000273D0000}"/>
    <cellStyle name="Currency 23 2 2" xfId="29195" xr:uid="{00000000-0005-0000-0000-0000283D0000}"/>
    <cellStyle name="Currency 23 2 3" xfId="29194" xr:uid="{00000000-0005-0000-0000-0000293D0000}"/>
    <cellStyle name="Currency 23 3" xfId="29196" xr:uid="{00000000-0005-0000-0000-00002A3D0000}"/>
    <cellStyle name="Currency 23 4" xfId="29197" xr:uid="{00000000-0005-0000-0000-00002B3D0000}"/>
    <cellStyle name="Currency 23 5" xfId="29193" xr:uid="{00000000-0005-0000-0000-00002C3D0000}"/>
    <cellStyle name="Currency 24" xfId="3244" xr:uid="{00000000-0005-0000-0000-00002D3D0000}"/>
    <cellStyle name="Currency 24 2" xfId="9255" xr:uid="{00000000-0005-0000-0000-00002E3D0000}"/>
    <cellStyle name="Currency 24 2 2" xfId="29200" xr:uid="{00000000-0005-0000-0000-00002F3D0000}"/>
    <cellStyle name="Currency 24 2 3" xfId="29199" xr:uid="{00000000-0005-0000-0000-0000303D0000}"/>
    <cellStyle name="Currency 24 3" xfId="29201" xr:uid="{00000000-0005-0000-0000-0000313D0000}"/>
    <cellStyle name="Currency 24 3 2" xfId="29202" xr:uid="{00000000-0005-0000-0000-0000323D0000}"/>
    <cellStyle name="Currency 24 4" xfId="29203" xr:uid="{00000000-0005-0000-0000-0000333D0000}"/>
    <cellStyle name="Currency 24 5" xfId="29204" xr:uid="{00000000-0005-0000-0000-0000343D0000}"/>
    <cellStyle name="Currency 24 6" xfId="29198" xr:uid="{00000000-0005-0000-0000-0000353D0000}"/>
    <cellStyle name="Currency 25" xfId="3245" xr:uid="{00000000-0005-0000-0000-0000363D0000}"/>
    <cellStyle name="Currency 25 2" xfId="9256" xr:uid="{00000000-0005-0000-0000-0000373D0000}"/>
    <cellStyle name="Currency 25 2 2" xfId="29207" xr:uid="{00000000-0005-0000-0000-0000383D0000}"/>
    <cellStyle name="Currency 25 2 3" xfId="29206" xr:uid="{00000000-0005-0000-0000-0000393D0000}"/>
    <cellStyle name="Currency 25 3" xfId="29208" xr:uid="{00000000-0005-0000-0000-00003A3D0000}"/>
    <cellStyle name="Currency 25 3 2" xfId="29209" xr:uid="{00000000-0005-0000-0000-00003B3D0000}"/>
    <cellStyle name="Currency 25 4" xfId="29210" xr:uid="{00000000-0005-0000-0000-00003C3D0000}"/>
    <cellStyle name="Currency 25 5" xfId="29211" xr:uid="{00000000-0005-0000-0000-00003D3D0000}"/>
    <cellStyle name="Currency 25 6" xfId="29205" xr:uid="{00000000-0005-0000-0000-00003E3D0000}"/>
    <cellStyle name="Currency 26" xfId="3246" xr:uid="{00000000-0005-0000-0000-00003F3D0000}"/>
    <cellStyle name="Currency 26 2" xfId="3247" xr:uid="{00000000-0005-0000-0000-0000403D0000}"/>
    <cellStyle name="Currency 26 2 2" xfId="9257" xr:uid="{00000000-0005-0000-0000-0000413D0000}"/>
    <cellStyle name="Currency 26 2 2 2" xfId="29213" xr:uid="{00000000-0005-0000-0000-0000423D0000}"/>
    <cellStyle name="Currency 26 2 3" xfId="29212" xr:uid="{00000000-0005-0000-0000-0000433D0000}"/>
    <cellStyle name="Currency 26 3" xfId="9258" xr:uid="{00000000-0005-0000-0000-0000443D0000}"/>
    <cellStyle name="Currency 26 3 2" xfId="29215" xr:uid="{00000000-0005-0000-0000-0000453D0000}"/>
    <cellStyle name="Currency 26 3 3" xfId="29214" xr:uid="{00000000-0005-0000-0000-0000463D0000}"/>
    <cellStyle name="Currency 26 4" xfId="29216" xr:uid="{00000000-0005-0000-0000-0000473D0000}"/>
    <cellStyle name="Currency 26 5" xfId="29217" xr:uid="{00000000-0005-0000-0000-0000483D0000}"/>
    <cellStyle name="Currency 27" xfId="3248" xr:uid="{00000000-0005-0000-0000-0000493D0000}"/>
    <cellStyle name="Currency 27 2" xfId="9259" xr:uid="{00000000-0005-0000-0000-00004A3D0000}"/>
    <cellStyle name="Currency 27 2 2" xfId="29219" xr:uid="{00000000-0005-0000-0000-00004B3D0000}"/>
    <cellStyle name="Currency 27 2 3" xfId="29218" xr:uid="{00000000-0005-0000-0000-00004C3D0000}"/>
    <cellStyle name="Currency 27 3" xfId="29220" xr:uid="{00000000-0005-0000-0000-00004D3D0000}"/>
    <cellStyle name="Currency 27 3 2" xfId="29221" xr:uid="{00000000-0005-0000-0000-00004E3D0000}"/>
    <cellStyle name="Currency 27 4" xfId="29222" xr:uid="{00000000-0005-0000-0000-00004F3D0000}"/>
    <cellStyle name="Currency 27 5" xfId="29223" xr:uid="{00000000-0005-0000-0000-0000503D0000}"/>
    <cellStyle name="Currency 28" xfId="3249" xr:uid="{00000000-0005-0000-0000-0000513D0000}"/>
    <cellStyle name="Currency 28 2" xfId="9260" xr:uid="{00000000-0005-0000-0000-0000523D0000}"/>
    <cellStyle name="Currency 28 2 2" xfId="29224" xr:uid="{00000000-0005-0000-0000-0000533D0000}"/>
    <cellStyle name="Currency 28 3" xfId="29225" xr:uid="{00000000-0005-0000-0000-0000543D0000}"/>
    <cellStyle name="Currency 29" xfId="3250" xr:uid="{00000000-0005-0000-0000-0000553D0000}"/>
    <cellStyle name="Currency 29 2" xfId="9261" xr:uid="{00000000-0005-0000-0000-0000563D0000}"/>
    <cellStyle name="Currency 29 2 2" xfId="29227" xr:uid="{00000000-0005-0000-0000-0000573D0000}"/>
    <cellStyle name="Currency 29 3" xfId="29228" xr:uid="{00000000-0005-0000-0000-0000583D0000}"/>
    <cellStyle name="Currency 29 4" xfId="29229" xr:uid="{00000000-0005-0000-0000-0000593D0000}"/>
    <cellStyle name="Currency 29 5" xfId="29226" xr:uid="{00000000-0005-0000-0000-00005A3D0000}"/>
    <cellStyle name="Currency 3" xfId="3251" xr:uid="{00000000-0005-0000-0000-00005B3D0000}"/>
    <cellStyle name="Currency 3 2" xfId="3252" xr:uid="{00000000-0005-0000-0000-00005C3D0000}"/>
    <cellStyle name="Currency 3 2 10" xfId="29231" xr:uid="{00000000-0005-0000-0000-00005D3D0000}"/>
    <cellStyle name="Currency 3 2 11" xfId="29232" xr:uid="{00000000-0005-0000-0000-00005E3D0000}"/>
    <cellStyle name="Currency 3 2 12" xfId="29233" xr:uid="{00000000-0005-0000-0000-00005F3D0000}"/>
    <cellStyle name="Currency 3 2 13" xfId="29234" xr:uid="{00000000-0005-0000-0000-0000603D0000}"/>
    <cellStyle name="Currency 3 2 14" xfId="29235" xr:uid="{00000000-0005-0000-0000-0000613D0000}"/>
    <cellStyle name="Currency 3 2 15" xfId="29236" xr:uid="{00000000-0005-0000-0000-0000623D0000}"/>
    <cellStyle name="Currency 3 2 16" xfId="29237" xr:uid="{00000000-0005-0000-0000-0000633D0000}"/>
    <cellStyle name="Currency 3 2 17" xfId="29238" xr:uid="{00000000-0005-0000-0000-0000643D0000}"/>
    <cellStyle name="Currency 3 2 18" xfId="29239" xr:uid="{00000000-0005-0000-0000-0000653D0000}"/>
    <cellStyle name="Currency 3 2 19" xfId="29240" xr:uid="{00000000-0005-0000-0000-0000663D0000}"/>
    <cellStyle name="Currency 3 2 2" xfId="29241" xr:uid="{00000000-0005-0000-0000-0000673D0000}"/>
    <cellStyle name="Currency 3 2 2 10" xfId="29242" xr:uid="{00000000-0005-0000-0000-0000683D0000}"/>
    <cellStyle name="Currency 3 2 2 11" xfId="29243" xr:uid="{00000000-0005-0000-0000-0000693D0000}"/>
    <cellStyle name="Currency 3 2 2 12" xfId="29244" xr:uid="{00000000-0005-0000-0000-00006A3D0000}"/>
    <cellStyle name="Currency 3 2 2 13" xfId="29245" xr:uid="{00000000-0005-0000-0000-00006B3D0000}"/>
    <cellStyle name="Currency 3 2 2 14" xfId="29246" xr:uid="{00000000-0005-0000-0000-00006C3D0000}"/>
    <cellStyle name="Currency 3 2 2 15" xfId="29247" xr:uid="{00000000-0005-0000-0000-00006D3D0000}"/>
    <cellStyle name="Currency 3 2 2 16" xfId="29248" xr:uid="{00000000-0005-0000-0000-00006E3D0000}"/>
    <cellStyle name="Currency 3 2 2 17" xfId="29249" xr:uid="{00000000-0005-0000-0000-00006F3D0000}"/>
    <cellStyle name="Currency 3 2 2 2" xfId="29250" xr:uid="{00000000-0005-0000-0000-0000703D0000}"/>
    <cellStyle name="Currency 3 2 2 3" xfId="29251" xr:uid="{00000000-0005-0000-0000-0000713D0000}"/>
    <cellStyle name="Currency 3 2 2 4" xfId="29252" xr:uid="{00000000-0005-0000-0000-0000723D0000}"/>
    <cellStyle name="Currency 3 2 2 5" xfId="29253" xr:uid="{00000000-0005-0000-0000-0000733D0000}"/>
    <cellStyle name="Currency 3 2 2 6" xfId="29254" xr:uid="{00000000-0005-0000-0000-0000743D0000}"/>
    <cellStyle name="Currency 3 2 2 7" xfId="29255" xr:uid="{00000000-0005-0000-0000-0000753D0000}"/>
    <cellStyle name="Currency 3 2 2 8" xfId="29256" xr:uid="{00000000-0005-0000-0000-0000763D0000}"/>
    <cellStyle name="Currency 3 2 2 9" xfId="29257" xr:uid="{00000000-0005-0000-0000-0000773D0000}"/>
    <cellStyle name="Currency 3 2 20" xfId="29258" xr:uid="{00000000-0005-0000-0000-0000783D0000}"/>
    <cellStyle name="Currency 3 2 20 2" xfId="39207" xr:uid="{00000000-0005-0000-0000-0000793D0000}"/>
    <cellStyle name="Currency 3 2 21" xfId="29230" xr:uid="{00000000-0005-0000-0000-00007A3D0000}"/>
    <cellStyle name="Currency 3 2 3" xfId="29259" xr:uid="{00000000-0005-0000-0000-00007B3D0000}"/>
    <cellStyle name="Currency 3 2 3 2" xfId="29260" xr:uid="{00000000-0005-0000-0000-00007C3D0000}"/>
    <cellStyle name="Currency 3 2 3 3" xfId="29261" xr:uid="{00000000-0005-0000-0000-00007D3D0000}"/>
    <cellStyle name="Currency 3 2 4" xfId="29262" xr:uid="{00000000-0005-0000-0000-00007E3D0000}"/>
    <cellStyle name="Currency 3 2 5" xfId="29263" xr:uid="{00000000-0005-0000-0000-00007F3D0000}"/>
    <cellStyle name="Currency 3 2 6" xfId="29264" xr:uid="{00000000-0005-0000-0000-0000803D0000}"/>
    <cellStyle name="Currency 3 2 7" xfId="29265" xr:uid="{00000000-0005-0000-0000-0000813D0000}"/>
    <cellStyle name="Currency 3 2 8" xfId="29266" xr:uid="{00000000-0005-0000-0000-0000823D0000}"/>
    <cellStyle name="Currency 3 2 9" xfId="29267" xr:uid="{00000000-0005-0000-0000-0000833D0000}"/>
    <cellStyle name="Currency 3 3" xfId="3253" xr:uid="{00000000-0005-0000-0000-0000843D0000}"/>
    <cellStyle name="Currency 3 3 2" xfId="9262" xr:uid="{00000000-0005-0000-0000-0000853D0000}"/>
    <cellStyle name="Currency 3 3 2 2" xfId="29270" xr:uid="{00000000-0005-0000-0000-0000863D0000}"/>
    <cellStyle name="Currency 3 3 2 3" xfId="29269" xr:uid="{00000000-0005-0000-0000-0000873D0000}"/>
    <cellStyle name="Currency 3 3 3" xfId="29271" xr:uid="{00000000-0005-0000-0000-0000883D0000}"/>
    <cellStyle name="Currency 3 3 4" xfId="29272" xr:uid="{00000000-0005-0000-0000-0000893D0000}"/>
    <cellStyle name="Currency 3 3 5" xfId="29273" xr:uid="{00000000-0005-0000-0000-00008A3D0000}"/>
    <cellStyle name="Currency 3 3 5 2" xfId="39208" xr:uid="{00000000-0005-0000-0000-00008B3D0000}"/>
    <cellStyle name="Currency 3 3 6" xfId="29268" xr:uid="{00000000-0005-0000-0000-00008C3D0000}"/>
    <cellStyle name="Currency 3 4" xfId="3254" xr:uid="{00000000-0005-0000-0000-00008D3D0000}"/>
    <cellStyle name="Currency 3 4 2" xfId="9263" xr:uid="{00000000-0005-0000-0000-00008E3D0000}"/>
    <cellStyle name="Currency 3 4 2 2" xfId="29275" xr:uid="{00000000-0005-0000-0000-00008F3D0000}"/>
    <cellStyle name="Currency 3 4 3" xfId="29274" xr:uid="{00000000-0005-0000-0000-0000903D0000}"/>
    <cellStyle name="Currency 3 5" xfId="3255" xr:uid="{00000000-0005-0000-0000-0000913D0000}"/>
    <cellStyle name="Currency 3 5 2" xfId="9264" xr:uid="{00000000-0005-0000-0000-0000923D0000}"/>
    <cellStyle name="Currency 3 5 2 2" xfId="29277" xr:uid="{00000000-0005-0000-0000-0000933D0000}"/>
    <cellStyle name="Currency 3 5 3" xfId="29276" xr:uid="{00000000-0005-0000-0000-0000943D0000}"/>
    <cellStyle name="Currency 3 6" xfId="3256" xr:uid="{00000000-0005-0000-0000-0000953D0000}"/>
    <cellStyle name="Currency 3 6 2" xfId="29278" xr:uid="{00000000-0005-0000-0000-0000963D0000}"/>
    <cellStyle name="Currency 3 7" xfId="29279" xr:uid="{00000000-0005-0000-0000-0000973D0000}"/>
    <cellStyle name="Currency 30" xfId="3257" xr:uid="{00000000-0005-0000-0000-0000983D0000}"/>
    <cellStyle name="Currency 30 2" xfId="9265" xr:uid="{00000000-0005-0000-0000-0000993D0000}"/>
    <cellStyle name="Currency 30 2 2" xfId="29281" xr:uid="{00000000-0005-0000-0000-00009A3D0000}"/>
    <cellStyle name="Currency 30 3" xfId="29282" xr:uid="{00000000-0005-0000-0000-00009B3D0000}"/>
    <cellStyle name="Currency 30 4" xfId="29283" xr:uid="{00000000-0005-0000-0000-00009C3D0000}"/>
    <cellStyle name="Currency 30 5" xfId="29280" xr:uid="{00000000-0005-0000-0000-00009D3D0000}"/>
    <cellStyle name="Currency 31" xfId="3258" xr:uid="{00000000-0005-0000-0000-00009E3D0000}"/>
    <cellStyle name="Currency 31 2" xfId="9266" xr:uid="{00000000-0005-0000-0000-00009F3D0000}"/>
    <cellStyle name="Currency 31 2 2" xfId="29286" xr:uid="{00000000-0005-0000-0000-0000A03D0000}"/>
    <cellStyle name="Currency 31 2 3" xfId="29287" xr:uid="{00000000-0005-0000-0000-0000A13D0000}"/>
    <cellStyle name="Currency 31 2 4" xfId="29285" xr:uid="{00000000-0005-0000-0000-0000A23D0000}"/>
    <cellStyle name="Currency 31 3" xfId="29288" xr:uid="{00000000-0005-0000-0000-0000A33D0000}"/>
    <cellStyle name="Currency 31 4" xfId="29289" xr:uid="{00000000-0005-0000-0000-0000A43D0000}"/>
    <cellStyle name="Currency 31 5" xfId="29284" xr:uid="{00000000-0005-0000-0000-0000A53D0000}"/>
    <cellStyle name="Currency 32" xfId="3259" xr:uid="{00000000-0005-0000-0000-0000A63D0000}"/>
    <cellStyle name="Currency 32 2" xfId="9267" xr:uid="{00000000-0005-0000-0000-0000A73D0000}"/>
    <cellStyle name="Currency 32 2 2" xfId="29292" xr:uid="{00000000-0005-0000-0000-0000A83D0000}"/>
    <cellStyle name="Currency 32 2 3" xfId="29293" xr:uid="{00000000-0005-0000-0000-0000A93D0000}"/>
    <cellStyle name="Currency 32 2 4" xfId="29291" xr:uid="{00000000-0005-0000-0000-0000AA3D0000}"/>
    <cellStyle name="Currency 32 3" xfId="29294" xr:uid="{00000000-0005-0000-0000-0000AB3D0000}"/>
    <cellStyle name="Currency 32 4" xfId="29295" xr:uid="{00000000-0005-0000-0000-0000AC3D0000}"/>
    <cellStyle name="Currency 32 5" xfId="29290" xr:uid="{00000000-0005-0000-0000-0000AD3D0000}"/>
    <cellStyle name="Currency 33" xfId="3260" xr:uid="{00000000-0005-0000-0000-0000AE3D0000}"/>
    <cellStyle name="Currency 33 2" xfId="9268" xr:uid="{00000000-0005-0000-0000-0000AF3D0000}"/>
    <cellStyle name="Currency 33 2 2" xfId="29297" xr:uid="{00000000-0005-0000-0000-0000B03D0000}"/>
    <cellStyle name="Currency 33 3" xfId="29298" xr:uid="{00000000-0005-0000-0000-0000B13D0000}"/>
    <cellStyle name="Currency 33 4" xfId="29299" xr:uid="{00000000-0005-0000-0000-0000B23D0000}"/>
    <cellStyle name="Currency 33 5" xfId="29296" xr:uid="{00000000-0005-0000-0000-0000B33D0000}"/>
    <cellStyle name="Currency 34" xfId="3261" xr:uid="{00000000-0005-0000-0000-0000B43D0000}"/>
    <cellStyle name="Currency 34 2" xfId="9269" xr:uid="{00000000-0005-0000-0000-0000B53D0000}"/>
    <cellStyle name="Currency 34 2 2" xfId="29301" xr:uid="{00000000-0005-0000-0000-0000B63D0000}"/>
    <cellStyle name="Currency 34 3" xfId="29302" xr:uid="{00000000-0005-0000-0000-0000B73D0000}"/>
    <cellStyle name="Currency 34 4" xfId="29303" xr:uid="{00000000-0005-0000-0000-0000B83D0000}"/>
    <cellStyle name="Currency 34 5" xfId="29300" xr:uid="{00000000-0005-0000-0000-0000B93D0000}"/>
    <cellStyle name="Currency 35" xfId="3262" xr:uid="{00000000-0005-0000-0000-0000BA3D0000}"/>
    <cellStyle name="Currency 35 2" xfId="9270" xr:uid="{00000000-0005-0000-0000-0000BB3D0000}"/>
    <cellStyle name="Currency 35 2 2" xfId="29305" xr:uid="{00000000-0005-0000-0000-0000BC3D0000}"/>
    <cellStyle name="Currency 35 3" xfId="29304" xr:uid="{00000000-0005-0000-0000-0000BD3D0000}"/>
    <cellStyle name="Currency 36" xfId="3263" xr:uid="{00000000-0005-0000-0000-0000BE3D0000}"/>
    <cellStyle name="Currency 36 2" xfId="9271" xr:uid="{00000000-0005-0000-0000-0000BF3D0000}"/>
    <cellStyle name="Currency 36 2 2" xfId="29307" xr:uid="{00000000-0005-0000-0000-0000C03D0000}"/>
    <cellStyle name="Currency 36 3" xfId="29306" xr:uid="{00000000-0005-0000-0000-0000C13D0000}"/>
    <cellStyle name="Currency 37" xfId="3264" xr:uid="{00000000-0005-0000-0000-0000C23D0000}"/>
    <cellStyle name="Currency 37 2" xfId="9272" xr:uid="{00000000-0005-0000-0000-0000C33D0000}"/>
    <cellStyle name="Currency 37 3" xfId="29308" xr:uid="{00000000-0005-0000-0000-0000C43D0000}"/>
    <cellStyle name="Currency 38" xfId="3265" xr:uid="{00000000-0005-0000-0000-0000C53D0000}"/>
    <cellStyle name="Currency 38 2" xfId="9273" xr:uid="{00000000-0005-0000-0000-0000C63D0000}"/>
    <cellStyle name="Currency 38 3" xfId="29309" xr:uid="{00000000-0005-0000-0000-0000C73D0000}"/>
    <cellStyle name="Currency 39" xfId="3266" xr:uid="{00000000-0005-0000-0000-0000C83D0000}"/>
    <cellStyle name="Currency 39 2" xfId="9274" xr:uid="{00000000-0005-0000-0000-0000C93D0000}"/>
    <cellStyle name="Currency 4" xfId="3267" xr:uid="{00000000-0005-0000-0000-0000CA3D0000}"/>
    <cellStyle name="Currency 4 2" xfId="3268" xr:uid="{00000000-0005-0000-0000-0000CB3D0000}"/>
    <cellStyle name="Currency 4 2 10" xfId="29311" xr:uid="{00000000-0005-0000-0000-0000CC3D0000}"/>
    <cellStyle name="Currency 4 2 11" xfId="29312" xr:uid="{00000000-0005-0000-0000-0000CD3D0000}"/>
    <cellStyle name="Currency 4 2 12" xfId="29313" xr:uid="{00000000-0005-0000-0000-0000CE3D0000}"/>
    <cellStyle name="Currency 4 2 13" xfId="29314" xr:uid="{00000000-0005-0000-0000-0000CF3D0000}"/>
    <cellStyle name="Currency 4 2 14" xfId="29315" xr:uid="{00000000-0005-0000-0000-0000D03D0000}"/>
    <cellStyle name="Currency 4 2 15" xfId="29316" xr:uid="{00000000-0005-0000-0000-0000D13D0000}"/>
    <cellStyle name="Currency 4 2 16" xfId="29317" xr:uid="{00000000-0005-0000-0000-0000D23D0000}"/>
    <cellStyle name="Currency 4 2 17" xfId="29318" xr:uid="{00000000-0005-0000-0000-0000D33D0000}"/>
    <cellStyle name="Currency 4 2 18" xfId="29319" xr:uid="{00000000-0005-0000-0000-0000D43D0000}"/>
    <cellStyle name="Currency 4 2 19" xfId="29320" xr:uid="{00000000-0005-0000-0000-0000D53D0000}"/>
    <cellStyle name="Currency 4 2 2" xfId="29321" xr:uid="{00000000-0005-0000-0000-0000D63D0000}"/>
    <cellStyle name="Currency 4 2 2 10" xfId="29322" xr:uid="{00000000-0005-0000-0000-0000D73D0000}"/>
    <cellStyle name="Currency 4 2 2 11" xfId="29323" xr:uid="{00000000-0005-0000-0000-0000D83D0000}"/>
    <cellStyle name="Currency 4 2 2 12" xfId="29324" xr:uid="{00000000-0005-0000-0000-0000D93D0000}"/>
    <cellStyle name="Currency 4 2 2 13" xfId="29325" xr:uid="{00000000-0005-0000-0000-0000DA3D0000}"/>
    <cellStyle name="Currency 4 2 2 14" xfId="29326" xr:uid="{00000000-0005-0000-0000-0000DB3D0000}"/>
    <cellStyle name="Currency 4 2 2 15" xfId="29327" xr:uid="{00000000-0005-0000-0000-0000DC3D0000}"/>
    <cellStyle name="Currency 4 2 2 16" xfId="29328" xr:uid="{00000000-0005-0000-0000-0000DD3D0000}"/>
    <cellStyle name="Currency 4 2 2 17" xfId="29329" xr:uid="{00000000-0005-0000-0000-0000DE3D0000}"/>
    <cellStyle name="Currency 4 2 2 2" xfId="29330" xr:uid="{00000000-0005-0000-0000-0000DF3D0000}"/>
    <cellStyle name="Currency 4 2 2 3" xfId="29331" xr:uid="{00000000-0005-0000-0000-0000E03D0000}"/>
    <cellStyle name="Currency 4 2 2 4" xfId="29332" xr:uid="{00000000-0005-0000-0000-0000E13D0000}"/>
    <cellStyle name="Currency 4 2 2 5" xfId="29333" xr:uid="{00000000-0005-0000-0000-0000E23D0000}"/>
    <cellStyle name="Currency 4 2 2 6" xfId="29334" xr:uid="{00000000-0005-0000-0000-0000E33D0000}"/>
    <cellStyle name="Currency 4 2 2 7" xfId="29335" xr:uid="{00000000-0005-0000-0000-0000E43D0000}"/>
    <cellStyle name="Currency 4 2 2 8" xfId="29336" xr:uid="{00000000-0005-0000-0000-0000E53D0000}"/>
    <cellStyle name="Currency 4 2 2 9" xfId="29337" xr:uid="{00000000-0005-0000-0000-0000E63D0000}"/>
    <cellStyle name="Currency 4 2 20" xfId="29310" xr:uid="{00000000-0005-0000-0000-0000E73D0000}"/>
    <cellStyle name="Currency 4 2 3" xfId="29338" xr:uid="{00000000-0005-0000-0000-0000E83D0000}"/>
    <cellStyle name="Currency 4 2 3 2" xfId="29339" xr:uid="{00000000-0005-0000-0000-0000E93D0000}"/>
    <cellStyle name="Currency 4 2 3 3" xfId="29340" xr:uid="{00000000-0005-0000-0000-0000EA3D0000}"/>
    <cellStyle name="Currency 4 2 4" xfId="29341" xr:uid="{00000000-0005-0000-0000-0000EB3D0000}"/>
    <cellStyle name="Currency 4 2 5" xfId="29342" xr:uid="{00000000-0005-0000-0000-0000EC3D0000}"/>
    <cellStyle name="Currency 4 2 6" xfId="29343" xr:uid="{00000000-0005-0000-0000-0000ED3D0000}"/>
    <cellStyle name="Currency 4 2 7" xfId="29344" xr:uid="{00000000-0005-0000-0000-0000EE3D0000}"/>
    <cellStyle name="Currency 4 2 8" xfId="29345" xr:uid="{00000000-0005-0000-0000-0000EF3D0000}"/>
    <cellStyle name="Currency 4 2 9" xfId="29346" xr:uid="{00000000-0005-0000-0000-0000F03D0000}"/>
    <cellStyle name="Currency 4 3" xfId="3269" xr:uid="{00000000-0005-0000-0000-0000F13D0000}"/>
    <cellStyle name="Currency 4 3 2" xfId="9275" xr:uid="{00000000-0005-0000-0000-0000F23D0000}"/>
    <cellStyle name="Currency 4 3 2 2" xfId="29348" xr:uid="{00000000-0005-0000-0000-0000F33D0000}"/>
    <cellStyle name="Currency 4 3 3" xfId="29349" xr:uid="{00000000-0005-0000-0000-0000F43D0000}"/>
    <cellStyle name="Currency 4 3 4" xfId="29347" xr:uid="{00000000-0005-0000-0000-0000F53D0000}"/>
    <cellStyle name="Currency 4 4" xfId="3270" xr:uid="{00000000-0005-0000-0000-0000F63D0000}"/>
    <cellStyle name="Currency 4 4 2" xfId="9276" xr:uid="{00000000-0005-0000-0000-0000F73D0000}"/>
    <cellStyle name="Currency 4 4 2 2" xfId="29351" xr:uid="{00000000-0005-0000-0000-0000F83D0000}"/>
    <cellStyle name="Currency 4 4 3" xfId="29350" xr:uid="{00000000-0005-0000-0000-0000F93D0000}"/>
    <cellStyle name="Currency 4 5" xfId="3271" xr:uid="{00000000-0005-0000-0000-0000FA3D0000}"/>
    <cellStyle name="Currency 4 5 2" xfId="3272" xr:uid="{00000000-0005-0000-0000-0000FB3D0000}"/>
    <cellStyle name="Currency 4 5 2 2" xfId="3273" xr:uid="{00000000-0005-0000-0000-0000FC3D0000}"/>
    <cellStyle name="Currency 4 5 2 2 2" xfId="3274" xr:uid="{00000000-0005-0000-0000-0000FD3D0000}"/>
    <cellStyle name="Currency 4 5 2 2 2 2" xfId="3275" xr:uid="{00000000-0005-0000-0000-0000FE3D0000}"/>
    <cellStyle name="Currency 4 5 2 2 2 2 2" xfId="18986" xr:uid="{00000000-0005-0000-0000-0000FF3D0000}"/>
    <cellStyle name="Currency 4 5 2 2 2 3" xfId="18468" xr:uid="{00000000-0005-0000-0000-0000003E0000}"/>
    <cellStyle name="Currency 4 5 2 2 3" xfId="3276" xr:uid="{00000000-0005-0000-0000-0000013E0000}"/>
    <cellStyle name="Currency 4 5 2 2 3 2" xfId="18704" xr:uid="{00000000-0005-0000-0000-0000023E0000}"/>
    <cellStyle name="Currency 4 5 2 2 4" xfId="18177" xr:uid="{00000000-0005-0000-0000-0000033E0000}"/>
    <cellStyle name="Currency 4 5 2 3" xfId="3277" xr:uid="{00000000-0005-0000-0000-0000043E0000}"/>
    <cellStyle name="Currency 4 5 2 3 2" xfId="3278" xr:uid="{00000000-0005-0000-0000-0000053E0000}"/>
    <cellStyle name="Currency 4 5 2 3 2 2" xfId="18865" xr:uid="{00000000-0005-0000-0000-0000063E0000}"/>
    <cellStyle name="Currency 4 5 2 3 3" xfId="18344" xr:uid="{00000000-0005-0000-0000-0000073E0000}"/>
    <cellStyle name="Currency 4 5 2 4" xfId="3279" xr:uid="{00000000-0005-0000-0000-0000083E0000}"/>
    <cellStyle name="Currency 4 5 2 4 2" xfId="18587" xr:uid="{00000000-0005-0000-0000-0000093E0000}"/>
    <cellStyle name="Currency 4 5 2 5" xfId="18029" xr:uid="{00000000-0005-0000-0000-00000A3E0000}"/>
    <cellStyle name="Currency 4 5 3" xfId="3280" xr:uid="{00000000-0005-0000-0000-00000B3E0000}"/>
    <cellStyle name="Currency 4 5 3 2" xfId="3281" xr:uid="{00000000-0005-0000-0000-00000C3E0000}"/>
    <cellStyle name="Currency 4 5 3 2 2" xfId="3282" xr:uid="{00000000-0005-0000-0000-00000D3E0000}"/>
    <cellStyle name="Currency 4 5 3 2 2 2" xfId="18945" xr:uid="{00000000-0005-0000-0000-00000E3E0000}"/>
    <cellStyle name="Currency 4 5 3 2 3" xfId="18427" xr:uid="{00000000-0005-0000-0000-00000F3E0000}"/>
    <cellStyle name="Currency 4 5 3 3" xfId="3283" xr:uid="{00000000-0005-0000-0000-0000103E0000}"/>
    <cellStyle name="Currency 4 5 3 3 2" xfId="18663" xr:uid="{00000000-0005-0000-0000-0000113E0000}"/>
    <cellStyle name="Currency 4 5 3 4" xfId="18136" xr:uid="{00000000-0005-0000-0000-0000123E0000}"/>
    <cellStyle name="Currency 4 5 4" xfId="3284" xr:uid="{00000000-0005-0000-0000-0000133E0000}"/>
    <cellStyle name="Currency 4 5 4 2" xfId="3285" xr:uid="{00000000-0005-0000-0000-0000143E0000}"/>
    <cellStyle name="Currency 4 5 4 2 2" xfId="18789" xr:uid="{00000000-0005-0000-0000-0000153E0000}"/>
    <cellStyle name="Currency 4 5 4 3" xfId="18262" xr:uid="{00000000-0005-0000-0000-0000163E0000}"/>
    <cellStyle name="Currency 4 5 5" xfId="3286" xr:uid="{00000000-0005-0000-0000-0000173E0000}"/>
    <cellStyle name="Currency 4 5 5 2" xfId="18546" xr:uid="{00000000-0005-0000-0000-0000183E0000}"/>
    <cellStyle name="Currency 4 5 6" xfId="17982" xr:uid="{00000000-0005-0000-0000-0000193E0000}"/>
    <cellStyle name="Currency 4 5 7" xfId="29352" xr:uid="{00000000-0005-0000-0000-00001A3E0000}"/>
    <cellStyle name="Currency 4 6" xfId="3287" xr:uid="{00000000-0005-0000-0000-00001B3E0000}"/>
    <cellStyle name="Currency 4 6 2" xfId="29353" xr:uid="{00000000-0005-0000-0000-00001C3E0000}"/>
    <cellStyle name="Currency 4 7" xfId="29354" xr:uid="{00000000-0005-0000-0000-00001D3E0000}"/>
    <cellStyle name="Currency 40" xfId="3288" xr:uid="{00000000-0005-0000-0000-00001E3E0000}"/>
    <cellStyle name="Currency 40 2" xfId="9277" xr:uid="{00000000-0005-0000-0000-00001F3E0000}"/>
    <cellStyle name="Currency 41" xfId="3289" xr:uid="{00000000-0005-0000-0000-0000203E0000}"/>
    <cellStyle name="Currency 41 2" xfId="9278" xr:uid="{00000000-0005-0000-0000-0000213E0000}"/>
    <cellStyle name="Currency 42" xfId="3290" xr:uid="{00000000-0005-0000-0000-0000223E0000}"/>
    <cellStyle name="Currency 42 2" xfId="9279" xr:uid="{00000000-0005-0000-0000-0000233E0000}"/>
    <cellStyle name="Currency 43" xfId="3291" xr:uid="{00000000-0005-0000-0000-0000243E0000}"/>
    <cellStyle name="Currency 43 2" xfId="9280" xr:uid="{00000000-0005-0000-0000-0000253E0000}"/>
    <cellStyle name="Currency 44" xfId="3292" xr:uid="{00000000-0005-0000-0000-0000263E0000}"/>
    <cellStyle name="Currency 44 2" xfId="9281" xr:uid="{00000000-0005-0000-0000-0000273E0000}"/>
    <cellStyle name="Currency 45" xfId="3293" xr:uid="{00000000-0005-0000-0000-0000283E0000}"/>
    <cellStyle name="Currency 45 2" xfId="9282" xr:uid="{00000000-0005-0000-0000-0000293E0000}"/>
    <cellStyle name="Currency 46" xfId="3294" xr:uid="{00000000-0005-0000-0000-00002A3E0000}"/>
    <cellStyle name="Currency 46 2" xfId="9283" xr:uid="{00000000-0005-0000-0000-00002B3E0000}"/>
    <cellStyle name="Currency 47" xfId="3295" xr:uid="{00000000-0005-0000-0000-00002C3E0000}"/>
    <cellStyle name="Currency 47 2" xfId="9284" xr:uid="{00000000-0005-0000-0000-00002D3E0000}"/>
    <cellStyle name="Currency 48" xfId="3296" xr:uid="{00000000-0005-0000-0000-00002E3E0000}"/>
    <cellStyle name="Currency 48 2" xfId="9285" xr:uid="{00000000-0005-0000-0000-00002F3E0000}"/>
    <cellStyle name="Currency 49" xfId="3297" xr:uid="{00000000-0005-0000-0000-0000303E0000}"/>
    <cellStyle name="Currency 49 2" xfId="9286" xr:uid="{00000000-0005-0000-0000-0000313E0000}"/>
    <cellStyle name="Currency 5" xfId="3298" xr:uid="{00000000-0005-0000-0000-0000323E0000}"/>
    <cellStyle name="Currency 5 2" xfId="3299" xr:uid="{00000000-0005-0000-0000-0000333E0000}"/>
    <cellStyle name="Currency 5 2 10" xfId="29357" xr:uid="{00000000-0005-0000-0000-0000343E0000}"/>
    <cellStyle name="Currency 5 2 11" xfId="29358" xr:uid="{00000000-0005-0000-0000-0000353E0000}"/>
    <cellStyle name="Currency 5 2 12" xfId="29359" xr:uid="{00000000-0005-0000-0000-0000363E0000}"/>
    <cellStyle name="Currency 5 2 13" xfId="29360" xr:uid="{00000000-0005-0000-0000-0000373E0000}"/>
    <cellStyle name="Currency 5 2 14" xfId="29361" xr:uid="{00000000-0005-0000-0000-0000383E0000}"/>
    <cellStyle name="Currency 5 2 15" xfId="29362" xr:uid="{00000000-0005-0000-0000-0000393E0000}"/>
    <cellStyle name="Currency 5 2 16" xfId="29363" xr:uid="{00000000-0005-0000-0000-00003A3E0000}"/>
    <cellStyle name="Currency 5 2 17" xfId="29364" xr:uid="{00000000-0005-0000-0000-00003B3E0000}"/>
    <cellStyle name="Currency 5 2 18" xfId="29365" xr:uid="{00000000-0005-0000-0000-00003C3E0000}"/>
    <cellStyle name="Currency 5 2 19" xfId="29366" xr:uid="{00000000-0005-0000-0000-00003D3E0000}"/>
    <cellStyle name="Currency 5 2 2" xfId="29367" xr:uid="{00000000-0005-0000-0000-00003E3E0000}"/>
    <cellStyle name="Currency 5 2 2 10" xfId="29368" xr:uid="{00000000-0005-0000-0000-00003F3E0000}"/>
    <cellStyle name="Currency 5 2 2 11" xfId="29369" xr:uid="{00000000-0005-0000-0000-0000403E0000}"/>
    <cellStyle name="Currency 5 2 2 12" xfId="29370" xr:uid="{00000000-0005-0000-0000-0000413E0000}"/>
    <cellStyle name="Currency 5 2 2 13" xfId="29371" xr:uid="{00000000-0005-0000-0000-0000423E0000}"/>
    <cellStyle name="Currency 5 2 2 14" xfId="29372" xr:uid="{00000000-0005-0000-0000-0000433E0000}"/>
    <cellStyle name="Currency 5 2 2 15" xfId="29373" xr:uid="{00000000-0005-0000-0000-0000443E0000}"/>
    <cellStyle name="Currency 5 2 2 16" xfId="29374" xr:uid="{00000000-0005-0000-0000-0000453E0000}"/>
    <cellStyle name="Currency 5 2 2 17" xfId="29375" xr:uid="{00000000-0005-0000-0000-0000463E0000}"/>
    <cellStyle name="Currency 5 2 2 2" xfId="29376" xr:uid="{00000000-0005-0000-0000-0000473E0000}"/>
    <cellStyle name="Currency 5 2 2 3" xfId="29377" xr:uid="{00000000-0005-0000-0000-0000483E0000}"/>
    <cellStyle name="Currency 5 2 2 4" xfId="29378" xr:uid="{00000000-0005-0000-0000-0000493E0000}"/>
    <cellStyle name="Currency 5 2 2 5" xfId="29379" xr:uid="{00000000-0005-0000-0000-00004A3E0000}"/>
    <cellStyle name="Currency 5 2 2 6" xfId="29380" xr:uid="{00000000-0005-0000-0000-00004B3E0000}"/>
    <cellStyle name="Currency 5 2 2 7" xfId="29381" xr:uid="{00000000-0005-0000-0000-00004C3E0000}"/>
    <cellStyle name="Currency 5 2 2 8" xfId="29382" xr:uid="{00000000-0005-0000-0000-00004D3E0000}"/>
    <cellStyle name="Currency 5 2 2 9" xfId="29383" xr:uid="{00000000-0005-0000-0000-00004E3E0000}"/>
    <cellStyle name="Currency 5 2 20" xfId="29356" xr:uid="{00000000-0005-0000-0000-00004F3E0000}"/>
    <cellStyle name="Currency 5 2 3" xfId="29384" xr:uid="{00000000-0005-0000-0000-0000503E0000}"/>
    <cellStyle name="Currency 5 2 4" xfId="29385" xr:uid="{00000000-0005-0000-0000-0000513E0000}"/>
    <cellStyle name="Currency 5 2 5" xfId="29386" xr:uid="{00000000-0005-0000-0000-0000523E0000}"/>
    <cellStyle name="Currency 5 2 6" xfId="29387" xr:uid="{00000000-0005-0000-0000-0000533E0000}"/>
    <cellStyle name="Currency 5 2 7" xfId="29388" xr:uid="{00000000-0005-0000-0000-0000543E0000}"/>
    <cellStyle name="Currency 5 2 8" xfId="29389" xr:uid="{00000000-0005-0000-0000-0000553E0000}"/>
    <cellStyle name="Currency 5 2 9" xfId="29390" xr:uid="{00000000-0005-0000-0000-0000563E0000}"/>
    <cellStyle name="Currency 5 3" xfId="3300" xr:uid="{00000000-0005-0000-0000-0000573E0000}"/>
    <cellStyle name="Currency 5 3 2" xfId="29392" xr:uid="{00000000-0005-0000-0000-0000583E0000}"/>
    <cellStyle name="Currency 5 3 3" xfId="29393" xr:uid="{00000000-0005-0000-0000-0000593E0000}"/>
    <cellStyle name="Currency 5 3 4" xfId="29391" xr:uid="{00000000-0005-0000-0000-00005A3E0000}"/>
    <cellStyle name="Currency 5 4" xfId="29394" xr:uid="{00000000-0005-0000-0000-00005B3E0000}"/>
    <cellStyle name="Currency 5 4 2" xfId="29395" xr:uid="{00000000-0005-0000-0000-00005C3E0000}"/>
    <cellStyle name="Currency 5 5" xfId="29396" xr:uid="{00000000-0005-0000-0000-00005D3E0000}"/>
    <cellStyle name="Currency 5 6" xfId="29397" xr:uid="{00000000-0005-0000-0000-00005E3E0000}"/>
    <cellStyle name="Currency 5 7" xfId="29355" xr:uid="{00000000-0005-0000-0000-00005F3E0000}"/>
    <cellStyle name="Currency 50" xfId="3301" xr:uid="{00000000-0005-0000-0000-0000603E0000}"/>
    <cellStyle name="Currency 50 2" xfId="9287" xr:uid="{00000000-0005-0000-0000-0000613E0000}"/>
    <cellStyle name="Currency 51" xfId="3302" xr:uid="{00000000-0005-0000-0000-0000623E0000}"/>
    <cellStyle name="Currency 51 2" xfId="9288" xr:uid="{00000000-0005-0000-0000-0000633E0000}"/>
    <cellStyle name="Currency 52" xfId="3303" xr:uid="{00000000-0005-0000-0000-0000643E0000}"/>
    <cellStyle name="Currency 52 2" xfId="9289" xr:uid="{00000000-0005-0000-0000-0000653E0000}"/>
    <cellStyle name="Currency 53" xfId="3304" xr:uid="{00000000-0005-0000-0000-0000663E0000}"/>
    <cellStyle name="Currency 53 2" xfId="9290" xr:uid="{00000000-0005-0000-0000-0000673E0000}"/>
    <cellStyle name="Currency 54" xfId="3305" xr:uid="{00000000-0005-0000-0000-0000683E0000}"/>
    <cellStyle name="Currency 54 2" xfId="9291" xr:uid="{00000000-0005-0000-0000-0000693E0000}"/>
    <cellStyle name="Currency 55" xfId="3306" xr:uid="{00000000-0005-0000-0000-00006A3E0000}"/>
    <cellStyle name="Currency 55 2" xfId="9292" xr:uid="{00000000-0005-0000-0000-00006B3E0000}"/>
    <cellStyle name="Currency 56" xfId="3307" xr:uid="{00000000-0005-0000-0000-00006C3E0000}"/>
    <cellStyle name="Currency 56 2" xfId="9293" xr:uid="{00000000-0005-0000-0000-00006D3E0000}"/>
    <cellStyle name="Currency 57" xfId="3308" xr:uid="{00000000-0005-0000-0000-00006E3E0000}"/>
    <cellStyle name="Currency 57 2" xfId="9294" xr:uid="{00000000-0005-0000-0000-00006F3E0000}"/>
    <cellStyle name="Currency 58" xfId="3309" xr:uid="{00000000-0005-0000-0000-0000703E0000}"/>
    <cellStyle name="Currency 58 2" xfId="9295" xr:uid="{00000000-0005-0000-0000-0000713E0000}"/>
    <cellStyle name="Currency 59" xfId="3310" xr:uid="{00000000-0005-0000-0000-0000723E0000}"/>
    <cellStyle name="Currency 59 2" xfId="9296" xr:uid="{00000000-0005-0000-0000-0000733E0000}"/>
    <cellStyle name="Currency 6" xfId="3311" xr:uid="{00000000-0005-0000-0000-0000743E0000}"/>
    <cellStyle name="Currency 6 2" xfId="3312" xr:uid="{00000000-0005-0000-0000-0000753E0000}"/>
    <cellStyle name="Currency 6 2 10" xfId="29399" xr:uid="{00000000-0005-0000-0000-0000763E0000}"/>
    <cellStyle name="Currency 6 2 11" xfId="29400" xr:uid="{00000000-0005-0000-0000-0000773E0000}"/>
    <cellStyle name="Currency 6 2 12" xfId="29401" xr:uid="{00000000-0005-0000-0000-0000783E0000}"/>
    <cellStyle name="Currency 6 2 13" xfId="29402" xr:uid="{00000000-0005-0000-0000-0000793E0000}"/>
    <cellStyle name="Currency 6 2 14" xfId="29403" xr:uid="{00000000-0005-0000-0000-00007A3E0000}"/>
    <cellStyle name="Currency 6 2 15" xfId="29404" xr:uid="{00000000-0005-0000-0000-00007B3E0000}"/>
    <cellStyle name="Currency 6 2 16" xfId="29405" xr:uid="{00000000-0005-0000-0000-00007C3E0000}"/>
    <cellStyle name="Currency 6 2 17" xfId="29406" xr:uid="{00000000-0005-0000-0000-00007D3E0000}"/>
    <cellStyle name="Currency 6 2 18" xfId="29407" xr:uid="{00000000-0005-0000-0000-00007E3E0000}"/>
    <cellStyle name="Currency 6 2 19" xfId="29408" xr:uid="{00000000-0005-0000-0000-00007F3E0000}"/>
    <cellStyle name="Currency 6 2 2" xfId="3313" xr:uid="{00000000-0005-0000-0000-0000803E0000}"/>
    <cellStyle name="Currency 6 2 2 10" xfId="29410" xr:uid="{00000000-0005-0000-0000-0000813E0000}"/>
    <cellStyle name="Currency 6 2 2 11" xfId="29411" xr:uid="{00000000-0005-0000-0000-0000823E0000}"/>
    <cellStyle name="Currency 6 2 2 12" xfId="29412" xr:uid="{00000000-0005-0000-0000-0000833E0000}"/>
    <cellStyle name="Currency 6 2 2 13" xfId="29413" xr:uid="{00000000-0005-0000-0000-0000843E0000}"/>
    <cellStyle name="Currency 6 2 2 14" xfId="29414" xr:uid="{00000000-0005-0000-0000-0000853E0000}"/>
    <cellStyle name="Currency 6 2 2 15" xfId="29415" xr:uid="{00000000-0005-0000-0000-0000863E0000}"/>
    <cellStyle name="Currency 6 2 2 16" xfId="29416" xr:uid="{00000000-0005-0000-0000-0000873E0000}"/>
    <cellStyle name="Currency 6 2 2 17" xfId="29417" xr:uid="{00000000-0005-0000-0000-0000883E0000}"/>
    <cellStyle name="Currency 6 2 2 18" xfId="29409" xr:uid="{00000000-0005-0000-0000-0000893E0000}"/>
    <cellStyle name="Currency 6 2 2 2" xfId="3314" xr:uid="{00000000-0005-0000-0000-00008A3E0000}"/>
    <cellStyle name="Currency 6 2 2 2 2" xfId="3315" xr:uid="{00000000-0005-0000-0000-00008B3E0000}"/>
    <cellStyle name="Currency 6 2 2 2 2 2" xfId="18983" xr:uid="{00000000-0005-0000-0000-00008C3E0000}"/>
    <cellStyle name="Currency 6 2 2 2 3" xfId="18465" xr:uid="{00000000-0005-0000-0000-00008D3E0000}"/>
    <cellStyle name="Currency 6 2 2 2 4" xfId="29418" xr:uid="{00000000-0005-0000-0000-00008E3E0000}"/>
    <cellStyle name="Currency 6 2 2 3" xfId="3316" xr:uid="{00000000-0005-0000-0000-00008F3E0000}"/>
    <cellStyle name="Currency 6 2 2 3 2" xfId="18701" xr:uid="{00000000-0005-0000-0000-0000903E0000}"/>
    <cellStyle name="Currency 6 2 2 3 3" xfId="29419" xr:uid="{00000000-0005-0000-0000-0000913E0000}"/>
    <cellStyle name="Currency 6 2 2 4" xfId="18174" xr:uid="{00000000-0005-0000-0000-0000923E0000}"/>
    <cellStyle name="Currency 6 2 2 4 2" xfId="29420" xr:uid="{00000000-0005-0000-0000-0000933E0000}"/>
    <cellStyle name="Currency 6 2 2 5" xfId="29421" xr:uid="{00000000-0005-0000-0000-0000943E0000}"/>
    <cellStyle name="Currency 6 2 2 6" xfId="29422" xr:uid="{00000000-0005-0000-0000-0000953E0000}"/>
    <cellStyle name="Currency 6 2 2 7" xfId="29423" xr:uid="{00000000-0005-0000-0000-0000963E0000}"/>
    <cellStyle name="Currency 6 2 2 8" xfId="29424" xr:uid="{00000000-0005-0000-0000-0000973E0000}"/>
    <cellStyle name="Currency 6 2 2 9" xfId="29425" xr:uid="{00000000-0005-0000-0000-0000983E0000}"/>
    <cellStyle name="Currency 6 2 20" xfId="29398" xr:uid="{00000000-0005-0000-0000-0000993E0000}"/>
    <cellStyle name="Currency 6 2 3" xfId="3317" xr:uid="{00000000-0005-0000-0000-00009A3E0000}"/>
    <cellStyle name="Currency 6 2 3 2" xfId="3318" xr:uid="{00000000-0005-0000-0000-00009B3E0000}"/>
    <cellStyle name="Currency 6 2 3 2 2" xfId="18862" xr:uid="{00000000-0005-0000-0000-00009C3E0000}"/>
    <cellStyle name="Currency 6 2 3 3" xfId="18341" xr:uid="{00000000-0005-0000-0000-00009D3E0000}"/>
    <cellStyle name="Currency 6 2 3 4" xfId="29426" xr:uid="{00000000-0005-0000-0000-00009E3E0000}"/>
    <cellStyle name="Currency 6 2 4" xfId="3319" xr:uid="{00000000-0005-0000-0000-00009F3E0000}"/>
    <cellStyle name="Currency 6 2 4 2" xfId="18584" xr:uid="{00000000-0005-0000-0000-0000A03E0000}"/>
    <cellStyle name="Currency 6 2 4 3" xfId="29427" xr:uid="{00000000-0005-0000-0000-0000A13E0000}"/>
    <cellStyle name="Currency 6 2 5" xfId="18026" xr:uid="{00000000-0005-0000-0000-0000A23E0000}"/>
    <cellStyle name="Currency 6 2 5 2" xfId="29428" xr:uid="{00000000-0005-0000-0000-0000A33E0000}"/>
    <cellStyle name="Currency 6 2 6" xfId="29429" xr:uid="{00000000-0005-0000-0000-0000A43E0000}"/>
    <cellStyle name="Currency 6 2 7" xfId="29430" xr:uid="{00000000-0005-0000-0000-0000A53E0000}"/>
    <cellStyle name="Currency 6 2 8" xfId="29431" xr:uid="{00000000-0005-0000-0000-0000A63E0000}"/>
    <cellStyle name="Currency 6 2 9" xfId="29432" xr:uid="{00000000-0005-0000-0000-0000A73E0000}"/>
    <cellStyle name="Currency 6 3" xfId="3320" xr:uid="{00000000-0005-0000-0000-0000A83E0000}"/>
    <cellStyle name="Currency 6 3 2" xfId="3321" xr:uid="{00000000-0005-0000-0000-0000A93E0000}"/>
    <cellStyle name="Currency 6 3 2 2" xfId="3322" xr:uid="{00000000-0005-0000-0000-0000AA3E0000}"/>
    <cellStyle name="Currency 6 3 2 2 2" xfId="3323" xr:uid="{00000000-0005-0000-0000-0000AB3E0000}"/>
    <cellStyle name="Currency 6 3 2 2 2 2" xfId="18943" xr:uid="{00000000-0005-0000-0000-0000AC3E0000}"/>
    <cellStyle name="Currency 6 3 2 2 3" xfId="18425" xr:uid="{00000000-0005-0000-0000-0000AD3E0000}"/>
    <cellStyle name="Currency 6 3 2 3" xfId="3324" xr:uid="{00000000-0005-0000-0000-0000AE3E0000}"/>
    <cellStyle name="Currency 6 3 2 3 2" xfId="18661" xr:uid="{00000000-0005-0000-0000-0000AF3E0000}"/>
    <cellStyle name="Currency 6 3 2 4" xfId="18134" xr:uid="{00000000-0005-0000-0000-0000B03E0000}"/>
    <cellStyle name="Currency 6 3 2 5" xfId="29434" xr:uid="{00000000-0005-0000-0000-0000B13E0000}"/>
    <cellStyle name="Currency 6 3 3" xfId="3325" xr:uid="{00000000-0005-0000-0000-0000B23E0000}"/>
    <cellStyle name="Currency 6 3 3 2" xfId="3326" xr:uid="{00000000-0005-0000-0000-0000B33E0000}"/>
    <cellStyle name="Currency 6 3 3 2 2" xfId="18829" xr:uid="{00000000-0005-0000-0000-0000B43E0000}"/>
    <cellStyle name="Currency 6 3 3 3" xfId="18308" xr:uid="{00000000-0005-0000-0000-0000B53E0000}"/>
    <cellStyle name="Currency 6 3 4" xfId="3327" xr:uid="{00000000-0005-0000-0000-0000B63E0000}"/>
    <cellStyle name="Currency 6 3 4 2" xfId="18544" xr:uid="{00000000-0005-0000-0000-0000B73E0000}"/>
    <cellStyle name="Currency 6 3 5" xfId="17980" xr:uid="{00000000-0005-0000-0000-0000B83E0000}"/>
    <cellStyle name="Currency 6 3 6" xfId="29433" xr:uid="{00000000-0005-0000-0000-0000B93E0000}"/>
    <cellStyle name="Currency 6 4" xfId="3328" xr:uid="{00000000-0005-0000-0000-0000BA3E0000}"/>
    <cellStyle name="Currency 6 4 2" xfId="29436" xr:uid="{00000000-0005-0000-0000-0000BB3E0000}"/>
    <cellStyle name="Currency 6 4 3" xfId="29435" xr:uid="{00000000-0005-0000-0000-0000BC3E0000}"/>
    <cellStyle name="Currency 6 5" xfId="3329" xr:uid="{00000000-0005-0000-0000-0000BD3E0000}"/>
    <cellStyle name="Currency 6 5 2" xfId="3330" xr:uid="{00000000-0005-0000-0000-0000BE3E0000}"/>
    <cellStyle name="Currency 6 5 2 2" xfId="18787" xr:uid="{00000000-0005-0000-0000-0000BF3E0000}"/>
    <cellStyle name="Currency 6 5 3" xfId="9297" xr:uid="{00000000-0005-0000-0000-0000C03E0000}"/>
    <cellStyle name="Currency 6 5 4" xfId="29437" xr:uid="{00000000-0005-0000-0000-0000C13E0000}"/>
    <cellStyle name="Currency 6 6" xfId="29438" xr:uid="{00000000-0005-0000-0000-0000C23E0000}"/>
    <cellStyle name="Currency 60" xfId="3331" xr:uid="{00000000-0005-0000-0000-0000C33E0000}"/>
    <cellStyle name="Currency 60 2" xfId="9298" xr:uid="{00000000-0005-0000-0000-0000C43E0000}"/>
    <cellStyle name="Currency 61" xfId="3332" xr:uid="{00000000-0005-0000-0000-0000C53E0000}"/>
    <cellStyle name="Currency 61 2" xfId="3333" xr:uid="{00000000-0005-0000-0000-0000C63E0000}"/>
    <cellStyle name="Currency 61 2 2" xfId="18902" xr:uid="{00000000-0005-0000-0000-0000C73E0000}"/>
    <cellStyle name="Currency 61 3" xfId="18383" xr:uid="{00000000-0005-0000-0000-0000C83E0000}"/>
    <cellStyle name="Currency 62" xfId="3334" xr:uid="{00000000-0005-0000-0000-0000C93E0000}"/>
    <cellStyle name="Currency 62 2" xfId="3335" xr:uid="{00000000-0005-0000-0000-0000CA3E0000}"/>
    <cellStyle name="Currency 62 2 2" xfId="19022" xr:uid="{00000000-0005-0000-0000-0000CB3E0000}"/>
    <cellStyle name="Currency 62 3" xfId="18504" xr:uid="{00000000-0005-0000-0000-0000CC3E0000}"/>
    <cellStyle name="Currency 63" xfId="3336" xr:uid="{00000000-0005-0000-0000-0000CD3E0000}"/>
    <cellStyle name="Currency 63 2" xfId="3337" xr:uid="{00000000-0005-0000-0000-0000CE3E0000}"/>
    <cellStyle name="Currency 63 2 2" xfId="18796" xr:uid="{00000000-0005-0000-0000-0000CF3E0000}"/>
    <cellStyle name="Currency 63 3" xfId="18269" xr:uid="{00000000-0005-0000-0000-0000D03E0000}"/>
    <cellStyle name="Currency 64" xfId="9299" xr:uid="{00000000-0005-0000-0000-0000D13E0000}"/>
    <cellStyle name="Currency 65" xfId="9300" xr:uid="{00000000-0005-0000-0000-0000D23E0000}"/>
    <cellStyle name="Currency 66" xfId="9301" xr:uid="{00000000-0005-0000-0000-0000D33E0000}"/>
    <cellStyle name="Currency 67" xfId="9302" xr:uid="{00000000-0005-0000-0000-0000D43E0000}"/>
    <cellStyle name="Currency 68" xfId="9303" xr:uid="{00000000-0005-0000-0000-0000D53E0000}"/>
    <cellStyle name="Currency 69" xfId="9304" xr:uid="{00000000-0005-0000-0000-0000D63E0000}"/>
    <cellStyle name="Currency 7" xfId="3338" xr:uid="{00000000-0005-0000-0000-0000D73E0000}"/>
    <cellStyle name="Currency 7 2" xfId="3339" xr:uid="{00000000-0005-0000-0000-0000D83E0000}"/>
    <cellStyle name="Currency 7 2 10" xfId="29440" xr:uid="{00000000-0005-0000-0000-0000D93E0000}"/>
    <cellStyle name="Currency 7 2 11" xfId="29441" xr:uid="{00000000-0005-0000-0000-0000DA3E0000}"/>
    <cellStyle name="Currency 7 2 12" xfId="29442" xr:uid="{00000000-0005-0000-0000-0000DB3E0000}"/>
    <cellStyle name="Currency 7 2 13" xfId="29443" xr:uid="{00000000-0005-0000-0000-0000DC3E0000}"/>
    <cellStyle name="Currency 7 2 14" xfId="29444" xr:uid="{00000000-0005-0000-0000-0000DD3E0000}"/>
    <cellStyle name="Currency 7 2 15" xfId="29445" xr:uid="{00000000-0005-0000-0000-0000DE3E0000}"/>
    <cellStyle name="Currency 7 2 16" xfId="29446" xr:uid="{00000000-0005-0000-0000-0000DF3E0000}"/>
    <cellStyle name="Currency 7 2 17" xfId="29447" xr:uid="{00000000-0005-0000-0000-0000E03E0000}"/>
    <cellStyle name="Currency 7 2 18" xfId="29448" xr:uid="{00000000-0005-0000-0000-0000E13E0000}"/>
    <cellStyle name="Currency 7 2 19" xfId="29449" xr:uid="{00000000-0005-0000-0000-0000E23E0000}"/>
    <cellStyle name="Currency 7 2 2" xfId="9305" xr:uid="{00000000-0005-0000-0000-0000E33E0000}"/>
    <cellStyle name="Currency 7 2 2 10" xfId="29451" xr:uid="{00000000-0005-0000-0000-0000E43E0000}"/>
    <cellStyle name="Currency 7 2 2 11" xfId="29452" xr:uid="{00000000-0005-0000-0000-0000E53E0000}"/>
    <cellStyle name="Currency 7 2 2 12" xfId="29453" xr:uid="{00000000-0005-0000-0000-0000E63E0000}"/>
    <cellStyle name="Currency 7 2 2 13" xfId="29454" xr:uid="{00000000-0005-0000-0000-0000E73E0000}"/>
    <cellStyle name="Currency 7 2 2 14" xfId="29455" xr:uid="{00000000-0005-0000-0000-0000E83E0000}"/>
    <cellStyle name="Currency 7 2 2 15" xfId="29456" xr:uid="{00000000-0005-0000-0000-0000E93E0000}"/>
    <cellStyle name="Currency 7 2 2 16" xfId="29457" xr:uid="{00000000-0005-0000-0000-0000EA3E0000}"/>
    <cellStyle name="Currency 7 2 2 17" xfId="29458" xr:uid="{00000000-0005-0000-0000-0000EB3E0000}"/>
    <cellStyle name="Currency 7 2 2 18" xfId="29450" xr:uid="{00000000-0005-0000-0000-0000EC3E0000}"/>
    <cellStyle name="Currency 7 2 2 2" xfId="29459" xr:uid="{00000000-0005-0000-0000-0000ED3E0000}"/>
    <cellStyle name="Currency 7 2 2 3" xfId="29460" xr:uid="{00000000-0005-0000-0000-0000EE3E0000}"/>
    <cellStyle name="Currency 7 2 2 4" xfId="29461" xr:uid="{00000000-0005-0000-0000-0000EF3E0000}"/>
    <cellStyle name="Currency 7 2 2 5" xfId="29462" xr:uid="{00000000-0005-0000-0000-0000F03E0000}"/>
    <cellStyle name="Currency 7 2 2 6" xfId="29463" xr:uid="{00000000-0005-0000-0000-0000F13E0000}"/>
    <cellStyle name="Currency 7 2 2 7" xfId="29464" xr:uid="{00000000-0005-0000-0000-0000F23E0000}"/>
    <cellStyle name="Currency 7 2 2 8" xfId="29465" xr:uid="{00000000-0005-0000-0000-0000F33E0000}"/>
    <cellStyle name="Currency 7 2 2 9" xfId="29466" xr:uid="{00000000-0005-0000-0000-0000F43E0000}"/>
    <cellStyle name="Currency 7 2 20" xfId="29439" xr:uid="{00000000-0005-0000-0000-0000F53E0000}"/>
    <cellStyle name="Currency 7 2 3" xfId="29467" xr:uid="{00000000-0005-0000-0000-0000F63E0000}"/>
    <cellStyle name="Currency 7 2 4" xfId="29468" xr:uid="{00000000-0005-0000-0000-0000F73E0000}"/>
    <cellStyle name="Currency 7 2 5" xfId="29469" xr:uid="{00000000-0005-0000-0000-0000F83E0000}"/>
    <cellStyle name="Currency 7 2 6" xfId="29470" xr:uid="{00000000-0005-0000-0000-0000F93E0000}"/>
    <cellStyle name="Currency 7 2 7" xfId="29471" xr:uid="{00000000-0005-0000-0000-0000FA3E0000}"/>
    <cellStyle name="Currency 7 2 8" xfId="29472" xr:uid="{00000000-0005-0000-0000-0000FB3E0000}"/>
    <cellStyle name="Currency 7 2 9" xfId="29473" xr:uid="{00000000-0005-0000-0000-0000FC3E0000}"/>
    <cellStyle name="Currency 7 3" xfId="3340" xr:uid="{00000000-0005-0000-0000-0000FD3E0000}"/>
    <cellStyle name="Currency 7 3 2" xfId="9306" xr:uid="{00000000-0005-0000-0000-0000FE3E0000}"/>
    <cellStyle name="Currency 7 3 2 2" xfId="29475" xr:uid="{00000000-0005-0000-0000-0000FF3E0000}"/>
    <cellStyle name="Currency 7 3 3" xfId="29474" xr:uid="{00000000-0005-0000-0000-0000003F0000}"/>
    <cellStyle name="Currency 7 4" xfId="3341" xr:uid="{00000000-0005-0000-0000-0000013F0000}"/>
    <cellStyle name="Currency 7 4 2" xfId="3342" xr:uid="{00000000-0005-0000-0000-0000023F0000}"/>
    <cellStyle name="Currency 7 4 2 2" xfId="29477" xr:uid="{00000000-0005-0000-0000-0000033F0000}"/>
    <cellStyle name="Currency 7 4 3" xfId="29476" xr:uid="{00000000-0005-0000-0000-0000043F0000}"/>
    <cellStyle name="Currency 7 5" xfId="29478" xr:uid="{00000000-0005-0000-0000-0000053F0000}"/>
    <cellStyle name="Currency 7 6" xfId="29479" xr:uid="{00000000-0005-0000-0000-0000063F0000}"/>
    <cellStyle name="Currency 70" xfId="9307" xr:uid="{00000000-0005-0000-0000-0000073F0000}"/>
    <cellStyle name="Currency 71" xfId="9308" xr:uid="{00000000-0005-0000-0000-0000083F0000}"/>
    <cellStyle name="Currency 72" xfId="9309" xr:uid="{00000000-0005-0000-0000-0000093F0000}"/>
    <cellStyle name="Currency 73" xfId="9310" xr:uid="{00000000-0005-0000-0000-00000A3F0000}"/>
    <cellStyle name="Currency 74" xfId="9311" xr:uid="{00000000-0005-0000-0000-00000B3F0000}"/>
    <cellStyle name="Currency 75" xfId="9312" xr:uid="{00000000-0005-0000-0000-00000C3F0000}"/>
    <cellStyle name="Currency 76" xfId="9313" xr:uid="{00000000-0005-0000-0000-00000D3F0000}"/>
    <cellStyle name="Currency 8" xfId="3343" xr:uid="{00000000-0005-0000-0000-00000E3F0000}"/>
    <cellStyle name="Currency 8 2" xfId="3344" xr:uid="{00000000-0005-0000-0000-00000F3F0000}"/>
    <cellStyle name="Currency 8 2 10" xfId="29482" xr:uid="{00000000-0005-0000-0000-0000103F0000}"/>
    <cellStyle name="Currency 8 2 11" xfId="29483" xr:uid="{00000000-0005-0000-0000-0000113F0000}"/>
    <cellStyle name="Currency 8 2 12" xfId="29484" xr:uid="{00000000-0005-0000-0000-0000123F0000}"/>
    <cellStyle name="Currency 8 2 13" xfId="29485" xr:uid="{00000000-0005-0000-0000-0000133F0000}"/>
    <cellStyle name="Currency 8 2 14" xfId="29486" xr:uid="{00000000-0005-0000-0000-0000143F0000}"/>
    <cellStyle name="Currency 8 2 15" xfId="29487" xr:uid="{00000000-0005-0000-0000-0000153F0000}"/>
    <cellStyle name="Currency 8 2 16" xfId="29488" xr:uid="{00000000-0005-0000-0000-0000163F0000}"/>
    <cellStyle name="Currency 8 2 17" xfId="29489" xr:uid="{00000000-0005-0000-0000-0000173F0000}"/>
    <cellStyle name="Currency 8 2 18" xfId="29490" xr:uid="{00000000-0005-0000-0000-0000183F0000}"/>
    <cellStyle name="Currency 8 2 19" xfId="29481" xr:uid="{00000000-0005-0000-0000-0000193F0000}"/>
    <cellStyle name="Currency 8 2 2" xfId="3345" xr:uid="{00000000-0005-0000-0000-00001A3F0000}"/>
    <cellStyle name="Currency 8 2 2 10" xfId="29492" xr:uid="{00000000-0005-0000-0000-00001B3F0000}"/>
    <cellStyle name="Currency 8 2 2 11" xfId="29493" xr:uid="{00000000-0005-0000-0000-00001C3F0000}"/>
    <cellStyle name="Currency 8 2 2 12" xfId="29494" xr:uid="{00000000-0005-0000-0000-00001D3F0000}"/>
    <cellStyle name="Currency 8 2 2 13" xfId="29495" xr:uid="{00000000-0005-0000-0000-00001E3F0000}"/>
    <cellStyle name="Currency 8 2 2 14" xfId="29496" xr:uid="{00000000-0005-0000-0000-00001F3F0000}"/>
    <cellStyle name="Currency 8 2 2 15" xfId="29497" xr:uid="{00000000-0005-0000-0000-0000203F0000}"/>
    <cellStyle name="Currency 8 2 2 16" xfId="29491" xr:uid="{00000000-0005-0000-0000-0000213F0000}"/>
    <cellStyle name="Currency 8 2 2 2" xfId="3346" xr:uid="{00000000-0005-0000-0000-0000223F0000}"/>
    <cellStyle name="Currency 8 2 2 2 2" xfId="3347" xr:uid="{00000000-0005-0000-0000-0000233F0000}"/>
    <cellStyle name="Currency 8 2 2 2 2 2" xfId="19015" xr:uid="{00000000-0005-0000-0000-0000243F0000}"/>
    <cellStyle name="Currency 8 2 2 2 3" xfId="18497" xr:uid="{00000000-0005-0000-0000-0000253F0000}"/>
    <cellStyle name="Currency 8 2 2 2 4" xfId="29498" xr:uid="{00000000-0005-0000-0000-0000263F0000}"/>
    <cellStyle name="Currency 8 2 2 3" xfId="3348" xr:uid="{00000000-0005-0000-0000-0000273F0000}"/>
    <cellStyle name="Currency 8 2 2 3 2" xfId="18733" xr:uid="{00000000-0005-0000-0000-0000283F0000}"/>
    <cellStyle name="Currency 8 2 2 3 3" xfId="29499" xr:uid="{00000000-0005-0000-0000-0000293F0000}"/>
    <cellStyle name="Currency 8 2 2 4" xfId="18206" xr:uid="{00000000-0005-0000-0000-00002A3F0000}"/>
    <cellStyle name="Currency 8 2 2 4 2" xfId="29500" xr:uid="{00000000-0005-0000-0000-00002B3F0000}"/>
    <cellStyle name="Currency 8 2 2 5" xfId="29501" xr:uid="{00000000-0005-0000-0000-00002C3F0000}"/>
    <cellStyle name="Currency 8 2 2 6" xfId="29502" xr:uid="{00000000-0005-0000-0000-00002D3F0000}"/>
    <cellStyle name="Currency 8 2 2 7" xfId="29503" xr:uid="{00000000-0005-0000-0000-00002E3F0000}"/>
    <cellStyle name="Currency 8 2 2 8" xfId="29504" xr:uid="{00000000-0005-0000-0000-00002F3F0000}"/>
    <cellStyle name="Currency 8 2 2 9" xfId="29505" xr:uid="{00000000-0005-0000-0000-0000303F0000}"/>
    <cellStyle name="Currency 8 2 3" xfId="3349" xr:uid="{00000000-0005-0000-0000-0000313F0000}"/>
    <cellStyle name="Currency 8 2 3 2" xfId="3350" xr:uid="{00000000-0005-0000-0000-0000323F0000}"/>
    <cellStyle name="Currency 8 2 3 2 2" xfId="18895" xr:uid="{00000000-0005-0000-0000-0000333F0000}"/>
    <cellStyle name="Currency 8 2 3 3" xfId="18376" xr:uid="{00000000-0005-0000-0000-0000343F0000}"/>
    <cellStyle name="Currency 8 2 3 4" xfId="29506" xr:uid="{00000000-0005-0000-0000-0000353F0000}"/>
    <cellStyle name="Currency 8 2 4" xfId="3351" xr:uid="{00000000-0005-0000-0000-0000363F0000}"/>
    <cellStyle name="Currency 8 2 4 2" xfId="18616" xr:uid="{00000000-0005-0000-0000-0000373F0000}"/>
    <cellStyle name="Currency 8 2 4 3" xfId="29507" xr:uid="{00000000-0005-0000-0000-0000383F0000}"/>
    <cellStyle name="Currency 8 2 5" xfId="18062" xr:uid="{00000000-0005-0000-0000-0000393F0000}"/>
    <cellStyle name="Currency 8 2 5 2" xfId="29508" xr:uid="{00000000-0005-0000-0000-00003A3F0000}"/>
    <cellStyle name="Currency 8 2 6" xfId="29509" xr:uid="{00000000-0005-0000-0000-00003B3F0000}"/>
    <cellStyle name="Currency 8 2 7" xfId="29510" xr:uid="{00000000-0005-0000-0000-00003C3F0000}"/>
    <cellStyle name="Currency 8 2 8" xfId="29511" xr:uid="{00000000-0005-0000-0000-00003D3F0000}"/>
    <cellStyle name="Currency 8 2 9" xfId="29512" xr:uid="{00000000-0005-0000-0000-00003E3F0000}"/>
    <cellStyle name="Currency 8 3" xfId="3352" xr:uid="{00000000-0005-0000-0000-00003F3F0000}"/>
    <cellStyle name="Currency 8 3 2" xfId="3353" xr:uid="{00000000-0005-0000-0000-0000403F0000}"/>
    <cellStyle name="Currency 8 3 2 2" xfId="3354" xr:uid="{00000000-0005-0000-0000-0000413F0000}"/>
    <cellStyle name="Currency 8 3 2 2 2" xfId="18928" xr:uid="{00000000-0005-0000-0000-0000423F0000}"/>
    <cellStyle name="Currency 8 3 2 3" xfId="18410" xr:uid="{00000000-0005-0000-0000-0000433F0000}"/>
    <cellStyle name="Currency 8 3 2 4" xfId="29514" xr:uid="{00000000-0005-0000-0000-0000443F0000}"/>
    <cellStyle name="Currency 8 3 3" xfId="3355" xr:uid="{00000000-0005-0000-0000-0000453F0000}"/>
    <cellStyle name="Currency 8 3 3 2" xfId="18646" xr:uid="{00000000-0005-0000-0000-0000463F0000}"/>
    <cellStyle name="Currency 8 3 4" xfId="18119" xr:uid="{00000000-0005-0000-0000-0000473F0000}"/>
    <cellStyle name="Currency 8 3 5" xfId="29513" xr:uid="{00000000-0005-0000-0000-0000483F0000}"/>
    <cellStyle name="Currency 8 4" xfId="3356" xr:uid="{00000000-0005-0000-0000-0000493F0000}"/>
    <cellStyle name="Currency 8 4 2" xfId="3357" xr:uid="{00000000-0005-0000-0000-00004A3F0000}"/>
    <cellStyle name="Currency 8 4 2 2" xfId="18809" xr:uid="{00000000-0005-0000-0000-00004B3F0000}"/>
    <cellStyle name="Currency 8 4 2 3" xfId="29516" xr:uid="{00000000-0005-0000-0000-00004C3F0000}"/>
    <cellStyle name="Currency 8 4 3" xfId="18282" xr:uid="{00000000-0005-0000-0000-00004D3F0000}"/>
    <cellStyle name="Currency 8 4 4" xfId="29515" xr:uid="{00000000-0005-0000-0000-00004E3F0000}"/>
    <cellStyle name="Currency 8 5" xfId="3358" xr:uid="{00000000-0005-0000-0000-00004F3F0000}"/>
    <cellStyle name="Currency 8 5 2" xfId="18529" xr:uid="{00000000-0005-0000-0000-0000503F0000}"/>
    <cellStyle name="Currency 8 5 3" xfId="29517" xr:uid="{00000000-0005-0000-0000-0000513F0000}"/>
    <cellStyle name="Currency 8 6" xfId="17965" xr:uid="{00000000-0005-0000-0000-0000523F0000}"/>
    <cellStyle name="Currency 8 6 2" xfId="29518" xr:uid="{00000000-0005-0000-0000-0000533F0000}"/>
    <cellStyle name="Currency 8 7" xfId="29480" xr:uid="{00000000-0005-0000-0000-0000543F0000}"/>
    <cellStyle name="Currency 9" xfId="3359" xr:uid="{00000000-0005-0000-0000-0000553F0000}"/>
    <cellStyle name="Currency 9 2" xfId="9314" xr:uid="{00000000-0005-0000-0000-0000563F0000}"/>
    <cellStyle name="Currency 9 2 10" xfId="29521" xr:uid="{00000000-0005-0000-0000-0000573F0000}"/>
    <cellStyle name="Currency 9 2 11" xfId="29522" xr:uid="{00000000-0005-0000-0000-0000583F0000}"/>
    <cellStyle name="Currency 9 2 12" xfId="29523" xr:uid="{00000000-0005-0000-0000-0000593F0000}"/>
    <cellStyle name="Currency 9 2 13" xfId="29524" xr:uid="{00000000-0005-0000-0000-00005A3F0000}"/>
    <cellStyle name="Currency 9 2 14" xfId="29525" xr:uid="{00000000-0005-0000-0000-00005B3F0000}"/>
    <cellStyle name="Currency 9 2 15" xfId="29526" xr:uid="{00000000-0005-0000-0000-00005C3F0000}"/>
    <cellStyle name="Currency 9 2 16" xfId="29527" xr:uid="{00000000-0005-0000-0000-00005D3F0000}"/>
    <cellStyle name="Currency 9 2 17" xfId="29528" xr:uid="{00000000-0005-0000-0000-00005E3F0000}"/>
    <cellStyle name="Currency 9 2 18" xfId="29529" xr:uid="{00000000-0005-0000-0000-00005F3F0000}"/>
    <cellStyle name="Currency 9 2 19" xfId="29520" xr:uid="{00000000-0005-0000-0000-0000603F0000}"/>
    <cellStyle name="Currency 9 2 2" xfId="29530" xr:uid="{00000000-0005-0000-0000-0000613F0000}"/>
    <cellStyle name="Currency 9 2 2 10" xfId="29531" xr:uid="{00000000-0005-0000-0000-0000623F0000}"/>
    <cellStyle name="Currency 9 2 2 11" xfId="29532" xr:uid="{00000000-0005-0000-0000-0000633F0000}"/>
    <cellStyle name="Currency 9 2 2 12" xfId="29533" xr:uid="{00000000-0005-0000-0000-0000643F0000}"/>
    <cellStyle name="Currency 9 2 2 13" xfId="29534" xr:uid="{00000000-0005-0000-0000-0000653F0000}"/>
    <cellStyle name="Currency 9 2 2 14" xfId="29535" xr:uid="{00000000-0005-0000-0000-0000663F0000}"/>
    <cellStyle name="Currency 9 2 2 15" xfId="29536" xr:uid="{00000000-0005-0000-0000-0000673F0000}"/>
    <cellStyle name="Currency 9 2 2 2" xfId="29537" xr:uid="{00000000-0005-0000-0000-0000683F0000}"/>
    <cellStyle name="Currency 9 2 2 3" xfId="29538" xr:uid="{00000000-0005-0000-0000-0000693F0000}"/>
    <cellStyle name="Currency 9 2 2 4" xfId="29539" xr:uid="{00000000-0005-0000-0000-00006A3F0000}"/>
    <cellStyle name="Currency 9 2 2 5" xfId="29540" xr:uid="{00000000-0005-0000-0000-00006B3F0000}"/>
    <cellStyle name="Currency 9 2 2 6" xfId="29541" xr:uid="{00000000-0005-0000-0000-00006C3F0000}"/>
    <cellStyle name="Currency 9 2 2 7" xfId="29542" xr:uid="{00000000-0005-0000-0000-00006D3F0000}"/>
    <cellStyle name="Currency 9 2 2 8" xfId="29543" xr:uid="{00000000-0005-0000-0000-00006E3F0000}"/>
    <cellStyle name="Currency 9 2 2 9" xfId="29544" xr:uid="{00000000-0005-0000-0000-00006F3F0000}"/>
    <cellStyle name="Currency 9 2 3" xfId="29545" xr:uid="{00000000-0005-0000-0000-0000703F0000}"/>
    <cellStyle name="Currency 9 2 4" xfId="29546" xr:uid="{00000000-0005-0000-0000-0000713F0000}"/>
    <cellStyle name="Currency 9 2 5" xfId="29547" xr:uid="{00000000-0005-0000-0000-0000723F0000}"/>
    <cellStyle name="Currency 9 2 6" xfId="29548" xr:uid="{00000000-0005-0000-0000-0000733F0000}"/>
    <cellStyle name="Currency 9 2 7" xfId="29549" xr:uid="{00000000-0005-0000-0000-0000743F0000}"/>
    <cellStyle name="Currency 9 2 8" xfId="29550" xr:uid="{00000000-0005-0000-0000-0000753F0000}"/>
    <cellStyle name="Currency 9 2 9" xfId="29551" xr:uid="{00000000-0005-0000-0000-0000763F0000}"/>
    <cellStyle name="Currency 9 3" xfId="29552" xr:uid="{00000000-0005-0000-0000-0000773F0000}"/>
    <cellStyle name="Currency 9 3 2" xfId="29553" xr:uid="{00000000-0005-0000-0000-0000783F0000}"/>
    <cellStyle name="Currency 9 4" xfId="29554" xr:uid="{00000000-0005-0000-0000-0000793F0000}"/>
    <cellStyle name="Currency 9 4 2" xfId="29555" xr:uid="{00000000-0005-0000-0000-00007A3F0000}"/>
    <cellStyle name="Currency 9 5" xfId="29556" xr:uid="{00000000-0005-0000-0000-00007B3F0000}"/>
    <cellStyle name="Currency 9 6" xfId="29557" xr:uid="{00000000-0005-0000-0000-00007C3F0000}"/>
    <cellStyle name="Currency 9 7" xfId="29519" xr:uid="{00000000-0005-0000-0000-00007D3F0000}"/>
    <cellStyle name="Currency0" xfId="34" xr:uid="{00000000-0005-0000-0000-00007E3F0000}"/>
    <cellStyle name="Currency0 2" xfId="3360" xr:uid="{00000000-0005-0000-0000-00007F3F0000}"/>
    <cellStyle name="Currency0 2 2" xfId="9315" xr:uid="{00000000-0005-0000-0000-0000803F0000}"/>
    <cellStyle name="Currency0 2 3" xfId="29559" xr:uid="{00000000-0005-0000-0000-0000813F0000}"/>
    <cellStyle name="Currency0 3" xfId="3361" xr:uid="{00000000-0005-0000-0000-0000823F0000}"/>
    <cellStyle name="Currency0 3 2" xfId="3362" xr:uid="{00000000-0005-0000-0000-0000833F0000}"/>
    <cellStyle name="Currency0 3 2 2" xfId="9316" xr:uid="{00000000-0005-0000-0000-0000843F0000}"/>
    <cellStyle name="Currency0 3 3" xfId="9317" xr:uid="{00000000-0005-0000-0000-0000853F0000}"/>
    <cellStyle name="Currency0 3 4" xfId="29560" xr:uid="{00000000-0005-0000-0000-0000863F0000}"/>
    <cellStyle name="Currency0 4" xfId="9318" xr:uid="{00000000-0005-0000-0000-0000873F0000}"/>
    <cellStyle name="Currency0 5" xfId="29558" xr:uid="{00000000-0005-0000-0000-0000883F0000}"/>
    <cellStyle name="Daen" xfId="29561" xr:uid="{00000000-0005-0000-0000-0000893F0000}"/>
    <cellStyle name="Daen 2" xfId="29562" xr:uid="{00000000-0005-0000-0000-00008A3F0000}"/>
    <cellStyle name="data inp" xfId="29563" xr:uid="{00000000-0005-0000-0000-00008B3F0000}"/>
    <cellStyle name="data inp 2" xfId="29564" xr:uid="{00000000-0005-0000-0000-00008C3F0000}"/>
    <cellStyle name="data input" xfId="29565" xr:uid="{00000000-0005-0000-0000-00008D3F0000}"/>
    <cellStyle name="data input 2" xfId="29566" xr:uid="{00000000-0005-0000-0000-00008E3F0000}"/>
    <cellStyle name="Date" xfId="35" xr:uid="{00000000-0005-0000-0000-00008F3F0000}"/>
    <cellStyle name="Date 10" xfId="29568" xr:uid="{00000000-0005-0000-0000-0000903F0000}"/>
    <cellStyle name="Date 11" xfId="29569" xr:uid="{00000000-0005-0000-0000-0000913F0000}"/>
    <cellStyle name="Date 12" xfId="29570" xr:uid="{00000000-0005-0000-0000-0000923F0000}"/>
    <cellStyle name="Date 13" xfId="29567" xr:uid="{00000000-0005-0000-0000-0000933F0000}"/>
    <cellStyle name="Date 2" xfId="3363" xr:uid="{00000000-0005-0000-0000-0000943F0000}"/>
    <cellStyle name="Date 2 2" xfId="9319" xr:uid="{00000000-0005-0000-0000-0000953F0000}"/>
    <cellStyle name="Date 2 2 2" xfId="29573" xr:uid="{00000000-0005-0000-0000-0000963F0000}"/>
    <cellStyle name="Date 2 2 3" xfId="29572" xr:uid="{00000000-0005-0000-0000-0000973F0000}"/>
    <cellStyle name="Date 2 3" xfId="29574" xr:uid="{00000000-0005-0000-0000-0000983F0000}"/>
    <cellStyle name="Date 2 3 2" xfId="29575" xr:uid="{00000000-0005-0000-0000-0000993F0000}"/>
    <cellStyle name="Date 2 4" xfId="29576" xr:uid="{00000000-0005-0000-0000-00009A3F0000}"/>
    <cellStyle name="Date 2 5" xfId="29577" xr:uid="{00000000-0005-0000-0000-00009B3F0000}"/>
    <cellStyle name="Date 2 6" xfId="29578" xr:uid="{00000000-0005-0000-0000-00009C3F0000}"/>
    <cellStyle name="Date 2 7" xfId="29571" xr:uid="{00000000-0005-0000-0000-00009D3F0000}"/>
    <cellStyle name="Date 3" xfId="3364" xr:uid="{00000000-0005-0000-0000-00009E3F0000}"/>
    <cellStyle name="Date 3 2" xfId="3365" xr:uid="{00000000-0005-0000-0000-00009F3F0000}"/>
    <cellStyle name="Date 3 2 2" xfId="9320" xr:uid="{00000000-0005-0000-0000-0000A03F0000}"/>
    <cellStyle name="Date 3 2 3" xfId="29580" xr:uid="{00000000-0005-0000-0000-0000A13F0000}"/>
    <cellStyle name="Date 3 3" xfId="9321" xr:uid="{00000000-0005-0000-0000-0000A23F0000}"/>
    <cellStyle name="Date 3 3 2" xfId="29581" xr:uid="{00000000-0005-0000-0000-0000A33F0000}"/>
    <cellStyle name="Date 3 4" xfId="29579" xr:uid="{00000000-0005-0000-0000-0000A43F0000}"/>
    <cellStyle name="Date 4" xfId="9322" xr:uid="{00000000-0005-0000-0000-0000A53F0000}"/>
    <cellStyle name="Date 4 2" xfId="29583" xr:uid="{00000000-0005-0000-0000-0000A63F0000}"/>
    <cellStyle name="Date 4 3" xfId="29582" xr:uid="{00000000-0005-0000-0000-0000A73F0000}"/>
    <cellStyle name="Date 5" xfId="29584" xr:uid="{00000000-0005-0000-0000-0000A83F0000}"/>
    <cellStyle name="Date 5 2" xfId="29585" xr:uid="{00000000-0005-0000-0000-0000A93F0000}"/>
    <cellStyle name="Date 6" xfId="29586" xr:uid="{00000000-0005-0000-0000-0000AA3F0000}"/>
    <cellStyle name="Date 6 2" xfId="29587" xr:uid="{00000000-0005-0000-0000-0000AB3F0000}"/>
    <cellStyle name="Date 7" xfId="29588" xr:uid="{00000000-0005-0000-0000-0000AC3F0000}"/>
    <cellStyle name="Date 7 2" xfId="29589" xr:uid="{00000000-0005-0000-0000-0000AD3F0000}"/>
    <cellStyle name="Date 8" xfId="29590" xr:uid="{00000000-0005-0000-0000-0000AE3F0000}"/>
    <cellStyle name="Date 8 2" xfId="29591" xr:uid="{00000000-0005-0000-0000-0000AF3F0000}"/>
    <cellStyle name="Date 9" xfId="29592" xr:uid="{00000000-0005-0000-0000-0000B03F0000}"/>
    <cellStyle name="Date 9 2" xfId="29593" xr:uid="{00000000-0005-0000-0000-0000B13F0000}"/>
    <cellStyle name="Date long" xfId="29594" xr:uid="{00000000-0005-0000-0000-0000B23F0000}"/>
    <cellStyle name="Date long 2" xfId="29595" xr:uid="{00000000-0005-0000-0000-0000B33F0000}"/>
    <cellStyle name="Date long 2 2" xfId="29596" xr:uid="{00000000-0005-0000-0000-0000B43F0000}"/>
    <cellStyle name="Date long 2 2 2" xfId="29597" xr:uid="{00000000-0005-0000-0000-0000B53F0000}"/>
    <cellStyle name="Date long 2 3" xfId="29598" xr:uid="{00000000-0005-0000-0000-0000B63F0000}"/>
    <cellStyle name="Date Long 3" xfId="29599" xr:uid="{00000000-0005-0000-0000-0000B73F0000}"/>
    <cellStyle name="Date long 3 2" xfId="29600" xr:uid="{00000000-0005-0000-0000-0000B83F0000}"/>
    <cellStyle name="Date long 3 2 2" xfId="29601" xr:uid="{00000000-0005-0000-0000-0000B93F0000}"/>
    <cellStyle name="Date long 3 3" xfId="29602" xr:uid="{00000000-0005-0000-0000-0000BA3F0000}"/>
    <cellStyle name="Date long 3 3 2" xfId="29603" xr:uid="{00000000-0005-0000-0000-0000BB3F0000}"/>
    <cellStyle name="Date Long 3 4" xfId="29604" xr:uid="{00000000-0005-0000-0000-0000BC3F0000}"/>
    <cellStyle name="Date Long 4" xfId="29605" xr:uid="{00000000-0005-0000-0000-0000BD3F0000}"/>
    <cellStyle name="Date long 4 2" xfId="29606" xr:uid="{00000000-0005-0000-0000-0000BE3F0000}"/>
    <cellStyle name="Date long 4 2 2" xfId="29607" xr:uid="{00000000-0005-0000-0000-0000BF3F0000}"/>
    <cellStyle name="Date long 4 3" xfId="29608" xr:uid="{00000000-0005-0000-0000-0000C03F0000}"/>
    <cellStyle name="Date long 4 3 2" xfId="29609" xr:uid="{00000000-0005-0000-0000-0000C13F0000}"/>
    <cellStyle name="Date Long 4 4" xfId="29610" xr:uid="{00000000-0005-0000-0000-0000C23F0000}"/>
    <cellStyle name="Date Long 5" xfId="29611" xr:uid="{00000000-0005-0000-0000-0000C33F0000}"/>
    <cellStyle name="Date long 5 2" xfId="29612" xr:uid="{00000000-0005-0000-0000-0000C43F0000}"/>
    <cellStyle name="Date long 5 2 2" xfId="29613" xr:uid="{00000000-0005-0000-0000-0000C53F0000}"/>
    <cellStyle name="Date long 5 3" xfId="29614" xr:uid="{00000000-0005-0000-0000-0000C63F0000}"/>
    <cellStyle name="Date long 5 3 2" xfId="29615" xr:uid="{00000000-0005-0000-0000-0000C73F0000}"/>
    <cellStyle name="Date Long 5 4" xfId="29616" xr:uid="{00000000-0005-0000-0000-0000C83F0000}"/>
    <cellStyle name="Date long 6" xfId="29617" xr:uid="{00000000-0005-0000-0000-0000C93F0000}"/>
    <cellStyle name="Date lot_" xfId="29618" xr:uid="{00000000-0005-0000-0000-0000CA3F0000}"/>
    <cellStyle name="Date sho_C" xfId="29619" xr:uid="{00000000-0005-0000-0000-0000CB3F0000}"/>
    <cellStyle name="Date short" xfId="29620" xr:uid="{00000000-0005-0000-0000-0000CC3F0000}"/>
    <cellStyle name="Date short 2" xfId="29621" xr:uid="{00000000-0005-0000-0000-0000CD3F0000}"/>
    <cellStyle name="Date short 2 2" xfId="29622" xr:uid="{00000000-0005-0000-0000-0000CE3F0000}"/>
    <cellStyle name="Date short 2 2 2" xfId="29623" xr:uid="{00000000-0005-0000-0000-0000CF3F0000}"/>
    <cellStyle name="Date short 2 3" xfId="29624" xr:uid="{00000000-0005-0000-0000-0000D03F0000}"/>
    <cellStyle name="Date Short 3" xfId="29625" xr:uid="{00000000-0005-0000-0000-0000D13F0000}"/>
    <cellStyle name="Date short 3 2" xfId="29626" xr:uid="{00000000-0005-0000-0000-0000D23F0000}"/>
    <cellStyle name="Date short 3 2 2" xfId="29627" xr:uid="{00000000-0005-0000-0000-0000D33F0000}"/>
    <cellStyle name="Date short 3 3" xfId="29628" xr:uid="{00000000-0005-0000-0000-0000D43F0000}"/>
    <cellStyle name="Date short 3 3 2" xfId="29629" xr:uid="{00000000-0005-0000-0000-0000D53F0000}"/>
    <cellStyle name="Date Short 3 4" xfId="29630" xr:uid="{00000000-0005-0000-0000-0000D63F0000}"/>
    <cellStyle name="Date Short 4" xfId="29631" xr:uid="{00000000-0005-0000-0000-0000D73F0000}"/>
    <cellStyle name="Date short 4 2" xfId="29632" xr:uid="{00000000-0005-0000-0000-0000D83F0000}"/>
    <cellStyle name="Date short 4 2 2" xfId="29633" xr:uid="{00000000-0005-0000-0000-0000D93F0000}"/>
    <cellStyle name="Date short 4 3" xfId="29634" xr:uid="{00000000-0005-0000-0000-0000DA3F0000}"/>
    <cellStyle name="Date short 4 3 2" xfId="29635" xr:uid="{00000000-0005-0000-0000-0000DB3F0000}"/>
    <cellStyle name="Date Short 4 4" xfId="29636" xr:uid="{00000000-0005-0000-0000-0000DC3F0000}"/>
    <cellStyle name="Date Short 5" xfId="29637" xr:uid="{00000000-0005-0000-0000-0000DD3F0000}"/>
    <cellStyle name="Date short 5 2" xfId="29638" xr:uid="{00000000-0005-0000-0000-0000DE3F0000}"/>
    <cellStyle name="Date short 5 2 2" xfId="29639" xr:uid="{00000000-0005-0000-0000-0000DF3F0000}"/>
    <cellStyle name="Date short 5 3" xfId="29640" xr:uid="{00000000-0005-0000-0000-0000E03F0000}"/>
    <cellStyle name="Date short 5 3 2" xfId="29641" xr:uid="{00000000-0005-0000-0000-0000E13F0000}"/>
    <cellStyle name="Date Short 5 4" xfId="29642" xr:uid="{00000000-0005-0000-0000-0000E23F0000}"/>
    <cellStyle name="Date short 6" xfId="29643" xr:uid="{00000000-0005-0000-0000-0000E33F0000}"/>
    <cellStyle name="Date_Certification" xfId="29644" xr:uid="{00000000-0005-0000-0000-0000E43F0000}"/>
    <cellStyle name="DateTime" xfId="29645" xr:uid="{00000000-0005-0000-0000-0000E53F0000}"/>
    <cellStyle name="DateTime 2" xfId="29646" xr:uid="{00000000-0005-0000-0000-0000E63F0000}"/>
    <cellStyle name="Day" xfId="29647" xr:uid="{00000000-0005-0000-0000-0000E73F0000}"/>
    <cellStyle name="Day 2" xfId="29648" xr:uid="{00000000-0005-0000-0000-0000E83F0000}"/>
    <cellStyle name="Day 2 2" xfId="29649" xr:uid="{00000000-0005-0000-0000-0000E93F0000}"/>
    <cellStyle name="Day 3" xfId="29650" xr:uid="{00000000-0005-0000-0000-0000EA3F0000}"/>
    <cellStyle name="Decimal  .0" xfId="29651" xr:uid="{00000000-0005-0000-0000-0000EB3F0000}"/>
    <cellStyle name="Decimal  .0 2" xfId="29652" xr:uid="{00000000-0005-0000-0000-0000EC3F0000}"/>
    <cellStyle name="Decimal  .0 3" xfId="29653" xr:uid="{00000000-0005-0000-0000-0000ED3F0000}"/>
    <cellStyle name="Dezimal [0]_Compiling Utility Macros" xfId="29654" xr:uid="{00000000-0005-0000-0000-0000EE3F0000}"/>
    <cellStyle name="Dezimal_Compiling Utility Macros" xfId="29655" xr:uid="{00000000-0005-0000-0000-0000EF3F0000}"/>
    <cellStyle name="Dollars" xfId="29656" xr:uid="{00000000-0005-0000-0000-0000F03F0000}"/>
    <cellStyle name="Dollars &amp; Cents" xfId="3366" xr:uid="{00000000-0005-0000-0000-0000F13F0000}"/>
    <cellStyle name="Dollars &amp; Cents 2" xfId="29657" xr:uid="{00000000-0005-0000-0000-0000F23F0000}"/>
    <cellStyle name="Dollars &amp; Cents 3" xfId="29658" xr:uid="{00000000-0005-0000-0000-0000F33F0000}"/>
    <cellStyle name="Dollars 2" xfId="29659" xr:uid="{00000000-0005-0000-0000-0000F43F0000}"/>
    <cellStyle name="Dollars(0)" xfId="29660" xr:uid="{00000000-0005-0000-0000-0000F53F0000}"/>
    <cellStyle name="Dollars(0) 2" xfId="29661" xr:uid="{00000000-0005-0000-0000-0000F63F0000}"/>
    <cellStyle name="Dollars_2003-10-29 JB demo" xfId="29662" xr:uid="{00000000-0005-0000-0000-0000F73F0000}"/>
    <cellStyle name="Edge" xfId="29663" xr:uid="{00000000-0005-0000-0000-0000F83F0000}"/>
    <cellStyle name="ellow]" xfId="29664" xr:uid="{00000000-0005-0000-0000-0000F93F0000}"/>
    <cellStyle name="ellow] 2" xfId="29665" xr:uid="{00000000-0005-0000-0000-0000FA3F0000}"/>
    <cellStyle name="Emphasis 1" xfId="29666" xr:uid="{00000000-0005-0000-0000-0000FB3F0000}"/>
    <cellStyle name="Emphasis 1 2" xfId="29667" xr:uid="{00000000-0005-0000-0000-0000FC3F0000}"/>
    <cellStyle name="Emphasis 2" xfId="29668" xr:uid="{00000000-0005-0000-0000-0000FD3F0000}"/>
    <cellStyle name="Emphasis 2 2" xfId="29669" xr:uid="{00000000-0005-0000-0000-0000FE3F0000}"/>
    <cellStyle name="Emphasis 3" xfId="29670" xr:uid="{00000000-0005-0000-0000-0000FF3F0000}"/>
    <cellStyle name="Emphasis 3 2" xfId="29671" xr:uid="{00000000-0005-0000-0000-000000400000}"/>
    <cellStyle name="Entered" xfId="3367" xr:uid="{00000000-0005-0000-0000-000001400000}"/>
    <cellStyle name="Entered 2" xfId="29672" xr:uid="{00000000-0005-0000-0000-000002400000}"/>
    <cellStyle name="Entered 3" xfId="29673" xr:uid="{00000000-0005-0000-0000-000003400000}"/>
    <cellStyle name="Euro" xfId="29674" xr:uid="{00000000-0005-0000-0000-000004400000}"/>
    <cellStyle name="Euro 2" xfId="29675" xr:uid="{00000000-0005-0000-0000-000005400000}"/>
    <cellStyle name="Euro 2 2" xfId="29676" xr:uid="{00000000-0005-0000-0000-000006400000}"/>
    <cellStyle name="Euro 3" xfId="29677" xr:uid="{00000000-0005-0000-0000-000007400000}"/>
    <cellStyle name="Euro 3 2" xfId="29678" xr:uid="{00000000-0005-0000-0000-000008400000}"/>
    <cellStyle name="Euro 3 2 2" xfId="29679" xr:uid="{00000000-0005-0000-0000-000009400000}"/>
    <cellStyle name="Euro 3 3" xfId="29680" xr:uid="{00000000-0005-0000-0000-00000A400000}"/>
    <cellStyle name="Euro 4" xfId="29681" xr:uid="{00000000-0005-0000-0000-00000B400000}"/>
    <cellStyle name="Euro 4 2" xfId="29682" xr:uid="{00000000-0005-0000-0000-00000C400000}"/>
    <cellStyle name="Euro 4 2 2" xfId="29683" xr:uid="{00000000-0005-0000-0000-00000D400000}"/>
    <cellStyle name="Euro 4 3" xfId="29684" xr:uid="{00000000-0005-0000-0000-00000E400000}"/>
    <cellStyle name="Euro 5" xfId="29685" xr:uid="{00000000-0005-0000-0000-00000F400000}"/>
    <cellStyle name="Euro 5 2" xfId="29686" xr:uid="{00000000-0005-0000-0000-000010400000}"/>
    <cellStyle name="Euro 5 2 2" xfId="29687" xr:uid="{00000000-0005-0000-0000-000011400000}"/>
    <cellStyle name="Euro 5 3" xfId="29688" xr:uid="{00000000-0005-0000-0000-000012400000}"/>
    <cellStyle name="Euro 6" xfId="29689" xr:uid="{00000000-0005-0000-0000-000013400000}"/>
    <cellStyle name="Euro 7" xfId="29690" xr:uid="{00000000-0005-0000-0000-000014400000}"/>
    <cellStyle name="Explanatory Text" xfId="44337" builtinId="53" customBuiltin="1"/>
    <cellStyle name="Explanatory Text 10" xfId="29691" xr:uid="{00000000-0005-0000-0000-000016400000}"/>
    <cellStyle name="Explanatory Text 10 2" xfId="3368" xr:uid="{00000000-0005-0000-0000-000017400000}"/>
    <cellStyle name="Explanatory Text 10 3" xfId="3369" xr:uid="{00000000-0005-0000-0000-000018400000}"/>
    <cellStyle name="Explanatory Text 11" xfId="29692" xr:uid="{00000000-0005-0000-0000-000019400000}"/>
    <cellStyle name="Explanatory Text 11 2" xfId="3370" xr:uid="{00000000-0005-0000-0000-00001A400000}"/>
    <cellStyle name="Explanatory Text 11 3" xfId="3371" xr:uid="{00000000-0005-0000-0000-00001B400000}"/>
    <cellStyle name="Explanatory Text 12" xfId="29693" xr:uid="{00000000-0005-0000-0000-00001C400000}"/>
    <cellStyle name="Explanatory Text 12 2" xfId="3372" xr:uid="{00000000-0005-0000-0000-00001D400000}"/>
    <cellStyle name="Explanatory Text 12 3" xfId="3373" xr:uid="{00000000-0005-0000-0000-00001E400000}"/>
    <cellStyle name="Explanatory Text 13 2" xfId="3374" xr:uid="{00000000-0005-0000-0000-00001F400000}"/>
    <cellStyle name="Explanatory Text 13 3" xfId="3375" xr:uid="{00000000-0005-0000-0000-000020400000}"/>
    <cellStyle name="Explanatory Text 14 2" xfId="3376" xr:uid="{00000000-0005-0000-0000-000021400000}"/>
    <cellStyle name="Explanatory Text 14 3" xfId="3377" xr:uid="{00000000-0005-0000-0000-000022400000}"/>
    <cellStyle name="Explanatory Text 15" xfId="3378" xr:uid="{00000000-0005-0000-0000-000023400000}"/>
    <cellStyle name="Explanatory Text 15 2" xfId="3379" xr:uid="{00000000-0005-0000-0000-000024400000}"/>
    <cellStyle name="Explanatory Text 15 3" xfId="3380" xr:uid="{00000000-0005-0000-0000-000025400000}"/>
    <cellStyle name="Explanatory Text 15 4" xfId="3381" xr:uid="{00000000-0005-0000-0000-000026400000}"/>
    <cellStyle name="Explanatory Text 15 5" xfId="3382" xr:uid="{00000000-0005-0000-0000-000027400000}"/>
    <cellStyle name="Explanatory Text 15 6" xfId="3383" xr:uid="{00000000-0005-0000-0000-000028400000}"/>
    <cellStyle name="Explanatory Text 15 7" xfId="3384" xr:uid="{00000000-0005-0000-0000-000029400000}"/>
    <cellStyle name="Explanatory Text 16" xfId="3385" xr:uid="{00000000-0005-0000-0000-00002A400000}"/>
    <cellStyle name="Explanatory Text 17" xfId="3386" xr:uid="{00000000-0005-0000-0000-00002B400000}"/>
    <cellStyle name="Explanatory Text 18" xfId="3387" xr:uid="{00000000-0005-0000-0000-00002C400000}"/>
    <cellStyle name="Explanatory Text 19" xfId="3388" xr:uid="{00000000-0005-0000-0000-00002D400000}"/>
    <cellStyle name="Explanatory Text 2" xfId="3389" xr:uid="{00000000-0005-0000-0000-00002E400000}"/>
    <cellStyle name="Explanatory Text 2 2" xfId="3390" xr:uid="{00000000-0005-0000-0000-00002F400000}"/>
    <cellStyle name="Explanatory Text 2 2 2" xfId="29695" xr:uid="{00000000-0005-0000-0000-000030400000}"/>
    <cellStyle name="Explanatory Text 2 2 2 2" xfId="29696" xr:uid="{00000000-0005-0000-0000-000031400000}"/>
    <cellStyle name="Explanatory Text 2 2 3" xfId="29697" xr:uid="{00000000-0005-0000-0000-000032400000}"/>
    <cellStyle name="Explanatory Text 2 2 3 2" xfId="29698" xr:uid="{00000000-0005-0000-0000-000033400000}"/>
    <cellStyle name="Explanatory Text 2 2 4" xfId="29699" xr:uid="{00000000-0005-0000-0000-000034400000}"/>
    <cellStyle name="Explanatory Text 2 2 5" xfId="29694" xr:uid="{00000000-0005-0000-0000-000035400000}"/>
    <cellStyle name="Explanatory Text 2 3" xfId="3391" xr:uid="{00000000-0005-0000-0000-000036400000}"/>
    <cellStyle name="Explanatory Text 2 3 2" xfId="29701" xr:uid="{00000000-0005-0000-0000-000037400000}"/>
    <cellStyle name="Explanatory Text 2 3 3" xfId="29700" xr:uid="{00000000-0005-0000-0000-000038400000}"/>
    <cellStyle name="Explanatory Text 2 4" xfId="29702" xr:uid="{00000000-0005-0000-0000-000039400000}"/>
    <cellStyle name="Explanatory Text 2 4 2" xfId="29703" xr:uid="{00000000-0005-0000-0000-00003A400000}"/>
    <cellStyle name="Explanatory Text 2 5" xfId="29704" xr:uid="{00000000-0005-0000-0000-00003B400000}"/>
    <cellStyle name="Explanatory Text 2 6" xfId="29705" xr:uid="{00000000-0005-0000-0000-00003C400000}"/>
    <cellStyle name="Explanatory Text 20" xfId="3392" xr:uid="{00000000-0005-0000-0000-00003D400000}"/>
    <cellStyle name="Explanatory Text 21" xfId="3393" xr:uid="{00000000-0005-0000-0000-00003E400000}"/>
    <cellStyle name="Explanatory Text 22" xfId="3394" xr:uid="{00000000-0005-0000-0000-00003F400000}"/>
    <cellStyle name="Explanatory Text 3" xfId="3395" xr:uid="{00000000-0005-0000-0000-000040400000}"/>
    <cellStyle name="Explanatory Text 3 2" xfId="3396" xr:uid="{00000000-0005-0000-0000-000041400000}"/>
    <cellStyle name="Explanatory Text 3 2 2" xfId="29708" xr:uid="{00000000-0005-0000-0000-000042400000}"/>
    <cellStyle name="Explanatory Text 3 2 2 2" xfId="29709" xr:uid="{00000000-0005-0000-0000-000043400000}"/>
    <cellStyle name="Explanatory Text 3 2 3" xfId="29710" xr:uid="{00000000-0005-0000-0000-000044400000}"/>
    <cellStyle name="Explanatory Text 3 2 4" xfId="29707" xr:uid="{00000000-0005-0000-0000-000045400000}"/>
    <cellStyle name="Explanatory Text 3 3" xfId="3397" xr:uid="{00000000-0005-0000-0000-000046400000}"/>
    <cellStyle name="Explanatory Text 3 3 2" xfId="29711" xr:uid="{00000000-0005-0000-0000-000047400000}"/>
    <cellStyle name="Explanatory Text 3 4" xfId="29712" xr:uid="{00000000-0005-0000-0000-000048400000}"/>
    <cellStyle name="Explanatory Text 3 5" xfId="29706" xr:uid="{00000000-0005-0000-0000-000049400000}"/>
    <cellStyle name="Explanatory Text 4" xfId="3398" xr:uid="{00000000-0005-0000-0000-00004A400000}"/>
    <cellStyle name="Explanatory Text 4 2" xfId="3399" xr:uid="{00000000-0005-0000-0000-00004B400000}"/>
    <cellStyle name="Explanatory Text 4 2 2" xfId="29715" xr:uid="{00000000-0005-0000-0000-00004C400000}"/>
    <cellStyle name="Explanatory Text 4 2 3" xfId="29714" xr:uid="{00000000-0005-0000-0000-00004D400000}"/>
    <cellStyle name="Explanatory Text 4 3" xfId="3400" xr:uid="{00000000-0005-0000-0000-00004E400000}"/>
    <cellStyle name="Explanatory Text 4 3 2" xfId="29717" xr:uid="{00000000-0005-0000-0000-00004F400000}"/>
    <cellStyle name="Explanatory Text 4 3 3" xfId="29716" xr:uid="{00000000-0005-0000-0000-000050400000}"/>
    <cellStyle name="Explanatory Text 4 4" xfId="29718" xr:uid="{00000000-0005-0000-0000-000051400000}"/>
    <cellStyle name="Explanatory Text 4 5" xfId="29719" xr:uid="{00000000-0005-0000-0000-000052400000}"/>
    <cellStyle name="Explanatory Text 4 6" xfId="29713" xr:uid="{00000000-0005-0000-0000-000053400000}"/>
    <cellStyle name="Explanatory Text 5" xfId="3401" xr:uid="{00000000-0005-0000-0000-000054400000}"/>
    <cellStyle name="Explanatory Text 5 2" xfId="3402" xr:uid="{00000000-0005-0000-0000-000055400000}"/>
    <cellStyle name="Explanatory Text 5 2 2" xfId="29721" xr:uid="{00000000-0005-0000-0000-000056400000}"/>
    <cellStyle name="Explanatory Text 5 3" xfId="3403" xr:uid="{00000000-0005-0000-0000-000057400000}"/>
    <cellStyle name="Explanatory Text 5 3 2" xfId="29722" xr:uid="{00000000-0005-0000-0000-000058400000}"/>
    <cellStyle name="Explanatory Text 5 4" xfId="29720" xr:uid="{00000000-0005-0000-0000-000059400000}"/>
    <cellStyle name="Explanatory Text 6" xfId="29723" xr:uid="{00000000-0005-0000-0000-00005A400000}"/>
    <cellStyle name="Explanatory Text 6 2" xfId="3404" xr:uid="{00000000-0005-0000-0000-00005B400000}"/>
    <cellStyle name="Explanatory Text 6 2 2" xfId="29724" xr:uid="{00000000-0005-0000-0000-00005C400000}"/>
    <cellStyle name="Explanatory Text 6 3" xfId="3405" xr:uid="{00000000-0005-0000-0000-00005D400000}"/>
    <cellStyle name="Explanatory Text 7" xfId="29725" xr:uid="{00000000-0005-0000-0000-00005E400000}"/>
    <cellStyle name="Explanatory Text 7 2" xfId="3406" xr:uid="{00000000-0005-0000-0000-00005F400000}"/>
    <cellStyle name="Explanatory Text 7 2 2" xfId="29726" xr:uid="{00000000-0005-0000-0000-000060400000}"/>
    <cellStyle name="Explanatory Text 7 3" xfId="3407" xr:uid="{00000000-0005-0000-0000-000061400000}"/>
    <cellStyle name="Explanatory Text 8" xfId="29727" xr:uid="{00000000-0005-0000-0000-000062400000}"/>
    <cellStyle name="Explanatory Text 8 2" xfId="3408" xr:uid="{00000000-0005-0000-0000-000063400000}"/>
    <cellStyle name="Explanatory Text 8 2 2" xfId="29728" xr:uid="{00000000-0005-0000-0000-000064400000}"/>
    <cellStyle name="Explanatory Text 8 3" xfId="3409" xr:uid="{00000000-0005-0000-0000-000065400000}"/>
    <cellStyle name="Explanatory Text 9" xfId="29729" xr:uid="{00000000-0005-0000-0000-000066400000}"/>
    <cellStyle name="Explanatory Text 9 2" xfId="3410" xr:uid="{00000000-0005-0000-0000-000067400000}"/>
    <cellStyle name="Explanatory Text 9 2 2" xfId="29730" xr:uid="{00000000-0005-0000-0000-000068400000}"/>
    <cellStyle name="Explanatory Text 9 3" xfId="3411" xr:uid="{00000000-0005-0000-0000-000069400000}"/>
    <cellStyle name="ey" xfId="29731" xr:uid="{00000000-0005-0000-0000-00006A400000}"/>
    <cellStyle name="ey 2" xfId="29732" xr:uid="{00000000-0005-0000-0000-00006B400000}"/>
    <cellStyle name="EY House" xfId="29733" xr:uid="{00000000-0005-0000-0000-00006C400000}"/>
    <cellStyle name="f" xfId="29734" xr:uid="{00000000-0005-0000-0000-00006D400000}"/>
    <cellStyle name="f 2" xfId="29735" xr:uid="{00000000-0005-0000-0000-00006E400000}"/>
    <cellStyle name="F2" xfId="29736" xr:uid="{00000000-0005-0000-0000-00006F400000}"/>
    <cellStyle name="F3" xfId="29737" xr:uid="{00000000-0005-0000-0000-000070400000}"/>
    <cellStyle name="F4" xfId="29738" xr:uid="{00000000-0005-0000-0000-000071400000}"/>
    <cellStyle name="F5" xfId="29739" xr:uid="{00000000-0005-0000-0000-000072400000}"/>
    <cellStyle name="F6" xfId="29740" xr:uid="{00000000-0005-0000-0000-000073400000}"/>
    <cellStyle name="F7" xfId="29741" xr:uid="{00000000-0005-0000-0000-000074400000}"/>
    <cellStyle name="F8" xfId="29742" xr:uid="{00000000-0005-0000-0000-000075400000}"/>
    <cellStyle name="Fixed" xfId="36" xr:uid="{00000000-0005-0000-0000-000076400000}"/>
    <cellStyle name="Fixed 0" xfId="29744" xr:uid="{00000000-0005-0000-0000-000077400000}"/>
    <cellStyle name="Fixed 0 2" xfId="29745" xr:uid="{00000000-0005-0000-0000-000078400000}"/>
    <cellStyle name="Fixed 0 2 2" xfId="29746" xr:uid="{00000000-0005-0000-0000-000079400000}"/>
    <cellStyle name="Fixed 0 3" xfId="29747" xr:uid="{00000000-0005-0000-0000-00007A400000}"/>
    <cellStyle name="Fixed 0 3 2" xfId="29748" xr:uid="{00000000-0005-0000-0000-00007B400000}"/>
    <cellStyle name="Fixed 0 3 2 2" xfId="29749" xr:uid="{00000000-0005-0000-0000-00007C400000}"/>
    <cellStyle name="Fixed 0 3 3" xfId="29750" xr:uid="{00000000-0005-0000-0000-00007D400000}"/>
    <cellStyle name="Fixed 0 4" xfId="29751" xr:uid="{00000000-0005-0000-0000-00007E400000}"/>
    <cellStyle name="Fixed 0 4 2" xfId="29752" xr:uid="{00000000-0005-0000-0000-00007F400000}"/>
    <cellStyle name="Fixed 0 4 2 2" xfId="29753" xr:uid="{00000000-0005-0000-0000-000080400000}"/>
    <cellStyle name="Fixed 0 4 3" xfId="29754" xr:uid="{00000000-0005-0000-0000-000081400000}"/>
    <cellStyle name="Fixed 0 5" xfId="29755" xr:uid="{00000000-0005-0000-0000-000082400000}"/>
    <cellStyle name="Fixed 0 5 2" xfId="29756" xr:uid="{00000000-0005-0000-0000-000083400000}"/>
    <cellStyle name="Fixed 0 5 2 2" xfId="29757" xr:uid="{00000000-0005-0000-0000-000084400000}"/>
    <cellStyle name="Fixed 0 5 3" xfId="29758" xr:uid="{00000000-0005-0000-0000-000085400000}"/>
    <cellStyle name="Fixed 0 6" xfId="29759" xr:uid="{00000000-0005-0000-0000-000086400000}"/>
    <cellStyle name="Fixed 0.00_CCR" xfId="29760" xr:uid="{00000000-0005-0000-0000-000087400000}"/>
    <cellStyle name="Fixed 0.0000" xfId="29761" xr:uid="{00000000-0005-0000-0000-000088400000}"/>
    <cellStyle name="Fixed 0.0000 2" xfId="29762" xr:uid="{00000000-0005-0000-0000-000089400000}"/>
    <cellStyle name="Fixed 0.0000 2 2" xfId="29763" xr:uid="{00000000-0005-0000-0000-00008A400000}"/>
    <cellStyle name="Fixed 0.0000 3" xfId="29764" xr:uid="{00000000-0005-0000-0000-00008B400000}"/>
    <cellStyle name="Fixed 0.0000 3 2" xfId="29765" xr:uid="{00000000-0005-0000-0000-00008C400000}"/>
    <cellStyle name="Fixed 0.0000 3 2 2" xfId="29766" xr:uid="{00000000-0005-0000-0000-00008D400000}"/>
    <cellStyle name="Fixed 0.0000 3 3" xfId="29767" xr:uid="{00000000-0005-0000-0000-00008E400000}"/>
    <cellStyle name="Fixed 0.0000 4" xfId="29768" xr:uid="{00000000-0005-0000-0000-00008F400000}"/>
    <cellStyle name="Fixed 0.0000 4 2" xfId="29769" xr:uid="{00000000-0005-0000-0000-000090400000}"/>
    <cellStyle name="Fixed 0.0000 4 2 2" xfId="29770" xr:uid="{00000000-0005-0000-0000-000091400000}"/>
    <cellStyle name="Fixed 0.0000 4 3" xfId="29771" xr:uid="{00000000-0005-0000-0000-000092400000}"/>
    <cellStyle name="Fixed 0.0000 5" xfId="29772" xr:uid="{00000000-0005-0000-0000-000093400000}"/>
    <cellStyle name="Fixed 0.0000 5 2" xfId="29773" xr:uid="{00000000-0005-0000-0000-000094400000}"/>
    <cellStyle name="Fixed 0.0000 5 2 2" xfId="29774" xr:uid="{00000000-0005-0000-0000-000095400000}"/>
    <cellStyle name="Fixed 0.0000 5 3" xfId="29775" xr:uid="{00000000-0005-0000-0000-000096400000}"/>
    <cellStyle name="Fixed 0.0000 6" xfId="29776" xr:uid="{00000000-0005-0000-0000-000097400000}"/>
    <cellStyle name="Fixed 0.00AR" xfId="29777" xr:uid="{00000000-0005-0000-0000-000098400000}"/>
    <cellStyle name="Fixed 0.00AR 2" xfId="29778" xr:uid="{00000000-0005-0000-0000-000099400000}"/>
    <cellStyle name="Fixed 10" xfId="29779" xr:uid="{00000000-0005-0000-0000-00009A400000}"/>
    <cellStyle name="Fixed 10 2" xfId="29780" xr:uid="{00000000-0005-0000-0000-00009B400000}"/>
    <cellStyle name="Fixed 11" xfId="29781" xr:uid="{00000000-0005-0000-0000-00009C400000}"/>
    <cellStyle name="Fixed 11 2" xfId="29782" xr:uid="{00000000-0005-0000-0000-00009D400000}"/>
    <cellStyle name="Fixed 12" xfId="29783" xr:uid="{00000000-0005-0000-0000-00009E400000}"/>
    <cellStyle name="Fixed 12 2" xfId="29784" xr:uid="{00000000-0005-0000-0000-00009F400000}"/>
    <cellStyle name="Fixed 13" xfId="29785" xr:uid="{00000000-0005-0000-0000-0000A0400000}"/>
    <cellStyle name="Fixed 13 2" xfId="29786" xr:uid="{00000000-0005-0000-0000-0000A1400000}"/>
    <cellStyle name="Fixed 14" xfId="29787" xr:uid="{00000000-0005-0000-0000-0000A2400000}"/>
    <cellStyle name="Fixed 14 2" xfId="29788" xr:uid="{00000000-0005-0000-0000-0000A3400000}"/>
    <cellStyle name="Fixed 15" xfId="29789" xr:uid="{00000000-0005-0000-0000-0000A4400000}"/>
    <cellStyle name="Fixed 15 2" xfId="29790" xr:uid="{00000000-0005-0000-0000-0000A5400000}"/>
    <cellStyle name="Fixed 16" xfId="29791" xr:uid="{00000000-0005-0000-0000-0000A6400000}"/>
    <cellStyle name="Fixed 16 2" xfId="29792" xr:uid="{00000000-0005-0000-0000-0000A7400000}"/>
    <cellStyle name="Fixed 17" xfId="29793" xr:uid="{00000000-0005-0000-0000-0000A8400000}"/>
    <cellStyle name="Fixed 17 2" xfId="29794" xr:uid="{00000000-0005-0000-0000-0000A9400000}"/>
    <cellStyle name="Fixed 18" xfId="29795" xr:uid="{00000000-0005-0000-0000-0000AA400000}"/>
    <cellStyle name="Fixed 18 2" xfId="29796" xr:uid="{00000000-0005-0000-0000-0000AB400000}"/>
    <cellStyle name="Fixed 19" xfId="29797" xr:uid="{00000000-0005-0000-0000-0000AC400000}"/>
    <cellStyle name="Fixed 19 2" xfId="29798" xr:uid="{00000000-0005-0000-0000-0000AD400000}"/>
    <cellStyle name="Fixed 2" xfId="3412" xr:uid="{00000000-0005-0000-0000-0000AE400000}"/>
    <cellStyle name="Fixed 2 2" xfId="9323" xr:uid="{00000000-0005-0000-0000-0000AF400000}"/>
    <cellStyle name="Fixed 2 2 2" xfId="29800" xr:uid="{00000000-0005-0000-0000-0000B0400000}"/>
    <cellStyle name="Fixed 2 2 3" xfId="29799" xr:uid="{00000000-0005-0000-0000-0000B1400000}"/>
    <cellStyle name="Fixed 2 3" xfId="29801" xr:uid="{00000000-0005-0000-0000-0000B2400000}"/>
    <cellStyle name="Fixed 2 4" xfId="29802" xr:uid="{00000000-0005-0000-0000-0000B3400000}"/>
    <cellStyle name="Fixed 20" xfId="29803" xr:uid="{00000000-0005-0000-0000-0000B4400000}"/>
    <cellStyle name="Fixed 20 2" xfId="29804" xr:uid="{00000000-0005-0000-0000-0000B5400000}"/>
    <cellStyle name="Fixed 21" xfId="29805" xr:uid="{00000000-0005-0000-0000-0000B6400000}"/>
    <cellStyle name="Fixed 21 2" xfId="29806" xr:uid="{00000000-0005-0000-0000-0000B7400000}"/>
    <cellStyle name="Fixed 22" xfId="29807" xr:uid="{00000000-0005-0000-0000-0000B8400000}"/>
    <cellStyle name="Fixed 22 2" xfId="29808" xr:uid="{00000000-0005-0000-0000-0000B9400000}"/>
    <cellStyle name="Fixed 23" xfId="29809" xr:uid="{00000000-0005-0000-0000-0000BA400000}"/>
    <cellStyle name="Fixed 23 2" xfId="29810" xr:uid="{00000000-0005-0000-0000-0000BB400000}"/>
    <cellStyle name="Fixed 24" xfId="29811" xr:uid="{00000000-0005-0000-0000-0000BC400000}"/>
    <cellStyle name="Fixed 24 2" xfId="29812" xr:uid="{00000000-0005-0000-0000-0000BD400000}"/>
    <cellStyle name="Fixed 25" xfId="29813" xr:uid="{00000000-0005-0000-0000-0000BE400000}"/>
    <cellStyle name="Fixed 25 2" xfId="29814" xr:uid="{00000000-0005-0000-0000-0000BF400000}"/>
    <cellStyle name="Fixed 26" xfId="29815" xr:uid="{00000000-0005-0000-0000-0000C0400000}"/>
    <cellStyle name="Fixed 26 2" xfId="29816" xr:uid="{00000000-0005-0000-0000-0000C1400000}"/>
    <cellStyle name="Fixed 27" xfId="29817" xr:uid="{00000000-0005-0000-0000-0000C2400000}"/>
    <cellStyle name="Fixed 27 2" xfId="29818" xr:uid="{00000000-0005-0000-0000-0000C3400000}"/>
    <cellStyle name="Fixed 28" xfId="29819" xr:uid="{00000000-0005-0000-0000-0000C4400000}"/>
    <cellStyle name="Fixed 28 2" xfId="29820" xr:uid="{00000000-0005-0000-0000-0000C5400000}"/>
    <cellStyle name="Fixed 29" xfId="29821" xr:uid="{00000000-0005-0000-0000-0000C6400000}"/>
    <cellStyle name="Fixed 29 2" xfId="29822" xr:uid="{00000000-0005-0000-0000-0000C7400000}"/>
    <cellStyle name="Fixed 3" xfId="3413" xr:uid="{00000000-0005-0000-0000-0000C8400000}"/>
    <cellStyle name="Fixed 3 2" xfId="3414" xr:uid="{00000000-0005-0000-0000-0000C9400000}"/>
    <cellStyle name="Fixed 3 2 2" xfId="9324" xr:uid="{00000000-0005-0000-0000-0000CA400000}"/>
    <cellStyle name="Fixed 3 2 3" xfId="29824" xr:uid="{00000000-0005-0000-0000-0000CB400000}"/>
    <cellStyle name="Fixed 3 3" xfId="9325" xr:uid="{00000000-0005-0000-0000-0000CC400000}"/>
    <cellStyle name="Fixed 3 3 2" xfId="29825" xr:uid="{00000000-0005-0000-0000-0000CD400000}"/>
    <cellStyle name="Fixed 3 4" xfId="29823" xr:uid="{00000000-0005-0000-0000-0000CE400000}"/>
    <cellStyle name="Fixed 30" xfId="29826" xr:uid="{00000000-0005-0000-0000-0000CF400000}"/>
    <cellStyle name="Fixed 30 2" xfId="29827" xr:uid="{00000000-0005-0000-0000-0000D0400000}"/>
    <cellStyle name="Fixed 30 2 2" xfId="29828" xr:uid="{00000000-0005-0000-0000-0000D1400000}"/>
    <cellStyle name="Fixed 30 3" xfId="29829" xr:uid="{00000000-0005-0000-0000-0000D2400000}"/>
    <cellStyle name="Fixed 31" xfId="29830" xr:uid="{00000000-0005-0000-0000-0000D3400000}"/>
    <cellStyle name="Fixed 31 2" xfId="29831" xr:uid="{00000000-0005-0000-0000-0000D4400000}"/>
    <cellStyle name="Fixed 32" xfId="29832" xr:uid="{00000000-0005-0000-0000-0000D5400000}"/>
    <cellStyle name="Fixed 32 2" xfId="29833" xr:uid="{00000000-0005-0000-0000-0000D6400000}"/>
    <cellStyle name="Fixed 33" xfId="29834" xr:uid="{00000000-0005-0000-0000-0000D7400000}"/>
    <cellStyle name="Fixed 33 2" xfId="29835" xr:uid="{00000000-0005-0000-0000-0000D8400000}"/>
    <cellStyle name="Fixed 33 2 2" xfId="29836" xr:uid="{00000000-0005-0000-0000-0000D9400000}"/>
    <cellStyle name="Fixed 33 3" xfId="29837" xr:uid="{00000000-0005-0000-0000-0000DA400000}"/>
    <cellStyle name="Fixed 33 3 2" xfId="29838" xr:uid="{00000000-0005-0000-0000-0000DB400000}"/>
    <cellStyle name="Fixed 33 4" xfId="29839" xr:uid="{00000000-0005-0000-0000-0000DC400000}"/>
    <cellStyle name="Fixed 34" xfId="29840" xr:uid="{00000000-0005-0000-0000-0000DD400000}"/>
    <cellStyle name="Fixed 34 2" xfId="29841" xr:uid="{00000000-0005-0000-0000-0000DE400000}"/>
    <cellStyle name="Fixed 35" xfId="29842" xr:uid="{00000000-0005-0000-0000-0000DF400000}"/>
    <cellStyle name="Fixed 35 2" xfId="29843" xr:uid="{00000000-0005-0000-0000-0000E0400000}"/>
    <cellStyle name="Fixed 36" xfId="29844" xr:uid="{00000000-0005-0000-0000-0000E1400000}"/>
    <cellStyle name="Fixed 36 2" xfId="29845" xr:uid="{00000000-0005-0000-0000-0000E2400000}"/>
    <cellStyle name="Fixed 37" xfId="29846" xr:uid="{00000000-0005-0000-0000-0000E3400000}"/>
    <cellStyle name="Fixed 37 2" xfId="29847" xr:uid="{00000000-0005-0000-0000-0000E4400000}"/>
    <cellStyle name="Fixed 38" xfId="29848" xr:uid="{00000000-0005-0000-0000-0000E5400000}"/>
    <cellStyle name="Fixed 38 2" xfId="29849" xr:uid="{00000000-0005-0000-0000-0000E6400000}"/>
    <cellStyle name="Fixed 39" xfId="29850" xr:uid="{00000000-0005-0000-0000-0000E7400000}"/>
    <cellStyle name="Fixed 39 2" xfId="29851" xr:uid="{00000000-0005-0000-0000-0000E8400000}"/>
    <cellStyle name="Fixed 4" xfId="9326" xr:uid="{00000000-0005-0000-0000-0000E9400000}"/>
    <cellStyle name="Fixed 4 2" xfId="29853" xr:uid="{00000000-0005-0000-0000-0000EA400000}"/>
    <cellStyle name="Fixed 4 3" xfId="29852" xr:uid="{00000000-0005-0000-0000-0000EB400000}"/>
    <cellStyle name="Fixed 40" xfId="29854" xr:uid="{00000000-0005-0000-0000-0000EC400000}"/>
    <cellStyle name="Fixed 40 2" xfId="29855" xr:uid="{00000000-0005-0000-0000-0000ED400000}"/>
    <cellStyle name="Fixed 41" xfId="29856" xr:uid="{00000000-0005-0000-0000-0000EE400000}"/>
    <cellStyle name="Fixed 41 2" xfId="29857" xr:uid="{00000000-0005-0000-0000-0000EF400000}"/>
    <cellStyle name="Fixed 42" xfId="29858" xr:uid="{00000000-0005-0000-0000-0000F0400000}"/>
    <cellStyle name="Fixed 42 2" xfId="29859" xr:uid="{00000000-0005-0000-0000-0000F1400000}"/>
    <cellStyle name="Fixed 43" xfId="29860" xr:uid="{00000000-0005-0000-0000-0000F2400000}"/>
    <cellStyle name="Fixed 43 2" xfId="29861" xr:uid="{00000000-0005-0000-0000-0000F3400000}"/>
    <cellStyle name="Fixed 44" xfId="29862" xr:uid="{00000000-0005-0000-0000-0000F4400000}"/>
    <cellStyle name="Fixed 44 2" xfId="29863" xr:uid="{00000000-0005-0000-0000-0000F5400000}"/>
    <cellStyle name="Fixed 45" xfId="29864" xr:uid="{00000000-0005-0000-0000-0000F6400000}"/>
    <cellStyle name="Fixed 45 2" xfId="29865" xr:uid="{00000000-0005-0000-0000-0000F7400000}"/>
    <cellStyle name="Fixed 46" xfId="29866" xr:uid="{00000000-0005-0000-0000-0000F8400000}"/>
    <cellStyle name="Fixed 46 2" xfId="29867" xr:uid="{00000000-0005-0000-0000-0000F9400000}"/>
    <cellStyle name="Fixed 47" xfId="29868" xr:uid="{00000000-0005-0000-0000-0000FA400000}"/>
    <cellStyle name="Fixed 47 2" xfId="29869" xr:uid="{00000000-0005-0000-0000-0000FB400000}"/>
    <cellStyle name="Fixed 48" xfId="29870" xr:uid="{00000000-0005-0000-0000-0000FC400000}"/>
    <cellStyle name="Fixed 48 2" xfId="29871" xr:uid="{00000000-0005-0000-0000-0000FD400000}"/>
    <cellStyle name="Fixed 49" xfId="29872" xr:uid="{00000000-0005-0000-0000-0000FE400000}"/>
    <cellStyle name="Fixed 49 2" xfId="29873" xr:uid="{00000000-0005-0000-0000-0000FF400000}"/>
    <cellStyle name="Fixed 5" xfId="29874" xr:uid="{00000000-0005-0000-0000-000000410000}"/>
    <cellStyle name="Fixed 5 2" xfId="29875" xr:uid="{00000000-0005-0000-0000-000001410000}"/>
    <cellStyle name="Fixed 50" xfId="29876" xr:uid="{00000000-0005-0000-0000-000002410000}"/>
    <cellStyle name="Fixed 50 2" xfId="29877" xr:uid="{00000000-0005-0000-0000-000003410000}"/>
    <cellStyle name="Fixed 51" xfId="29878" xr:uid="{00000000-0005-0000-0000-000004410000}"/>
    <cellStyle name="Fixed 51 2" xfId="29879" xr:uid="{00000000-0005-0000-0000-000005410000}"/>
    <cellStyle name="Fixed 52" xfId="29880" xr:uid="{00000000-0005-0000-0000-000006410000}"/>
    <cellStyle name="Fixed 52 2" xfId="29881" xr:uid="{00000000-0005-0000-0000-000007410000}"/>
    <cellStyle name="Fixed 53" xfId="29882" xr:uid="{00000000-0005-0000-0000-000008410000}"/>
    <cellStyle name="Fixed 53 2" xfId="29883" xr:uid="{00000000-0005-0000-0000-000009410000}"/>
    <cellStyle name="Fixed 54" xfId="29884" xr:uid="{00000000-0005-0000-0000-00000A410000}"/>
    <cellStyle name="Fixed 54 2" xfId="29885" xr:uid="{00000000-0005-0000-0000-00000B410000}"/>
    <cellStyle name="Fixed 55" xfId="29886" xr:uid="{00000000-0005-0000-0000-00000C410000}"/>
    <cellStyle name="Fixed 55 2" xfId="29887" xr:uid="{00000000-0005-0000-0000-00000D410000}"/>
    <cellStyle name="Fixed 56" xfId="29888" xr:uid="{00000000-0005-0000-0000-00000E410000}"/>
    <cellStyle name="Fixed 56 2" xfId="29889" xr:uid="{00000000-0005-0000-0000-00000F410000}"/>
    <cellStyle name="Fixed 57" xfId="29890" xr:uid="{00000000-0005-0000-0000-000010410000}"/>
    <cellStyle name="Fixed 57 2" xfId="29891" xr:uid="{00000000-0005-0000-0000-000011410000}"/>
    <cellStyle name="Fixed 58" xfId="29892" xr:uid="{00000000-0005-0000-0000-000012410000}"/>
    <cellStyle name="Fixed 58 2" xfId="29893" xr:uid="{00000000-0005-0000-0000-000013410000}"/>
    <cellStyle name="Fixed 59" xfId="29894" xr:uid="{00000000-0005-0000-0000-000014410000}"/>
    <cellStyle name="Fixed 6" xfId="29895" xr:uid="{00000000-0005-0000-0000-000015410000}"/>
    <cellStyle name="Fixed 6 2" xfId="29896" xr:uid="{00000000-0005-0000-0000-000016410000}"/>
    <cellStyle name="Fixed 60" xfId="29897" xr:uid="{00000000-0005-0000-0000-000017410000}"/>
    <cellStyle name="Fixed 61" xfId="29743" xr:uid="{00000000-0005-0000-0000-000018410000}"/>
    <cellStyle name="Fixed 7" xfId="29898" xr:uid="{00000000-0005-0000-0000-000019410000}"/>
    <cellStyle name="Fixed 7 2" xfId="29899" xr:uid="{00000000-0005-0000-0000-00001A410000}"/>
    <cellStyle name="Fixed 8" xfId="29900" xr:uid="{00000000-0005-0000-0000-00001B410000}"/>
    <cellStyle name="Fixed 8 2" xfId="29901" xr:uid="{00000000-0005-0000-0000-00001C410000}"/>
    <cellStyle name="Fixed 8 2 2" xfId="29902" xr:uid="{00000000-0005-0000-0000-00001D410000}"/>
    <cellStyle name="Fixed 8 3" xfId="29903" xr:uid="{00000000-0005-0000-0000-00001E410000}"/>
    <cellStyle name="Fixed 9" xfId="29904" xr:uid="{00000000-0005-0000-0000-00001F410000}"/>
    <cellStyle name="Fixed 9 2" xfId="29905" xr:uid="{00000000-0005-0000-0000-000020410000}"/>
    <cellStyle name="Fixed_CCR0_" xfId="29906" xr:uid="{00000000-0005-0000-0000-000021410000}"/>
    <cellStyle name="Fixed1 - Style1" xfId="29907" xr:uid="{00000000-0005-0000-0000-000022410000}"/>
    <cellStyle name="Fixed1 - Style1 2" xfId="29908" xr:uid="{00000000-0005-0000-0000-000023410000}"/>
    <cellStyle name="Fixed1 - Style1 3" xfId="29909" xr:uid="{00000000-0005-0000-0000-000024410000}"/>
    <cellStyle name="fred" xfId="3415" xr:uid="{00000000-0005-0000-0000-000025410000}"/>
    <cellStyle name="fred 2" xfId="29910" xr:uid="{00000000-0005-0000-0000-000026410000}"/>
    <cellStyle name="fred 3" xfId="29911" xr:uid="{00000000-0005-0000-0000-000027410000}"/>
    <cellStyle name="Fred%" xfId="3416" xr:uid="{00000000-0005-0000-0000-000028410000}"/>
    <cellStyle name="Fred% 2" xfId="3417" xr:uid="{00000000-0005-0000-0000-000029410000}"/>
    <cellStyle name="Fred% 2 2" xfId="9327" xr:uid="{00000000-0005-0000-0000-00002A410000}"/>
    <cellStyle name="Fred% 2 3" xfId="29912" xr:uid="{00000000-0005-0000-0000-00002B410000}"/>
    <cellStyle name="Fred% 3" xfId="3418" xr:uid="{00000000-0005-0000-0000-00002C410000}"/>
    <cellStyle name="Fred% 3 2" xfId="3419" xr:uid="{00000000-0005-0000-0000-00002D410000}"/>
    <cellStyle name="Fred% 3 2 2" xfId="9328" xr:uid="{00000000-0005-0000-0000-00002E410000}"/>
    <cellStyle name="Fred% 3 3" xfId="9329" xr:uid="{00000000-0005-0000-0000-00002F410000}"/>
    <cellStyle name="Fred% 3 4" xfId="29913" xr:uid="{00000000-0005-0000-0000-000030410000}"/>
    <cellStyle name="Fred% 4" xfId="9330" xr:uid="{00000000-0005-0000-0000-000031410000}"/>
    <cellStyle name="Good" xfId="44328" builtinId="26" customBuiltin="1"/>
    <cellStyle name="Good 10" xfId="29914" xr:uid="{00000000-0005-0000-0000-000033410000}"/>
    <cellStyle name="Good 10 2" xfId="3420" xr:uid="{00000000-0005-0000-0000-000034410000}"/>
    <cellStyle name="Good 10 3" xfId="3421" xr:uid="{00000000-0005-0000-0000-000035410000}"/>
    <cellStyle name="Good 11" xfId="29915" xr:uid="{00000000-0005-0000-0000-000036410000}"/>
    <cellStyle name="Good 11 2" xfId="3422" xr:uid="{00000000-0005-0000-0000-000037410000}"/>
    <cellStyle name="Good 11 3" xfId="3423" xr:uid="{00000000-0005-0000-0000-000038410000}"/>
    <cellStyle name="Good 12" xfId="29916" xr:uid="{00000000-0005-0000-0000-000039410000}"/>
    <cellStyle name="Good 12 2" xfId="3424" xr:uid="{00000000-0005-0000-0000-00003A410000}"/>
    <cellStyle name="Good 12 3" xfId="3425" xr:uid="{00000000-0005-0000-0000-00003B410000}"/>
    <cellStyle name="Good 13 2" xfId="3426" xr:uid="{00000000-0005-0000-0000-00003C410000}"/>
    <cellStyle name="Good 13 3" xfId="3427" xr:uid="{00000000-0005-0000-0000-00003D410000}"/>
    <cellStyle name="Good 14 2" xfId="3428" xr:uid="{00000000-0005-0000-0000-00003E410000}"/>
    <cellStyle name="Good 14 3" xfId="3429" xr:uid="{00000000-0005-0000-0000-00003F410000}"/>
    <cellStyle name="Good 15" xfId="3430" xr:uid="{00000000-0005-0000-0000-000040410000}"/>
    <cellStyle name="Good 15 2" xfId="3431" xr:uid="{00000000-0005-0000-0000-000041410000}"/>
    <cellStyle name="Good 15 3" xfId="3432" xr:uid="{00000000-0005-0000-0000-000042410000}"/>
    <cellStyle name="Good 15 4" xfId="3433" xr:uid="{00000000-0005-0000-0000-000043410000}"/>
    <cellStyle name="Good 15 5" xfId="3434" xr:uid="{00000000-0005-0000-0000-000044410000}"/>
    <cellStyle name="Good 15 6" xfId="3435" xr:uid="{00000000-0005-0000-0000-000045410000}"/>
    <cellStyle name="Good 15 7" xfId="3436" xr:uid="{00000000-0005-0000-0000-000046410000}"/>
    <cellStyle name="Good 16" xfId="3437" xr:uid="{00000000-0005-0000-0000-000047410000}"/>
    <cellStyle name="Good 17" xfId="3438" xr:uid="{00000000-0005-0000-0000-000048410000}"/>
    <cellStyle name="Good 18" xfId="3439" xr:uid="{00000000-0005-0000-0000-000049410000}"/>
    <cellStyle name="Good 19" xfId="3440" xr:uid="{00000000-0005-0000-0000-00004A410000}"/>
    <cellStyle name="Good 2" xfId="3441" xr:uid="{00000000-0005-0000-0000-00004B410000}"/>
    <cellStyle name="Good 2 2" xfId="3442" xr:uid="{00000000-0005-0000-0000-00004C410000}"/>
    <cellStyle name="Good 2 2 2" xfId="29918" xr:uid="{00000000-0005-0000-0000-00004D410000}"/>
    <cellStyle name="Good 2 2 2 2" xfId="29919" xr:uid="{00000000-0005-0000-0000-00004E410000}"/>
    <cellStyle name="Good 2 2 3" xfId="29920" xr:uid="{00000000-0005-0000-0000-00004F410000}"/>
    <cellStyle name="Good 2 2 3 2" xfId="29921" xr:uid="{00000000-0005-0000-0000-000050410000}"/>
    <cellStyle name="Good 2 2 4" xfId="29922" xr:uid="{00000000-0005-0000-0000-000051410000}"/>
    <cellStyle name="Good 2 2 5" xfId="29917" xr:uid="{00000000-0005-0000-0000-000052410000}"/>
    <cellStyle name="Good 2 3" xfId="3443" xr:uid="{00000000-0005-0000-0000-000053410000}"/>
    <cellStyle name="Good 2 3 2" xfId="29924" xr:uid="{00000000-0005-0000-0000-000054410000}"/>
    <cellStyle name="Good 2 3 3" xfId="29923" xr:uid="{00000000-0005-0000-0000-000055410000}"/>
    <cellStyle name="Good 2 4" xfId="29925" xr:uid="{00000000-0005-0000-0000-000056410000}"/>
    <cellStyle name="Good 2 4 2" xfId="29926" xr:uid="{00000000-0005-0000-0000-000057410000}"/>
    <cellStyle name="Good 2 5" xfId="29927" xr:uid="{00000000-0005-0000-0000-000058410000}"/>
    <cellStyle name="Good 2 5 2" xfId="29928" xr:uid="{00000000-0005-0000-0000-000059410000}"/>
    <cellStyle name="Good 2 6" xfId="29929" xr:uid="{00000000-0005-0000-0000-00005A410000}"/>
    <cellStyle name="Good 2 7" xfId="29930" xr:uid="{00000000-0005-0000-0000-00005B410000}"/>
    <cellStyle name="Good 20" xfId="3444" xr:uid="{00000000-0005-0000-0000-00005C410000}"/>
    <cellStyle name="Good 21" xfId="3445" xr:uid="{00000000-0005-0000-0000-00005D410000}"/>
    <cellStyle name="Good 22" xfId="3446" xr:uid="{00000000-0005-0000-0000-00005E410000}"/>
    <cellStyle name="Good 3" xfId="3447" xr:uid="{00000000-0005-0000-0000-00005F410000}"/>
    <cellStyle name="Good 3 2" xfId="3448" xr:uid="{00000000-0005-0000-0000-000060410000}"/>
    <cellStyle name="Good 3 2 2" xfId="29933" xr:uid="{00000000-0005-0000-0000-000061410000}"/>
    <cellStyle name="Good 3 2 2 2" xfId="29934" xr:uid="{00000000-0005-0000-0000-000062410000}"/>
    <cellStyle name="Good 3 2 3" xfId="29935" xr:uid="{00000000-0005-0000-0000-000063410000}"/>
    <cellStyle name="Good 3 2 4" xfId="29932" xr:uid="{00000000-0005-0000-0000-000064410000}"/>
    <cellStyle name="Good 3 3" xfId="3449" xr:uid="{00000000-0005-0000-0000-000065410000}"/>
    <cellStyle name="Good 3 3 2" xfId="29936" xr:uid="{00000000-0005-0000-0000-000066410000}"/>
    <cellStyle name="Good 3 4" xfId="29937" xr:uid="{00000000-0005-0000-0000-000067410000}"/>
    <cellStyle name="Good 3 5" xfId="29931" xr:uid="{00000000-0005-0000-0000-000068410000}"/>
    <cellStyle name="Good 4" xfId="3450" xr:uid="{00000000-0005-0000-0000-000069410000}"/>
    <cellStyle name="Good 4 2" xfId="3451" xr:uid="{00000000-0005-0000-0000-00006A410000}"/>
    <cellStyle name="Good 4 2 2" xfId="29940" xr:uid="{00000000-0005-0000-0000-00006B410000}"/>
    <cellStyle name="Good 4 2 2 2" xfId="29941" xr:uid="{00000000-0005-0000-0000-00006C410000}"/>
    <cellStyle name="Good 4 2 3" xfId="29942" xr:uid="{00000000-0005-0000-0000-00006D410000}"/>
    <cellStyle name="Good 4 2 4" xfId="29939" xr:uid="{00000000-0005-0000-0000-00006E410000}"/>
    <cellStyle name="Good 4 3" xfId="3452" xr:uid="{00000000-0005-0000-0000-00006F410000}"/>
    <cellStyle name="Good 4 3 2" xfId="29943" xr:uid="{00000000-0005-0000-0000-000070410000}"/>
    <cellStyle name="Good 4 4" xfId="29944" xr:uid="{00000000-0005-0000-0000-000071410000}"/>
    <cellStyle name="Good 4 5" xfId="29938" xr:uid="{00000000-0005-0000-0000-000072410000}"/>
    <cellStyle name="Good 5" xfId="3453" xr:uid="{00000000-0005-0000-0000-000073410000}"/>
    <cellStyle name="Good 5 2" xfId="3454" xr:uid="{00000000-0005-0000-0000-000074410000}"/>
    <cellStyle name="Good 5 2 2" xfId="29946" xr:uid="{00000000-0005-0000-0000-000075410000}"/>
    <cellStyle name="Good 5 3" xfId="3455" xr:uid="{00000000-0005-0000-0000-000076410000}"/>
    <cellStyle name="Good 5 3 2" xfId="29947" xr:uid="{00000000-0005-0000-0000-000077410000}"/>
    <cellStyle name="Good 5 4" xfId="29945" xr:uid="{00000000-0005-0000-0000-000078410000}"/>
    <cellStyle name="Good 6" xfId="29948" xr:uid="{00000000-0005-0000-0000-000079410000}"/>
    <cellStyle name="Good 6 2" xfId="3456" xr:uid="{00000000-0005-0000-0000-00007A410000}"/>
    <cellStyle name="Good 6 2 2" xfId="29949" xr:uid="{00000000-0005-0000-0000-00007B410000}"/>
    <cellStyle name="Good 6 3" xfId="3457" xr:uid="{00000000-0005-0000-0000-00007C410000}"/>
    <cellStyle name="Good 7" xfId="29950" xr:uid="{00000000-0005-0000-0000-00007D410000}"/>
    <cellStyle name="Good 7 2" xfId="3458" xr:uid="{00000000-0005-0000-0000-00007E410000}"/>
    <cellStyle name="Good 7 2 2" xfId="29951" xr:uid="{00000000-0005-0000-0000-00007F410000}"/>
    <cellStyle name="Good 7 3" xfId="3459" xr:uid="{00000000-0005-0000-0000-000080410000}"/>
    <cellStyle name="Good 8" xfId="29952" xr:uid="{00000000-0005-0000-0000-000081410000}"/>
    <cellStyle name="Good 8 2" xfId="3460" xr:uid="{00000000-0005-0000-0000-000082410000}"/>
    <cellStyle name="Good 8 2 2" xfId="29953" xr:uid="{00000000-0005-0000-0000-000083410000}"/>
    <cellStyle name="Good 8 3" xfId="3461" xr:uid="{00000000-0005-0000-0000-000084410000}"/>
    <cellStyle name="Good 9" xfId="29954" xr:uid="{00000000-0005-0000-0000-000085410000}"/>
    <cellStyle name="Good 9 2" xfId="3462" xr:uid="{00000000-0005-0000-0000-000086410000}"/>
    <cellStyle name="Good 9 2 2" xfId="29955" xr:uid="{00000000-0005-0000-0000-000087410000}"/>
    <cellStyle name="Good 9 3" xfId="3463" xr:uid="{00000000-0005-0000-0000-000088410000}"/>
    <cellStyle name="Gr" xfId="29956" xr:uid="{00000000-0005-0000-0000-000089410000}"/>
    <cellStyle name="Gr 2" xfId="29957" xr:uid="{00000000-0005-0000-0000-00008A410000}"/>
    <cellStyle name="Green" xfId="29958" xr:uid="{00000000-0005-0000-0000-00008B410000}"/>
    <cellStyle name="Grey" xfId="3464" xr:uid="{00000000-0005-0000-0000-00008C410000}"/>
    <cellStyle name="Grey 2" xfId="3465" xr:uid="{00000000-0005-0000-0000-00008D410000}"/>
    <cellStyle name="Grey 2 2" xfId="29960" xr:uid="{00000000-0005-0000-0000-00008E410000}"/>
    <cellStyle name="Grey 2 2 2" xfId="29961" xr:uid="{00000000-0005-0000-0000-00008F410000}"/>
    <cellStyle name="Grey 2 3" xfId="29962" xr:uid="{00000000-0005-0000-0000-000090410000}"/>
    <cellStyle name="Grey 2 4" xfId="29959" xr:uid="{00000000-0005-0000-0000-000091410000}"/>
    <cellStyle name="Grey 3" xfId="29963" xr:uid="{00000000-0005-0000-0000-000092410000}"/>
    <cellStyle name="Grey 3 2" xfId="29964" xr:uid="{00000000-0005-0000-0000-000093410000}"/>
    <cellStyle name="Grey 3 2 2" xfId="29965" xr:uid="{00000000-0005-0000-0000-000094410000}"/>
    <cellStyle name="Grey 3 3" xfId="29966" xr:uid="{00000000-0005-0000-0000-000095410000}"/>
    <cellStyle name="Grey 4" xfId="29967" xr:uid="{00000000-0005-0000-0000-000096410000}"/>
    <cellStyle name="Grey 4 2" xfId="29968" xr:uid="{00000000-0005-0000-0000-000097410000}"/>
    <cellStyle name="Grey 4 2 2" xfId="29969" xr:uid="{00000000-0005-0000-0000-000098410000}"/>
    <cellStyle name="Grey 4 3" xfId="29970" xr:uid="{00000000-0005-0000-0000-000099410000}"/>
    <cellStyle name="Grey 5" xfId="29971" xr:uid="{00000000-0005-0000-0000-00009A410000}"/>
    <cellStyle name="Grey 5 2" xfId="29972" xr:uid="{00000000-0005-0000-0000-00009B410000}"/>
    <cellStyle name="Grey 6" xfId="29973" xr:uid="{00000000-0005-0000-0000-00009C410000}"/>
    <cellStyle name="Grey 7" xfId="29974" xr:uid="{00000000-0005-0000-0000-00009D410000}"/>
    <cellStyle name="HE" xfId="29975" xr:uid="{00000000-0005-0000-0000-00009E410000}"/>
    <cellStyle name="HE 2" xfId="29976" xr:uid="{00000000-0005-0000-0000-00009F410000}"/>
    <cellStyle name="HEADER" xfId="3466" xr:uid="{00000000-0005-0000-0000-0000A0410000}"/>
    <cellStyle name="Header (center)" xfId="29977" xr:uid="{00000000-0005-0000-0000-0000A1410000}"/>
    <cellStyle name="Header (center) 2" xfId="29978" xr:uid="{00000000-0005-0000-0000-0000A2410000}"/>
    <cellStyle name="Header (left)" xfId="29979" xr:uid="{00000000-0005-0000-0000-0000A3410000}"/>
    <cellStyle name="Header (left) 2" xfId="29980" xr:uid="{00000000-0005-0000-0000-0000A4410000}"/>
    <cellStyle name="Header (right)" xfId="29981" xr:uid="{00000000-0005-0000-0000-0000A5410000}"/>
    <cellStyle name="Header (right) 2" xfId="29982" xr:uid="{00000000-0005-0000-0000-0000A6410000}"/>
    <cellStyle name="Header 10" xfId="29983" xr:uid="{00000000-0005-0000-0000-0000A7410000}"/>
    <cellStyle name="Header 10 2" xfId="29984" xr:uid="{00000000-0005-0000-0000-0000A8410000}"/>
    <cellStyle name="Header 11" xfId="29985" xr:uid="{00000000-0005-0000-0000-0000A9410000}"/>
    <cellStyle name="Header 11 2" xfId="29986" xr:uid="{00000000-0005-0000-0000-0000AA410000}"/>
    <cellStyle name="Header 12" xfId="29987" xr:uid="{00000000-0005-0000-0000-0000AB410000}"/>
    <cellStyle name="Header 12 2" xfId="29988" xr:uid="{00000000-0005-0000-0000-0000AC410000}"/>
    <cellStyle name="HEADER 13" xfId="29989" xr:uid="{00000000-0005-0000-0000-0000AD410000}"/>
    <cellStyle name="HEADER 13 2" xfId="29990" xr:uid="{00000000-0005-0000-0000-0000AE410000}"/>
    <cellStyle name="HEADER 14" xfId="29991" xr:uid="{00000000-0005-0000-0000-0000AF410000}"/>
    <cellStyle name="HEADER 14 2" xfId="29992" xr:uid="{00000000-0005-0000-0000-0000B0410000}"/>
    <cellStyle name="HEADER 15" xfId="29993" xr:uid="{00000000-0005-0000-0000-0000B1410000}"/>
    <cellStyle name="HEADER 15 2" xfId="29994" xr:uid="{00000000-0005-0000-0000-0000B2410000}"/>
    <cellStyle name="Header 16" xfId="29995" xr:uid="{00000000-0005-0000-0000-0000B3410000}"/>
    <cellStyle name="Header 16 2" xfId="29996" xr:uid="{00000000-0005-0000-0000-0000B4410000}"/>
    <cellStyle name="HEADER 17" xfId="29997" xr:uid="{00000000-0005-0000-0000-0000B5410000}"/>
    <cellStyle name="HEADER 18" xfId="29998" xr:uid="{00000000-0005-0000-0000-0000B6410000}"/>
    <cellStyle name="HEADER 19" xfId="29999" xr:uid="{00000000-0005-0000-0000-0000B7410000}"/>
    <cellStyle name="HEADER 2" xfId="30000" xr:uid="{00000000-0005-0000-0000-0000B8410000}"/>
    <cellStyle name="HEADER 2 2" xfId="30001" xr:uid="{00000000-0005-0000-0000-0000B9410000}"/>
    <cellStyle name="HEADER 2 2 2" xfId="30002" xr:uid="{00000000-0005-0000-0000-0000BA410000}"/>
    <cellStyle name="HEADER 2 3" xfId="30003" xr:uid="{00000000-0005-0000-0000-0000BB410000}"/>
    <cellStyle name="HEADER 2 3 2" xfId="30004" xr:uid="{00000000-0005-0000-0000-0000BC410000}"/>
    <cellStyle name="HEADER 2 4" xfId="30005" xr:uid="{00000000-0005-0000-0000-0000BD410000}"/>
    <cellStyle name="HEADER 2 4 2" xfId="30006" xr:uid="{00000000-0005-0000-0000-0000BE410000}"/>
    <cellStyle name="Header 2 5" xfId="30007" xr:uid="{00000000-0005-0000-0000-0000BF410000}"/>
    <cellStyle name="Header 2 5 2" xfId="30008" xr:uid="{00000000-0005-0000-0000-0000C0410000}"/>
    <cellStyle name="Header 2 6" xfId="30009" xr:uid="{00000000-0005-0000-0000-0000C1410000}"/>
    <cellStyle name="Header 2 6 2" xfId="30010" xr:uid="{00000000-0005-0000-0000-0000C2410000}"/>
    <cellStyle name="HEADER 2 7" xfId="30011" xr:uid="{00000000-0005-0000-0000-0000C3410000}"/>
    <cellStyle name="HEADER 20" xfId="30012" xr:uid="{00000000-0005-0000-0000-0000C4410000}"/>
    <cellStyle name="Header 3" xfId="30013" xr:uid="{00000000-0005-0000-0000-0000C5410000}"/>
    <cellStyle name="Header 3 2" xfId="30014" xr:uid="{00000000-0005-0000-0000-0000C6410000}"/>
    <cellStyle name="Header 4" xfId="30015" xr:uid="{00000000-0005-0000-0000-0000C7410000}"/>
    <cellStyle name="Header 4 2" xfId="30016" xr:uid="{00000000-0005-0000-0000-0000C8410000}"/>
    <cellStyle name="HEADER 5" xfId="30017" xr:uid="{00000000-0005-0000-0000-0000C9410000}"/>
    <cellStyle name="HEADER 5 2" xfId="30018" xr:uid="{00000000-0005-0000-0000-0000CA410000}"/>
    <cellStyle name="HEADER 6" xfId="30019" xr:uid="{00000000-0005-0000-0000-0000CB410000}"/>
    <cellStyle name="HEADER 6 2" xfId="30020" xr:uid="{00000000-0005-0000-0000-0000CC410000}"/>
    <cellStyle name="HEADER 7" xfId="30021" xr:uid="{00000000-0005-0000-0000-0000CD410000}"/>
    <cellStyle name="HEADER 7 2" xfId="30022" xr:uid="{00000000-0005-0000-0000-0000CE410000}"/>
    <cellStyle name="HEADER 8" xfId="30023" xr:uid="{00000000-0005-0000-0000-0000CF410000}"/>
    <cellStyle name="HEADER 8 2" xfId="30024" xr:uid="{00000000-0005-0000-0000-0000D0410000}"/>
    <cellStyle name="HEADER 9" xfId="30025" xr:uid="{00000000-0005-0000-0000-0000D1410000}"/>
    <cellStyle name="HEADER 9 2" xfId="30026" xr:uid="{00000000-0005-0000-0000-0000D2410000}"/>
    <cellStyle name="Header_2006 BBP Ops - Cash3" xfId="30027" xr:uid="{00000000-0005-0000-0000-0000D3410000}"/>
    <cellStyle name="Header1" xfId="3467" xr:uid="{00000000-0005-0000-0000-0000D4410000}"/>
    <cellStyle name="header1 10" xfId="30028" xr:uid="{00000000-0005-0000-0000-0000D5410000}"/>
    <cellStyle name="Header1 11" xfId="30029" xr:uid="{00000000-0005-0000-0000-0000D6410000}"/>
    <cellStyle name="Header1 11 2" xfId="30030" xr:uid="{00000000-0005-0000-0000-0000D7410000}"/>
    <cellStyle name="Header1 12" xfId="30031" xr:uid="{00000000-0005-0000-0000-0000D8410000}"/>
    <cellStyle name="Header1 13" xfId="30032" xr:uid="{00000000-0005-0000-0000-0000D9410000}"/>
    <cellStyle name="Header1 14" xfId="30033" xr:uid="{00000000-0005-0000-0000-0000DA410000}"/>
    <cellStyle name="Header1 15" xfId="30034" xr:uid="{00000000-0005-0000-0000-0000DB410000}"/>
    <cellStyle name="Header1 16" xfId="30035" xr:uid="{00000000-0005-0000-0000-0000DC410000}"/>
    <cellStyle name="Header1 17" xfId="30036" xr:uid="{00000000-0005-0000-0000-0000DD410000}"/>
    <cellStyle name="Header1 18" xfId="30037" xr:uid="{00000000-0005-0000-0000-0000DE410000}"/>
    <cellStyle name="Header1 19" xfId="30038" xr:uid="{00000000-0005-0000-0000-0000DF410000}"/>
    <cellStyle name="Header1 2" xfId="30039" xr:uid="{00000000-0005-0000-0000-0000E0410000}"/>
    <cellStyle name="header1 2 2" xfId="30040" xr:uid="{00000000-0005-0000-0000-0000E1410000}"/>
    <cellStyle name="header1 2 2 2" xfId="30041" xr:uid="{00000000-0005-0000-0000-0000E2410000}"/>
    <cellStyle name="Header1 2 3" xfId="30042" xr:uid="{00000000-0005-0000-0000-0000E3410000}"/>
    <cellStyle name="Header1 20" xfId="30043" xr:uid="{00000000-0005-0000-0000-0000E4410000}"/>
    <cellStyle name="Header1 21" xfId="30044" xr:uid="{00000000-0005-0000-0000-0000E5410000}"/>
    <cellStyle name="Header1 22" xfId="30045" xr:uid="{00000000-0005-0000-0000-0000E6410000}"/>
    <cellStyle name="Header1 23" xfId="30046" xr:uid="{00000000-0005-0000-0000-0000E7410000}"/>
    <cellStyle name="Header1 24" xfId="30047" xr:uid="{00000000-0005-0000-0000-0000E8410000}"/>
    <cellStyle name="Header1 25" xfId="30048" xr:uid="{00000000-0005-0000-0000-0000E9410000}"/>
    <cellStyle name="Header1 26" xfId="30049" xr:uid="{00000000-0005-0000-0000-0000EA410000}"/>
    <cellStyle name="Header1 27" xfId="30050" xr:uid="{00000000-0005-0000-0000-0000EB410000}"/>
    <cellStyle name="Header1 28" xfId="30051" xr:uid="{00000000-0005-0000-0000-0000EC410000}"/>
    <cellStyle name="Header1 29" xfId="30052" xr:uid="{00000000-0005-0000-0000-0000ED410000}"/>
    <cellStyle name="Header1 3" xfId="30053" xr:uid="{00000000-0005-0000-0000-0000EE410000}"/>
    <cellStyle name="Header1 3 2" xfId="30054" xr:uid="{00000000-0005-0000-0000-0000EF410000}"/>
    <cellStyle name="header1 4" xfId="30055" xr:uid="{00000000-0005-0000-0000-0000F0410000}"/>
    <cellStyle name="header1 4 2" xfId="30056" xr:uid="{00000000-0005-0000-0000-0000F1410000}"/>
    <cellStyle name="header1 5" xfId="30057" xr:uid="{00000000-0005-0000-0000-0000F2410000}"/>
    <cellStyle name="header1 5 2" xfId="30058" xr:uid="{00000000-0005-0000-0000-0000F3410000}"/>
    <cellStyle name="Header1 6" xfId="30059" xr:uid="{00000000-0005-0000-0000-0000F4410000}"/>
    <cellStyle name="Header1 6 2" xfId="30060" xr:uid="{00000000-0005-0000-0000-0000F5410000}"/>
    <cellStyle name="header1 7" xfId="30061" xr:uid="{00000000-0005-0000-0000-0000F6410000}"/>
    <cellStyle name="header1 7 2" xfId="30062" xr:uid="{00000000-0005-0000-0000-0000F7410000}"/>
    <cellStyle name="header1 8" xfId="30063" xr:uid="{00000000-0005-0000-0000-0000F8410000}"/>
    <cellStyle name="header1 8 2" xfId="30064" xr:uid="{00000000-0005-0000-0000-0000F9410000}"/>
    <cellStyle name="header1 9" xfId="30065" xr:uid="{00000000-0005-0000-0000-0000FA410000}"/>
    <cellStyle name="header1 9 2" xfId="30066" xr:uid="{00000000-0005-0000-0000-0000FB410000}"/>
    <cellStyle name="Header2" xfId="3468" xr:uid="{00000000-0005-0000-0000-0000FC410000}"/>
    <cellStyle name="header2 10" xfId="30067" xr:uid="{00000000-0005-0000-0000-0000FD410000}"/>
    <cellStyle name="Header2 11" xfId="30068" xr:uid="{00000000-0005-0000-0000-0000FE410000}"/>
    <cellStyle name="Header2 2" xfId="9331" xr:uid="{00000000-0005-0000-0000-0000FF410000}"/>
    <cellStyle name="header2 2 2" xfId="30070" xr:uid="{00000000-0005-0000-0000-000000420000}"/>
    <cellStyle name="header2 2 2 2" xfId="30071" xr:uid="{00000000-0005-0000-0000-000001420000}"/>
    <cellStyle name="Header2 2 3" xfId="30072" xr:uid="{00000000-0005-0000-0000-000002420000}"/>
    <cellStyle name="Header2 2 4" xfId="30069" xr:uid="{00000000-0005-0000-0000-000003420000}"/>
    <cellStyle name="Header2 3" xfId="9332" xr:uid="{00000000-0005-0000-0000-000004420000}"/>
    <cellStyle name="Header2 3 2" xfId="30074" xr:uid="{00000000-0005-0000-0000-000005420000}"/>
    <cellStyle name="Header2 3 3" xfId="30073" xr:uid="{00000000-0005-0000-0000-000006420000}"/>
    <cellStyle name="Header2 4" xfId="9333" xr:uid="{00000000-0005-0000-0000-000007420000}"/>
    <cellStyle name="header2 4 2" xfId="30076" xr:uid="{00000000-0005-0000-0000-000008420000}"/>
    <cellStyle name="header2 4 3" xfId="30075" xr:uid="{00000000-0005-0000-0000-000009420000}"/>
    <cellStyle name="Header2 5" xfId="19243" xr:uid="{00000000-0005-0000-0000-00000A420000}"/>
    <cellStyle name="header2 5 2" xfId="30078" xr:uid="{00000000-0005-0000-0000-00000B420000}"/>
    <cellStyle name="header2 5 3" xfId="30077" xr:uid="{00000000-0005-0000-0000-00000C420000}"/>
    <cellStyle name="Header2 6" xfId="30079" xr:uid="{00000000-0005-0000-0000-00000D420000}"/>
    <cellStyle name="Header2 6 2" xfId="30080" xr:uid="{00000000-0005-0000-0000-00000E420000}"/>
    <cellStyle name="header2 7" xfId="30081" xr:uid="{00000000-0005-0000-0000-00000F420000}"/>
    <cellStyle name="header2 7 2" xfId="30082" xr:uid="{00000000-0005-0000-0000-000010420000}"/>
    <cellStyle name="header2 8" xfId="30083" xr:uid="{00000000-0005-0000-0000-000011420000}"/>
    <cellStyle name="header2 8 2" xfId="30084" xr:uid="{00000000-0005-0000-0000-000012420000}"/>
    <cellStyle name="header2 9" xfId="30085" xr:uid="{00000000-0005-0000-0000-000013420000}"/>
    <cellStyle name="header2 9 2" xfId="30086" xr:uid="{00000000-0005-0000-0000-000014420000}"/>
    <cellStyle name="header3" xfId="30087" xr:uid="{00000000-0005-0000-0000-000015420000}"/>
    <cellStyle name="header3 2" xfId="30088" xr:uid="{00000000-0005-0000-0000-000016420000}"/>
    <cellStyle name="HEADING" xfId="30089" xr:uid="{00000000-0005-0000-0000-000017420000}"/>
    <cellStyle name="Heading 1" xfId="44324" builtinId="16" customBuiltin="1"/>
    <cellStyle name="Heading 1 10" xfId="30090" xr:uid="{00000000-0005-0000-0000-000019420000}"/>
    <cellStyle name="Heading 1 10 2" xfId="3469" xr:uid="{00000000-0005-0000-0000-00001A420000}"/>
    <cellStyle name="Heading 1 10 3" xfId="3470" xr:uid="{00000000-0005-0000-0000-00001B420000}"/>
    <cellStyle name="Heading 1 11" xfId="30091" xr:uid="{00000000-0005-0000-0000-00001C420000}"/>
    <cellStyle name="Heading 1 11 2" xfId="3471" xr:uid="{00000000-0005-0000-0000-00001D420000}"/>
    <cellStyle name="Heading 1 11 3" xfId="3472" xr:uid="{00000000-0005-0000-0000-00001E420000}"/>
    <cellStyle name="Heading 1 12" xfId="30092" xr:uid="{00000000-0005-0000-0000-00001F420000}"/>
    <cellStyle name="Heading 1 12 2" xfId="3473" xr:uid="{00000000-0005-0000-0000-000020420000}"/>
    <cellStyle name="Heading 1 12 3" xfId="3474" xr:uid="{00000000-0005-0000-0000-000021420000}"/>
    <cellStyle name="Heading 1 13 2" xfId="3475" xr:uid="{00000000-0005-0000-0000-000022420000}"/>
    <cellStyle name="Heading 1 13 3" xfId="3476" xr:uid="{00000000-0005-0000-0000-000023420000}"/>
    <cellStyle name="Heading 1 14 2" xfId="3477" xr:uid="{00000000-0005-0000-0000-000024420000}"/>
    <cellStyle name="Heading 1 14 3" xfId="3478" xr:uid="{00000000-0005-0000-0000-000025420000}"/>
    <cellStyle name="Heading 1 15" xfId="3479" xr:uid="{00000000-0005-0000-0000-000026420000}"/>
    <cellStyle name="Heading 1 15 2" xfId="3480" xr:uid="{00000000-0005-0000-0000-000027420000}"/>
    <cellStyle name="Heading 1 15 3" xfId="3481" xr:uid="{00000000-0005-0000-0000-000028420000}"/>
    <cellStyle name="Heading 1 15 4" xfId="3482" xr:uid="{00000000-0005-0000-0000-000029420000}"/>
    <cellStyle name="Heading 1 15 5" xfId="3483" xr:uid="{00000000-0005-0000-0000-00002A420000}"/>
    <cellStyle name="Heading 1 15 6" xfId="3484" xr:uid="{00000000-0005-0000-0000-00002B420000}"/>
    <cellStyle name="Heading 1 15 7" xfId="3485" xr:uid="{00000000-0005-0000-0000-00002C420000}"/>
    <cellStyle name="Heading 1 16" xfId="3486" xr:uid="{00000000-0005-0000-0000-00002D420000}"/>
    <cellStyle name="Heading 1 17" xfId="3487" xr:uid="{00000000-0005-0000-0000-00002E420000}"/>
    <cellStyle name="Heading 1 18" xfId="3488" xr:uid="{00000000-0005-0000-0000-00002F420000}"/>
    <cellStyle name="Heading 1 19" xfId="3489" xr:uid="{00000000-0005-0000-0000-000030420000}"/>
    <cellStyle name="Heading 1 2" xfId="3490" xr:uid="{00000000-0005-0000-0000-000031420000}"/>
    <cellStyle name="Heading 1 2 2" xfId="3491" xr:uid="{00000000-0005-0000-0000-000032420000}"/>
    <cellStyle name="Heading 1 2 2 2" xfId="30094" xr:uid="{00000000-0005-0000-0000-000033420000}"/>
    <cellStyle name="Heading 1 2 2 2 2" xfId="30095" xr:uid="{00000000-0005-0000-0000-000034420000}"/>
    <cellStyle name="Heading 1 2 2 3" xfId="30096" xr:uid="{00000000-0005-0000-0000-000035420000}"/>
    <cellStyle name="Heading 1 2 2 3 2" xfId="30097" xr:uid="{00000000-0005-0000-0000-000036420000}"/>
    <cellStyle name="Heading 1 2 2 4" xfId="30098" xr:uid="{00000000-0005-0000-0000-000037420000}"/>
    <cellStyle name="Heading 1 2 2 5" xfId="30093" xr:uid="{00000000-0005-0000-0000-000038420000}"/>
    <cellStyle name="Heading 1 2 3" xfId="3492" xr:uid="{00000000-0005-0000-0000-000039420000}"/>
    <cellStyle name="Heading 1 2 3 2" xfId="30100" xr:uid="{00000000-0005-0000-0000-00003A420000}"/>
    <cellStyle name="Heading 1 2 3 2 2" xfId="30101" xr:uid="{00000000-0005-0000-0000-00003B420000}"/>
    <cellStyle name="Heading 1 2 3 3" xfId="30102" xr:uid="{00000000-0005-0000-0000-00003C420000}"/>
    <cellStyle name="Heading 1 2 3 4" xfId="30099" xr:uid="{00000000-0005-0000-0000-00003D420000}"/>
    <cellStyle name="Heading 1 2 4" xfId="3493" xr:uid="{00000000-0005-0000-0000-00003E420000}"/>
    <cellStyle name="Heading 1 2 4 2" xfId="30104" xr:uid="{00000000-0005-0000-0000-00003F420000}"/>
    <cellStyle name="Heading 1 2 4 2 2" xfId="30105" xr:uid="{00000000-0005-0000-0000-000040420000}"/>
    <cellStyle name="Heading 1 2 4 3" xfId="30106" xr:uid="{00000000-0005-0000-0000-000041420000}"/>
    <cellStyle name="Heading 1 2 4 4" xfId="30103" xr:uid="{00000000-0005-0000-0000-000042420000}"/>
    <cellStyle name="Heading 1 2 5" xfId="9334" xr:uid="{00000000-0005-0000-0000-000043420000}"/>
    <cellStyle name="Heading 1 2 5 2" xfId="30108" xr:uid="{00000000-0005-0000-0000-000044420000}"/>
    <cellStyle name="Heading 1 2 5 3" xfId="30107" xr:uid="{00000000-0005-0000-0000-000045420000}"/>
    <cellStyle name="Heading 1 2 6" xfId="30109" xr:uid="{00000000-0005-0000-0000-000046420000}"/>
    <cellStyle name="Heading 1 2 6 2" xfId="30110" xr:uid="{00000000-0005-0000-0000-000047420000}"/>
    <cellStyle name="Heading 1 2 7" xfId="30111" xr:uid="{00000000-0005-0000-0000-000048420000}"/>
    <cellStyle name="Heading 1 2 7 2" xfId="30112" xr:uid="{00000000-0005-0000-0000-000049420000}"/>
    <cellStyle name="Heading 1 2 8" xfId="30113" xr:uid="{00000000-0005-0000-0000-00004A420000}"/>
    <cellStyle name="Heading 1 2 9" xfId="30114" xr:uid="{00000000-0005-0000-0000-00004B420000}"/>
    <cellStyle name="Heading 1 20" xfId="3494" xr:uid="{00000000-0005-0000-0000-00004C420000}"/>
    <cellStyle name="Heading 1 21" xfId="3495" xr:uid="{00000000-0005-0000-0000-00004D420000}"/>
    <cellStyle name="Heading 1 22" xfId="3496" xr:uid="{00000000-0005-0000-0000-00004E420000}"/>
    <cellStyle name="Heading 1 3" xfId="3497" xr:uid="{00000000-0005-0000-0000-00004F420000}"/>
    <cellStyle name="Heading 1 3 2" xfId="3498" xr:uid="{00000000-0005-0000-0000-000050420000}"/>
    <cellStyle name="Heading 1 3 2 2" xfId="30117" xr:uid="{00000000-0005-0000-0000-000051420000}"/>
    <cellStyle name="Heading 1 3 2 2 2" xfId="30118" xr:uid="{00000000-0005-0000-0000-000052420000}"/>
    <cellStyle name="Heading 1 3 2 3" xfId="30119" xr:uid="{00000000-0005-0000-0000-000053420000}"/>
    <cellStyle name="Heading 1 3 2 4" xfId="30116" xr:uid="{00000000-0005-0000-0000-000054420000}"/>
    <cellStyle name="Heading 1 3 3" xfId="3499" xr:uid="{00000000-0005-0000-0000-000055420000}"/>
    <cellStyle name="Heading 1 3 3 2" xfId="30121" xr:uid="{00000000-0005-0000-0000-000056420000}"/>
    <cellStyle name="Heading 1 3 3 3" xfId="30120" xr:uid="{00000000-0005-0000-0000-000057420000}"/>
    <cellStyle name="Heading 1 3 4" xfId="30122" xr:uid="{00000000-0005-0000-0000-000058420000}"/>
    <cellStyle name="Heading 1 3 5" xfId="30123" xr:uid="{00000000-0005-0000-0000-000059420000}"/>
    <cellStyle name="Heading 1 3 6" xfId="30115" xr:uid="{00000000-0005-0000-0000-00005A420000}"/>
    <cellStyle name="Heading 1 4" xfId="3500" xr:uid="{00000000-0005-0000-0000-00005B420000}"/>
    <cellStyle name="Heading 1 4 2" xfId="3501" xr:uid="{00000000-0005-0000-0000-00005C420000}"/>
    <cellStyle name="Heading 1 4 2 2" xfId="30126" xr:uid="{00000000-0005-0000-0000-00005D420000}"/>
    <cellStyle name="Heading 1 4 2 2 2" xfId="30127" xr:uid="{00000000-0005-0000-0000-00005E420000}"/>
    <cellStyle name="Heading 1 4 2 3" xfId="30128" xr:uid="{00000000-0005-0000-0000-00005F420000}"/>
    <cellStyle name="Heading 1 4 2 4" xfId="30125" xr:uid="{00000000-0005-0000-0000-000060420000}"/>
    <cellStyle name="Heading 1 4 3" xfId="3502" xr:uid="{00000000-0005-0000-0000-000061420000}"/>
    <cellStyle name="Heading 1 4 3 2" xfId="30130" xr:uid="{00000000-0005-0000-0000-000062420000}"/>
    <cellStyle name="Heading 1 4 3 3" xfId="30129" xr:uid="{00000000-0005-0000-0000-000063420000}"/>
    <cellStyle name="Heading 1 4 4" xfId="30131" xr:uid="{00000000-0005-0000-0000-000064420000}"/>
    <cellStyle name="Heading 1 4 5" xfId="30132" xr:uid="{00000000-0005-0000-0000-000065420000}"/>
    <cellStyle name="Heading 1 4 6" xfId="30124" xr:uid="{00000000-0005-0000-0000-000066420000}"/>
    <cellStyle name="Heading 1 5" xfId="3503" xr:uid="{00000000-0005-0000-0000-000067420000}"/>
    <cellStyle name="Heading 1 5 2" xfId="3504" xr:uid="{00000000-0005-0000-0000-000068420000}"/>
    <cellStyle name="Heading 1 5 2 2" xfId="30134" xr:uid="{00000000-0005-0000-0000-000069420000}"/>
    <cellStyle name="Heading 1 5 3" xfId="3505" xr:uid="{00000000-0005-0000-0000-00006A420000}"/>
    <cellStyle name="Heading 1 5 3 2" xfId="30135" xr:uid="{00000000-0005-0000-0000-00006B420000}"/>
    <cellStyle name="Heading 1 5 4" xfId="30133" xr:uid="{00000000-0005-0000-0000-00006C420000}"/>
    <cellStyle name="Heading 1 6" xfId="3506" xr:uid="{00000000-0005-0000-0000-00006D420000}"/>
    <cellStyle name="Heading 1 6 2" xfId="3507" xr:uid="{00000000-0005-0000-0000-00006E420000}"/>
    <cellStyle name="Heading 1 6 2 2" xfId="30137" xr:uid="{00000000-0005-0000-0000-00006F420000}"/>
    <cellStyle name="Heading 1 6 3" xfId="3508" xr:uid="{00000000-0005-0000-0000-000070420000}"/>
    <cellStyle name="Heading 1 6 4" xfId="30136" xr:uid="{00000000-0005-0000-0000-000071420000}"/>
    <cellStyle name="Heading 1 7" xfId="3509" xr:uid="{00000000-0005-0000-0000-000072420000}"/>
    <cellStyle name="Heading 1 7 2" xfId="3510" xr:uid="{00000000-0005-0000-0000-000073420000}"/>
    <cellStyle name="Heading 1 7 2 2" xfId="30139" xr:uid="{00000000-0005-0000-0000-000074420000}"/>
    <cellStyle name="Heading 1 7 3" xfId="3511" xr:uid="{00000000-0005-0000-0000-000075420000}"/>
    <cellStyle name="Heading 1 7 4" xfId="30138" xr:uid="{00000000-0005-0000-0000-000076420000}"/>
    <cellStyle name="Heading 1 8" xfId="30140" xr:uid="{00000000-0005-0000-0000-000077420000}"/>
    <cellStyle name="Heading 1 8 2" xfId="3512" xr:uid="{00000000-0005-0000-0000-000078420000}"/>
    <cellStyle name="Heading 1 8 2 2" xfId="30141" xr:uid="{00000000-0005-0000-0000-000079420000}"/>
    <cellStyle name="Heading 1 8 3" xfId="3513" xr:uid="{00000000-0005-0000-0000-00007A420000}"/>
    <cellStyle name="Heading 1 9" xfId="30142" xr:uid="{00000000-0005-0000-0000-00007B420000}"/>
    <cellStyle name="Heading 1 9 2" xfId="3514" xr:uid="{00000000-0005-0000-0000-00007C420000}"/>
    <cellStyle name="Heading 1 9 2 2" xfId="30143" xr:uid="{00000000-0005-0000-0000-00007D420000}"/>
    <cellStyle name="Heading 1 9 3" xfId="3515" xr:uid="{00000000-0005-0000-0000-00007E420000}"/>
    <cellStyle name="Heading 2" xfId="44325" builtinId="17" customBuiltin="1"/>
    <cellStyle name="Heading 2 10" xfId="30144" xr:uid="{00000000-0005-0000-0000-000080420000}"/>
    <cellStyle name="Heading 2 10 2" xfId="3516" xr:uid="{00000000-0005-0000-0000-000081420000}"/>
    <cellStyle name="Heading 2 10 3" xfId="3517" xr:uid="{00000000-0005-0000-0000-000082420000}"/>
    <cellStyle name="Heading 2 11" xfId="30145" xr:uid="{00000000-0005-0000-0000-000083420000}"/>
    <cellStyle name="Heading 2 11 2" xfId="3518" xr:uid="{00000000-0005-0000-0000-000084420000}"/>
    <cellStyle name="Heading 2 11 3" xfId="3519" xr:uid="{00000000-0005-0000-0000-000085420000}"/>
    <cellStyle name="Heading 2 12" xfId="30146" xr:uid="{00000000-0005-0000-0000-000086420000}"/>
    <cellStyle name="Heading 2 12 2" xfId="3520" xr:uid="{00000000-0005-0000-0000-000087420000}"/>
    <cellStyle name="Heading 2 12 3" xfId="3521" xr:uid="{00000000-0005-0000-0000-000088420000}"/>
    <cellStyle name="Heading 2 13 2" xfId="3522" xr:uid="{00000000-0005-0000-0000-000089420000}"/>
    <cellStyle name="Heading 2 13 3" xfId="3523" xr:uid="{00000000-0005-0000-0000-00008A420000}"/>
    <cellStyle name="Heading 2 14 2" xfId="3524" xr:uid="{00000000-0005-0000-0000-00008B420000}"/>
    <cellStyle name="Heading 2 14 3" xfId="3525" xr:uid="{00000000-0005-0000-0000-00008C420000}"/>
    <cellStyle name="Heading 2 15" xfId="3526" xr:uid="{00000000-0005-0000-0000-00008D420000}"/>
    <cellStyle name="Heading 2 15 2" xfId="3527" xr:uid="{00000000-0005-0000-0000-00008E420000}"/>
    <cellStyle name="Heading 2 15 3" xfId="3528" xr:uid="{00000000-0005-0000-0000-00008F420000}"/>
    <cellStyle name="Heading 2 15 4" xfId="3529" xr:uid="{00000000-0005-0000-0000-000090420000}"/>
    <cellStyle name="Heading 2 15 5" xfId="3530" xr:uid="{00000000-0005-0000-0000-000091420000}"/>
    <cellStyle name="Heading 2 15 6" xfId="3531" xr:uid="{00000000-0005-0000-0000-000092420000}"/>
    <cellStyle name="Heading 2 15 7" xfId="3532" xr:uid="{00000000-0005-0000-0000-000093420000}"/>
    <cellStyle name="Heading 2 16" xfId="3533" xr:uid="{00000000-0005-0000-0000-000094420000}"/>
    <cellStyle name="Heading 2 17" xfId="3534" xr:uid="{00000000-0005-0000-0000-000095420000}"/>
    <cellStyle name="Heading 2 18" xfId="3535" xr:uid="{00000000-0005-0000-0000-000096420000}"/>
    <cellStyle name="Heading 2 19" xfId="3536" xr:uid="{00000000-0005-0000-0000-000097420000}"/>
    <cellStyle name="Heading 2 2" xfId="3537" xr:uid="{00000000-0005-0000-0000-000098420000}"/>
    <cellStyle name="Heading 2 2 10" xfId="3538" xr:uid="{00000000-0005-0000-0000-000099420000}"/>
    <cellStyle name="Heading 2 2 11" xfId="3539" xr:uid="{00000000-0005-0000-0000-00009A420000}"/>
    <cellStyle name="Heading 2 2 12" xfId="9335" xr:uid="{00000000-0005-0000-0000-00009B420000}"/>
    <cellStyle name="Heading 2 2 2" xfId="3540" xr:uid="{00000000-0005-0000-0000-00009C420000}"/>
    <cellStyle name="Heading 2 2 2 2" xfId="30148" xr:uid="{00000000-0005-0000-0000-00009D420000}"/>
    <cellStyle name="Heading 2 2 2 2 2" xfId="30149" xr:uid="{00000000-0005-0000-0000-00009E420000}"/>
    <cellStyle name="Heading 2 2 2 3" xfId="30150" xr:uid="{00000000-0005-0000-0000-00009F420000}"/>
    <cellStyle name="Heading 2 2 2 3 2" xfId="30151" xr:uid="{00000000-0005-0000-0000-0000A0420000}"/>
    <cellStyle name="Heading 2 2 2 4" xfId="30152" xr:uid="{00000000-0005-0000-0000-0000A1420000}"/>
    <cellStyle name="Heading 2 2 2 5" xfId="30147" xr:uid="{00000000-0005-0000-0000-0000A2420000}"/>
    <cellStyle name="Heading 2 2 3" xfId="3541" xr:uid="{00000000-0005-0000-0000-0000A3420000}"/>
    <cellStyle name="Heading 2 2 3 2" xfId="30154" xr:uid="{00000000-0005-0000-0000-0000A4420000}"/>
    <cellStyle name="Heading 2 2 3 2 2" xfId="30155" xr:uid="{00000000-0005-0000-0000-0000A5420000}"/>
    <cellStyle name="Heading 2 2 3 3" xfId="30156" xr:uid="{00000000-0005-0000-0000-0000A6420000}"/>
    <cellStyle name="Heading 2 2 3 4" xfId="30153" xr:uid="{00000000-0005-0000-0000-0000A7420000}"/>
    <cellStyle name="Heading 2 2 4" xfId="3542" xr:uid="{00000000-0005-0000-0000-0000A8420000}"/>
    <cellStyle name="Heading 2 2 4 2" xfId="30158" xr:uid="{00000000-0005-0000-0000-0000A9420000}"/>
    <cellStyle name="Heading 2 2 4 2 2" xfId="30159" xr:uid="{00000000-0005-0000-0000-0000AA420000}"/>
    <cellStyle name="Heading 2 2 4 3" xfId="30160" xr:uid="{00000000-0005-0000-0000-0000AB420000}"/>
    <cellStyle name="Heading 2 2 4 4" xfId="30157" xr:uid="{00000000-0005-0000-0000-0000AC420000}"/>
    <cellStyle name="Heading 2 2 5" xfId="3543" xr:uid="{00000000-0005-0000-0000-0000AD420000}"/>
    <cellStyle name="Heading 2 2 5 2" xfId="30162" xr:uid="{00000000-0005-0000-0000-0000AE420000}"/>
    <cellStyle name="Heading 2 2 5 3" xfId="30161" xr:uid="{00000000-0005-0000-0000-0000AF420000}"/>
    <cellStyle name="Heading 2 2 6" xfId="3544" xr:uid="{00000000-0005-0000-0000-0000B0420000}"/>
    <cellStyle name="Heading 2 2 6 2" xfId="30164" xr:uid="{00000000-0005-0000-0000-0000B1420000}"/>
    <cellStyle name="Heading 2 2 6 3" xfId="30163" xr:uid="{00000000-0005-0000-0000-0000B2420000}"/>
    <cellStyle name="Heading 2 2 7" xfId="3545" xr:uid="{00000000-0005-0000-0000-0000B3420000}"/>
    <cellStyle name="Heading 2 2 7 2" xfId="30166" xr:uid="{00000000-0005-0000-0000-0000B4420000}"/>
    <cellStyle name="Heading 2 2 7 3" xfId="30165" xr:uid="{00000000-0005-0000-0000-0000B5420000}"/>
    <cellStyle name="Heading 2 2 8" xfId="3546" xr:uid="{00000000-0005-0000-0000-0000B6420000}"/>
    <cellStyle name="Heading 2 2 8 2" xfId="30167" xr:uid="{00000000-0005-0000-0000-0000B7420000}"/>
    <cellStyle name="Heading 2 2 9" xfId="3547" xr:uid="{00000000-0005-0000-0000-0000B8420000}"/>
    <cellStyle name="Heading 2 2 9 2" xfId="30168" xr:uid="{00000000-0005-0000-0000-0000B9420000}"/>
    <cellStyle name="Heading 2 20" xfId="3548" xr:uid="{00000000-0005-0000-0000-0000BA420000}"/>
    <cellStyle name="Heading 2 21" xfId="3549" xr:uid="{00000000-0005-0000-0000-0000BB420000}"/>
    <cellStyle name="Heading 2 22" xfId="3550" xr:uid="{00000000-0005-0000-0000-0000BC420000}"/>
    <cellStyle name="Heading 2 3" xfId="3551" xr:uid="{00000000-0005-0000-0000-0000BD420000}"/>
    <cellStyle name="Heading 2 3 2" xfId="3552" xr:uid="{00000000-0005-0000-0000-0000BE420000}"/>
    <cellStyle name="Heading 2 3 2 2" xfId="30171" xr:uid="{00000000-0005-0000-0000-0000BF420000}"/>
    <cellStyle name="Heading 2 3 2 2 2" xfId="30172" xr:uid="{00000000-0005-0000-0000-0000C0420000}"/>
    <cellStyle name="Heading 2 3 2 3" xfId="30173" xr:uid="{00000000-0005-0000-0000-0000C1420000}"/>
    <cellStyle name="Heading 2 3 2 4" xfId="30170" xr:uid="{00000000-0005-0000-0000-0000C2420000}"/>
    <cellStyle name="Heading 2 3 3" xfId="3553" xr:uid="{00000000-0005-0000-0000-0000C3420000}"/>
    <cellStyle name="Heading 2 3 3 2" xfId="30175" xr:uid="{00000000-0005-0000-0000-0000C4420000}"/>
    <cellStyle name="Heading 2 3 3 3" xfId="30174" xr:uid="{00000000-0005-0000-0000-0000C5420000}"/>
    <cellStyle name="Heading 2 3 4" xfId="30176" xr:uid="{00000000-0005-0000-0000-0000C6420000}"/>
    <cellStyle name="Heading 2 3 5" xfId="30177" xr:uid="{00000000-0005-0000-0000-0000C7420000}"/>
    <cellStyle name="Heading 2 3 6" xfId="30169" xr:uid="{00000000-0005-0000-0000-0000C8420000}"/>
    <cellStyle name="Heading 2 4" xfId="3554" xr:uid="{00000000-0005-0000-0000-0000C9420000}"/>
    <cellStyle name="Heading 2 4 2" xfId="3555" xr:uid="{00000000-0005-0000-0000-0000CA420000}"/>
    <cellStyle name="Heading 2 4 2 2" xfId="30180" xr:uid="{00000000-0005-0000-0000-0000CB420000}"/>
    <cellStyle name="Heading 2 4 2 2 2" xfId="30181" xr:uid="{00000000-0005-0000-0000-0000CC420000}"/>
    <cellStyle name="Heading 2 4 2 3" xfId="30182" xr:uid="{00000000-0005-0000-0000-0000CD420000}"/>
    <cellStyle name="Heading 2 4 2 4" xfId="30179" xr:uid="{00000000-0005-0000-0000-0000CE420000}"/>
    <cellStyle name="Heading 2 4 3" xfId="3556" xr:uid="{00000000-0005-0000-0000-0000CF420000}"/>
    <cellStyle name="Heading 2 4 3 2" xfId="30184" xr:uid="{00000000-0005-0000-0000-0000D0420000}"/>
    <cellStyle name="Heading 2 4 3 3" xfId="30183" xr:uid="{00000000-0005-0000-0000-0000D1420000}"/>
    <cellStyle name="Heading 2 4 4" xfId="30185" xr:uid="{00000000-0005-0000-0000-0000D2420000}"/>
    <cellStyle name="Heading 2 4 5" xfId="30186" xr:uid="{00000000-0005-0000-0000-0000D3420000}"/>
    <cellStyle name="Heading 2 4 6" xfId="30178" xr:uid="{00000000-0005-0000-0000-0000D4420000}"/>
    <cellStyle name="Heading 2 5" xfId="3557" xr:uid="{00000000-0005-0000-0000-0000D5420000}"/>
    <cellStyle name="Heading 2 5 2" xfId="3558" xr:uid="{00000000-0005-0000-0000-0000D6420000}"/>
    <cellStyle name="Heading 2 5 2 2" xfId="30188" xr:uid="{00000000-0005-0000-0000-0000D7420000}"/>
    <cellStyle name="Heading 2 5 3" xfId="3559" xr:uid="{00000000-0005-0000-0000-0000D8420000}"/>
    <cellStyle name="Heading 2 5 3 2" xfId="30189" xr:uid="{00000000-0005-0000-0000-0000D9420000}"/>
    <cellStyle name="Heading 2 5 4" xfId="30187" xr:uid="{00000000-0005-0000-0000-0000DA420000}"/>
    <cellStyle name="Heading 2 6" xfId="3560" xr:uid="{00000000-0005-0000-0000-0000DB420000}"/>
    <cellStyle name="Heading 2 6 2" xfId="3561" xr:uid="{00000000-0005-0000-0000-0000DC420000}"/>
    <cellStyle name="Heading 2 6 2 2" xfId="30191" xr:uid="{00000000-0005-0000-0000-0000DD420000}"/>
    <cellStyle name="Heading 2 6 3" xfId="3562" xr:uid="{00000000-0005-0000-0000-0000DE420000}"/>
    <cellStyle name="Heading 2 6 4" xfId="30190" xr:uid="{00000000-0005-0000-0000-0000DF420000}"/>
    <cellStyle name="Heading 2 7" xfId="3563" xr:uid="{00000000-0005-0000-0000-0000E0420000}"/>
    <cellStyle name="Heading 2 7 2" xfId="3564" xr:uid="{00000000-0005-0000-0000-0000E1420000}"/>
    <cellStyle name="Heading 2 7 2 2" xfId="30193" xr:uid="{00000000-0005-0000-0000-0000E2420000}"/>
    <cellStyle name="Heading 2 7 3" xfId="3565" xr:uid="{00000000-0005-0000-0000-0000E3420000}"/>
    <cellStyle name="Heading 2 7 4" xfId="30192" xr:uid="{00000000-0005-0000-0000-0000E4420000}"/>
    <cellStyle name="Heading 2 8" xfId="3566" xr:uid="{00000000-0005-0000-0000-0000E5420000}"/>
    <cellStyle name="Heading 2 8 2" xfId="3567" xr:uid="{00000000-0005-0000-0000-0000E6420000}"/>
    <cellStyle name="Heading 2 8 2 2" xfId="30195" xr:uid="{00000000-0005-0000-0000-0000E7420000}"/>
    <cellStyle name="Heading 2 8 3" xfId="3568" xr:uid="{00000000-0005-0000-0000-0000E8420000}"/>
    <cellStyle name="Heading 2 8 4" xfId="30194" xr:uid="{00000000-0005-0000-0000-0000E9420000}"/>
    <cellStyle name="Heading 2 9" xfId="30196" xr:uid="{00000000-0005-0000-0000-0000EA420000}"/>
    <cellStyle name="Heading 2 9 2" xfId="3569" xr:uid="{00000000-0005-0000-0000-0000EB420000}"/>
    <cellStyle name="Heading 2 9 2 2" xfId="30197" xr:uid="{00000000-0005-0000-0000-0000EC420000}"/>
    <cellStyle name="Heading 2 9 3" xfId="3570" xr:uid="{00000000-0005-0000-0000-0000ED420000}"/>
    <cellStyle name="Heading 3" xfId="44326" builtinId="18" customBuiltin="1"/>
    <cellStyle name="Heading 3 10" xfId="30198" xr:uid="{00000000-0005-0000-0000-0000EF420000}"/>
    <cellStyle name="Heading 3 10 2" xfId="3571" xr:uid="{00000000-0005-0000-0000-0000F0420000}"/>
    <cellStyle name="Heading 3 10 3" xfId="3572" xr:uid="{00000000-0005-0000-0000-0000F1420000}"/>
    <cellStyle name="Heading 3 11" xfId="30199" xr:uid="{00000000-0005-0000-0000-0000F2420000}"/>
    <cellStyle name="Heading 3 11 2" xfId="3573" xr:uid="{00000000-0005-0000-0000-0000F3420000}"/>
    <cellStyle name="Heading 3 11 3" xfId="3574" xr:uid="{00000000-0005-0000-0000-0000F4420000}"/>
    <cellStyle name="Heading 3 12" xfId="30200" xr:uid="{00000000-0005-0000-0000-0000F5420000}"/>
    <cellStyle name="Heading 3 12 2" xfId="3575" xr:uid="{00000000-0005-0000-0000-0000F6420000}"/>
    <cellStyle name="Heading 3 12 3" xfId="3576" xr:uid="{00000000-0005-0000-0000-0000F7420000}"/>
    <cellStyle name="Heading 3 13 2" xfId="3577" xr:uid="{00000000-0005-0000-0000-0000F8420000}"/>
    <cellStyle name="Heading 3 13 3" xfId="3578" xr:uid="{00000000-0005-0000-0000-0000F9420000}"/>
    <cellStyle name="Heading 3 14 2" xfId="3579" xr:uid="{00000000-0005-0000-0000-0000FA420000}"/>
    <cellStyle name="Heading 3 14 3" xfId="3580" xr:uid="{00000000-0005-0000-0000-0000FB420000}"/>
    <cellStyle name="Heading 3 15" xfId="3581" xr:uid="{00000000-0005-0000-0000-0000FC420000}"/>
    <cellStyle name="Heading 3 15 2" xfId="3582" xr:uid="{00000000-0005-0000-0000-0000FD420000}"/>
    <cellStyle name="Heading 3 15 3" xfId="3583" xr:uid="{00000000-0005-0000-0000-0000FE420000}"/>
    <cellStyle name="Heading 3 15 4" xfId="3584" xr:uid="{00000000-0005-0000-0000-0000FF420000}"/>
    <cellStyle name="Heading 3 15 5" xfId="3585" xr:uid="{00000000-0005-0000-0000-000000430000}"/>
    <cellStyle name="Heading 3 15 6" xfId="3586" xr:uid="{00000000-0005-0000-0000-000001430000}"/>
    <cellStyle name="Heading 3 15 7" xfId="3587" xr:uid="{00000000-0005-0000-0000-000002430000}"/>
    <cellStyle name="Heading 3 16" xfId="3588" xr:uid="{00000000-0005-0000-0000-000003430000}"/>
    <cellStyle name="Heading 3 17" xfId="3589" xr:uid="{00000000-0005-0000-0000-000004430000}"/>
    <cellStyle name="Heading 3 18" xfId="3590" xr:uid="{00000000-0005-0000-0000-000005430000}"/>
    <cellStyle name="Heading 3 19" xfId="3591" xr:uid="{00000000-0005-0000-0000-000006430000}"/>
    <cellStyle name="Heading 3 2" xfId="3592" xr:uid="{00000000-0005-0000-0000-000007430000}"/>
    <cellStyle name="Heading 3 2 10" xfId="30201" xr:uid="{00000000-0005-0000-0000-000008430000}"/>
    <cellStyle name="Heading 3 2 11" xfId="30202" xr:uid="{00000000-0005-0000-0000-000009430000}"/>
    <cellStyle name="Heading 3 2 12" xfId="30203" xr:uid="{00000000-0005-0000-0000-00000A430000}"/>
    <cellStyle name="Heading 3 2 13" xfId="30204" xr:uid="{00000000-0005-0000-0000-00000B430000}"/>
    <cellStyle name="Heading 3 2 14" xfId="30205" xr:uid="{00000000-0005-0000-0000-00000C430000}"/>
    <cellStyle name="Heading 3 2 15" xfId="30206" xr:uid="{00000000-0005-0000-0000-00000D430000}"/>
    <cellStyle name="Heading 3 2 16" xfId="30207" xr:uid="{00000000-0005-0000-0000-00000E430000}"/>
    <cellStyle name="Heading 3 2 2" xfId="3593" xr:uid="{00000000-0005-0000-0000-00000F430000}"/>
    <cellStyle name="Heading 3 2 2 2" xfId="30209" xr:uid="{00000000-0005-0000-0000-000010430000}"/>
    <cellStyle name="Heading 3 2 2 2 2" xfId="30210" xr:uid="{00000000-0005-0000-0000-000011430000}"/>
    <cellStyle name="Heading 3 2 2 3" xfId="30211" xr:uid="{00000000-0005-0000-0000-000012430000}"/>
    <cellStyle name="Heading 3 2 2 3 2" xfId="30212" xr:uid="{00000000-0005-0000-0000-000013430000}"/>
    <cellStyle name="Heading 3 2 2 4" xfId="30213" xr:uid="{00000000-0005-0000-0000-000014430000}"/>
    <cellStyle name="Heading 3 2 2 5" xfId="30208" xr:uid="{00000000-0005-0000-0000-000015430000}"/>
    <cellStyle name="Heading 3 2 3" xfId="3594" xr:uid="{00000000-0005-0000-0000-000016430000}"/>
    <cellStyle name="Heading 3 2 3 2" xfId="30215" xr:uid="{00000000-0005-0000-0000-000017430000}"/>
    <cellStyle name="Heading 3 2 3 2 2" xfId="30216" xr:uid="{00000000-0005-0000-0000-000018430000}"/>
    <cellStyle name="Heading 3 2 3 3" xfId="30217" xr:uid="{00000000-0005-0000-0000-000019430000}"/>
    <cellStyle name="Heading 3 2 3 4" xfId="30214" xr:uid="{00000000-0005-0000-0000-00001A430000}"/>
    <cellStyle name="Heading 3 2 4" xfId="3595" xr:uid="{00000000-0005-0000-0000-00001B430000}"/>
    <cellStyle name="Heading 3 2 4 2" xfId="30219" xr:uid="{00000000-0005-0000-0000-00001C430000}"/>
    <cellStyle name="Heading 3 2 4 3" xfId="30218" xr:uid="{00000000-0005-0000-0000-00001D430000}"/>
    <cellStyle name="Heading 3 2 5" xfId="9336" xr:uid="{00000000-0005-0000-0000-00001E430000}"/>
    <cellStyle name="Heading 3 2 5 2" xfId="30220" xr:uid="{00000000-0005-0000-0000-00001F430000}"/>
    <cellStyle name="Heading 3 2 6" xfId="30221" xr:uid="{00000000-0005-0000-0000-000020430000}"/>
    <cellStyle name="Heading 3 2 7" xfId="30222" xr:uid="{00000000-0005-0000-0000-000021430000}"/>
    <cellStyle name="Heading 3 2 8" xfId="30223" xr:uid="{00000000-0005-0000-0000-000022430000}"/>
    <cellStyle name="Heading 3 2 9" xfId="30224" xr:uid="{00000000-0005-0000-0000-000023430000}"/>
    <cellStyle name="Heading 3 20" xfId="3596" xr:uid="{00000000-0005-0000-0000-000024430000}"/>
    <cellStyle name="Heading 3 21" xfId="3597" xr:uid="{00000000-0005-0000-0000-000025430000}"/>
    <cellStyle name="Heading 3 22" xfId="3598" xr:uid="{00000000-0005-0000-0000-000026430000}"/>
    <cellStyle name="Heading 3 3" xfId="3599" xr:uid="{00000000-0005-0000-0000-000027430000}"/>
    <cellStyle name="Heading 3 3 2" xfId="3600" xr:uid="{00000000-0005-0000-0000-000028430000}"/>
    <cellStyle name="Heading 3 3 2 2" xfId="30227" xr:uid="{00000000-0005-0000-0000-000029430000}"/>
    <cellStyle name="Heading 3 3 2 2 2" xfId="30228" xr:uid="{00000000-0005-0000-0000-00002A430000}"/>
    <cellStyle name="Heading 3 3 2 3" xfId="30229" xr:uid="{00000000-0005-0000-0000-00002B430000}"/>
    <cellStyle name="Heading 3 3 2 4" xfId="30226" xr:uid="{00000000-0005-0000-0000-00002C430000}"/>
    <cellStyle name="Heading 3 3 3" xfId="3601" xr:uid="{00000000-0005-0000-0000-00002D430000}"/>
    <cellStyle name="Heading 3 3 3 2" xfId="30231" xr:uid="{00000000-0005-0000-0000-00002E430000}"/>
    <cellStyle name="Heading 3 3 3 3" xfId="30230" xr:uid="{00000000-0005-0000-0000-00002F430000}"/>
    <cellStyle name="Heading 3 3 4" xfId="30232" xr:uid="{00000000-0005-0000-0000-000030430000}"/>
    <cellStyle name="Heading 3 3 5" xfId="30233" xr:uid="{00000000-0005-0000-0000-000031430000}"/>
    <cellStyle name="Heading 3 3 6" xfId="30225" xr:uid="{00000000-0005-0000-0000-000032430000}"/>
    <cellStyle name="Heading 3 4" xfId="3602" xr:uid="{00000000-0005-0000-0000-000033430000}"/>
    <cellStyle name="Heading 3 4 2" xfId="3603" xr:uid="{00000000-0005-0000-0000-000034430000}"/>
    <cellStyle name="Heading 3 4 2 2" xfId="30236" xr:uid="{00000000-0005-0000-0000-000035430000}"/>
    <cellStyle name="Heading 3 4 2 2 2" xfId="30237" xr:uid="{00000000-0005-0000-0000-000036430000}"/>
    <cellStyle name="Heading 3 4 2 3" xfId="30238" xr:uid="{00000000-0005-0000-0000-000037430000}"/>
    <cellStyle name="Heading 3 4 2 4" xfId="30235" xr:uid="{00000000-0005-0000-0000-000038430000}"/>
    <cellStyle name="Heading 3 4 3" xfId="3604" xr:uid="{00000000-0005-0000-0000-000039430000}"/>
    <cellStyle name="Heading 3 4 3 2" xfId="30240" xr:uid="{00000000-0005-0000-0000-00003A430000}"/>
    <cellStyle name="Heading 3 4 3 3" xfId="30239" xr:uid="{00000000-0005-0000-0000-00003B430000}"/>
    <cellStyle name="Heading 3 4 4" xfId="30241" xr:uid="{00000000-0005-0000-0000-00003C430000}"/>
    <cellStyle name="Heading 3 4 5" xfId="30242" xr:uid="{00000000-0005-0000-0000-00003D430000}"/>
    <cellStyle name="Heading 3 4 6" xfId="30234" xr:uid="{00000000-0005-0000-0000-00003E430000}"/>
    <cellStyle name="Heading 3 5" xfId="3605" xr:uid="{00000000-0005-0000-0000-00003F430000}"/>
    <cellStyle name="Heading 3 5 2" xfId="3606" xr:uid="{00000000-0005-0000-0000-000040430000}"/>
    <cellStyle name="Heading 3 5 2 2" xfId="30244" xr:uid="{00000000-0005-0000-0000-000041430000}"/>
    <cellStyle name="Heading 3 5 3" xfId="3607" xr:uid="{00000000-0005-0000-0000-000042430000}"/>
    <cellStyle name="Heading 3 5 3 2" xfId="30245" xr:uid="{00000000-0005-0000-0000-000043430000}"/>
    <cellStyle name="Heading 3 5 4" xfId="30243" xr:uid="{00000000-0005-0000-0000-000044430000}"/>
    <cellStyle name="Heading 3 6" xfId="30246" xr:uid="{00000000-0005-0000-0000-000045430000}"/>
    <cellStyle name="Heading 3 6 2" xfId="3608" xr:uid="{00000000-0005-0000-0000-000046430000}"/>
    <cellStyle name="Heading 3 6 2 2" xfId="30247" xr:uid="{00000000-0005-0000-0000-000047430000}"/>
    <cellStyle name="Heading 3 6 3" xfId="3609" xr:uid="{00000000-0005-0000-0000-000048430000}"/>
    <cellStyle name="Heading 3 7" xfId="30248" xr:uid="{00000000-0005-0000-0000-000049430000}"/>
    <cellStyle name="Heading 3 7 2" xfId="3610" xr:uid="{00000000-0005-0000-0000-00004A430000}"/>
    <cellStyle name="Heading 3 7 2 2" xfId="30249" xr:uid="{00000000-0005-0000-0000-00004B430000}"/>
    <cellStyle name="Heading 3 7 3" xfId="3611" xr:uid="{00000000-0005-0000-0000-00004C430000}"/>
    <cellStyle name="Heading 3 8" xfId="30250" xr:uid="{00000000-0005-0000-0000-00004D430000}"/>
    <cellStyle name="Heading 3 8 2" xfId="3612" xr:uid="{00000000-0005-0000-0000-00004E430000}"/>
    <cellStyle name="Heading 3 8 2 2" xfId="30251" xr:uid="{00000000-0005-0000-0000-00004F430000}"/>
    <cellStyle name="Heading 3 8 3" xfId="3613" xr:uid="{00000000-0005-0000-0000-000050430000}"/>
    <cellStyle name="Heading 3 9" xfId="30252" xr:uid="{00000000-0005-0000-0000-000051430000}"/>
    <cellStyle name="Heading 3 9 2" xfId="3614" xr:uid="{00000000-0005-0000-0000-000052430000}"/>
    <cellStyle name="Heading 3 9 2 2" xfId="30253" xr:uid="{00000000-0005-0000-0000-000053430000}"/>
    <cellStyle name="Heading 3 9 3" xfId="3615" xr:uid="{00000000-0005-0000-0000-000054430000}"/>
    <cellStyle name="Heading 4" xfId="44327" builtinId="19" customBuiltin="1"/>
    <cellStyle name="Heading 4 10" xfId="30254" xr:uid="{00000000-0005-0000-0000-000056430000}"/>
    <cellStyle name="Heading 4 10 2" xfId="3616" xr:uid="{00000000-0005-0000-0000-000057430000}"/>
    <cellStyle name="Heading 4 10 3" xfId="3617" xr:uid="{00000000-0005-0000-0000-000058430000}"/>
    <cellStyle name="Heading 4 11" xfId="30255" xr:uid="{00000000-0005-0000-0000-000059430000}"/>
    <cellStyle name="Heading 4 11 2" xfId="3618" xr:uid="{00000000-0005-0000-0000-00005A430000}"/>
    <cellStyle name="Heading 4 11 3" xfId="3619" xr:uid="{00000000-0005-0000-0000-00005B430000}"/>
    <cellStyle name="Heading 4 12" xfId="30256" xr:uid="{00000000-0005-0000-0000-00005C430000}"/>
    <cellStyle name="Heading 4 12 2" xfId="3620" xr:uid="{00000000-0005-0000-0000-00005D430000}"/>
    <cellStyle name="Heading 4 12 3" xfId="3621" xr:uid="{00000000-0005-0000-0000-00005E430000}"/>
    <cellStyle name="Heading 4 13 2" xfId="3622" xr:uid="{00000000-0005-0000-0000-00005F430000}"/>
    <cellStyle name="Heading 4 13 3" xfId="3623" xr:uid="{00000000-0005-0000-0000-000060430000}"/>
    <cellStyle name="Heading 4 14 2" xfId="3624" xr:uid="{00000000-0005-0000-0000-000061430000}"/>
    <cellStyle name="Heading 4 14 3" xfId="3625" xr:uid="{00000000-0005-0000-0000-000062430000}"/>
    <cellStyle name="Heading 4 15" xfId="3626" xr:uid="{00000000-0005-0000-0000-000063430000}"/>
    <cellStyle name="Heading 4 15 2" xfId="3627" xr:uid="{00000000-0005-0000-0000-000064430000}"/>
    <cellStyle name="Heading 4 15 3" xfId="3628" xr:uid="{00000000-0005-0000-0000-000065430000}"/>
    <cellStyle name="Heading 4 15 4" xfId="3629" xr:uid="{00000000-0005-0000-0000-000066430000}"/>
    <cellStyle name="Heading 4 15 5" xfId="3630" xr:uid="{00000000-0005-0000-0000-000067430000}"/>
    <cellStyle name="Heading 4 15 6" xfId="3631" xr:uid="{00000000-0005-0000-0000-000068430000}"/>
    <cellStyle name="Heading 4 15 7" xfId="3632" xr:uid="{00000000-0005-0000-0000-000069430000}"/>
    <cellStyle name="Heading 4 16" xfId="3633" xr:uid="{00000000-0005-0000-0000-00006A430000}"/>
    <cellStyle name="Heading 4 17" xfId="3634" xr:uid="{00000000-0005-0000-0000-00006B430000}"/>
    <cellStyle name="Heading 4 18" xfId="3635" xr:uid="{00000000-0005-0000-0000-00006C430000}"/>
    <cellStyle name="Heading 4 19" xfId="3636" xr:uid="{00000000-0005-0000-0000-00006D430000}"/>
    <cellStyle name="Heading 4 2" xfId="3637" xr:uid="{00000000-0005-0000-0000-00006E430000}"/>
    <cellStyle name="Heading 4 2 2" xfId="3638" xr:uid="{00000000-0005-0000-0000-00006F430000}"/>
    <cellStyle name="Heading 4 2 2 2" xfId="30258" xr:uid="{00000000-0005-0000-0000-000070430000}"/>
    <cellStyle name="Heading 4 2 2 2 2" xfId="30259" xr:uid="{00000000-0005-0000-0000-000071430000}"/>
    <cellStyle name="Heading 4 2 2 3" xfId="30260" xr:uid="{00000000-0005-0000-0000-000072430000}"/>
    <cellStyle name="Heading 4 2 2 3 2" xfId="30261" xr:uid="{00000000-0005-0000-0000-000073430000}"/>
    <cellStyle name="Heading 4 2 2 4" xfId="30262" xr:uid="{00000000-0005-0000-0000-000074430000}"/>
    <cellStyle name="Heading 4 2 2 5" xfId="30257" xr:uid="{00000000-0005-0000-0000-000075430000}"/>
    <cellStyle name="Heading 4 2 3" xfId="3639" xr:uid="{00000000-0005-0000-0000-000076430000}"/>
    <cellStyle name="Heading 4 2 3 2" xfId="30264" xr:uid="{00000000-0005-0000-0000-000077430000}"/>
    <cellStyle name="Heading 4 2 3 2 2" xfId="30265" xr:uid="{00000000-0005-0000-0000-000078430000}"/>
    <cellStyle name="Heading 4 2 3 3" xfId="30266" xr:uid="{00000000-0005-0000-0000-000079430000}"/>
    <cellStyle name="Heading 4 2 3 4" xfId="30263" xr:uid="{00000000-0005-0000-0000-00007A430000}"/>
    <cellStyle name="Heading 4 2 4" xfId="3640" xr:uid="{00000000-0005-0000-0000-00007B430000}"/>
    <cellStyle name="Heading 4 2 4 2" xfId="30268" xr:uid="{00000000-0005-0000-0000-00007C430000}"/>
    <cellStyle name="Heading 4 2 4 3" xfId="30267" xr:uid="{00000000-0005-0000-0000-00007D430000}"/>
    <cellStyle name="Heading 4 2 5" xfId="9337" xr:uid="{00000000-0005-0000-0000-00007E430000}"/>
    <cellStyle name="Heading 4 2 5 2" xfId="30269" xr:uid="{00000000-0005-0000-0000-00007F430000}"/>
    <cellStyle name="Heading 4 2 6" xfId="30270" xr:uid="{00000000-0005-0000-0000-000080430000}"/>
    <cellStyle name="Heading 4 20" xfId="3641" xr:uid="{00000000-0005-0000-0000-000081430000}"/>
    <cellStyle name="Heading 4 21" xfId="3642" xr:uid="{00000000-0005-0000-0000-000082430000}"/>
    <cellStyle name="Heading 4 22" xfId="3643" xr:uid="{00000000-0005-0000-0000-000083430000}"/>
    <cellStyle name="Heading 4 3" xfId="3644" xr:uid="{00000000-0005-0000-0000-000084430000}"/>
    <cellStyle name="Heading 4 3 2" xfId="3645" xr:uid="{00000000-0005-0000-0000-000085430000}"/>
    <cellStyle name="Heading 4 3 2 2" xfId="30273" xr:uid="{00000000-0005-0000-0000-000086430000}"/>
    <cellStyle name="Heading 4 3 2 2 2" xfId="30274" xr:uid="{00000000-0005-0000-0000-000087430000}"/>
    <cellStyle name="Heading 4 3 2 3" xfId="30275" xr:uid="{00000000-0005-0000-0000-000088430000}"/>
    <cellStyle name="Heading 4 3 2 4" xfId="30272" xr:uid="{00000000-0005-0000-0000-000089430000}"/>
    <cellStyle name="Heading 4 3 3" xfId="3646" xr:uid="{00000000-0005-0000-0000-00008A430000}"/>
    <cellStyle name="Heading 4 3 3 2" xfId="30277" xr:uid="{00000000-0005-0000-0000-00008B430000}"/>
    <cellStyle name="Heading 4 3 3 3" xfId="30276" xr:uid="{00000000-0005-0000-0000-00008C430000}"/>
    <cellStyle name="Heading 4 3 4" xfId="30278" xr:uid="{00000000-0005-0000-0000-00008D430000}"/>
    <cellStyle name="Heading 4 3 5" xfId="30279" xr:uid="{00000000-0005-0000-0000-00008E430000}"/>
    <cellStyle name="Heading 4 3 6" xfId="30271" xr:uid="{00000000-0005-0000-0000-00008F430000}"/>
    <cellStyle name="Heading 4 4" xfId="3647" xr:uid="{00000000-0005-0000-0000-000090430000}"/>
    <cellStyle name="Heading 4 4 2" xfId="3648" xr:uid="{00000000-0005-0000-0000-000091430000}"/>
    <cellStyle name="Heading 4 4 2 2" xfId="30282" xr:uid="{00000000-0005-0000-0000-000092430000}"/>
    <cellStyle name="Heading 4 4 2 2 2" xfId="30283" xr:uid="{00000000-0005-0000-0000-000093430000}"/>
    <cellStyle name="Heading 4 4 2 3" xfId="30284" xr:uid="{00000000-0005-0000-0000-000094430000}"/>
    <cellStyle name="Heading 4 4 2 4" xfId="30281" xr:uid="{00000000-0005-0000-0000-000095430000}"/>
    <cellStyle name="Heading 4 4 3" xfId="3649" xr:uid="{00000000-0005-0000-0000-000096430000}"/>
    <cellStyle name="Heading 4 4 3 2" xfId="30286" xr:uid="{00000000-0005-0000-0000-000097430000}"/>
    <cellStyle name="Heading 4 4 3 3" xfId="30285" xr:uid="{00000000-0005-0000-0000-000098430000}"/>
    <cellStyle name="Heading 4 4 4" xfId="30287" xr:uid="{00000000-0005-0000-0000-000099430000}"/>
    <cellStyle name="Heading 4 4 5" xfId="30288" xr:uid="{00000000-0005-0000-0000-00009A430000}"/>
    <cellStyle name="Heading 4 4 6" xfId="30280" xr:uid="{00000000-0005-0000-0000-00009B430000}"/>
    <cellStyle name="Heading 4 5" xfId="3650" xr:uid="{00000000-0005-0000-0000-00009C430000}"/>
    <cellStyle name="Heading 4 5 2" xfId="3651" xr:uid="{00000000-0005-0000-0000-00009D430000}"/>
    <cellStyle name="Heading 4 5 2 2" xfId="30290" xr:uid="{00000000-0005-0000-0000-00009E430000}"/>
    <cellStyle name="Heading 4 5 3" xfId="3652" xr:uid="{00000000-0005-0000-0000-00009F430000}"/>
    <cellStyle name="Heading 4 5 3 2" xfId="30291" xr:uid="{00000000-0005-0000-0000-0000A0430000}"/>
    <cellStyle name="Heading 4 5 4" xfId="30289" xr:uid="{00000000-0005-0000-0000-0000A1430000}"/>
    <cellStyle name="Heading 4 6" xfId="30292" xr:uid="{00000000-0005-0000-0000-0000A2430000}"/>
    <cellStyle name="Heading 4 6 2" xfId="3653" xr:uid="{00000000-0005-0000-0000-0000A3430000}"/>
    <cellStyle name="Heading 4 6 2 2" xfId="30293" xr:uid="{00000000-0005-0000-0000-0000A4430000}"/>
    <cellStyle name="Heading 4 6 3" xfId="3654" xr:uid="{00000000-0005-0000-0000-0000A5430000}"/>
    <cellStyle name="Heading 4 7" xfId="30294" xr:uid="{00000000-0005-0000-0000-0000A6430000}"/>
    <cellStyle name="Heading 4 7 2" xfId="3655" xr:uid="{00000000-0005-0000-0000-0000A7430000}"/>
    <cellStyle name="Heading 4 7 2 2" xfId="30295" xr:uid="{00000000-0005-0000-0000-0000A8430000}"/>
    <cellStyle name="Heading 4 7 3" xfId="3656" xr:uid="{00000000-0005-0000-0000-0000A9430000}"/>
    <cellStyle name="Heading 4 8" xfId="30296" xr:uid="{00000000-0005-0000-0000-0000AA430000}"/>
    <cellStyle name="Heading 4 8 2" xfId="3657" xr:uid="{00000000-0005-0000-0000-0000AB430000}"/>
    <cellStyle name="Heading 4 8 2 2" xfId="30297" xr:uid="{00000000-0005-0000-0000-0000AC430000}"/>
    <cellStyle name="Heading 4 8 3" xfId="3658" xr:uid="{00000000-0005-0000-0000-0000AD430000}"/>
    <cellStyle name="Heading 4 9" xfId="30298" xr:uid="{00000000-0005-0000-0000-0000AE430000}"/>
    <cellStyle name="Heading 4 9 2" xfId="3659" xr:uid="{00000000-0005-0000-0000-0000AF430000}"/>
    <cellStyle name="Heading 4 9 2 2" xfId="30299" xr:uid="{00000000-0005-0000-0000-0000B0430000}"/>
    <cellStyle name="Heading 4 9 3" xfId="3660" xr:uid="{00000000-0005-0000-0000-0000B1430000}"/>
    <cellStyle name="Heading1" xfId="3661" xr:uid="{00000000-0005-0000-0000-0000B2430000}"/>
    <cellStyle name="Heading1 10" xfId="30300" xr:uid="{00000000-0005-0000-0000-0000B3430000}"/>
    <cellStyle name="Heading1 10 2" xfId="30301" xr:uid="{00000000-0005-0000-0000-0000B4430000}"/>
    <cellStyle name="Heading1 11" xfId="30302" xr:uid="{00000000-0005-0000-0000-0000B5430000}"/>
    <cellStyle name="Heading1 11 2" xfId="30303" xr:uid="{00000000-0005-0000-0000-0000B6430000}"/>
    <cellStyle name="Heading1 12" xfId="30304" xr:uid="{00000000-0005-0000-0000-0000B7430000}"/>
    <cellStyle name="Heading1 12 2" xfId="30305" xr:uid="{00000000-0005-0000-0000-0000B8430000}"/>
    <cellStyle name="Heading1 13" xfId="30306" xr:uid="{00000000-0005-0000-0000-0000B9430000}"/>
    <cellStyle name="Heading1 13 2" xfId="30307" xr:uid="{00000000-0005-0000-0000-0000BA430000}"/>
    <cellStyle name="Heading1 14" xfId="30308" xr:uid="{00000000-0005-0000-0000-0000BB430000}"/>
    <cellStyle name="Heading1 14 2" xfId="30309" xr:uid="{00000000-0005-0000-0000-0000BC430000}"/>
    <cellStyle name="Heading1 15" xfId="30310" xr:uid="{00000000-0005-0000-0000-0000BD430000}"/>
    <cellStyle name="Heading1 15 2" xfId="30311" xr:uid="{00000000-0005-0000-0000-0000BE430000}"/>
    <cellStyle name="Heading1 16" xfId="30312" xr:uid="{00000000-0005-0000-0000-0000BF430000}"/>
    <cellStyle name="Heading1 16 2" xfId="30313" xr:uid="{00000000-0005-0000-0000-0000C0430000}"/>
    <cellStyle name="Heading1 17" xfId="30314" xr:uid="{00000000-0005-0000-0000-0000C1430000}"/>
    <cellStyle name="Heading1 17 2" xfId="30315" xr:uid="{00000000-0005-0000-0000-0000C2430000}"/>
    <cellStyle name="Heading1 18" xfId="30316" xr:uid="{00000000-0005-0000-0000-0000C3430000}"/>
    <cellStyle name="Heading1 18 2" xfId="30317" xr:uid="{00000000-0005-0000-0000-0000C4430000}"/>
    <cellStyle name="Heading1 19" xfId="30318" xr:uid="{00000000-0005-0000-0000-0000C5430000}"/>
    <cellStyle name="Heading1 19 2" xfId="30319" xr:uid="{00000000-0005-0000-0000-0000C6430000}"/>
    <cellStyle name="Heading1 2" xfId="3662" xr:uid="{00000000-0005-0000-0000-0000C7430000}"/>
    <cellStyle name="Heading1 2 2" xfId="9338" xr:uid="{00000000-0005-0000-0000-0000C8430000}"/>
    <cellStyle name="Heading1 2 2 2" xfId="30322" xr:uid="{00000000-0005-0000-0000-0000C9430000}"/>
    <cellStyle name="Heading1 2 2 3" xfId="30321" xr:uid="{00000000-0005-0000-0000-0000CA430000}"/>
    <cellStyle name="Heading1 2 3" xfId="30323" xr:uid="{00000000-0005-0000-0000-0000CB430000}"/>
    <cellStyle name="Heading1 2 4" xfId="30320" xr:uid="{00000000-0005-0000-0000-0000CC430000}"/>
    <cellStyle name="Heading1 20" xfId="30324" xr:uid="{00000000-0005-0000-0000-0000CD430000}"/>
    <cellStyle name="Heading1 20 2" xfId="30325" xr:uid="{00000000-0005-0000-0000-0000CE430000}"/>
    <cellStyle name="Heading1 21" xfId="30326" xr:uid="{00000000-0005-0000-0000-0000CF430000}"/>
    <cellStyle name="Heading1 21 2" xfId="30327" xr:uid="{00000000-0005-0000-0000-0000D0430000}"/>
    <cellStyle name="Heading1 22" xfId="30328" xr:uid="{00000000-0005-0000-0000-0000D1430000}"/>
    <cellStyle name="Heading1 22 2" xfId="30329" xr:uid="{00000000-0005-0000-0000-0000D2430000}"/>
    <cellStyle name="Heading1 23" xfId="30330" xr:uid="{00000000-0005-0000-0000-0000D3430000}"/>
    <cellStyle name="Heading1 23 2" xfId="30331" xr:uid="{00000000-0005-0000-0000-0000D4430000}"/>
    <cellStyle name="Heading1 24" xfId="30332" xr:uid="{00000000-0005-0000-0000-0000D5430000}"/>
    <cellStyle name="Heading1 24 2" xfId="30333" xr:uid="{00000000-0005-0000-0000-0000D6430000}"/>
    <cellStyle name="Heading1 25" xfId="30334" xr:uid="{00000000-0005-0000-0000-0000D7430000}"/>
    <cellStyle name="Heading1 25 2" xfId="30335" xr:uid="{00000000-0005-0000-0000-0000D8430000}"/>
    <cellStyle name="Heading1 26" xfId="30336" xr:uid="{00000000-0005-0000-0000-0000D9430000}"/>
    <cellStyle name="Heading1 26 2" xfId="30337" xr:uid="{00000000-0005-0000-0000-0000DA430000}"/>
    <cellStyle name="Heading1 27" xfId="30338" xr:uid="{00000000-0005-0000-0000-0000DB430000}"/>
    <cellStyle name="Heading1 27 2" xfId="30339" xr:uid="{00000000-0005-0000-0000-0000DC430000}"/>
    <cellStyle name="Heading1 28" xfId="30340" xr:uid="{00000000-0005-0000-0000-0000DD430000}"/>
    <cellStyle name="Heading1 28 2" xfId="30341" xr:uid="{00000000-0005-0000-0000-0000DE430000}"/>
    <cellStyle name="Heading1 29" xfId="30342" xr:uid="{00000000-0005-0000-0000-0000DF430000}"/>
    <cellStyle name="Heading1 29 2" xfId="30343" xr:uid="{00000000-0005-0000-0000-0000E0430000}"/>
    <cellStyle name="Heading1 3" xfId="3663" xr:uid="{00000000-0005-0000-0000-0000E1430000}"/>
    <cellStyle name="Heading1 3 2" xfId="3664" xr:uid="{00000000-0005-0000-0000-0000E2430000}"/>
    <cellStyle name="Heading1 3 2 2" xfId="9339" xr:uid="{00000000-0005-0000-0000-0000E3430000}"/>
    <cellStyle name="Heading1 3 2 2 2" xfId="30346" xr:uid="{00000000-0005-0000-0000-0000E4430000}"/>
    <cellStyle name="Heading1 3 2 3" xfId="30345" xr:uid="{00000000-0005-0000-0000-0000E5430000}"/>
    <cellStyle name="Heading1 3 3" xfId="9340" xr:uid="{00000000-0005-0000-0000-0000E6430000}"/>
    <cellStyle name="Heading1 3 3 2" xfId="30348" xr:uid="{00000000-0005-0000-0000-0000E7430000}"/>
    <cellStyle name="Heading1 3 3 3" xfId="30347" xr:uid="{00000000-0005-0000-0000-0000E8430000}"/>
    <cellStyle name="Heading1 3 4" xfId="30349" xr:uid="{00000000-0005-0000-0000-0000E9430000}"/>
    <cellStyle name="Heading1 3 4 2" xfId="30350" xr:uid="{00000000-0005-0000-0000-0000EA430000}"/>
    <cellStyle name="Heading1 3 5" xfId="30351" xr:uid="{00000000-0005-0000-0000-0000EB430000}"/>
    <cellStyle name="Heading1 3 6" xfId="30344" xr:uid="{00000000-0005-0000-0000-0000EC430000}"/>
    <cellStyle name="Heading1 30" xfId="30352" xr:uid="{00000000-0005-0000-0000-0000ED430000}"/>
    <cellStyle name="Heading1 30 2" xfId="30353" xr:uid="{00000000-0005-0000-0000-0000EE430000}"/>
    <cellStyle name="Heading1 31" xfId="30354" xr:uid="{00000000-0005-0000-0000-0000EF430000}"/>
    <cellStyle name="Heading1 31 2" xfId="30355" xr:uid="{00000000-0005-0000-0000-0000F0430000}"/>
    <cellStyle name="Heading1 32" xfId="30356" xr:uid="{00000000-0005-0000-0000-0000F1430000}"/>
    <cellStyle name="Heading1 32 2" xfId="30357" xr:uid="{00000000-0005-0000-0000-0000F2430000}"/>
    <cellStyle name="Heading1 32 2 2" xfId="30358" xr:uid="{00000000-0005-0000-0000-0000F3430000}"/>
    <cellStyle name="Heading1 32 3" xfId="30359" xr:uid="{00000000-0005-0000-0000-0000F4430000}"/>
    <cellStyle name="Heading1 32 3 2" xfId="30360" xr:uid="{00000000-0005-0000-0000-0000F5430000}"/>
    <cellStyle name="Heading1 32 4" xfId="30361" xr:uid="{00000000-0005-0000-0000-0000F6430000}"/>
    <cellStyle name="Heading1 33" xfId="30362" xr:uid="{00000000-0005-0000-0000-0000F7430000}"/>
    <cellStyle name="Heading1 33 2" xfId="30363" xr:uid="{00000000-0005-0000-0000-0000F8430000}"/>
    <cellStyle name="Heading1 34" xfId="30364" xr:uid="{00000000-0005-0000-0000-0000F9430000}"/>
    <cellStyle name="Heading1 34 2" xfId="30365" xr:uid="{00000000-0005-0000-0000-0000FA430000}"/>
    <cellStyle name="Heading1 35" xfId="30366" xr:uid="{00000000-0005-0000-0000-0000FB430000}"/>
    <cellStyle name="Heading1 36" xfId="30367" xr:uid="{00000000-0005-0000-0000-0000FC430000}"/>
    <cellStyle name="Heading1 4" xfId="9341" xr:uid="{00000000-0005-0000-0000-0000FD430000}"/>
    <cellStyle name="Heading1 4 2" xfId="30369" xr:uid="{00000000-0005-0000-0000-0000FE430000}"/>
    <cellStyle name="Heading1 4 3" xfId="30368" xr:uid="{00000000-0005-0000-0000-0000FF430000}"/>
    <cellStyle name="Heading1 5" xfId="30370" xr:uid="{00000000-0005-0000-0000-000000440000}"/>
    <cellStyle name="Heading1 5 2" xfId="30371" xr:uid="{00000000-0005-0000-0000-000001440000}"/>
    <cellStyle name="Heading1 6" xfId="30372" xr:uid="{00000000-0005-0000-0000-000002440000}"/>
    <cellStyle name="Heading1 6 2" xfId="30373" xr:uid="{00000000-0005-0000-0000-000003440000}"/>
    <cellStyle name="Heading1 7" xfId="30374" xr:uid="{00000000-0005-0000-0000-000004440000}"/>
    <cellStyle name="Heading1 7 2" xfId="30375" xr:uid="{00000000-0005-0000-0000-000005440000}"/>
    <cellStyle name="Heading1 8" xfId="30376" xr:uid="{00000000-0005-0000-0000-000006440000}"/>
    <cellStyle name="Heading1 8 2" xfId="30377" xr:uid="{00000000-0005-0000-0000-000007440000}"/>
    <cellStyle name="Heading1 8 2 2" xfId="30378" xr:uid="{00000000-0005-0000-0000-000008440000}"/>
    <cellStyle name="Heading1 8 3" xfId="30379" xr:uid="{00000000-0005-0000-0000-000009440000}"/>
    <cellStyle name="Heading1 9" xfId="30380" xr:uid="{00000000-0005-0000-0000-00000A440000}"/>
    <cellStyle name="Heading1 9 2" xfId="30381" xr:uid="{00000000-0005-0000-0000-00000B440000}"/>
    <cellStyle name="Heading2" xfId="3665" xr:uid="{00000000-0005-0000-0000-00000C440000}"/>
    <cellStyle name="Heading2 10" xfId="30382" xr:uid="{00000000-0005-0000-0000-00000D440000}"/>
    <cellStyle name="Heading2 10 2" xfId="30383" xr:uid="{00000000-0005-0000-0000-00000E440000}"/>
    <cellStyle name="Heading2 11" xfId="30384" xr:uid="{00000000-0005-0000-0000-00000F440000}"/>
    <cellStyle name="Heading2 11 2" xfId="30385" xr:uid="{00000000-0005-0000-0000-000010440000}"/>
    <cellStyle name="Heading2 12" xfId="30386" xr:uid="{00000000-0005-0000-0000-000011440000}"/>
    <cellStyle name="Heading2 12 2" xfId="30387" xr:uid="{00000000-0005-0000-0000-000012440000}"/>
    <cellStyle name="Heading2 13" xfId="30388" xr:uid="{00000000-0005-0000-0000-000013440000}"/>
    <cellStyle name="Heading2 13 2" xfId="30389" xr:uid="{00000000-0005-0000-0000-000014440000}"/>
    <cellStyle name="Heading2 14" xfId="30390" xr:uid="{00000000-0005-0000-0000-000015440000}"/>
    <cellStyle name="Heading2 14 2" xfId="30391" xr:uid="{00000000-0005-0000-0000-000016440000}"/>
    <cellStyle name="Heading2 15" xfId="30392" xr:uid="{00000000-0005-0000-0000-000017440000}"/>
    <cellStyle name="Heading2 15 2" xfId="30393" xr:uid="{00000000-0005-0000-0000-000018440000}"/>
    <cellStyle name="Heading2 16" xfId="30394" xr:uid="{00000000-0005-0000-0000-000019440000}"/>
    <cellStyle name="Heading2 16 2" xfId="30395" xr:uid="{00000000-0005-0000-0000-00001A440000}"/>
    <cellStyle name="Heading2 17" xfId="30396" xr:uid="{00000000-0005-0000-0000-00001B440000}"/>
    <cellStyle name="Heading2 17 2" xfId="30397" xr:uid="{00000000-0005-0000-0000-00001C440000}"/>
    <cellStyle name="Heading2 18" xfId="30398" xr:uid="{00000000-0005-0000-0000-00001D440000}"/>
    <cellStyle name="Heading2 18 2" xfId="30399" xr:uid="{00000000-0005-0000-0000-00001E440000}"/>
    <cellStyle name="Heading2 19" xfId="30400" xr:uid="{00000000-0005-0000-0000-00001F440000}"/>
    <cellStyle name="Heading2 19 2" xfId="30401" xr:uid="{00000000-0005-0000-0000-000020440000}"/>
    <cellStyle name="Heading2 2" xfId="3666" xr:uid="{00000000-0005-0000-0000-000021440000}"/>
    <cellStyle name="Heading2 2 2" xfId="9342" xr:uid="{00000000-0005-0000-0000-000022440000}"/>
    <cellStyle name="Heading2 2 2 2" xfId="30404" xr:uid="{00000000-0005-0000-0000-000023440000}"/>
    <cellStyle name="Heading2 2 2 3" xfId="30403" xr:uid="{00000000-0005-0000-0000-000024440000}"/>
    <cellStyle name="Heading2 2 3" xfId="30405" xr:uid="{00000000-0005-0000-0000-000025440000}"/>
    <cellStyle name="Heading2 2 4" xfId="30402" xr:uid="{00000000-0005-0000-0000-000026440000}"/>
    <cellStyle name="Heading2 20" xfId="30406" xr:uid="{00000000-0005-0000-0000-000027440000}"/>
    <cellStyle name="Heading2 20 2" xfId="30407" xr:uid="{00000000-0005-0000-0000-000028440000}"/>
    <cellStyle name="Heading2 21" xfId="30408" xr:uid="{00000000-0005-0000-0000-000029440000}"/>
    <cellStyle name="Heading2 21 2" xfId="30409" xr:uid="{00000000-0005-0000-0000-00002A440000}"/>
    <cellStyle name="Heading2 22" xfId="30410" xr:uid="{00000000-0005-0000-0000-00002B440000}"/>
    <cellStyle name="Heading2 22 2" xfId="30411" xr:uid="{00000000-0005-0000-0000-00002C440000}"/>
    <cellStyle name="Heading2 23" xfId="30412" xr:uid="{00000000-0005-0000-0000-00002D440000}"/>
    <cellStyle name="Heading2 23 2" xfId="30413" xr:uid="{00000000-0005-0000-0000-00002E440000}"/>
    <cellStyle name="Heading2 24" xfId="30414" xr:uid="{00000000-0005-0000-0000-00002F440000}"/>
    <cellStyle name="Heading2 24 2" xfId="30415" xr:uid="{00000000-0005-0000-0000-000030440000}"/>
    <cellStyle name="Heading2 25" xfId="30416" xr:uid="{00000000-0005-0000-0000-000031440000}"/>
    <cellStyle name="Heading2 25 2" xfId="30417" xr:uid="{00000000-0005-0000-0000-000032440000}"/>
    <cellStyle name="Heading2 26" xfId="30418" xr:uid="{00000000-0005-0000-0000-000033440000}"/>
    <cellStyle name="Heading2 26 2" xfId="30419" xr:uid="{00000000-0005-0000-0000-000034440000}"/>
    <cellStyle name="Heading2 27" xfId="30420" xr:uid="{00000000-0005-0000-0000-000035440000}"/>
    <cellStyle name="Heading2 27 2" xfId="30421" xr:uid="{00000000-0005-0000-0000-000036440000}"/>
    <cellStyle name="Heading2 28" xfId="30422" xr:uid="{00000000-0005-0000-0000-000037440000}"/>
    <cellStyle name="Heading2 28 2" xfId="30423" xr:uid="{00000000-0005-0000-0000-000038440000}"/>
    <cellStyle name="Heading2 29" xfId="30424" xr:uid="{00000000-0005-0000-0000-000039440000}"/>
    <cellStyle name="Heading2 29 2" xfId="30425" xr:uid="{00000000-0005-0000-0000-00003A440000}"/>
    <cellStyle name="Heading2 3" xfId="3667" xr:uid="{00000000-0005-0000-0000-00003B440000}"/>
    <cellStyle name="Heading2 3 2" xfId="3668" xr:uid="{00000000-0005-0000-0000-00003C440000}"/>
    <cellStyle name="Heading2 3 2 2" xfId="9343" xr:uid="{00000000-0005-0000-0000-00003D440000}"/>
    <cellStyle name="Heading2 3 2 2 2" xfId="30428" xr:uid="{00000000-0005-0000-0000-00003E440000}"/>
    <cellStyle name="Heading2 3 2 3" xfId="30427" xr:uid="{00000000-0005-0000-0000-00003F440000}"/>
    <cellStyle name="Heading2 3 3" xfId="9344" xr:uid="{00000000-0005-0000-0000-000040440000}"/>
    <cellStyle name="Heading2 3 3 2" xfId="30430" xr:uid="{00000000-0005-0000-0000-000041440000}"/>
    <cellStyle name="Heading2 3 3 3" xfId="30429" xr:uid="{00000000-0005-0000-0000-000042440000}"/>
    <cellStyle name="Heading2 3 4" xfId="30431" xr:uid="{00000000-0005-0000-0000-000043440000}"/>
    <cellStyle name="Heading2 3 4 2" xfId="30432" xr:uid="{00000000-0005-0000-0000-000044440000}"/>
    <cellStyle name="Heading2 3 5" xfId="30433" xr:uid="{00000000-0005-0000-0000-000045440000}"/>
    <cellStyle name="Heading2 3 6" xfId="30426" xr:uid="{00000000-0005-0000-0000-000046440000}"/>
    <cellStyle name="Heading2 30" xfId="30434" xr:uid="{00000000-0005-0000-0000-000047440000}"/>
    <cellStyle name="Heading2 30 2" xfId="30435" xr:uid="{00000000-0005-0000-0000-000048440000}"/>
    <cellStyle name="Heading2 31" xfId="30436" xr:uid="{00000000-0005-0000-0000-000049440000}"/>
    <cellStyle name="Heading2 31 2" xfId="30437" xr:uid="{00000000-0005-0000-0000-00004A440000}"/>
    <cellStyle name="Heading2 32" xfId="30438" xr:uid="{00000000-0005-0000-0000-00004B440000}"/>
    <cellStyle name="Heading2 32 2" xfId="30439" xr:uid="{00000000-0005-0000-0000-00004C440000}"/>
    <cellStyle name="Heading2 32 2 2" xfId="30440" xr:uid="{00000000-0005-0000-0000-00004D440000}"/>
    <cellStyle name="Heading2 32 3" xfId="30441" xr:uid="{00000000-0005-0000-0000-00004E440000}"/>
    <cellStyle name="Heading2 32 3 2" xfId="30442" xr:uid="{00000000-0005-0000-0000-00004F440000}"/>
    <cellStyle name="Heading2 32 4" xfId="30443" xr:uid="{00000000-0005-0000-0000-000050440000}"/>
    <cellStyle name="Heading2 33" xfId="30444" xr:uid="{00000000-0005-0000-0000-000051440000}"/>
    <cellStyle name="Heading2 33 2" xfId="30445" xr:uid="{00000000-0005-0000-0000-000052440000}"/>
    <cellStyle name="Heading2 34" xfId="30446" xr:uid="{00000000-0005-0000-0000-000053440000}"/>
    <cellStyle name="Heading2 34 2" xfId="30447" xr:uid="{00000000-0005-0000-0000-000054440000}"/>
    <cellStyle name="Heading2 35" xfId="30448" xr:uid="{00000000-0005-0000-0000-000055440000}"/>
    <cellStyle name="Heading2 36" xfId="30449" xr:uid="{00000000-0005-0000-0000-000056440000}"/>
    <cellStyle name="Heading2 4" xfId="9345" xr:uid="{00000000-0005-0000-0000-000057440000}"/>
    <cellStyle name="Heading2 4 2" xfId="30451" xr:uid="{00000000-0005-0000-0000-000058440000}"/>
    <cellStyle name="Heading2 4 3" xfId="30450" xr:uid="{00000000-0005-0000-0000-000059440000}"/>
    <cellStyle name="Heading2 5" xfId="30452" xr:uid="{00000000-0005-0000-0000-00005A440000}"/>
    <cellStyle name="Heading2 5 2" xfId="30453" xr:uid="{00000000-0005-0000-0000-00005B440000}"/>
    <cellStyle name="Heading2 6" xfId="30454" xr:uid="{00000000-0005-0000-0000-00005C440000}"/>
    <cellStyle name="Heading2 6 2" xfId="30455" xr:uid="{00000000-0005-0000-0000-00005D440000}"/>
    <cellStyle name="Heading2 7" xfId="30456" xr:uid="{00000000-0005-0000-0000-00005E440000}"/>
    <cellStyle name="Heading2 7 2" xfId="30457" xr:uid="{00000000-0005-0000-0000-00005F440000}"/>
    <cellStyle name="Heading2 8" xfId="30458" xr:uid="{00000000-0005-0000-0000-000060440000}"/>
    <cellStyle name="Heading2 8 2" xfId="30459" xr:uid="{00000000-0005-0000-0000-000061440000}"/>
    <cellStyle name="Heading2 8 2 2" xfId="30460" xr:uid="{00000000-0005-0000-0000-000062440000}"/>
    <cellStyle name="Heading2 8 3" xfId="30461" xr:uid="{00000000-0005-0000-0000-000063440000}"/>
    <cellStyle name="Heading2 9" xfId="30462" xr:uid="{00000000-0005-0000-0000-000064440000}"/>
    <cellStyle name="Heading2 9 2" xfId="30463" xr:uid="{00000000-0005-0000-0000-000065440000}"/>
    <cellStyle name="HeadlineStyle" xfId="30464" xr:uid="{00000000-0005-0000-0000-000066440000}"/>
    <cellStyle name="HeadlineStyleJustified" xfId="30465" xr:uid="{00000000-0005-0000-0000-000067440000}"/>
    <cellStyle name="HELast" xfId="30466" xr:uid="{00000000-0005-0000-0000-000068440000}"/>
    <cellStyle name="HELast 2" xfId="30467" xr:uid="{00000000-0005-0000-0000-000069440000}"/>
    <cellStyle name="HEtomorrow" xfId="30468" xr:uid="{00000000-0005-0000-0000-00006A440000}"/>
    <cellStyle name="HEtomorrow 2" xfId="30469" xr:uid="{00000000-0005-0000-0000-00006B440000}"/>
    <cellStyle name="HEtomorrowLast" xfId="30470" xr:uid="{00000000-0005-0000-0000-00006C440000}"/>
    <cellStyle name="HEtomorrowLast 2" xfId="30471" xr:uid="{00000000-0005-0000-0000-00006D440000}"/>
    <cellStyle name="HEyesterday" xfId="30472" xr:uid="{00000000-0005-0000-0000-00006E440000}"/>
    <cellStyle name="HEyesterday 2" xfId="30473" xr:uid="{00000000-0005-0000-0000-00006F440000}"/>
    <cellStyle name="HEyesterdayLast" xfId="30474" xr:uid="{00000000-0005-0000-0000-000070440000}"/>
    <cellStyle name="HEyesterdayLast 2" xfId="30475" xr:uid="{00000000-0005-0000-0000-000071440000}"/>
    <cellStyle name="HIGHLIGHT" xfId="3669" xr:uid="{00000000-0005-0000-0000-000072440000}"/>
    <cellStyle name="HIGHLIGHT 2" xfId="30476" xr:uid="{00000000-0005-0000-0000-000073440000}"/>
    <cellStyle name="HIGHLIGHT 2 2" xfId="30477" xr:uid="{00000000-0005-0000-0000-000074440000}"/>
    <cellStyle name="HIGHLIGHT 3" xfId="30478" xr:uid="{00000000-0005-0000-0000-000075440000}"/>
    <cellStyle name="HIGHLIGHT 4" xfId="30479" xr:uid="{00000000-0005-0000-0000-000076440000}"/>
    <cellStyle name="hilite" xfId="30480" xr:uid="{00000000-0005-0000-0000-000077440000}"/>
    <cellStyle name="hilite 2" xfId="30481" xr:uid="{00000000-0005-0000-0000-000078440000}"/>
    <cellStyle name="hilite 3" xfId="30482" xr:uid="{00000000-0005-0000-0000-000079440000}"/>
    <cellStyle name="Hyperlink" xfId="45" builtinId="8"/>
    <cellStyle name="Hyperlink 2" xfId="51" xr:uid="{00000000-0005-0000-0000-00007B440000}"/>
    <cellStyle name="Hyperlink 2 10" xfId="30484" xr:uid="{00000000-0005-0000-0000-00007C440000}"/>
    <cellStyle name="Hyperlink 2 11" xfId="30485" xr:uid="{00000000-0005-0000-0000-00007D440000}"/>
    <cellStyle name="Hyperlink 2 12" xfId="30486" xr:uid="{00000000-0005-0000-0000-00007E440000}"/>
    <cellStyle name="Hyperlink 2 13" xfId="30483" xr:uid="{00000000-0005-0000-0000-00007F440000}"/>
    <cellStyle name="Hyperlink 2 2" xfId="30487" xr:uid="{00000000-0005-0000-0000-000080440000}"/>
    <cellStyle name="Hyperlink 2 2 2" xfId="30488" xr:uid="{00000000-0005-0000-0000-000081440000}"/>
    <cellStyle name="Hyperlink 2 2 3" xfId="30489" xr:uid="{00000000-0005-0000-0000-000082440000}"/>
    <cellStyle name="Hyperlink 2 2 4" xfId="30490" xr:uid="{00000000-0005-0000-0000-000083440000}"/>
    <cellStyle name="Hyperlink 2 2 5" xfId="30491" xr:uid="{00000000-0005-0000-0000-000084440000}"/>
    <cellStyle name="Hyperlink 2 3" xfId="30492" xr:uid="{00000000-0005-0000-0000-000085440000}"/>
    <cellStyle name="Hyperlink 2 3 2" xfId="30493" xr:uid="{00000000-0005-0000-0000-000086440000}"/>
    <cellStyle name="Hyperlink 2 3 3" xfId="30494" xr:uid="{00000000-0005-0000-0000-000087440000}"/>
    <cellStyle name="Hyperlink 2 4" xfId="30495" xr:uid="{00000000-0005-0000-0000-000088440000}"/>
    <cellStyle name="Hyperlink 2 4 2" xfId="30496" xr:uid="{00000000-0005-0000-0000-000089440000}"/>
    <cellStyle name="Hyperlink 2 4 3" xfId="30497" xr:uid="{00000000-0005-0000-0000-00008A440000}"/>
    <cellStyle name="Hyperlink 2 5" xfId="30498" xr:uid="{00000000-0005-0000-0000-00008B440000}"/>
    <cellStyle name="Hyperlink 2 5 2" xfId="30499" xr:uid="{00000000-0005-0000-0000-00008C440000}"/>
    <cellStyle name="Hyperlink 2 5 3" xfId="30500" xr:uid="{00000000-0005-0000-0000-00008D440000}"/>
    <cellStyle name="Hyperlink 2 6" xfId="30501" xr:uid="{00000000-0005-0000-0000-00008E440000}"/>
    <cellStyle name="Hyperlink 2 6 2" xfId="30502" xr:uid="{00000000-0005-0000-0000-00008F440000}"/>
    <cellStyle name="Hyperlink 2 6 3" xfId="30503" xr:uid="{00000000-0005-0000-0000-000090440000}"/>
    <cellStyle name="Hyperlink 2 7" xfId="30504" xr:uid="{00000000-0005-0000-0000-000091440000}"/>
    <cellStyle name="Hyperlink 2 7 2" xfId="30505" xr:uid="{00000000-0005-0000-0000-000092440000}"/>
    <cellStyle name="Hyperlink 2 7 3" xfId="30506" xr:uid="{00000000-0005-0000-0000-000093440000}"/>
    <cellStyle name="Hyperlink 2 8" xfId="30507" xr:uid="{00000000-0005-0000-0000-000094440000}"/>
    <cellStyle name="Hyperlink 2 8 2" xfId="30508" xr:uid="{00000000-0005-0000-0000-000095440000}"/>
    <cellStyle name="Hyperlink 2 9" xfId="30509" xr:uid="{00000000-0005-0000-0000-000096440000}"/>
    <cellStyle name="Hyperlink 2 9 2" xfId="30510" xr:uid="{00000000-0005-0000-0000-000097440000}"/>
    <cellStyle name="Hyperlink 3" xfId="30511" xr:uid="{00000000-0005-0000-0000-000098440000}"/>
    <cellStyle name="Hyperlink 3 2" xfId="30512" xr:uid="{00000000-0005-0000-0000-000099440000}"/>
    <cellStyle name="Hyperlink 3 2 2" xfId="30513" xr:uid="{00000000-0005-0000-0000-00009A440000}"/>
    <cellStyle name="Hyperlink 3 3" xfId="30514" xr:uid="{00000000-0005-0000-0000-00009B440000}"/>
    <cellStyle name="Hyperlink 3 3 2" xfId="30515" xr:uid="{00000000-0005-0000-0000-00009C440000}"/>
    <cellStyle name="Hyperlink 3 4" xfId="30516" xr:uid="{00000000-0005-0000-0000-00009D440000}"/>
    <cellStyle name="Hyperlink 3 4 2" xfId="30517" xr:uid="{00000000-0005-0000-0000-00009E440000}"/>
    <cellStyle name="Hyperlink 3 5" xfId="30518" xr:uid="{00000000-0005-0000-0000-00009F440000}"/>
    <cellStyle name="Hyperlink 3 5 2" xfId="30519" xr:uid="{00000000-0005-0000-0000-0000A0440000}"/>
    <cellStyle name="Hyperlink 3 6" xfId="30520" xr:uid="{00000000-0005-0000-0000-0000A1440000}"/>
    <cellStyle name="Hyperlink 3 7" xfId="30521" xr:uid="{00000000-0005-0000-0000-0000A2440000}"/>
    <cellStyle name="Hyperlink 4" xfId="30522" xr:uid="{00000000-0005-0000-0000-0000A3440000}"/>
    <cellStyle name="Hyperlink 4 2" xfId="30523" xr:uid="{00000000-0005-0000-0000-0000A4440000}"/>
    <cellStyle name="Hyperlink 4 2 2" xfId="30524" xr:uid="{00000000-0005-0000-0000-0000A5440000}"/>
    <cellStyle name="Hyperlink 4 3" xfId="30525" xr:uid="{00000000-0005-0000-0000-0000A6440000}"/>
    <cellStyle name="Hyperlink 4 4" xfId="30526" xr:uid="{00000000-0005-0000-0000-0000A7440000}"/>
    <cellStyle name="Hyperlink 5" xfId="30527" xr:uid="{00000000-0005-0000-0000-0000A8440000}"/>
    <cellStyle name="Hyperlink 5 2" xfId="30528" xr:uid="{00000000-0005-0000-0000-0000A9440000}"/>
    <cellStyle name="Import" xfId="30529" xr:uid="{00000000-0005-0000-0000-0000AA440000}"/>
    <cellStyle name="Import 2" xfId="30530" xr:uid="{00000000-0005-0000-0000-0000AB440000}"/>
    <cellStyle name="Import 2 2" xfId="30531" xr:uid="{00000000-0005-0000-0000-0000AC440000}"/>
    <cellStyle name="Import 3" xfId="30532" xr:uid="{00000000-0005-0000-0000-0000AD440000}"/>
    <cellStyle name="Import 3 2" xfId="30533" xr:uid="{00000000-0005-0000-0000-0000AE440000}"/>
    <cellStyle name="Import 3 2 2" xfId="30534" xr:uid="{00000000-0005-0000-0000-0000AF440000}"/>
    <cellStyle name="Import 3 3" xfId="30535" xr:uid="{00000000-0005-0000-0000-0000B0440000}"/>
    <cellStyle name="Import 4" xfId="30536" xr:uid="{00000000-0005-0000-0000-0000B1440000}"/>
    <cellStyle name="Import 4 2" xfId="30537" xr:uid="{00000000-0005-0000-0000-0000B2440000}"/>
    <cellStyle name="Import 4 2 2" xfId="30538" xr:uid="{00000000-0005-0000-0000-0000B3440000}"/>
    <cellStyle name="Import 4 3" xfId="30539" xr:uid="{00000000-0005-0000-0000-0000B4440000}"/>
    <cellStyle name="Import 5" xfId="30540" xr:uid="{00000000-0005-0000-0000-0000B5440000}"/>
    <cellStyle name="Import 5 2" xfId="30541" xr:uid="{00000000-0005-0000-0000-0000B6440000}"/>
    <cellStyle name="Import 5 2 2" xfId="30542" xr:uid="{00000000-0005-0000-0000-0000B7440000}"/>
    <cellStyle name="Import 5 3" xfId="30543" xr:uid="{00000000-0005-0000-0000-0000B8440000}"/>
    <cellStyle name="Import 6" xfId="30544" xr:uid="{00000000-0005-0000-0000-0000B9440000}"/>
    <cellStyle name="Input" xfId="44331" builtinId="20" customBuiltin="1"/>
    <cellStyle name="Input [yello" xfId="30545" xr:uid="{00000000-0005-0000-0000-0000BB440000}"/>
    <cellStyle name="Input [yello 2" xfId="30546" xr:uid="{00000000-0005-0000-0000-0000BC440000}"/>
    <cellStyle name="Input [yellow]" xfId="3670" xr:uid="{00000000-0005-0000-0000-0000BD440000}"/>
    <cellStyle name="Input [yellow] 2" xfId="3671" xr:uid="{00000000-0005-0000-0000-0000BE440000}"/>
    <cellStyle name="Input [yellow] 2 2" xfId="9346" xr:uid="{00000000-0005-0000-0000-0000BF440000}"/>
    <cellStyle name="Input [yellow] 2 2 2" xfId="30549" xr:uid="{00000000-0005-0000-0000-0000C0440000}"/>
    <cellStyle name="Input [yellow] 2 2 3" xfId="30548" xr:uid="{00000000-0005-0000-0000-0000C1440000}"/>
    <cellStyle name="Input [yellow] 2 3" xfId="9347" xr:uid="{00000000-0005-0000-0000-0000C2440000}"/>
    <cellStyle name="Input [yellow] 2 3 2" xfId="30550" xr:uid="{00000000-0005-0000-0000-0000C3440000}"/>
    <cellStyle name="Input [yellow] 2 4" xfId="9348" xr:uid="{00000000-0005-0000-0000-0000C4440000}"/>
    <cellStyle name="Input [yellow] 2 5" xfId="19245" xr:uid="{00000000-0005-0000-0000-0000C5440000}"/>
    <cellStyle name="Input [yellow] 2 6" xfId="30547" xr:uid="{00000000-0005-0000-0000-0000C6440000}"/>
    <cellStyle name="Input [yellow] 3" xfId="9349" xr:uid="{00000000-0005-0000-0000-0000C7440000}"/>
    <cellStyle name="Input [yellow] 3 2" xfId="30552" xr:uid="{00000000-0005-0000-0000-0000C8440000}"/>
    <cellStyle name="Input [yellow] 3 2 2" xfId="30553" xr:uid="{00000000-0005-0000-0000-0000C9440000}"/>
    <cellStyle name="Input [yellow] 3 3" xfId="30554" xr:uid="{00000000-0005-0000-0000-0000CA440000}"/>
    <cellStyle name="Input [yellow] 3 4" xfId="30551" xr:uid="{00000000-0005-0000-0000-0000CB440000}"/>
    <cellStyle name="Input [yellow] 4" xfId="9350" xr:uid="{00000000-0005-0000-0000-0000CC440000}"/>
    <cellStyle name="Input [yellow] 4 2" xfId="30556" xr:uid="{00000000-0005-0000-0000-0000CD440000}"/>
    <cellStyle name="Input [yellow] 4 2 2" xfId="30557" xr:uid="{00000000-0005-0000-0000-0000CE440000}"/>
    <cellStyle name="Input [yellow] 4 3" xfId="30558" xr:uid="{00000000-0005-0000-0000-0000CF440000}"/>
    <cellStyle name="Input [yellow] 4 4" xfId="30555" xr:uid="{00000000-0005-0000-0000-0000D0440000}"/>
    <cellStyle name="Input [yellow] 5" xfId="9351" xr:uid="{00000000-0005-0000-0000-0000D1440000}"/>
    <cellStyle name="Input [yellow] 5 2" xfId="30560" xr:uid="{00000000-0005-0000-0000-0000D2440000}"/>
    <cellStyle name="Input [yellow] 5 3" xfId="30559" xr:uid="{00000000-0005-0000-0000-0000D3440000}"/>
    <cellStyle name="Input [yellow] 6" xfId="19244" xr:uid="{00000000-0005-0000-0000-0000D4440000}"/>
    <cellStyle name="Input [yellow] 6 2" xfId="30561" xr:uid="{00000000-0005-0000-0000-0000D5440000}"/>
    <cellStyle name="Input [yellow] 7" xfId="30562" xr:uid="{00000000-0005-0000-0000-0000D6440000}"/>
    <cellStyle name="input 10" xfId="3672" xr:uid="{00000000-0005-0000-0000-0000D7440000}"/>
    <cellStyle name="Input 10 2" xfId="3673" xr:uid="{00000000-0005-0000-0000-0000D8440000}"/>
    <cellStyle name="Input 10 2 10" xfId="30564" xr:uid="{00000000-0005-0000-0000-0000D9440000}"/>
    <cellStyle name="Input 10 2 2" xfId="3674" xr:uid="{00000000-0005-0000-0000-0000DA440000}"/>
    <cellStyle name="Input 10 2 2 2" xfId="3675" xr:uid="{00000000-0005-0000-0000-0000DB440000}"/>
    <cellStyle name="Input 10 2 2 2 2" xfId="9352" xr:uid="{00000000-0005-0000-0000-0000DC440000}"/>
    <cellStyle name="Input 10 2 2 2 3" xfId="9353" xr:uid="{00000000-0005-0000-0000-0000DD440000}"/>
    <cellStyle name="Input 10 2 2 2 4" xfId="9354" xr:uid="{00000000-0005-0000-0000-0000DE440000}"/>
    <cellStyle name="Input 10 2 2 2 5" xfId="16593" xr:uid="{00000000-0005-0000-0000-0000DF440000}"/>
    <cellStyle name="Input 10 2 2 2 6" xfId="16404" xr:uid="{00000000-0005-0000-0000-0000E0440000}"/>
    <cellStyle name="Input 10 2 2 3" xfId="3676" xr:uid="{00000000-0005-0000-0000-0000E1440000}"/>
    <cellStyle name="Input 10 2 2 3 2" xfId="9355" xr:uid="{00000000-0005-0000-0000-0000E2440000}"/>
    <cellStyle name="Input 10 2 2 3 3" xfId="9356" xr:uid="{00000000-0005-0000-0000-0000E3440000}"/>
    <cellStyle name="Input 10 2 2 3 4" xfId="9357" xr:uid="{00000000-0005-0000-0000-0000E4440000}"/>
    <cellStyle name="Input 10 2 2 3 5" xfId="16594" xr:uid="{00000000-0005-0000-0000-0000E5440000}"/>
    <cellStyle name="Input 10 2 2 3 6" xfId="15533" xr:uid="{00000000-0005-0000-0000-0000E6440000}"/>
    <cellStyle name="Input 10 2 2 4" xfId="9358" xr:uid="{00000000-0005-0000-0000-0000E7440000}"/>
    <cellStyle name="Input 10 2 2 5" xfId="9359" xr:uid="{00000000-0005-0000-0000-0000E8440000}"/>
    <cellStyle name="Input 10 2 2 6" xfId="9360" xr:uid="{00000000-0005-0000-0000-0000E9440000}"/>
    <cellStyle name="Input 10 2 2 7" xfId="16592" xr:uid="{00000000-0005-0000-0000-0000EA440000}"/>
    <cellStyle name="Input 10 2 2 8" xfId="17835" xr:uid="{00000000-0005-0000-0000-0000EB440000}"/>
    <cellStyle name="Input 10 2 3" xfId="3677" xr:uid="{00000000-0005-0000-0000-0000EC440000}"/>
    <cellStyle name="Input 10 2 3 2" xfId="9361" xr:uid="{00000000-0005-0000-0000-0000ED440000}"/>
    <cellStyle name="Input 10 2 3 3" xfId="9362" xr:uid="{00000000-0005-0000-0000-0000EE440000}"/>
    <cellStyle name="Input 10 2 3 4" xfId="9363" xr:uid="{00000000-0005-0000-0000-0000EF440000}"/>
    <cellStyle name="Input 10 2 3 5" xfId="16595" xr:uid="{00000000-0005-0000-0000-0000F0440000}"/>
    <cellStyle name="Input 10 2 3 6" xfId="17834" xr:uid="{00000000-0005-0000-0000-0000F1440000}"/>
    <cellStyle name="Input 10 2 4" xfId="3678" xr:uid="{00000000-0005-0000-0000-0000F2440000}"/>
    <cellStyle name="Input 10 2 4 2" xfId="9364" xr:uid="{00000000-0005-0000-0000-0000F3440000}"/>
    <cellStyle name="Input 10 2 4 3" xfId="9365" xr:uid="{00000000-0005-0000-0000-0000F4440000}"/>
    <cellStyle name="Input 10 2 4 4" xfId="9366" xr:uid="{00000000-0005-0000-0000-0000F5440000}"/>
    <cellStyle name="Input 10 2 4 5" xfId="16596" xr:uid="{00000000-0005-0000-0000-0000F6440000}"/>
    <cellStyle name="Input 10 2 4 6" xfId="16403" xr:uid="{00000000-0005-0000-0000-0000F7440000}"/>
    <cellStyle name="Input 10 2 5" xfId="9367" xr:uid="{00000000-0005-0000-0000-0000F8440000}"/>
    <cellStyle name="Input 10 2 6" xfId="9368" xr:uid="{00000000-0005-0000-0000-0000F9440000}"/>
    <cellStyle name="Input 10 2 7" xfId="9369" xr:uid="{00000000-0005-0000-0000-0000FA440000}"/>
    <cellStyle name="Input 10 2 8" xfId="15789" xr:uid="{00000000-0005-0000-0000-0000FB440000}"/>
    <cellStyle name="Input 10 2 9" xfId="17942" xr:uid="{00000000-0005-0000-0000-0000FC440000}"/>
    <cellStyle name="Input 10 3" xfId="3679" xr:uid="{00000000-0005-0000-0000-0000FD440000}"/>
    <cellStyle name="Input 10 3 10" xfId="30565" xr:uid="{00000000-0005-0000-0000-0000FE440000}"/>
    <cellStyle name="Input 10 3 2" xfId="3680" xr:uid="{00000000-0005-0000-0000-0000FF440000}"/>
    <cellStyle name="Input 10 3 2 2" xfId="3681" xr:uid="{00000000-0005-0000-0000-000000450000}"/>
    <cellStyle name="Input 10 3 2 2 2" xfId="9370" xr:uid="{00000000-0005-0000-0000-000001450000}"/>
    <cellStyle name="Input 10 3 2 2 3" xfId="9371" xr:uid="{00000000-0005-0000-0000-000002450000}"/>
    <cellStyle name="Input 10 3 2 2 4" xfId="9372" xr:uid="{00000000-0005-0000-0000-000003450000}"/>
    <cellStyle name="Input 10 3 2 2 5" xfId="16598" xr:uid="{00000000-0005-0000-0000-000004450000}"/>
    <cellStyle name="Input 10 3 2 2 6" xfId="17833" xr:uid="{00000000-0005-0000-0000-000005450000}"/>
    <cellStyle name="Input 10 3 2 3" xfId="3682" xr:uid="{00000000-0005-0000-0000-000006450000}"/>
    <cellStyle name="Input 10 3 2 3 2" xfId="9373" xr:uid="{00000000-0005-0000-0000-000007450000}"/>
    <cellStyle name="Input 10 3 2 3 3" xfId="9374" xr:uid="{00000000-0005-0000-0000-000008450000}"/>
    <cellStyle name="Input 10 3 2 3 4" xfId="9375" xr:uid="{00000000-0005-0000-0000-000009450000}"/>
    <cellStyle name="Input 10 3 2 3 5" xfId="16599" xr:uid="{00000000-0005-0000-0000-00000A450000}"/>
    <cellStyle name="Input 10 3 2 3 6" xfId="16402" xr:uid="{00000000-0005-0000-0000-00000B450000}"/>
    <cellStyle name="Input 10 3 2 4" xfId="9376" xr:uid="{00000000-0005-0000-0000-00000C450000}"/>
    <cellStyle name="Input 10 3 2 5" xfId="9377" xr:uid="{00000000-0005-0000-0000-00000D450000}"/>
    <cellStyle name="Input 10 3 2 6" xfId="9378" xr:uid="{00000000-0005-0000-0000-00000E450000}"/>
    <cellStyle name="Input 10 3 2 7" xfId="16597" xr:uid="{00000000-0005-0000-0000-00000F450000}"/>
    <cellStyle name="Input 10 3 2 8" xfId="15532" xr:uid="{00000000-0005-0000-0000-000010450000}"/>
    <cellStyle name="Input 10 3 3" xfId="3683" xr:uid="{00000000-0005-0000-0000-000011450000}"/>
    <cellStyle name="Input 10 3 3 2" xfId="9379" xr:uid="{00000000-0005-0000-0000-000012450000}"/>
    <cellStyle name="Input 10 3 3 3" xfId="9380" xr:uid="{00000000-0005-0000-0000-000013450000}"/>
    <cellStyle name="Input 10 3 3 4" xfId="9381" xr:uid="{00000000-0005-0000-0000-000014450000}"/>
    <cellStyle name="Input 10 3 3 5" xfId="16600" xr:uid="{00000000-0005-0000-0000-000015450000}"/>
    <cellStyle name="Input 10 3 3 6" xfId="15530" xr:uid="{00000000-0005-0000-0000-000016450000}"/>
    <cellStyle name="Input 10 3 4" xfId="3684" xr:uid="{00000000-0005-0000-0000-000017450000}"/>
    <cellStyle name="Input 10 3 4 2" xfId="9382" xr:uid="{00000000-0005-0000-0000-000018450000}"/>
    <cellStyle name="Input 10 3 4 3" xfId="9383" xr:uid="{00000000-0005-0000-0000-000019450000}"/>
    <cellStyle name="Input 10 3 4 4" xfId="9384" xr:uid="{00000000-0005-0000-0000-00001A450000}"/>
    <cellStyle name="Input 10 3 4 5" xfId="16601" xr:uid="{00000000-0005-0000-0000-00001B450000}"/>
    <cellStyle name="Input 10 3 4 6" xfId="17832" xr:uid="{00000000-0005-0000-0000-00001C450000}"/>
    <cellStyle name="Input 10 3 5" xfId="9385" xr:uid="{00000000-0005-0000-0000-00001D450000}"/>
    <cellStyle name="Input 10 3 6" xfId="9386" xr:uid="{00000000-0005-0000-0000-00001E450000}"/>
    <cellStyle name="Input 10 3 7" xfId="9387" xr:uid="{00000000-0005-0000-0000-00001F450000}"/>
    <cellStyle name="Input 10 3 8" xfId="15790" xr:uid="{00000000-0005-0000-0000-000020450000}"/>
    <cellStyle name="Input 10 3 9" xfId="16512" xr:uid="{00000000-0005-0000-0000-000021450000}"/>
    <cellStyle name="input 10 4" xfId="9388" xr:uid="{00000000-0005-0000-0000-000022450000}"/>
    <cellStyle name="input 10 5" xfId="9389" xr:uid="{00000000-0005-0000-0000-000023450000}"/>
    <cellStyle name="input 10 6" xfId="9390" xr:uid="{00000000-0005-0000-0000-000024450000}"/>
    <cellStyle name="Input 10 7" xfId="30563" xr:uid="{00000000-0005-0000-0000-000025450000}"/>
    <cellStyle name="Input 11" xfId="3685" xr:uid="{00000000-0005-0000-0000-000026450000}"/>
    <cellStyle name="Input 11 2" xfId="3686" xr:uid="{00000000-0005-0000-0000-000027450000}"/>
    <cellStyle name="Input 11 2 10" xfId="30567" xr:uid="{00000000-0005-0000-0000-000028450000}"/>
    <cellStyle name="Input 11 2 2" xfId="3687" xr:uid="{00000000-0005-0000-0000-000029450000}"/>
    <cellStyle name="Input 11 2 2 2" xfId="3688" xr:uid="{00000000-0005-0000-0000-00002A450000}"/>
    <cellStyle name="Input 11 2 2 2 2" xfId="9391" xr:uid="{00000000-0005-0000-0000-00002B450000}"/>
    <cellStyle name="Input 11 2 2 2 3" xfId="9392" xr:uid="{00000000-0005-0000-0000-00002C450000}"/>
    <cellStyle name="Input 11 2 2 2 4" xfId="9393" xr:uid="{00000000-0005-0000-0000-00002D450000}"/>
    <cellStyle name="Input 11 2 2 2 5" xfId="16603" xr:uid="{00000000-0005-0000-0000-00002E450000}"/>
    <cellStyle name="Input 11 2 2 2 6" xfId="15529" xr:uid="{00000000-0005-0000-0000-00002F450000}"/>
    <cellStyle name="Input 11 2 2 3" xfId="3689" xr:uid="{00000000-0005-0000-0000-000030450000}"/>
    <cellStyle name="Input 11 2 2 3 2" xfId="9394" xr:uid="{00000000-0005-0000-0000-000031450000}"/>
    <cellStyle name="Input 11 2 2 3 3" xfId="9395" xr:uid="{00000000-0005-0000-0000-000032450000}"/>
    <cellStyle name="Input 11 2 2 3 4" xfId="9396" xr:uid="{00000000-0005-0000-0000-000033450000}"/>
    <cellStyle name="Input 11 2 2 3 5" xfId="16604" xr:uid="{00000000-0005-0000-0000-000034450000}"/>
    <cellStyle name="Input 11 2 2 3 6" xfId="16137" xr:uid="{00000000-0005-0000-0000-000035450000}"/>
    <cellStyle name="Input 11 2 2 4" xfId="9397" xr:uid="{00000000-0005-0000-0000-000036450000}"/>
    <cellStyle name="Input 11 2 2 5" xfId="9398" xr:uid="{00000000-0005-0000-0000-000037450000}"/>
    <cellStyle name="Input 11 2 2 6" xfId="9399" xr:uid="{00000000-0005-0000-0000-000038450000}"/>
    <cellStyle name="Input 11 2 2 7" xfId="16602" xr:uid="{00000000-0005-0000-0000-000039450000}"/>
    <cellStyle name="Input 11 2 2 8" xfId="16401" xr:uid="{00000000-0005-0000-0000-00003A450000}"/>
    <cellStyle name="Input 11 2 3" xfId="3690" xr:uid="{00000000-0005-0000-0000-00003B450000}"/>
    <cellStyle name="Input 11 2 3 2" xfId="9400" xr:uid="{00000000-0005-0000-0000-00003C450000}"/>
    <cellStyle name="Input 11 2 3 3" xfId="9401" xr:uid="{00000000-0005-0000-0000-00003D450000}"/>
    <cellStyle name="Input 11 2 3 4" xfId="9402" xr:uid="{00000000-0005-0000-0000-00003E450000}"/>
    <cellStyle name="Input 11 2 3 5" xfId="16605" xr:uid="{00000000-0005-0000-0000-00003F450000}"/>
    <cellStyle name="Input 11 2 3 6" xfId="17831" xr:uid="{00000000-0005-0000-0000-000040450000}"/>
    <cellStyle name="Input 11 2 4" xfId="3691" xr:uid="{00000000-0005-0000-0000-000041450000}"/>
    <cellStyle name="Input 11 2 4 2" xfId="9403" xr:uid="{00000000-0005-0000-0000-000042450000}"/>
    <cellStyle name="Input 11 2 4 3" xfId="9404" xr:uid="{00000000-0005-0000-0000-000043450000}"/>
    <cellStyle name="Input 11 2 4 4" xfId="9405" xr:uid="{00000000-0005-0000-0000-000044450000}"/>
    <cellStyle name="Input 11 2 4 5" xfId="16606" xr:uid="{00000000-0005-0000-0000-000045450000}"/>
    <cellStyle name="Input 11 2 4 6" xfId="16400" xr:uid="{00000000-0005-0000-0000-000046450000}"/>
    <cellStyle name="Input 11 2 5" xfId="9406" xr:uid="{00000000-0005-0000-0000-000047450000}"/>
    <cellStyle name="Input 11 2 6" xfId="9407" xr:uid="{00000000-0005-0000-0000-000048450000}"/>
    <cellStyle name="Input 11 2 7" xfId="9408" xr:uid="{00000000-0005-0000-0000-000049450000}"/>
    <cellStyle name="Input 11 2 8" xfId="15791" xr:uid="{00000000-0005-0000-0000-00004A450000}"/>
    <cellStyle name="Input 11 2 9" xfId="15862" xr:uid="{00000000-0005-0000-0000-00004B450000}"/>
    <cellStyle name="Input 11 3" xfId="3692" xr:uid="{00000000-0005-0000-0000-00004C450000}"/>
    <cellStyle name="Input 11 3 10" xfId="30568" xr:uid="{00000000-0005-0000-0000-00004D450000}"/>
    <cellStyle name="Input 11 3 2" xfId="3693" xr:uid="{00000000-0005-0000-0000-00004E450000}"/>
    <cellStyle name="Input 11 3 2 2" xfId="3694" xr:uid="{00000000-0005-0000-0000-00004F450000}"/>
    <cellStyle name="Input 11 3 2 2 2" xfId="9409" xr:uid="{00000000-0005-0000-0000-000050450000}"/>
    <cellStyle name="Input 11 3 2 2 3" xfId="9410" xr:uid="{00000000-0005-0000-0000-000051450000}"/>
    <cellStyle name="Input 11 3 2 2 4" xfId="9411" xr:uid="{00000000-0005-0000-0000-000052450000}"/>
    <cellStyle name="Input 11 3 2 2 5" xfId="16608" xr:uid="{00000000-0005-0000-0000-000053450000}"/>
    <cellStyle name="Input 11 3 2 2 6" xfId="17830" xr:uid="{00000000-0005-0000-0000-000054450000}"/>
    <cellStyle name="Input 11 3 2 3" xfId="3695" xr:uid="{00000000-0005-0000-0000-000055450000}"/>
    <cellStyle name="Input 11 3 2 3 2" xfId="9412" xr:uid="{00000000-0005-0000-0000-000056450000}"/>
    <cellStyle name="Input 11 3 2 3 3" xfId="9413" xr:uid="{00000000-0005-0000-0000-000057450000}"/>
    <cellStyle name="Input 11 3 2 3 4" xfId="9414" xr:uid="{00000000-0005-0000-0000-000058450000}"/>
    <cellStyle name="Input 11 3 2 3 5" xfId="16609" xr:uid="{00000000-0005-0000-0000-000059450000}"/>
    <cellStyle name="Input 11 3 2 3 6" xfId="16399" xr:uid="{00000000-0005-0000-0000-00005A450000}"/>
    <cellStyle name="Input 11 3 2 4" xfId="9415" xr:uid="{00000000-0005-0000-0000-00005B450000}"/>
    <cellStyle name="Input 11 3 2 5" xfId="9416" xr:uid="{00000000-0005-0000-0000-00005C450000}"/>
    <cellStyle name="Input 11 3 2 6" xfId="9417" xr:uid="{00000000-0005-0000-0000-00005D450000}"/>
    <cellStyle name="Input 11 3 2 7" xfId="16607" xr:uid="{00000000-0005-0000-0000-00005E450000}"/>
    <cellStyle name="Input 11 3 2 8" xfId="15528" xr:uid="{00000000-0005-0000-0000-00005F450000}"/>
    <cellStyle name="Input 11 3 3" xfId="3696" xr:uid="{00000000-0005-0000-0000-000060450000}"/>
    <cellStyle name="Input 11 3 3 2" xfId="9418" xr:uid="{00000000-0005-0000-0000-000061450000}"/>
    <cellStyle name="Input 11 3 3 3" xfId="9419" xr:uid="{00000000-0005-0000-0000-000062450000}"/>
    <cellStyle name="Input 11 3 3 4" xfId="9420" xr:uid="{00000000-0005-0000-0000-000063450000}"/>
    <cellStyle name="Input 11 3 3 5" xfId="16610" xr:uid="{00000000-0005-0000-0000-000064450000}"/>
    <cellStyle name="Input 11 3 3 6" xfId="15527" xr:uid="{00000000-0005-0000-0000-000065450000}"/>
    <cellStyle name="Input 11 3 4" xfId="3697" xr:uid="{00000000-0005-0000-0000-000066450000}"/>
    <cellStyle name="Input 11 3 4 2" xfId="9421" xr:uid="{00000000-0005-0000-0000-000067450000}"/>
    <cellStyle name="Input 11 3 4 3" xfId="9422" xr:uid="{00000000-0005-0000-0000-000068450000}"/>
    <cellStyle name="Input 11 3 4 4" xfId="9423" xr:uid="{00000000-0005-0000-0000-000069450000}"/>
    <cellStyle name="Input 11 3 4 5" xfId="16611" xr:uid="{00000000-0005-0000-0000-00006A450000}"/>
    <cellStyle name="Input 11 3 4 6" xfId="16140" xr:uid="{00000000-0005-0000-0000-00006B450000}"/>
    <cellStyle name="Input 11 3 5" xfId="9424" xr:uid="{00000000-0005-0000-0000-00006C450000}"/>
    <cellStyle name="Input 11 3 6" xfId="9425" xr:uid="{00000000-0005-0000-0000-00006D450000}"/>
    <cellStyle name="Input 11 3 7" xfId="9426" xr:uid="{00000000-0005-0000-0000-00006E450000}"/>
    <cellStyle name="Input 11 3 8" xfId="15792" xr:uid="{00000000-0005-0000-0000-00006F450000}"/>
    <cellStyle name="Input 11 3 9" xfId="15861" xr:uid="{00000000-0005-0000-0000-000070450000}"/>
    <cellStyle name="Input 11 4" xfId="30566" xr:uid="{00000000-0005-0000-0000-000071450000}"/>
    <cellStyle name="Input 12" xfId="3698" xr:uid="{00000000-0005-0000-0000-000072450000}"/>
    <cellStyle name="Input 12 2" xfId="3699" xr:uid="{00000000-0005-0000-0000-000073450000}"/>
    <cellStyle name="Input 12 2 10" xfId="30570" xr:uid="{00000000-0005-0000-0000-000074450000}"/>
    <cellStyle name="Input 12 2 2" xfId="3700" xr:uid="{00000000-0005-0000-0000-000075450000}"/>
    <cellStyle name="Input 12 2 2 2" xfId="3701" xr:uid="{00000000-0005-0000-0000-000076450000}"/>
    <cellStyle name="Input 12 2 2 2 2" xfId="9427" xr:uid="{00000000-0005-0000-0000-000077450000}"/>
    <cellStyle name="Input 12 2 2 2 3" xfId="9428" xr:uid="{00000000-0005-0000-0000-000078450000}"/>
    <cellStyle name="Input 12 2 2 2 4" xfId="9429" xr:uid="{00000000-0005-0000-0000-000079450000}"/>
    <cellStyle name="Input 12 2 2 2 5" xfId="16613" xr:uid="{00000000-0005-0000-0000-00007A450000}"/>
    <cellStyle name="Input 12 2 2 2 6" xfId="16398" xr:uid="{00000000-0005-0000-0000-00007B450000}"/>
    <cellStyle name="Input 12 2 2 3" xfId="3702" xr:uid="{00000000-0005-0000-0000-00007C450000}"/>
    <cellStyle name="Input 12 2 2 3 2" xfId="9430" xr:uid="{00000000-0005-0000-0000-00007D450000}"/>
    <cellStyle name="Input 12 2 2 3 3" xfId="9431" xr:uid="{00000000-0005-0000-0000-00007E450000}"/>
    <cellStyle name="Input 12 2 2 3 4" xfId="9432" xr:uid="{00000000-0005-0000-0000-00007F450000}"/>
    <cellStyle name="Input 12 2 2 3 5" xfId="16614" xr:uid="{00000000-0005-0000-0000-000080450000}"/>
    <cellStyle name="Input 12 2 2 3 6" xfId="15526" xr:uid="{00000000-0005-0000-0000-000081450000}"/>
    <cellStyle name="Input 12 2 2 4" xfId="9433" xr:uid="{00000000-0005-0000-0000-000082450000}"/>
    <cellStyle name="Input 12 2 2 5" xfId="9434" xr:uid="{00000000-0005-0000-0000-000083450000}"/>
    <cellStyle name="Input 12 2 2 6" xfId="9435" xr:uid="{00000000-0005-0000-0000-000084450000}"/>
    <cellStyle name="Input 12 2 2 7" xfId="16612" xr:uid="{00000000-0005-0000-0000-000085450000}"/>
    <cellStyle name="Input 12 2 2 8" xfId="17829" xr:uid="{00000000-0005-0000-0000-000086450000}"/>
    <cellStyle name="Input 12 2 3" xfId="3703" xr:uid="{00000000-0005-0000-0000-000087450000}"/>
    <cellStyle name="Input 12 2 3 2" xfId="9436" xr:uid="{00000000-0005-0000-0000-000088450000}"/>
    <cellStyle name="Input 12 2 3 3" xfId="9437" xr:uid="{00000000-0005-0000-0000-000089450000}"/>
    <cellStyle name="Input 12 2 3 4" xfId="9438" xr:uid="{00000000-0005-0000-0000-00008A450000}"/>
    <cellStyle name="Input 12 2 3 5" xfId="16615" xr:uid="{00000000-0005-0000-0000-00008B450000}"/>
    <cellStyle name="Input 12 2 3 6" xfId="17828" xr:uid="{00000000-0005-0000-0000-00008C450000}"/>
    <cellStyle name="Input 12 2 4" xfId="3704" xr:uid="{00000000-0005-0000-0000-00008D450000}"/>
    <cellStyle name="Input 12 2 4 2" xfId="9439" xr:uid="{00000000-0005-0000-0000-00008E450000}"/>
    <cellStyle name="Input 12 2 4 3" xfId="9440" xr:uid="{00000000-0005-0000-0000-00008F450000}"/>
    <cellStyle name="Input 12 2 4 4" xfId="9441" xr:uid="{00000000-0005-0000-0000-000090450000}"/>
    <cellStyle name="Input 12 2 4 5" xfId="16616" xr:uid="{00000000-0005-0000-0000-000091450000}"/>
    <cellStyle name="Input 12 2 4 6" xfId="16397" xr:uid="{00000000-0005-0000-0000-000092450000}"/>
    <cellStyle name="Input 12 2 5" xfId="9442" xr:uid="{00000000-0005-0000-0000-000093450000}"/>
    <cellStyle name="Input 12 2 6" xfId="9443" xr:uid="{00000000-0005-0000-0000-000094450000}"/>
    <cellStyle name="Input 12 2 7" xfId="9444" xr:uid="{00000000-0005-0000-0000-000095450000}"/>
    <cellStyle name="Input 12 2 8" xfId="15793" xr:uid="{00000000-0005-0000-0000-000096450000}"/>
    <cellStyle name="Input 12 2 9" xfId="15860" xr:uid="{00000000-0005-0000-0000-000097450000}"/>
    <cellStyle name="Input 12 3" xfId="3705" xr:uid="{00000000-0005-0000-0000-000098450000}"/>
    <cellStyle name="Input 12 3 10" xfId="30571" xr:uid="{00000000-0005-0000-0000-000099450000}"/>
    <cellStyle name="Input 12 3 2" xfId="3706" xr:uid="{00000000-0005-0000-0000-00009A450000}"/>
    <cellStyle name="Input 12 3 2 2" xfId="3707" xr:uid="{00000000-0005-0000-0000-00009B450000}"/>
    <cellStyle name="Input 12 3 2 2 2" xfId="9445" xr:uid="{00000000-0005-0000-0000-00009C450000}"/>
    <cellStyle name="Input 12 3 2 2 3" xfId="9446" xr:uid="{00000000-0005-0000-0000-00009D450000}"/>
    <cellStyle name="Input 12 3 2 2 4" xfId="9447" xr:uid="{00000000-0005-0000-0000-00009E450000}"/>
    <cellStyle name="Input 12 3 2 2 5" xfId="16618" xr:uid="{00000000-0005-0000-0000-00009F450000}"/>
    <cellStyle name="Input 12 3 2 2 6" xfId="16128" xr:uid="{00000000-0005-0000-0000-0000A0450000}"/>
    <cellStyle name="Input 12 3 2 3" xfId="3708" xr:uid="{00000000-0005-0000-0000-0000A1450000}"/>
    <cellStyle name="Input 12 3 2 3 2" xfId="9448" xr:uid="{00000000-0005-0000-0000-0000A2450000}"/>
    <cellStyle name="Input 12 3 2 3 3" xfId="9449" xr:uid="{00000000-0005-0000-0000-0000A3450000}"/>
    <cellStyle name="Input 12 3 2 3 4" xfId="9450" xr:uid="{00000000-0005-0000-0000-0000A4450000}"/>
    <cellStyle name="Input 12 3 2 3 5" xfId="16619" xr:uid="{00000000-0005-0000-0000-0000A5450000}"/>
    <cellStyle name="Input 12 3 2 3 6" xfId="17827" xr:uid="{00000000-0005-0000-0000-0000A6450000}"/>
    <cellStyle name="Input 12 3 2 4" xfId="9451" xr:uid="{00000000-0005-0000-0000-0000A7450000}"/>
    <cellStyle name="Input 12 3 2 5" xfId="9452" xr:uid="{00000000-0005-0000-0000-0000A8450000}"/>
    <cellStyle name="Input 12 3 2 6" xfId="9453" xr:uid="{00000000-0005-0000-0000-0000A9450000}"/>
    <cellStyle name="Input 12 3 2 7" xfId="16617" xr:uid="{00000000-0005-0000-0000-0000AA450000}"/>
    <cellStyle name="Input 12 3 2 8" xfId="15525" xr:uid="{00000000-0005-0000-0000-0000AB450000}"/>
    <cellStyle name="Input 12 3 3" xfId="3709" xr:uid="{00000000-0005-0000-0000-0000AC450000}"/>
    <cellStyle name="Input 12 3 3 2" xfId="9454" xr:uid="{00000000-0005-0000-0000-0000AD450000}"/>
    <cellStyle name="Input 12 3 3 3" xfId="9455" xr:uid="{00000000-0005-0000-0000-0000AE450000}"/>
    <cellStyle name="Input 12 3 3 4" xfId="9456" xr:uid="{00000000-0005-0000-0000-0000AF450000}"/>
    <cellStyle name="Input 12 3 3 5" xfId="16620" xr:uid="{00000000-0005-0000-0000-0000B0450000}"/>
    <cellStyle name="Input 12 3 3 6" xfId="16396" xr:uid="{00000000-0005-0000-0000-0000B1450000}"/>
    <cellStyle name="Input 12 3 4" xfId="3710" xr:uid="{00000000-0005-0000-0000-0000B2450000}"/>
    <cellStyle name="Input 12 3 4 2" xfId="9457" xr:uid="{00000000-0005-0000-0000-0000B3450000}"/>
    <cellStyle name="Input 12 3 4 3" xfId="9458" xr:uid="{00000000-0005-0000-0000-0000B4450000}"/>
    <cellStyle name="Input 12 3 4 4" xfId="9459" xr:uid="{00000000-0005-0000-0000-0000B5450000}"/>
    <cellStyle name="Input 12 3 4 5" xfId="16621" xr:uid="{00000000-0005-0000-0000-0000B6450000}"/>
    <cellStyle name="Input 12 3 4 6" xfId="15524" xr:uid="{00000000-0005-0000-0000-0000B7450000}"/>
    <cellStyle name="Input 12 3 5" xfId="9460" xr:uid="{00000000-0005-0000-0000-0000B8450000}"/>
    <cellStyle name="Input 12 3 6" xfId="9461" xr:uid="{00000000-0005-0000-0000-0000B9450000}"/>
    <cellStyle name="Input 12 3 7" xfId="9462" xr:uid="{00000000-0005-0000-0000-0000BA450000}"/>
    <cellStyle name="Input 12 3 8" xfId="15794" xr:uid="{00000000-0005-0000-0000-0000BB450000}"/>
    <cellStyle name="Input 12 3 9" xfId="15859" xr:uid="{00000000-0005-0000-0000-0000BC450000}"/>
    <cellStyle name="Input 12 4" xfId="30569" xr:uid="{00000000-0005-0000-0000-0000BD450000}"/>
    <cellStyle name="input 13" xfId="3711" xr:uid="{00000000-0005-0000-0000-0000BE450000}"/>
    <cellStyle name="Input 13 2" xfId="3712" xr:uid="{00000000-0005-0000-0000-0000BF450000}"/>
    <cellStyle name="Input 13 2 10" xfId="30573" xr:uid="{00000000-0005-0000-0000-0000C0450000}"/>
    <cellStyle name="Input 13 2 2" xfId="3713" xr:uid="{00000000-0005-0000-0000-0000C1450000}"/>
    <cellStyle name="Input 13 2 2 2" xfId="3714" xr:uid="{00000000-0005-0000-0000-0000C2450000}"/>
    <cellStyle name="Input 13 2 2 2 2" xfId="9463" xr:uid="{00000000-0005-0000-0000-0000C3450000}"/>
    <cellStyle name="Input 13 2 2 2 3" xfId="9464" xr:uid="{00000000-0005-0000-0000-0000C4450000}"/>
    <cellStyle name="Input 13 2 2 2 4" xfId="9465" xr:uid="{00000000-0005-0000-0000-0000C5450000}"/>
    <cellStyle name="Input 13 2 2 2 5" xfId="16623" xr:uid="{00000000-0005-0000-0000-0000C6450000}"/>
    <cellStyle name="Input 13 2 2 2 6" xfId="16395" xr:uid="{00000000-0005-0000-0000-0000C7450000}"/>
    <cellStyle name="Input 13 2 2 3" xfId="3715" xr:uid="{00000000-0005-0000-0000-0000C8450000}"/>
    <cellStyle name="Input 13 2 2 3 2" xfId="9466" xr:uid="{00000000-0005-0000-0000-0000C9450000}"/>
    <cellStyle name="Input 13 2 2 3 3" xfId="9467" xr:uid="{00000000-0005-0000-0000-0000CA450000}"/>
    <cellStyle name="Input 13 2 2 3 4" xfId="9468" xr:uid="{00000000-0005-0000-0000-0000CB450000}"/>
    <cellStyle name="Input 13 2 2 3 5" xfId="16624" xr:uid="{00000000-0005-0000-0000-0000CC450000}"/>
    <cellStyle name="Input 13 2 2 3 6" xfId="15523" xr:uid="{00000000-0005-0000-0000-0000CD450000}"/>
    <cellStyle name="Input 13 2 2 4" xfId="9469" xr:uid="{00000000-0005-0000-0000-0000CE450000}"/>
    <cellStyle name="Input 13 2 2 5" xfId="9470" xr:uid="{00000000-0005-0000-0000-0000CF450000}"/>
    <cellStyle name="Input 13 2 2 6" xfId="9471" xr:uid="{00000000-0005-0000-0000-0000D0450000}"/>
    <cellStyle name="Input 13 2 2 7" xfId="16622" xr:uid="{00000000-0005-0000-0000-0000D1450000}"/>
    <cellStyle name="Input 13 2 2 8" xfId="17826" xr:uid="{00000000-0005-0000-0000-0000D2450000}"/>
    <cellStyle name="Input 13 2 3" xfId="3716" xr:uid="{00000000-0005-0000-0000-0000D3450000}"/>
    <cellStyle name="Input 13 2 3 2" xfId="9472" xr:uid="{00000000-0005-0000-0000-0000D4450000}"/>
    <cellStyle name="Input 13 2 3 3" xfId="9473" xr:uid="{00000000-0005-0000-0000-0000D5450000}"/>
    <cellStyle name="Input 13 2 3 4" xfId="9474" xr:uid="{00000000-0005-0000-0000-0000D6450000}"/>
    <cellStyle name="Input 13 2 3 5" xfId="16625" xr:uid="{00000000-0005-0000-0000-0000D7450000}"/>
    <cellStyle name="Input 13 2 3 6" xfId="16142" xr:uid="{00000000-0005-0000-0000-0000D8450000}"/>
    <cellStyle name="Input 13 2 4" xfId="3717" xr:uid="{00000000-0005-0000-0000-0000D9450000}"/>
    <cellStyle name="Input 13 2 4 2" xfId="9475" xr:uid="{00000000-0005-0000-0000-0000DA450000}"/>
    <cellStyle name="Input 13 2 4 3" xfId="9476" xr:uid="{00000000-0005-0000-0000-0000DB450000}"/>
    <cellStyle name="Input 13 2 4 4" xfId="9477" xr:uid="{00000000-0005-0000-0000-0000DC450000}"/>
    <cellStyle name="Input 13 2 4 5" xfId="16626" xr:uid="{00000000-0005-0000-0000-0000DD450000}"/>
    <cellStyle name="Input 13 2 4 6" xfId="17825" xr:uid="{00000000-0005-0000-0000-0000DE450000}"/>
    <cellStyle name="Input 13 2 5" xfId="9478" xr:uid="{00000000-0005-0000-0000-0000DF450000}"/>
    <cellStyle name="Input 13 2 6" xfId="9479" xr:uid="{00000000-0005-0000-0000-0000E0450000}"/>
    <cellStyle name="Input 13 2 7" xfId="9480" xr:uid="{00000000-0005-0000-0000-0000E1450000}"/>
    <cellStyle name="Input 13 2 8" xfId="15795" xr:uid="{00000000-0005-0000-0000-0000E2450000}"/>
    <cellStyle name="Input 13 2 9" xfId="15858" xr:uid="{00000000-0005-0000-0000-0000E3450000}"/>
    <cellStyle name="Input 13 3" xfId="3718" xr:uid="{00000000-0005-0000-0000-0000E4450000}"/>
    <cellStyle name="Input 13 3 10" xfId="30574" xr:uid="{00000000-0005-0000-0000-0000E5450000}"/>
    <cellStyle name="Input 13 3 2" xfId="3719" xr:uid="{00000000-0005-0000-0000-0000E6450000}"/>
    <cellStyle name="Input 13 3 2 2" xfId="3720" xr:uid="{00000000-0005-0000-0000-0000E7450000}"/>
    <cellStyle name="Input 13 3 2 2 2" xfId="9481" xr:uid="{00000000-0005-0000-0000-0000E8450000}"/>
    <cellStyle name="Input 13 3 2 2 3" xfId="9482" xr:uid="{00000000-0005-0000-0000-0000E9450000}"/>
    <cellStyle name="Input 13 3 2 2 4" xfId="9483" xr:uid="{00000000-0005-0000-0000-0000EA450000}"/>
    <cellStyle name="Input 13 3 2 2 5" xfId="16628" xr:uid="{00000000-0005-0000-0000-0000EB450000}"/>
    <cellStyle name="Input 13 3 2 2 6" xfId="15522" xr:uid="{00000000-0005-0000-0000-0000EC450000}"/>
    <cellStyle name="Input 13 3 2 3" xfId="3721" xr:uid="{00000000-0005-0000-0000-0000ED450000}"/>
    <cellStyle name="Input 13 3 2 3 2" xfId="9484" xr:uid="{00000000-0005-0000-0000-0000EE450000}"/>
    <cellStyle name="Input 13 3 2 3 3" xfId="9485" xr:uid="{00000000-0005-0000-0000-0000EF450000}"/>
    <cellStyle name="Input 13 3 2 3 4" xfId="9486" xr:uid="{00000000-0005-0000-0000-0000F0450000}"/>
    <cellStyle name="Input 13 3 2 3 5" xfId="16629" xr:uid="{00000000-0005-0000-0000-0000F1450000}"/>
    <cellStyle name="Input 13 3 2 3 6" xfId="17824" xr:uid="{00000000-0005-0000-0000-0000F2450000}"/>
    <cellStyle name="Input 13 3 2 4" xfId="9487" xr:uid="{00000000-0005-0000-0000-0000F3450000}"/>
    <cellStyle name="Input 13 3 2 5" xfId="9488" xr:uid="{00000000-0005-0000-0000-0000F4450000}"/>
    <cellStyle name="Input 13 3 2 6" xfId="9489" xr:uid="{00000000-0005-0000-0000-0000F5450000}"/>
    <cellStyle name="Input 13 3 2 7" xfId="16627" xr:uid="{00000000-0005-0000-0000-0000F6450000}"/>
    <cellStyle name="Input 13 3 2 8" xfId="16394" xr:uid="{00000000-0005-0000-0000-0000F7450000}"/>
    <cellStyle name="Input 13 3 3" xfId="3722" xr:uid="{00000000-0005-0000-0000-0000F8450000}"/>
    <cellStyle name="Input 13 3 3 2" xfId="9490" xr:uid="{00000000-0005-0000-0000-0000F9450000}"/>
    <cellStyle name="Input 13 3 3 3" xfId="9491" xr:uid="{00000000-0005-0000-0000-0000FA450000}"/>
    <cellStyle name="Input 13 3 3 4" xfId="9492" xr:uid="{00000000-0005-0000-0000-0000FB450000}"/>
    <cellStyle name="Input 13 3 3 5" xfId="16630" xr:uid="{00000000-0005-0000-0000-0000FC450000}"/>
    <cellStyle name="Input 13 3 3 6" xfId="16393" xr:uid="{00000000-0005-0000-0000-0000FD450000}"/>
    <cellStyle name="Input 13 3 4" xfId="3723" xr:uid="{00000000-0005-0000-0000-0000FE450000}"/>
    <cellStyle name="Input 13 3 4 2" xfId="9493" xr:uid="{00000000-0005-0000-0000-0000FF450000}"/>
    <cellStyle name="Input 13 3 4 3" xfId="9494" xr:uid="{00000000-0005-0000-0000-000000460000}"/>
    <cellStyle name="Input 13 3 4 4" xfId="9495" xr:uid="{00000000-0005-0000-0000-000001460000}"/>
    <cellStyle name="Input 13 3 4 5" xfId="16631" xr:uid="{00000000-0005-0000-0000-000002460000}"/>
    <cellStyle name="Input 13 3 4 6" xfId="15521" xr:uid="{00000000-0005-0000-0000-000003460000}"/>
    <cellStyle name="Input 13 3 5" xfId="9496" xr:uid="{00000000-0005-0000-0000-000004460000}"/>
    <cellStyle name="Input 13 3 6" xfId="9497" xr:uid="{00000000-0005-0000-0000-000005460000}"/>
    <cellStyle name="Input 13 3 7" xfId="9498" xr:uid="{00000000-0005-0000-0000-000006460000}"/>
    <cellStyle name="Input 13 3 8" xfId="15796" xr:uid="{00000000-0005-0000-0000-000007460000}"/>
    <cellStyle name="Input 13 3 9" xfId="15857" xr:uid="{00000000-0005-0000-0000-000008460000}"/>
    <cellStyle name="input 13 4" xfId="9499" xr:uid="{00000000-0005-0000-0000-000009460000}"/>
    <cellStyle name="input 13 5" xfId="9500" xr:uid="{00000000-0005-0000-0000-00000A460000}"/>
    <cellStyle name="input 13 6" xfId="9501" xr:uid="{00000000-0005-0000-0000-00000B460000}"/>
    <cellStyle name="Input 13 7" xfId="30572" xr:uid="{00000000-0005-0000-0000-00000C460000}"/>
    <cellStyle name="input 14" xfId="3724" xr:uid="{00000000-0005-0000-0000-00000D460000}"/>
    <cellStyle name="Input 14 2" xfId="3725" xr:uid="{00000000-0005-0000-0000-00000E460000}"/>
    <cellStyle name="Input 14 2 10" xfId="30576" xr:uid="{00000000-0005-0000-0000-00000F460000}"/>
    <cellStyle name="Input 14 2 2" xfId="3726" xr:uid="{00000000-0005-0000-0000-000010460000}"/>
    <cellStyle name="Input 14 2 2 2" xfId="3727" xr:uid="{00000000-0005-0000-0000-000011460000}"/>
    <cellStyle name="Input 14 2 2 2 2" xfId="9502" xr:uid="{00000000-0005-0000-0000-000012460000}"/>
    <cellStyle name="Input 14 2 2 2 3" xfId="9503" xr:uid="{00000000-0005-0000-0000-000013460000}"/>
    <cellStyle name="Input 14 2 2 2 4" xfId="9504" xr:uid="{00000000-0005-0000-0000-000014460000}"/>
    <cellStyle name="Input 14 2 2 2 5" xfId="16633" xr:uid="{00000000-0005-0000-0000-000015460000}"/>
    <cellStyle name="Input 14 2 2 2 6" xfId="17823" xr:uid="{00000000-0005-0000-0000-000016460000}"/>
    <cellStyle name="Input 14 2 2 3" xfId="3728" xr:uid="{00000000-0005-0000-0000-000017460000}"/>
    <cellStyle name="Input 14 2 2 3 2" xfId="9505" xr:uid="{00000000-0005-0000-0000-000018460000}"/>
    <cellStyle name="Input 14 2 2 3 3" xfId="9506" xr:uid="{00000000-0005-0000-0000-000019460000}"/>
    <cellStyle name="Input 14 2 2 3 4" xfId="9507" xr:uid="{00000000-0005-0000-0000-00001A460000}"/>
    <cellStyle name="Input 14 2 2 3 5" xfId="16634" xr:uid="{00000000-0005-0000-0000-00001B460000}"/>
    <cellStyle name="Input 14 2 2 3 6" xfId="16392" xr:uid="{00000000-0005-0000-0000-00001C460000}"/>
    <cellStyle name="Input 14 2 2 4" xfId="9508" xr:uid="{00000000-0005-0000-0000-00001D460000}"/>
    <cellStyle name="Input 14 2 2 5" xfId="9509" xr:uid="{00000000-0005-0000-0000-00001E460000}"/>
    <cellStyle name="Input 14 2 2 6" xfId="9510" xr:uid="{00000000-0005-0000-0000-00001F460000}"/>
    <cellStyle name="Input 14 2 2 7" xfId="16632" xr:uid="{00000000-0005-0000-0000-000020460000}"/>
    <cellStyle name="Input 14 2 2 8" xfId="16129" xr:uid="{00000000-0005-0000-0000-000021460000}"/>
    <cellStyle name="Input 14 2 3" xfId="3729" xr:uid="{00000000-0005-0000-0000-000022460000}"/>
    <cellStyle name="Input 14 2 3 2" xfId="9511" xr:uid="{00000000-0005-0000-0000-000023460000}"/>
    <cellStyle name="Input 14 2 3 3" xfId="9512" xr:uid="{00000000-0005-0000-0000-000024460000}"/>
    <cellStyle name="Input 14 2 3 4" xfId="9513" xr:uid="{00000000-0005-0000-0000-000025460000}"/>
    <cellStyle name="Input 14 2 3 5" xfId="16635" xr:uid="{00000000-0005-0000-0000-000026460000}"/>
    <cellStyle name="Input 14 2 3 6" xfId="15520" xr:uid="{00000000-0005-0000-0000-000027460000}"/>
    <cellStyle name="Input 14 2 4" xfId="3730" xr:uid="{00000000-0005-0000-0000-000028460000}"/>
    <cellStyle name="Input 14 2 4 2" xfId="9514" xr:uid="{00000000-0005-0000-0000-000029460000}"/>
    <cellStyle name="Input 14 2 4 3" xfId="9515" xr:uid="{00000000-0005-0000-0000-00002A460000}"/>
    <cellStyle name="Input 14 2 4 4" xfId="9516" xr:uid="{00000000-0005-0000-0000-00002B460000}"/>
    <cellStyle name="Input 14 2 4 5" xfId="16636" xr:uid="{00000000-0005-0000-0000-00002C460000}"/>
    <cellStyle name="Input 14 2 4 6" xfId="17822" xr:uid="{00000000-0005-0000-0000-00002D460000}"/>
    <cellStyle name="Input 14 2 5" xfId="9517" xr:uid="{00000000-0005-0000-0000-00002E460000}"/>
    <cellStyle name="Input 14 2 6" xfId="9518" xr:uid="{00000000-0005-0000-0000-00002F460000}"/>
    <cellStyle name="Input 14 2 7" xfId="9519" xr:uid="{00000000-0005-0000-0000-000030460000}"/>
    <cellStyle name="Input 14 2 8" xfId="15797" xr:uid="{00000000-0005-0000-0000-000031460000}"/>
    <cellStyle name="Input 14 2 9" xfId="15856" xr:uid="{00000000-0005-0000-0000-000032460000}"/>
    <cellStyle name="Input 14 3" xfId="3731" xr:uid="{00000000-0005-0000-0000-000033460000}"/>
    <cellStyle name="Input 14 3 10" xfId="30577" xr:uid="{00000000-0005-0000-0000-000034460000}"/>
    <cellStyle name="Input 14 3 2" xfId="3732" xr:uid="{00000000-0005-0000-0000-000035460000}"/>
    <cellStyle name="Input 14 3 2 2" xfId="3733" xr:uid="{00000000-0005-0000-0000-000036460000}"/>
    <cellStyle name="Input 14 3 2 2 2" xfId="9520" xr:uid="{00000000-0005-0000-0000-000037460000}"/>
    <cellStyle name="Input 14 3 2 2 3" xfId="9521" xr:uid="{00000000-0005-0000-0000-000038460000}"/>
    <cellStyle name="Input 14 3 2 2 4" xfId="9522" xr:uid="{00000000-0005-0000-0000-000039460000}"/>
    <cellStyle name="Input 14 3 2 2 5" xfId="16638" xr:uid="{00000000-0005-0000-0000-00003A460000}"/>
    <cellStyle name="Input 14 3 2 2 6" xfId="15519" xr:uid="{00000000-0005-0000-0000-00003B460000}"/>
    <cellStyle name="Input 14 3 2 3" xfId="3734" xr:uid="{00000000-0005-0000-0000-00003C460000}"/>
    <cellStyle name="Input 14 3 2 3 2" xfId="9523" xr:uid="{00000000-0005-0000-0000-00003D460000}"/>
    <cellStyle name="Input 14 3 2 3 3" xfId="9524" xr:uid="{00000000-0005-0000-0000-00003E460000}"/>
    <cellStyle name="Input 14 3 2 3 4" xfId="9525" xr:uid="{00000000-0005-0000-0000-00003F460000}"/>
    <cellStyle name="Input 14 3 2 3 5" xfId="16639" xr:uid="{00000000-0005-0000-0000-000040460000}"/>
    <cellStyle name="Input 14 3 2 3 6" xfId="16120" xr:uid="{00000000-0005-0000-0000-000041460000}"/>
    <cellStyle name="Input 14 3 2 4" xfId="9526" xr:uid="{00000000-0005-0000-0000-000042460000}"/>
    <cellStyle name="Input 14 3 2 5" xfId="9527" xr:uid="{00000000-0005-0000-0000-000043460000}"/>
    <cellStyle name="Input 14 3 2 6" xfId="9528" xr:uid="{00000000-0005-0000-0000-000044460000}"/>
    <cellStyle name="Input 14 3 2 7" xfId="16637" xr:uid="{00000000-0005-0000-0000-000045460000}"/>
    <cellStyle name="Input 14 3 2 8" xfId="16391" xr:uid="{00000000-0005-0000-0000-000046460000}"/>
    <cellStyle name="Input 14 3 3" xfId="3735" xr:uid="{00000000-0005-0000-0000-000047460000}"/>
    <cellStyle name="Input 14 3 3 2" xfId="9529" xr:uid="{00000000-0005-0000-0000-000048460000}"/>
    <cellStyle name="Input 14 3 3 3" xfId="9530" xr:uid="{00000000-0005-0000-0000-000049460000}"/>
    <cellStyle name="Input 14 3 3 4" xfId="9531" xr:uid="{00000000-0005-0000-0000-00004A460000}"/>
    <cellStyle name="Input 14 3 3 5" xfId="16640" xr:uid="{00000000-0005-0000-0000-00004B460000}"/>
    <cellStyle name="Input 14 3 3 6" xfId="17821" xr:uid="{00000000-0005-0000-0000-00004C460000}"/>
    <cellStyle name="Input 14 3 4" xfId="3736" xr:uid="{00000000-0005-0000-0000-00004D460000}"/>
    <cellStyle name="Input 14 3 4 2" xfId="9532" xr:uid="{00000000-0005-0000-0000-00004E460000}"/>
    <cellStyle name="Input 14 3 4 3" xfId="9533" xr:uid="{00000000-0005-0000-0000-00004F460000}"/>
    <cellStyle name="Input 14 3 4 4" xfId="9534" xr:uid="{00000000-0005-0000-0000-000050460000}"/>
    <cellStyle name="Input 14 3 4 5" xfId="16641" xr:uid="{00000000-0005-0000-0000-000051460000}"/>
    <cellStyle name="Input 14 3 4 6" xfId="16390" xr:uid="{00000000-0005-0000-0000-000052460000}"/>
    <cellStyle name="Input 14 3 5" xfId="9535" xr:uid="{00000000-0005-0000-0000-000053460000}"/>
    <cellStyle name="Input 14 3 6" xfId="9536" xr:uid="{00000000-0005-0000-0000-000054460000}"/>
    <cellStyle name="Input 14 3 7" xfId="9537" xr:uid="{00000000-0005-0000-0000-000055460000}"/>
    <cellStyle name="Input 14 3 8" xfId="15798" xr:uid="{00000000-0005-0000-0000-000056460000}"/>
    <cellStyle name="Input 14 3 9" xfId="15855" xr:uid="{00000000-0005-0000-0000-000057460000}"/>
    <cellStyle name="Input 14 4" xfId="30575" xr:uid="{00000000-0005-0000-0000-000058460000}"/>
    <cellStyle name="Input 15" xfId="3737" xr:uid="{00000000-0005-0000-0000-000059460000}"/>
    <cellStyle name="Input 15 10" xfId="3738" xr:uid="{00000000-0005-0000-0000-00005A460000}"/>
    <cellStyle name="Input 15 10 2" xfId="9538" xr:uid="{00000000-0005-0000-0000-00005B460000}"/>
    <cellStyle name="Input 15 10 3" xfId="9539" xr:uid="{00000000-0005-0000-0000-00005C460000}"/>
    <cellStyle name="Input 15 10 4" xfId="9540" xr:uid="{00000000-0005-0000-0000-00005D460000}"/>
    <cellStyle name="Input 15 10 5" xfId="16642" xr:uid="{00000000-0005-0000-0000-00005E460000}"/>
    <cellStyle name="Input 15 10 6" xfId="15518" xr:uid="{00000000-0005-0000-0000-00005F460000}"/>
    <cellStyle name="Input 15 11" xfId="9541" xr:uid="{00000000-0005-0000-0000-000060460000}"/>
    <cellStyle name="Input 15 12" xfId="9542" xr:uid="{00000000-0005-0000-0000-000061460000}"/>
    <cellStyle name="Input 15 13" xfId="9543" xr:uid="{00000000-0005-0000-0000-000062460000}"/>
    <cellStyle name="Input 15 14" xfId="15799" xr:uid="{00000000-0005-0000-0000-000063460000}"/>
    <cellStyle name="Input 15 15" xfId="15854" xr:uid="{00000000-0005-0000-0000-000064460000}"/>
    <cellStyle name="Input 15 16" xfId="30578" xr:uid="{00000000-0005-0000-0000-000065460000}"/>
    <cellStyle name="Input 15 2" xfId="3739" xr:uid="{00000000-0005-0000-0000-000066460000}"/>
    <cellStyle name="Input 15 2 10" xfId="30579" xr:uid="{00000000-0005-0000-0000-000067460000}"/>
    <cellStyle name="Input 15 2 2" xfId="3740" xr:uid="{00000000-0005-0000-0000-000068460000}"/>
    <cellStyle name="Input 15 2 2 2" xfId="3741" xr:uid="{00000000-0005-0000-0000-000069460000}"/>
    <cellStyle name="Input 15 2 2 2 2" xfId="9544" xr:uid="{00000000-0005-0000-0000-00006A460000}"/>
    <cellStyle name="Input 15 2 2 2 3" xfId="9545" xr:uid="{00000000-0005-0000-0000-00006B460000}"/>
    <cellStyle name="Input 15 2 2 2 4" xfId="9546" xr:uid="{00000000-0005-0000-0000-00006C460000}"/>
    <cellStyle name="Input 15 2 2 2 5" xfId="16644" xr:uid="{00000000-0005-0000-0000-00006D460000}"/>
    <cellStyle name="Input 15 2 2 2 6" xfId="16389" xr:uid="{00000000-0005-0000-0000-00006E460000}"/>
    <cellStyle name="Input 15 2 2 3" xfId="3742" xr:uid="{00000000-0005-0000-0000-00006F460000}"/>
    <cellStyle name="Input 15 2 2 3 2" xfId="9547" xr:uid="{00000000-0005-0000-0000-000070460000}"/>
    <cellStyle name="Input 15 2 2 3 3" xfId="9548" xr:uid="{00000000-0005-0000-0000-000071460000}"/>
    <cellStyle name="Input 15 2 2 3 4" xfId="9549" xr:uid="{00000000-0005-0000-0000-000072460000}"/>
    <cellStyle name="Input 15 2 2 3 5" xfId="16645" xr:uid="{00000000-0005-0000-0000-000073460000}"/>
    <cellStyle name="Input 15 2 2 3 6" xfId="15517" xr:uid="{00000000-0005-0000-0000-000074460000}"/>
    <cellStyle name="Input 15 2 2 4" xfId="9550" xr:uid="{00000000-0005-0000-0000-000075460000}"/>
    <cellStyle name="Input 15 2 2 5" xfId="9551" xr:uid="{00000000-0005-0000-0000-000076460000}"/>
    <cellStyle name="Input 15 2 2 6" xfId="9552" xr:uid="{00000000-0005-0000-0000-000077460000}"/>
    <cellStyle name="Input 15 2 2 7" xfId="16643" xr:uid="{00000000-0005-0000-0000-000078460000}"/>
    <cellStyle name="Input 15 2 2 8" xfId="17820" xr:uid="{00000000-0005-0000-0000-000079460000}"/>
    <cellStyle name="Input 15 2 3" xfId="3743" xr:uid="{00000000-0005-0000-0000-00007A460000}"/>
    <cellStyle name="Input 15 2 3 2" xfId="9553" xr:uid="{00000000-0005-0000-0000-00007B460000}"/>
    <cellStyle name="Input 15 2 3 3" xfId="9554" xr:uid="{00000000-0005-0000-0000-00007C460000}"/>
    <cellStyle name="Input 15 2 3 4" xfId="9555" xr:uid="{00000000-0005-0000-0000-00007D460000}"/>
    <cellStyle name="Input 15 2 3 5" xfId="16646" xr:uid="{00000000-0005-0000-0000-00007E460000}"/>
    <cellStyle name="Input 15 2 3 6" xfId="16117" xr:uid="{00000000-0005-0000-0000-00007F460000}"/>
    <cellStyle name="Input 15 2 4" xfId="3744" xr:uid="{00000000-0005-0000-0000-000080460000}"/>
    <cellStyle name="Input 15 2 4 2" xfId="9556" xr:uid="{00000000-0005-0000-0000-000081460000}"/>
    <cellStyle name="Input 15 2 4 3" xfId="9557" xr:uid="{00000000-0005-0000-0000-000082460000}"/>
    <cellStyle name="Input 15 2 4 4" xfId="9558" xr:uid="{00000000-0005-0000-0000-000083460000}"/>
    <cellStyle name="Input 15 2 4 5" xfId="16647" xr:uid="{00000000-0005-0000-0000-000084460000}"/>
    <cellStyle name="Input 15 2 4 6" xfId="17819" xr:uid="{00000000-0005-0000-0000-000085460000}"/>
    <cellStyle name="Input 15 2 5" xfId="9559" xr:uid="{00000000-0005-0000-0000-000086460000}"/>
    <cellStyle name="Input 15 2 6" xfId="9560" xr:uid="{00000000-0005-0000-0000-000087460000}"/>
    <cellStyle name="Input 15 2 7" xfId="9561" xr:uid="{00000000-0005-0000-0000-000088460000}"/>
    <cellStyle name="Input 15 2 8" xfId="15800" xr:uid="{00000000-0005-0000-0000-000089460000}"/>
    <cellStyle name="Input 15 2 9" xfId="15853" xr:uid="{00000000-0005-0000-0000-00008A460000}"/>
    <cellStyle name="Input 15 3" xfId="3745" xr:uid="{00000000-0005-0000-0000-00008B460000}"/>
    <cellStyle name="Input 15 3 10" xfId="30580" xr:uid="{00000000-0005-0000-0000-00008C460000}"/>
    <cellStyle name="Input 15 3 2" xfId="3746" xr:uid="{00000000-0005-0000-0000-00008D460000}"/>
    <cellStyle name="Input 15 3 2 2" xfId="3747" xr:uid="{00000000-0005-0000-0000-00008E460000}"/>
    <cellStyle name="Input 15 3 2 2 2" xfId="9562" xr:uid="{00000000-0005-0000-0000-00008F460000}"/>
    <cellStyle name="Input 15 3 2 2 3" xfId="9563" xr:uid="{00000000-0005-0000-0000-000090460000}"/>
    <cellStyle name="Input 15 3 2 2 4" xfId="9564" xr:uid="{00000000-0005-0000-0000-000091460000}"/>
    <cellStyle name="Input 15 3 2 2 5" xfId="16649" xr:uid="{00000000-0005-0000-0000-000092460000}"/>
    <cellStyle name="Input 15 3 2 2 6" xfId="15516" xr:uid="{00000000-0005-0000-0000-000093460000}"/>
    <cellStyle name="Input 15 3 2 3" xfId="3748" xr:uid="{00000000-0005-0000-0000-000094460000}"/>
    <cellStyle name="Input 15 3 2 3 2" xfId="9565" xr:uid="{00000000-0005-0000-0000-000095460000}"/>
    <cellStyle name="Input 15 3 2 3 3" xfId="9566" xr:uid="{00000000-0005-0000-0000-000096460000}"/>
    <cellStyle name="Input 15 3 2 3 4" xfId="9567" xr:uid="{00000000-0005-0000-0000-000097460000}"/>
    <cellStyle name="Input 15 3 2 3 5" xfId="16650" xr:uid="{00000000-0005-0000-0000-000098460000}"/>
    <cellStyle name="Input 15 3 2 3 6" xfId="17818" xr:uid="{00000000-0005-0000-0000-000099460000}"/>
    <cellStyle name="Input 15 3 2 4" xfId="9568" xr:uid="{00000000-0005-0000-0000-00009A460000}"/>
    <cellStyle name="Input 15 3 2 5" xfId="9569" xr:uid="{00000000-0005-0000-0000-00009B460000}"/>
    <cellStyle name="Input 15 3 2 6" xfId="9570" xr:uid="{00000000-0005-0000-0000-00009C460000}"/>
    <cellStyle name="Input 15 3 2 7" xfId="16648" xr:uid="{00000000-0005-0000-0000-00009D460000}"/>
    <cellStyle name="Input 15 3 2 8" xfId="16388" xr:uid="{00000000-0005-0000-0000-00009E460000}"/>
    <cellStyle name="Input 15 3 3" xfId="3749" xr:uid="{00000000-0005-0000-0000-00009F460000}"/>
    <cellStyle name="Input 15 3 3 2" xfId="9571" xr:uid="{00000000-0005-0000-0000-0000A0460000}"/>
    <cellStyle name="Input 15 3 3 3" xfId="9572" xr:uid="{00000000-0005-0000-0000-0000A1460000}"/>
    <cellStyle name="Input 15 3 3 4" xfId="9573" xr:uid="{00000000-0005-0000-0000-0000A2460000}"/>
    <cellStyle name="Input 15 3 3 5" xfId="16651" xr:uid="{00000000-0005-0000-0000-0000A3460000}"/>
    <cellStyle name="Input 15 3 3 6" xfId="16387" xr:uid="{00000000-0005-0000-0000-0000A4460000}"/>
    <cellStyle name="Input 15 3 4" xfId="3750" xr:uid="{00000000-0005-0000-0000-0000A5460000}"/>
    <cellStyle name="Input 15 3 4 2" xfId="9574" xr:uid="{00000000-0005-0000-0000-0000A6460000}"/>
    <cellStyle name="Input 15 3 4 3" xfId="9575" xr:uid="{00000000-0005-0000-0000-0000A7460000}"/>
    <cellStyle name="Input 15 3 4 4" xfId="9576" xr:uid="{00000000-0005-0000-0000-0000A8460000}"/>
    <cellStyle name="Input 15 3 4 5" xfId="16652" xr:uid="{00000000-0005-0000-0000-0000A9460000}"/>
    <cellStyle name="Input 15 3 4 6" xfId="15515" xr:uid="{00000000-0005-0000-0000-0000AA460000}"/>
    <cellStyle name="Input 15 3 5" xfId="9577" xr:uid="{00000000-0005-0000-0000-0000AB460000}"/>
    <cellStyle name="Input 15 3 6" xfId="9578" xr:uid="{00000000-0005-0000-0000-0000AC460000}"/>
    <cellStyle name="Input 15 3 7" xfId="9579" xr:uid="{00000000-0005-0000-0000-0000AD460000}"/>
    <cellStyle name="Input 15 3 8" xfId="15801" xr:uid="{00000000-0005-0000-0000-0000AE460000}"/>
    <cellStyle name="Input 15 3 9" xfId="15852" xr:uid="{00000000-0005-0000-0000-0000AF460000}"/>
    <cellStyle name="Input 15 4" xfId="3751" xr:uid="{00000000-0005-0000-0000-0000B0460000}"/>
    <cellStyle name="Input 15 4 2" xfId="3752" xr:uid="{00000000-0005-0000-0000-0000B1460000}"/>
    <cellStyle name="Input 15 4 2 2" xfId="3753" xr:uid="{00000000-0005-0000-0000-0000B2460000}"/>
    <cellStyle name="Input 15 4 2 2 2" xfId="9580" xr:uid="{00000000-0005-0000-0000-0000B3460000}"/>
    <cellStyle name="Input 15 4 2 2 3" xfId="9581" xr:uid="{00000000-0005-0000-0000-0000B4460000}"/>
    <cellStyle name="Input 15 4 2 2 4" xfId="9582" xr:uid="{00000000-0005-0000-0000-0000B5460000}"/>
    <cellStyle name="Input 15 4 2 2 5" xfId="16654" xr:uid="{00000000-0005-0000-0000-0000B6460000}"/>
    <cellStyle name="Input 15 4 2 2 6" xfId="16386" xr:uid="{00000000-0005-0000-0000-0000B7460000}"/>
    <cellStyle name="Input 15 4 2 3" xfId="3754" xr:uid="{00000000-0005-0000-0000-0000B8460000}"/>
    <cellStyle name="Input 15 4 2 3 2" xfId="9583" xr:uid="{00000000-0005-0000-0000-0000B9460000}"/>
    <cellStyle name="Input 15 4 2 3 3" xfId="9584" xr:uid="{00000000-0005-0000-0000-0000BA460000}"/>
    <cellStyle name="Input 15 4 2 3 4" xfId="9585" xr:uid="{00000000-0005-0000-0000-0000BB460000}"/>
    <cellStyle name="Input 15 4 2 3 5" xfId="16655" xr:uid="{00000000-0005-0000-0000-0000BC460000}"/>
    <cellStyle name="Input 15 4 2 3 6" xfId="15514" xr:uid="{00000000-0005-0000-0000-0000BD460000}"/>
    <cellStyle name="Input 15 4 2 4" xfId="9586" xr:uid="{00000000-0005-0000-0000-0000BE460000}"/>
    <cellStyle name="Input 15 4 2 5" xfId="9587" xr:uid="{00000000-0005-0000-0000-0000BF460000}"/>
    <cellStyle name="Input 15 4 2 6" xfId="9588" xr:uid="{00000000-0005-0000-0000-0000C0460000}"/>
    <cellStyle name="Input 15 4 2 7" xfId="16653" xr:uid="{00000000-0005-0000-0000-0000C1460000}"/>
    <cellStyle name="Input 15 4 2 8" xfId="17817" xr:uid="{00000000-0005-0000-0000-0000C2460000}"/>
    <cellStyle name="Input 15 4 3" xfId="3755" xr:uid="{00000000-0005-0000-0000-0000C3460000}"/>
    <cellStyle name="Input 15 4 3 2" xfId="9589" xr:uid="{00000000-0005-0000-0000-0000C4460000}"/>
    <cellStyle name="Input 15 4 3 3" xfId="9590" xr:uid="{00000000-0005-0000-0000-0000C5460000}"/>
    <cellStyle name="Input 15 4 3 4" xfId="9591" xr:uid="{00000000-0005-0000-0000-0000C6460000}"/>
    <cellStyle name="Input 15 4 3 5" xfId="16656" xr:uid="{00000000-0005-0000-0000-0000C7460000}"/>
    <cellStyle name="Input 15 4 3 6" xfId="17816" xr:uid="{00000000-0005-0000-0000-0000C8460000}"/>
    <cellStyle name="Input 15 4 4" xfId="3756" xr:uid="{00000000-0005-0000-0000-0000C9460000}"/>
    <cellStyle name="Input 15 4 4 2" xfId="9592" xr:uid="{00000000-0005-0000-0000-0000CA460000}"/>
    <cellStyle name="Input 15 4 4 3" xfId="9593" xr:uid="{00000000-0005-0000-0000-0000CB460000}"/>
    <cellStyle name="Input 15 4 4 4" xfId="9594" xr:uid="{00000000-0005-0000-0000-0000CC460000}"/>
    <cellStyle name="Input 15 4 4 5" xfId="16657" xr:uid="{00000000-0005-0000-0000-0000CD460000}"/>
    <cellStyle name="Input 15 4 4 6" xfId="16385" xr:uid="{00000000-0005-0000-0000-0000CE460000}"/>
    <cellStyle name="Input 15 4 5" xfId="9595" xr:uid="{00000000-0005-0000-0000-0000CF460000}"/>
    <cellStyle name="Input 15 4 6" xfId="9596" xr:uid="{00000000-0005-0000-0000-0000D0460000}"/>
    <cellStyle name="Input 15 4 7" xfId="9597" xr:uid="{00000000-0005-0000-0000-0000D1460000}"/>
    <cellStyle name="Input 15 4 8" xfId="15802" xr:uid="{00000000-0005-0000-0000-0000D2460000}"/>
    <cellStyle name="Input 15 4 9" xfId="15851" xr:uid="{00000000-0005-0000-0000-0000D3460000}"/>
    <cellStyle name="Input 15 5" xfId="3757" xr:uid="{00000000-0005-0000-0000-0000D4460000}"/>
    <cellStyle name="Input 15 5 2" xfId="3758" xr:uid="{00000000-0005-0000-0000-0000D5460000}"/>
    <cellStyle name="Input 15 5 2 2" xfId="3759" xr:uid="{00000000-0005-0000-0000-0000D6460000}"/>
    <cellStyle name="Input 15 5 2 2 2" xfId="9598" xr:uid="{00000000-0005-0000-0000-0000D7460000}"/>
    <cellStyle name="Input 15 5 2 2 3" xfId="9599" xr:uid="{00000000-0005-0000-0000-0000D8460000}"/>
    <cellStyle name="Input 15 5 2 2 4" xfId="9600" xr:uid="{00000000-0005-0000-0000-0000D9460000}"/>
    <cellStyle name="Input 15 5 2 2 5" xfId="16659" xr:uid="{00000000-0005-0000-0000-0000DA460000}"/>
    <cellStyle name="Input 15 5 2 2 6" xfId="17815" xr:uid="{00000000-0005-0000-0000-0000DB460000}"/>
    <cellStyle name="Input 15 5 2 3" xfId="3760" xr:uid="{00000000-0005-0000-0000-0000DC460000}"/>
    <cellStyle name="Input 15 5 2 3 2" xfId="9601" xr:uid="{00000000-0005-0000-0000-0000DD460000}"/>
    <cellStyle name="Input 15 5 2 3 3" xfId="9602" xr:uid="{00000000-0005-0000-0000-0000DE460000}"/>
    <cellStyle name="Input 15 5 2 3 4" xfId="9603" xr:uid="{00000000-0005-0000-0000-0000DF460000}"/>
    <cellStyle name="Input 15 5 2 3 5" xfId="16660" xr:uid="{00000000-0005-0000-0000-0000E0460000}"/>
    <cellStyle name="Input 15 5 2 3 6" xfId="16384" xr:uid="{00000000-0005-0000-0000-0000E1460000}"/>
    <cellStyle name="Input 15 5 2 4" xfId="9604" xr:uid="{00000000-0005-0000-0000-0000E2460000}"/>
    <cellStyle name="Input 15 5 2 5" xfId="9605" xr:uid="{00000000-0005-0000-0000-0000E3460000}"/>
    <cellStyle name="Input 15 5 2 6" xfId="9606" xr:uid="{00000000-0005-0000-0000-0000E4460000}"/>
    <cellStyle name="Input 15 5 2 7" xfId="16658" xr:uid="{00000000-0005-0000-0000-0000E5460000}"/>
    <cellStyle name="Input 15 5 2 8" xfId="15513" xr:uid="{00000000-0005-0000-0000-0000E6460000}"/>
    <cellStyle name="Input 15 5 3" xfId="3761" xr:uid="{00000000-0005-0000-0000-0000E7460000}"/>
    <cellStyle name="Input 15 5 3 2" xfId="9607" xr:uid="{00000000-0005-0000-0000-0000E8460000}"/>
    <cellStyle name="Input 15 5 3 3" xfId="9608" xr:uid="{00000000-0005-0000-0000-0000E9460000}"/>
    <cellStyle name="Input 15 5 3 4" xfId="9609" xr:uid="{00000000-0005-0000-0000-0000EA460000}"/>
    <cellStyle name="Input 15 5 3 5" xfId="16661" xr:uid="{00000000-0005-0000-0000-0000EB460000}"/>
    <cellStyle name="Input 15 5 3 6" xfId="15512" xr:uid="{00000000-0005-0000-0000-0000EC460000}"/>
    <cellStyle name="Input 15 5 4" xfId="3762" xr:uid="{00000000-0005-0000-0000-0000ED460000}"/>
    <cellStyle name="Input 15 5 4 2" xfId="9610" xr:uid="{00000000-0005-0000-0000-0000EE460000}"/>
    <cellStyle name="Input 15 5 4 3" xfId="9611" xr:uid="{00000000-0005-0000-0000-0000EF460000}"/>
    <cellStyle name="Input 15 5 4 4" xfId="9612" xr:uid="{00000000-0005-0000-0000-0000F0460000}"/>
    <cellStyle name="Input 15 5 4 5" xfId="16662" xr:uid="{00000000-0005-0000-0000-0000F1460000}"/>
    <cellStyle name="Input 15 5 4 6" xfId="16107" xr:uid="{00000000-0005-0000-0000-0000F2460000}"/>
    <cellStyle name="Input 15 5 5" xfId="9613" xr:uid="{00000000-0005-0000-0000-0000F3460000}"/>
    <cellStyle name="Input 15 5 6" xfId="9614" xr:uid="{00000000-0005-0000-0000-0000F4460000}"/>
    <cellStyle name="Input 15 5 7" xfId="9615" xr:uid="{00000000-0005-0000-0000-0000F5460000}"/>
    <cellStyle name="Input 15 5 8" xfId="15803" xr:uid="{00000000-0005-0000-0000-0000F6460000}"/>
    <cellStyle name="Input 15 5 9" xfId="15850" xr:uid="{00000000-0005-0000-0000-0000F7460000}"/>
    <cellStyle name="Input 15 6" xfId="3763" xr:uid="{00000000-0005-0000-0000-0000F8460000}"/>
    <cellStyle name="Input 15 6 2" xfId="3764" xr:uid="{00000000-0005-0000-0000-0000F9460000}"/>
    <cellStyle name="Input 15 6 2 2" xfId="3765" xr:uid="{00000000-0005-0000-0000-0000FA460000}"/>
    <cellStyle name="Input 15 6 2 2 2" xfId="9616" xr:uid="{00000000-0005-0000-0000-0000FB460000}"/>
    <cellStyle name="Input 15 6 2 2 3" xfId="9617" xr:uid="{00000000-0005-0000-0000-0000FC460000}"/>
    <cellStyle name="Input 15 6 2 2 4" xfId="9618" xr:uid="{00000000-0005-0000-0000-0000FD460000}"/>
    <cellStyle name="Input 15 6 2 2 5" xfId="16664" xr:uid="{00000000-0005-0000-0000-0000FE460000}"/>
    <cellStyle name="Input 15 6 2 2 6" xfId="16383" xr:uid="{00000000-0005-0000-0000-0000FF460000}"/>
    <cellStyle name="Input 15 6 2 3" xfId="3766" xr:uid="{00000000-0005-0000-0000-000000470000}"/>
    <cellStyle name="Input 15 6 2 3 2" xfId="9619" xr:uid="{00000000-0005-0000-0000-000001470000}"/>
    <cellStyle name="Input 15 6 2 3 3" xfId="9620" xr:uid="{00000000-0005-0000-0000-000002470000}"/>
    <cellStyle name="Input 15 6 2 3 4" xfId="9621" xr:uid="{00000000-0005-0000-0000-000003470000}"/>
    <cellStyle name="Input 15 6 2 3 5" xfId="16665" xr:uid="{00000000-0005-0000-0000-000004470000}"/>
    <cellStyle name="Input 15 6 2 3 6" xfId="15511" xr:uid="{00000000-0005-0000-0000-000005470000}"/>
    <cellStyle name="Input 15 6 2 4" xfId="9622" xr:uid="{00000000-0005-0000-0000-000006470000}"/>
    <cellStyle name="Input 15 6 2 5" xfId="9623" xr:uid="{00000000-0005-0000-0000-000007470000}"/>
    <cellStyle name="Input 15 6 2 6" xfId="9624" xr:uid="{00000000-0005-0000-0000-000008470000}"/>
    <cellStyle name="Input 15 6 2 7" xfId="16663" xr:uid="{00000000-0005-0000-0000-000009470000}"/>
    <cellStyle name="Input 15 6 2 8" xfId="17814" xr:uid="{00000000-0005-0000-0000-00000A470000}"/>
    <cellStyle name="Input 15 6 3" xfId="3767" xr:uid="{00000000-0005-0000-0000-00000B470000}"/>
    <cellStyle name="Input 15 6 3 2" xfId="9625" xr:uid="{00000000-0005-0000-0000-00000C470000}"/>
    <cellStyle name="Input 15 6 3 3" xfId="9626" xr:uid="{00000000-0005-0000-0000-00000D470000}"/>
    <cellStyle name="Input 15 6 3 4" xfId="9627" xr:uid="{00000000-0005-0000-0000-00000E470000}"/>
    <cellStyle name="Input 15 6 3 5" xfId="16666" xr:uid="{00000000-0005-0000-0000-00000F470000}"/>
    <cellStyle name="Input 15 6 3 6" xfId="17813" xr:uid="{00000000-0005-0000-0000-000010470000}"/>
    <cellStyle name="Input 15 6 4" xfId="3768" xr:uid="{00000000-0005-0000-0000-000011470000}"/>
    <cellStyle name="Input 15 6 4 2" xfId="9628" xr:uid="{00000000-0005-0000-0000-000012470000}"/>
    <cellStyle name="Input 15 6 4 3" xfId="9629" xr:uid="{00000000-0005-0000-0000-000013470000}"/>
    <cellStyle name="Input 15 6 4 4" xfId="9630" xr:uid="{00000000-0005-0000-0000-000014470000}"/>
    <cellStyle name="Input 15 6 4 5" xfId="16667" xr:uid="{00000000-0005-0000-0000-000015470000}"/>
    <cellStyle name="Input 15 6 4 6" xfId="16382" xr:uid="{00000000-0005-0000-0000-000016470000}"/>
    <cellStyle name="Input 15 6 5" xfId="9631" xr:uid="{00000000-0005-0000-0000-000017470000}"/>
    <cellStyle name="Input 15 6 6" xfId="9632" xr:uid="{00000000-0005-0000-0000-000018470000}"/>
    <cellStyle name="Input 15 6 7" xfId="9633" xr:uid="{00000000-0005-0000-0000-000019470000}"/>
    <cellStyle name="Input 15 6 8" xfId="15804" xr:uid="{00000000-0005-0000-0000-00001A470000}"/>
    <cellStyle name="Input 15 6 9" xfId="17941" xr:uid="{00000000-0005-0000-0000-00001B470000}"/>
    <cellStyle name="Input 15 7" xfId="3769" xr:uid="{00000000-0005-0000-0000-00001C470000}"/>
    <cellStyle name="Input 15 7 2" xfId="3770" xr:uid="{00000000-0005-0000-0000-00001D470000}"/>
    <cellStyle name="Input 15 7 2 2" xfId="3771" xr:uid="{00000000-0005-0000-0000-00001E470000}"/>
    <cellStyle name="Input 15 7 2 2 2" xfId="9634" xr:uid="{00000000-0005-0000-0000-00001F470000}"/>
    <cellStyle name="Input 15 7 2 2 3" xfId="9635" xr:uid="{00000000-0005-0000-0000-000020470000}"/>
    <cellStyle name="Input 15 7 2 2 4" xfId="9636" xr:uid="{00000000-0005-0000-0000-000021470000}"/>
    <cellStyle name="Input 15 7 2 2 5" xfId="16669" xr:uid="{00000000-0005-0000-0000-000022470000}"/>
    <cellStyle name="Input 15 7 2 2 6" xfId="17812" xr:uid="{00000000-0005-0000-0000-000023470000}"/>
    <cellStyle name="Input 15 7 2 3" xfId="3772" xr:uid="{00000000-0005-0000-0000-000024470000}"/>
    <cellStyle name="Input 15 7 2 3 2" xfId="9637" xr:uid="{00000000-0005-0000-0000-000025470000}"/>
    <cellStyle name="Input 15 7 2 3 3" xfId="9638" xr:uid="{00000000-0005-0000-0000-000026470000}"/>
    <cellStyle name="Input 15 7 2 3 4" xfId="9639" xr:uid="{00000000-0005-0000-0000-000027470000}"/>
    <cellStyle name="Input 15 7 2 3 5" xfId="16670" xr:uid="{00000000-0005-0000-0000-000028470000}"/>
    <cellStyle name="Input 15 7 2 3 6" xfId="16381" xr:uid="{00000000-0005-0000-0000-000029470000}"/>
    <cellStyle name="Input 15 7 2 4" xfId="9640" xr:uid="{00000000-0005-0000-0000-00002A470000}"/>
    <cellStyle name="Input 15 7 2 5" xfId="9641" xr:uid="{00000000-0005-0000-0000-00002B470000}"/>
    <cellStyle name="Input 15 7 2 6" xfId="9642" xr:uid="{00000000-0005-0000-0000-00002C470000}"/>
    <cellStyle name="Input 15 7 2 7" xfId="16668" xr:uid="{00000000-0005-0000-0000-00002D470000}"/>
    <cellStyle name="Input 15 7 2 8" xfId="15510" xr:uid="{00000000-0005-0000-0000-00002E470000}"/>
    <cellStyle name="Input 15 7 3" xfId="3773" xr:uid="{00000000-0005-0000-0000-00002F470000}"/>
    <cellStyle name="Input 15 7 3 2" xfId="9643" xr:uid="{00000000-0005-0000-0000-000030470000}"/>
    <cellStyle name="Input 15 7 3 3" xfId="9644" xr:uid="{00000000-0005-0000-0000-000031470000}"/>
    <cellStyle name="Input 15 7 3 4" xfId="9645" xr:uid="{00000000-0005-0000-0000-000032470000}"/>
    <cellStyle name="Input 15 7 3 5" xfId="16671" xr:uid="{00000000-0005-0000-0000-000033470000}"/>
    <cellStyle name="Input 15 7 3 6" xfId="15509" xr:uid="{00000000-0005-0000-0000-000034470000}"/>
    <cellStyle name="Input 15 7 4" xfId="3774" xr:uid="{00000000-0005-0000-0000-000035470000}"/>
    <cellStyle name="Input 15 7 4 2" xfId="9646" xr:uid="{00000000-0005-0000-0000-000036470000}"/>
    <cellStyle name="Input 15 7 4 3" xfId="9647" xr:uid="{00000000-0005-0000-0000-000037470000}"/>
    <cellStyle name="Input 15 7 4 4" xfId="9648" xr:uid="{00000000-0005-0000-0000-000038470000}"/>
    <cellStyle name="Input 15 7 4 5" xfId="16672" xr:uid="{00000000-0005-0000-0000-000039470000}"/>
    <cellStyle name="Input 15 7 4 6" xfId="17811" xr:uid="{00000000-0005-0000-0000-00003A470000}"/>
    <cellStyle name="Input 15 7 5" xfId="9649" xr:uid="{00000000-0005-0000-0000-00003B470000}"/>
    <cellStyle name="Input 15 7 6" xfId="9650" xr:uid="{00000000-0005-0000-0000-00003C470000}"/>
    <cellStyle name="Input 15 7 7" xfId="9651" xr:uid="{00000000-0005-0000-0000-00003D470000}"/>
    <cellStyle name="Input 15 7 8" xfId="15805" xr:uid="{00000000-0005-0000-0000-00003E470000}"/>
    <cellStyle name="Input 15 7 9" xfId="16511" xr:uid="{00000000-0005-0000-0000-00003F470000}"/>
    <cellStyle name="Input 15 8" xfId="3775" xr:uid="{00000000-0005-0000-0000-000040470000}"/>
    <cellStyle name="Input 15 8 2" xfId="3776" xr:uid="{00000000-0005-0000-0000-000041470000}"/>
    <cellStyle name="Input 15 8 2 2" xfId="9652" xr:uid="{00000000-0005-0000-0000-000042470000}"/>
    <cellStyle name="Input 15 8 2 3" xfId="9653" xr:uid="{00000000-0005-0000-0000-000043470000}"/>
    <cellStyle name="Input 15 8 2 4" xfId="9654" xr:uid="{00000000-0005-0000-0000-000044470000}"/>
    <cellStyle name="Input 15 8 2 5" xfId="16674" xr:uid="{00000000-0005-0000-0000-000045470000}"/>
    <cellStyle name="Input 15 8 2 6" xfId="15508" xr:uid="{00000000-0005-0000-0000-000046470000}"/>
    <cellStyle name="Input 15 8 3" xfId="3777" xr:uid="{00000000-0005-0000-0000-000047470000}"/>
    <cellStyle name="Input 15 8 3 2" xfId="9655" xr:uid="{00000000-0005-0000-0000-000048470000}"/>
    <cellStyle name="Input 15 8 3 3" xfId="9656" xr:uid="{00000000-0005-0000-0000-000049470000}"/>
    <cellStyle name="Input 15 8 3 4" xfId="9657" xr:uid="{00000000-0005-0000-0000-00004A470000}"/>
    <cellStyle name="Input 15 8 3 5" xfId="16675" xr:uid="{00000000-0005-0000-0000-00004B470000}"/>
    <cellStyle name="Input 15 8 3 6" xfId="15507" xr:uid="{00000000-0005-0000-0000-00004C470000}"/>
    <cellStyle name="Input 15 8 4" xfId="9658" xr:uid="{00000000-0005-0000-0000-00004D470000}"/>
    <cellStyle name="Input 15 8 5" xfId="9659" xr:uid="{00000000-0005-0000-0000-00004E470000}"/>
    <cellStyle name="Input 15 8 6" xfId="9660" xr:uid="{00000000-0005-0000-0000-00004F470000}"/>
    <cellStyle name="Input 15 8 7" xfId="16673" xr:uid="{00000000-0005-0000-0000-000050470000}"/>
    <cellStyle name="Input 15 8 8" xfId="16380" xr:uid="{00000000-0005-0000-0000-000051470000}"/>
    <cellStyle name="Input 15 9" xfId="3778" xr:uid="{00000000-0005-0000-0000-000052470000}"/>
    <cellStyle name="Input 15 9 2" xfId="9661" xr:uid="{00000000-0005-0000-0000-000053470000}"/>
    <cellStyle name="Input 15 9 3" xfId="9662" xr:uid="{00000000-0005-0000-0000-000054470000}"/>
    <cellStyle name="Input 15 9 4" xfId="9663" xr:uid="{00000000-0005-0000-0000-000055470000}"/>
    <cellStyle name="Input 15 9 5" xfId="16676" xr:uid="{00000000-0005-0000-0000-000056470000}"/>
    <cellStyle name="Input 15 9 6" xfId="17804" xr:uid="{00000000-0005-0000-0000-000057470000}"/>
    <cellStyle name="Input 16" xfId="3779" xr:uid="{00000000-0005-0000-0000-000058470000}"/>
    <cellStyle name="Input 16 10" xfId="30581" xr:uid="{00000000-0005-0000-0000-000059470000}"/>
    <cellStyle name="Input 16 2" xfId="3780" xr:uid="{00000000-0005-0000-0000-00005A470000}"/>
    <cellStyle name="Input 16 2 2" xfId="3781" xr:uid="{00000000-0005-0000-0000-00005B470000}"/>
    <cellStyle name="Input 16 2 2 2" xfId="9664" xr:uid="{00000000-0005-0000-0000-00005C470000}"/>
    <cellStyle name="Input 16 2 2 3" xfId="9665" xr:uid="{00000000-0005-0000-0000-00005D470000}"/>
    <cellStyle name="Input 16 2 2 4" xfId="9666" xr:uid="{00000000-0005-0000-0000-00005E470000}"/>
    <cellStyle name="Input 16 2 2 5" xfId="16678" xr:uid="{00000000-0005-0000-0000-00005F470000}"/>
    <cellStyle name="Input 16 2 2 6" xfId="17810" xr:uid="{00000000-0005-0000-0000-000060470000}"/>
    <cellStyle name="Input 16 2 3" xfId="3782" xr:uid="{00000000-0005-0000-0000-000061470000}"/>
    <cellStyle name="Input 16 2 3 2" xfId="9667" xr:uid="{00000000-0005-0000-0000-000062470000}"/>
    <cellStyle name="Input 16 2 3 3" xfId="9668" xr:uid="{00000000-0005-0000-0000-000063470000}"/>
    <cellStyle name="Input 16 2 3 4" xfId="9669" xr:uid="{00000000-0005-0000-0000-000064470000}"/>
    <cellStyle name="Input 16 2 3 5" xfId="16679" xr:uid="{00000000-0005-0000-0000-000065470000}"/>
    <cellStyle name="Input 16 2 3 6" xfId="16379" xr:uid="{00000000-0005-0000-0000-000066470000}"/>
    <cellStyle name="Input 16 2 4" xfId="9670" xr:uid="{00000000-0005-0000-0000-000067470000}"/>
    <cellStyle name="Input 16 2 5" xfId="9671" xr:uid="{00000000-0005-0000-0000-000068470000}"/>
    <cellStyle name="Input 16 2 6" xfId="9672" xr:uid="{00000000-0005-0000-0000-000069470000}"/>
    <cellStyle name="Input 16 2 7" xfId="16677" xr:uid="{00000000-0005-0000-0000-00006A470000}"/>
    <cellStyle name="Input 16 2 8" xfId="16373" xr:uid="{00000000-0005-0000-0000-00006B470000}"/>
    <cellStyle name="Input 16 2 9" xfId="30582" xr:uid="{00000000-0005-0000-0000-00006C470000}"/>
    <cellStyle name="Input 16 3" xfId="3783" xr:uid="{00000000-0005-0000-0000-00006D470000}"/>
    <cellStyle name="Input 16 3 2" xfId="9673" xr:uid="{00000000-0005-0000-0000-00006E470000}"/>
    <cellStyle name="Input 16 3 3" xfId="9674" xr:uid="{00000000-0005-0000-0000-00006F470000}"/>
    <cellStyle name="Input 16 3 4" xfId="9675" xr:uid="{00000000-0005-0000-0000-000070470000}"/>
    <cellStyle name="Input 16 3 5" xfId="16680" xr:uid="{00000000-0005-0000-0000-000071470000}"/>
    <cellStyle name="Input 16 3 6" xfId="15506" xr:uid="{00000000-0005-0000-0000-000072470000}"/>
    <cellStyle name="Input 16 3 7" xfId="30583" xr:uid="{00000000-0005-0000-0000-000073470000}"/>
    <cellStyle name="Input 16 4" xfId="3784" xr:uid="{00000000-0005-0000-0000-000074470000}"/>
    <cellStyle name="Input 16 4 2" xfId="9676" xr:uid="{00000000-0005-0000-0000-000075470000}"/>
    <cellStyle name="Input 16 4 3" xfId="9677" xr:uid="{00000000-0005-0000-0000-000076470000}"/>
    <cellStyle name="Input 16 4 4" xfId="9678" xr:uid="{00000000-0005-0000-0000-000077470000}"/>
    <cellStyle name="Input 16 4 5" xfId="16681" xr:uid="{00000000-0005-0000-0000-000078470000}"/>
    <cellStyle name="Input 16 4 6" xfId="17809" xr:uid="{00000000-0005-0000-0000-000079470000}"/>
    <cellStyle name="Input 16 5" xfId="9679" xr:uid="{00000000-0005-0000-0000-00007A470000}"/>
    <cellStyle name="Input 16 6" xfId="9680" xr:uid="{00000000-0005-0000-0000-00007B470000}"/>
    <cellStyle name="Input 16 7" xfId="9681" xr:uid="{00000000-0005-0000-0000-00007C470000}"/>
    <cellStyle name="Input 16 8" xfId="15806" xr:uid="{00000000-0005-0000-0000-00007D470000}"/>
    <cellStyle name="Input 16 9" xfId="15849" xr:uid="{00000000-0005-0000-0000-00007E470000}"/>
    <cellStyle name="Input 17" xfId="3785" xr:uid="{00000000-0005-0000-0000-00007F470000}"/>
    <cellStyle name="Input 17 10" xfId="30584" xr:uid="{00000000-0005-0000-0000-000080470000}"/>
    <cellStyle name="Input 17 2" xfId="3786" xr:uid="{00000000-0005-0000-0000-000081470000}"/>
    <cellStyle name="Input 17 2 2" xfId="3787" xr:uid="{00000000-0005-0000-0000-000082470000}"/>
    <cellStyle name="Input 17 2 2 2" xfId="9682" xr:uid="{00000000-0005-0000-0000-000083470000}"/>
    <cellStyle name="Input 17 2 2 3" xfId="9683" xr:uid="{00000000-0005-0000-0000-000084470000}"/>
    <cellStyle name="Input 17 2 2 4" xfId="9684" xr:uid="{00000000-0005-0000-0000-000085470000}"/>
    <cellStyle name="Input 17 2 2 5" xfId="16683" xr:uid="{00000000-0005-0000-0000-000086470000}"/>
    <cellStyle name="Input 17 2 2 6" xfId="15505" xr:uid="{00000000-0005-0000-0000-000087470000}"/>
    <cellStyle name="Input 17 2 3" xfId="3788" xr:uid="{00000000-0005-0000-0000-000088470000}"/>
    <cellStyle name="Input 17 2 3 2" xfId="9685" xr:uid="{00000000-0005-0000-0000-000089470000}"/>
    <cellStyle name="Input 17 2 3 3" xfId="9686" xr:uid="{00000000-0005-0000-0000-00008A470000}"/>
    <cellStyle name="Input 17 2 3 4" xfId="9687" xr:uid="{00000000-0005-0000-0000-00008B470000}"/>
    <cellStyle name="Input 17 2 3 5" xfId="16684" xr:uid="{00000000-0005-0000-0000-00008C470000}"/>
    <cellStyle name="Input 17 2 3 6" xfId="17808" xr:uid="{00000000-0005-0000-0000-00008D470000}"/>
    <cellStyle name="Input 17 2 4" xfId="9688" xr:uid="{00000000-0005-0000-0000-00008E470000}"/>
    <cellStyle name="Input 17 2 5" xfId="9689" xr:uid="{00000000-0005-0000-0000-00008F470000}"/>
    <cellStyle name="Input 17 2 6" xfId="9690" xr:uid="{00000000-0005-0000-0000-000090470000}"/>
    <cellStyle name="Input 17 2 7" xfId="16682" xr:uid="{00000000-0005-0000-0000-000091470000}"/>
    <cellStyle name="Input 17 2 8" xfId="16378" xr:uid="{00000000-0005-0000-0000-000092470000}"/>
    <cellStyle name="Input 17 2 9" xfId="30585" xr:uid="{00000000-0005-0000-0000-000093470000}"/>
    <cellStyle name="Input 17 3" xfId="3789" xr:uid="{00000000-0005-0000-0000-000094470000}"/>
    <cellStyle name="Input 17 3 2" xfId="9691" xr:uid="{00000000-0005-0000-0000-000095470000}"/>
    <cellStyle name="Input 17 3 3" xfId="9692" xr:uid="{00000000-0005-0000-0000-000096470000}"/>
    <cellStyle name="Input 17 3 4" xfId="9693" xr:uid="{00000000-0005-0000-0000-000097470000}"/>
    <cellStyle name="Input 17 3 5" xfId="16685" xr:uid="{00000000-0005-0000-0000-000098470000}"/>
    <cellStyle name="Input 17 3 6" xfId="16377" xr:uid="{00000000-0005-0000-0000-000099470000}"/>
    <cellStyle name="Input 17 3 7" xfId="30586" xr:uid="{00000000-0005-0000-0000-00009A470000}"/>
    <cellStyle name="Input 17 4" xfId="3790" xr:uid="{00000000-0005-0000-0000-00009B470000}"/>
    <cellStyle name="Input 17 4 2" xfId="9694" xr:uid="{00000000-0005-0000-0000-00009C470000}"/>
    <cellStyle name="Input 17 4 3" xfId="9695" xr:uid="{00000000-0005-0000-0000-00009D470000}"/>
    <cellStyle name="Input 17 4 4" xfId="9696" xr:uid="{00000000-0005-0000-0000-00009E470000}"/>
    <cellStyle name="Input 17 4 5" xfId="16686" xr:uid="{00000000-0005-0000-0000-00009F470000}"/>
    <cellStyle name="Input 17 4 6" xfId="15504" xr:uid="{00000000-0005-0000-0000-0000A0470000}"/>
    <cellStyle name="Input 17 5" xfId="9697" xr:uid="{00000000-0005-0000-0000-0000A1470000}"/>
    <cellStyle name="Input 17 6" xfId="9698" xr:uid="{00000000-0005-0000-0000-0000A2470000}"/>
    <cellStyle name="Input 17 7" xfId="9699" xr:uid="{00000000-0005-0000-0000-0000A3470000}"/>
    <cellStyle name="Input 17 8" xfId="15807" xr:uid="{00000000-0005-0000-0000-0000A4470000}"/>
    <cellStyle name="Input 17 9" xfId="17940" xr:uid="{00000000-0005-0000-0000-0000A5470000}"/>
    <cellStyle name="Input 18" xfId="3791" xr:uid="{00000000-0005-0000-0000-0000A6470000}"/>
    <cellStyle name="Input 18 10" xfId="30587" xr:uid="{00000000-0005-0000-0000-0000A7470000}"/>
    <cellStyle name="Input 18 2" xfId="3792" xr:uid="{00000000-0005-0000-0000-0000A8470000}"/>
    <cellStyle name="Input 18 2 2" xfId="3793" xr:uid="{00000000-0005-0000-0000-0000A9470000}"/>
    <cellStyle name="Input 18 2 2 2" xfId="9700" xr:uid="{00000000-0005-0000-0000-0000AA470000}"/>
    <cellStyle name="Input 18 2 2 3" xfId="9701" xr:uid="{00000000-0005-0000-0000-0000AB470000}"/>
    <cellStyle name="Input 18 2 2 4" xfId="9702" xr:uid="{00000000-0005-0000-0000-0000AC470000}"/>
    <cellStyle name="Input 18 2 2 5" xfId="16688" xr:uid="{00000000-0005-0000-0000-0000AD470000}"/>
    <cellStyle name="Input 18 2 2 6" xfId="16376" xr:uid="{00000000-0005-0000-0000-0000AE470000}"/>
    <cellStyle name="Input 18 2 3" xfId="3794" xr:uid="{00000000-0005-0000-0000-0000AF470000}"/>
    <cellStyle name="Input 18 2 3 2" xfId="9703" xr:uid="{00000000-0005-0000-0000-0000B0470000}"/>
    <cellStyle name="Input 18 2 3 3" xfId="9704" xr:uid="{00000000-0005-0000-0000-0000B1470000}"/>
    <cellStyle name="Input 18 2 3 4" xfId="9705" xr:uid="{00000000-0005-0000-0000-0000B2470000}"/>
    <cellStyle name="Input 18 2 3 5" xfId="16689" xr:uid="{00000000-0005-0000-0000-0000B3470000}"/>
    <cellStyle name="Input 18 2 3 6" xfId="15503" xr:uid="{00000000-0005-0000-0000-0000B4470000}"/>
    <cellStyle name="Input 18 2 4" xfId="9706" xr:uid="{00000000-0005-0000-0000-0000B5470000}"/>
    <cellStyle name="Input 18 2 5" xfId="9707" xr:uid="{00000000-0005-0000-0000-0000B6470000}"/>
    <cellStyle name="Input 18 2 6" xfId="9708" xr:uid="{00000000-0005-0000-0000-0000B7470000}"/>
    <cellStyle name="Input 18 2 7" xfId="16687" xr:uid="{00000000-0005-0000-0000-0000B8470000}"/>
    <cellStyle name="Input 18 2 8" xfId="17807" xr:uid="{00000000-0005-0000-0000-0000B9470000}"/>
    <cellStyle name="Input 18 2 9" xfId="30588" xr:uid="{00000000-0005-0000-0000-0000BA470000}"/>
    <cellStyle name="Input 18 3" xfId="3795" xr:uid="{00000000-0005-0000-0000-0000BB470000}"/>
    <cellStyle name="Input 18 3 2" xfId="9709" xr:uid="{00000000-0005-0000-0000-0000BC470000}"/>
    <cellStyle name="Input 18 3 3" xfId="9710" xr:uid="{00000000-0005-0000-0000-0000BD470000}"/>
    <cellStyle name="Input 18 3 4" xfId="9711" xr:uid="{00000000-0005-0000-0000-0000BE470000}"/>
    <cellStyle name="Input 18 3 5" xfId="16690" xr:uid="{00000000-0005-0000-0000-0000BF470000}"/>
    <cellStyle name="Input 18 3 6" xfId="17806" xr:uid="{00000000-0005-0000-0000-0000C0470000}"/>
    <cellStyle name="Input 18 3 7" xfId="30589" xr:uid="{00000000-0005-0000-0000-0000C1470000}"/>
    <cellStyle name="Input 18 4" xfId="3796" xr:uid="{00000000-0005-0000-0000-0000C2470000}"/>
    <cellStyle name="Input 18 4 2" xfId="9712" xr:uid="{00000000-0005-0000-0000-0000C3470000}"/>
    <cellStyle name="Input 18 4 3" xfId="9713" xr:uid="{00000000-0005-0000-0000-0000C4470000}"/>
    <cellStyle name="Input 18 4 4" xfId="9714" xr:uid="{00000000-0005-0000-0000-0000C5470000}"/>
    <cellStyle name="Input 18 4 5" xfId="16691" xr:uid="{00000000-0005-0000-0000-0000C6470000}"/>
    <cellStyle name="Input 18 4 6" xfId="16375" xr:uid="{00000000-0005-0000-0000-0000C7470000}"/>
    <cellStyle name="Input 18 5" xfId="9715" xr:uid="{00000000-0005-0000-0000-0000C8470000}"/>
    <cellStyle name="Input 18 6" xfId="9716" xr:uid="{00000000-0005-0000-0000-0000C9470000}"/>
    <cellStyle name="Input 18 7" xfId="9717" xr:uid="{00000000-0005-0000-0000-0000CA470000}"/>
    <cellStyle name="Input 18 8" xfId="15808" xr:uid="{00000000-0005-0000-0000-0000CB470000}"/>
    <cellStyle name="Input 18 9" xfId="16510" xr:uid="{00000000-0005-0000-0000-0000CC470000}"/>
    <cellStyle name="Input 19" xfId="3797" xr:uid="{00000000-0005-0000-0000-0000CD470000}"/>
    <cellStyle name="Input 19 10" xfId="30590" xr:uid="{00000000-0005-0000-0000-0000CE470000}"/>
    <cellStyle name="Input 19 2" xfId="3798" xr:uid="{00000000-0005-0000-0000-0000CF470000}"/>
    <cellStyle name="Input 19 2 2" xfId="3799" xr:uid="{00000000-0005-0000-0000-0000D0470000}"/>
    <cellStyle name="Input 19 2 2 2" xfId="9718" xr:uid="{00000000-0005-0000-0000-0000D1470000}"/>
    <cellStyle name="Input 19 2 2 3" xfId="9719" xr:uid="{00000000-0005-0000-0000-0000D2470000}"/>
    <cellStyle name="Input 19 2 2 4" xfId="9720" xr:uid="{00000000-0005-0000-0000-0000D3470000}"/>
    <cellStyle name="Input 19 2 2 5" xfId="16693" xr:uid="{00000000-0005-0000-0000-0000D4470000}"/>
    <cellStyle name="Input 19 2 2 6" xfId="17805" xr:uid="{00000000-0005-0000-0000-0000D5470000}"/>
    <cellStyle name="Input 19 2 3" xfId="3800" xr:uid="{00000000-0005-0000-0000-0000D6470000}"/>
    <cellStyle name="Input 19 2 3 2" xfId="9721" xr:uid="{00000000-0005-0000-0000-0000D7470000}"/>
    <cellStyle name="Input 19 2 3 3" xfId="9722" xr:uid="{00000000-0005-0000-0000-0000D8470000}"/>
    <cellStyle name="Input 19 2 3 4" xfId="9723" xr:uid="{00000000-0005-0000-0000-0000D9470000}"/>
    <cellStyle name="Input 19 2 3 5" xfId="16694" xr:uid="{00000000-0005-0000-0000-0000DA470000}"/>
    <cellStyle name="Input 19 2 3 6" xfId="16374" xr:uid="{00000000-0005-0000-0000-0000DB470000}"/>
    <cellStyle name="Input 19 2 4" xfId="9724" xr:uid="{00000000-0005-0000-0000-0000DC470000}"/>
    <cellStyle name="Input 19 2 5" xfId="9725" xr:uid="{00000000-0005-0000-0000-0000DD470000}"/>
    <cellStyle name="Input 19 2 6" xfId="9726" xr:uid="{00000000-0005-0000-0000-0000DE470000}"/>
    <cellStyle name="Input 19 2 7" xfId="16692" xr:uid="{00000000-0005-0000-0000-0000DF470000}"/>
    <cellStyle name="Input 19 2 8" xfId="15502" xr:uid="{00000000-0005-0000-0000-0000E0470000}"/>
    <cellStyle name="Input 19 2 9" xfId="30591" xr:uid="{00000000-0005-0000-0000-0000E1470000}"/>
    <cellStyle name="Input 19 3" xfId="3801" xr:uid="{00000000-0005-0000-0000-0000E2470000}"/>
    <cellStyle name="Input 19 3 2" xfId="9727" xr:uid="{00000000-0005-0000-0000-0000E3470000}"/>
    <cellStyle name="Input 19 3 3" xfId="9728" xr:uid="{00000000-0005-0000-0000-0000E4470000}"/>
    <cellStyle name="Input 19 3 4" xfId="9729" xr:uid="{00000000-0005-0000-0000-0000E5470000}"/>
    <cellStyle name="Input 19 3 5" xfId="16695" xr:uid="{00000000-0005-0000-0000-0000E6470000}"/>
    <cellStyle name="Input 19 3 6" xfId="15501" xr:uid="{00000000-0005-0000-0000-0000E7470000}"/>
    <cellStyle name="Input 19 3 7" xfId="30592" xr:uid="{00000000-0005-0000-0000-0000E8470000}"/>
    <cellStyle name="Input 19 4" xfId="3802" xr:uid="{00000000-0005-0000-0000-0000E9470000}"/>
    <cellStyle name="Input 19 4 2" xfId="9730" xr:uid="{00000000-0005-0000-0000-0000EA470000}"/>
    <cellStyle name="Input 19 4 3" xfId="9731" xr:uid="{00000000-0005-0000-0000-0000EB470000}"/>
    <cellStyle name="Input 19 4 4" xfId="9732" xr:uid="{00000000-0005-0000-0000-0000EC470000}"/>
    <cellStyle name="Input 19 4 5" xfId="16696" xr:uid="{00000000-0005-0000-0000-0000ED470000}"/>
    <cellStyle name="Input 19 4 6" xfId="15500" xr:uid="{00000000-0005-0000-0000-0000EE470000}"/>
    <cellStyle name="Input 19 5" xfId="9733" xr:uid="{00000000-0005-0000-0000-0000EF470000}"/>
    <cellStyle name="Input 19 6" xfId="9734" xr:uid="{00000000-0005-0000-0000-0000F0470000}"/>
    <cellStyle name="Input 19 7" xfId="9735" xr:uid="{00000000-0005-0000-0000-0000F1470000}"/>
    <cellStyle name="Input 19 8" xfId="15809" xr:uid="{00000000-0005-0000-0000-0000F2470000}"/>
    <cellStyle name="Input 19 9" xfId="15848" xr:uid="{00000000-0005-0000-0000-0000F3470000}"/>
    <cellStyle name="input 2" xfId="3803" xr:uid="{00000000-0005-0000-0000-0000F4470000}"/>
    <cellStyle name="Input 2 2" xfId="3804" xr:uid="{00000000-0005-0000-0000-0000F5470000}"/>
    <cellStyle name="Input 2 2 10" xfId="30593" xr:uid="{00000000-0005-0000-0000-0000F6470000}"/>
    <cellStyle name="Input 2 2 2" xfId="3805" xr:uid="{00000000-0005-0000-0000-0000F7470000}"/>
    <cellStyle name="Input 2 2 2 2" xfId="3806" xr:uid="{00000000-0005-0000-0000-0000F8470000}"/>
    <cellStyle name="Input 2 2 2 2 2" xfId="9736" xr:uid="{00000000-0005-0000-0000-0000F9470000}"/>
    <cellStyle name="Input 2 2 2 2 3" xfId="9737" xr:uid="{00000000-0005-0000-0000-0000FA470000}"/>
    <cellStyle name="Input 2 2 2 2 4" xfId="9738" xr:uid="{00000000-0005-0000-0000-0000FB470000}"/>
    <cellStyle name="Input 2 2 2 2 5" xfId="16698" xr:uid="{00000000-0005-0000-0000-0000FC470000}"/>
    <cellStyle name="Input 2 2 2 2 6" xfId="16372" xr:uid="{00000000-0005-0000-0000-0000FD470000}"/>
    <cellStyle name="Input 2 2 2 2 7" xfId="30595" xr:uid="{00000000-0005-0000-0000-0000FE470000}"/>
    <cellStyle name="Input 2 2 2 3" xfId="3807" xr:uid="{00000000-0005-0000-0000-0000FF470000}"/>
    <cellStyle name="Input 2 2 2 3 2" xfId="9739" xr:uid="{00000000-0005-0000-0000-000000480000}"/>
    <cellStyle name="Input 2 2 2 3 3" xfId="9740" xr:uid="{00000000-0005-0000-0000-000001480000}"/>
    <cellStyle name="Input 2 2 2 3 4" xfId="9741" xr:uid="{00000000-0005-0000-0000-000002480000}"/>
    <cellStyle name="Input 2 2 2 3 5" xfId="16699" xr:uid="{00000000-0005-0000-0000-000003480000}"/>
    <cellStyle name="Input 2 2 2 3 6" xfId="15499" xr:uid="{00000000-0005-0000-0000-000004480000}"/>
    <cellStyle name="Input 2 2 2 4" xfId="9742" xr:uid="{00000000-0005-0000-0000-000005480000}"/>
    <cellStyle name="Input 2 2 2 5" xfId="9743" xr:uid="{00000000-0005-0000-0000-000006480000}"/>
    <cellStyle name="Input 2 2 2 6" xfId="9744" xr:uid="{00000000-0005-0000-0000-000007480000}"/>
    <cellStyle name="Input 2 2 2 7" xfId="16697" xr:uid="{00000000-0005-0000-0000-000008480000}"/>
    <cellStyle name="Input 2 2 2 8" xfId="17803" xr:uid="{00000000-0005-0000-0000-000009480000}"/>
    <cellStyle name="Input 2 2 2 9" xfId="30594" xr:uid="{00000000-0005-0000-0000-00000A480000}"/>
    <cellStyle name="Input 2 2 3" xfId="3808" xr:uid="{00000000-0005-0000-0000-00000B480000}"/>
    <cellStyle name="Input 2 2 3 2" xfId="9745" xr:uid="{00000000-0005-0000-0000-00000C480000}"/>
    <cellStyle name="Input 2 2 3 2 2" xfId="30597" xr:uid="{00000000-0005-0000-0000-00000D480000}"/>
    <cellStyle name="Input 2 2 3 3" xfId="9746" xr:uid="{00000000-0005-0000-0000-00000E480000}"/>
    <cellStyle name="Input 2 2 3 4" xfId="9747" xr:uid="{00000000-0005-0000-0000-00000F480000}"/>
    <cellStyle name="Input 2 2 3 5" xfId="16700" xr:uid="{00000000-0005-0000-0000-000010480000}"/>
    <cellStyle name="Input 2 2 3 6" xfId="17802" xr:uid="{00000000-0005-0000-0000-000011480000}"/>
    <cellStyle name="Input 2 2 3 7" xfId="30596" xr:uid="{00000000-0005-0000-0000-000012480000}"/>
    <cellStyle name="Input 2 2 4" xfId="3809" xr:uid="{00000000-0005-0000-0000-000013480000}"/>
    <cellStyle name="Input 2 2 4 2" xfId="9748" xr:uid="{00000000-0005-0000-0000-000014480000}"/>
    <cellStyle name="Input 2 2 4 3" xfId="9749" xr:uid="{00000000-0005-0000-0000-000015480000}"/>
    <cellStyle name="Input 2 2 4 4" xfId="9750" xr:uid="{00000000-0005-0000-0000-000016480000}"/>
    <cellStyle name="Input 2 2 4 5" xfId="16701" xr:uid="{00000000-0005-0000-0000-000017480000}"/>
    <cellStyle name="Input 2 2 4 6" xfId="16371" xr:uid="{00000000-0005-0000-0000-000018480000}"/>
    <cellStyle name="Input 2 2 4 7" xfId="30598" xr:uid="{00000000-0005-0000-0000-000019480000}"/>
    <cellStyle name="Input 2 2 5" xfId="9751" xr:uid="{00000000-0005-0000-0000-00001A480000}"/>
    <cellStyle name="Input 2 2 6" xfId="9752" xr:uid="{00000000-0005-0000-0000-00001B480000}"/>
    <cellStyle name="Input 2 2 7" xfId="9753" xr:uid="{00000000-0005-0000-0000-00001C480000}"/>
    <cellStyle name="Input 2 2 8" xfId="15810" xr:uid="{00000000-0005-0000-0000-00001D480000}"/>
    <cellStyle name="Input 2 2 9" xfId="15847" xr:uid="{00000000-0005-0000-0000-00001E480000}"/>
    <cellStyle name="Input 2 3" xfId="3810" xr:uid="{00000000-0005-0000-0000-00001F480000}"/>
    <cellStyle name="Input 2 3 10" xfId="30599" xr:uid="{00000000-0005-0000-0000-000020480000}"/>
    <cellStyle name="Input 2 3 2" xfId="3811" xr:uid="{00000000-0005-0000-0000-000021480000}"/>
    <cellStyle name="Input 2 3 2 2" xfId="3812" xr:uid="{00000000-0005-0000-0000-000022480000}"/>
    <cellStyle name="Input 2 3 2 2 2" xfId="9754" xr:uid="{00000000-0005-0000-0000-000023480000}"/>
    <cellStyle name="Input 2 3 2 2 3" xfId="9755" xr:uid="{00000000-0005-0000-0000-000024480000}"/>
    <cellStyle name="Input 2 3 2 2 4" xfId="9756" xr:uid="{00000000-0005-0000-0000-000025480000}"/>
    <cellStyle name="Input 2 3 2 2 5" xfId="16703" xr:uid="{00000000-0005-0000-0000-000026480000}"/>
    <cellStyle name="Input 2 3 2 2 6" xfId="15489" xr:uid="{00000000-0005-0000-0000-000027480000}"/>
    <cellStyle name="Input 2 3 2 3" xfId="3813" xr:uid="{00000000-0005-0000-0000-000028480000}"/>
    <cellStyle name="Input 2 3 2 3 2" xfId="9757" xr:uid="{00000000-0005-0000-0000-000029480000}"/>
    <cellStyle name="Input 2 3 2 3 3" xfId="9758" xr:uid="{00000000-0005-0000-0000-00002A480000}"/>
    <cellStyle name="Input 2 3 2 3 4" xfId="9759" xr:uid="{00000000-0005-0000-0000-00002B480000}"/>
    <cellStyle name="Input 2 3 2 3 5" xfId="16704" xr:uid="{00000000-0005-0000-0000-00002C480000}"/>
    <cellStyle name="Input 2 3 2 3 6" xfId="17801" xr:uid="{00000000-0005-0000-0000-00002D480000}"/>
    <cellStyle name="Input 2 3 2 4" xfId="9760" xr:uid="{00000000-0005-0000-0000-00002E480000}"/>
    <cellStyle name="Input 2 3 2 5" xfId="9761" xr:uid="{00000000-0005-0000-0000-00002F480000}"/>
    <cellStyle name="Input 2 3 2 6" xfId="9762" xr:uid="{00000000-0005-0000-0000-000030480000}"/>
    <cellStyle name="Input 2 3 2 7" xfId="16702" xr:uid="{00000000-0005-0000-0000-000031480000}"/>
    <cellStyle name="Input 2 3 2 8" xfId="15498" xr:uid="{00000000-0005-0000-0000-000032480000}"/>
    <cellStyle name="Input 2 3 2 9" xfId="30600" xr:uid="{00000000-0005-0000-0000-000033480000}"/>
    <cellStyle name="Input 2 3 3" xfId="3814" xr:uid="{00000000-0005-0000-0000-000034480000}"/>
    <cellStyle name="Input 2 3 3 2" xfId="9763" xr:uid="{00000000-0005-0000-0000-000035480000}"/>
    <cellStyle name="Input 2 3 3 3" xfId="9764" xr:uid="{00000000-0005-0000-0000-000036480000}"/>
    <cellStyle name="Input 2 3 3 4" xfId="9765" xr:uid="{00000000-0005-0000-0000-000037480000}"/>
    <cellStyle name="Input 2 3 3 5" xfId="16705" xr:uid="{00000000-0005-0000-0000-000038480000}"/>
    <cellStyle name="Input 2 3 3 6" xfId="16370" xr:uid="{00000000-0005-0000-0000-000039480000}"/>
    <cellStyle name="Input 2 3 4" xfId="3815" xr:uid="{00000000-0005-0000-0000-00003A480000}"/>
    <cellStyle name="Input 2 3 4 2" xfId="9766" xr:uid="{00000000-0005-0000-0000-00003B480000}"/>
    <cellStyle name="Input 2 3 4 3" xfId="9767" xr:uid="{00000000-0005-0000-0000-00003C480000}"/>
    <cellStyle name="Input 2 3 4 4" xfId="9768" xr:uid="{00000000-0005-0000-0000-00003D480000}"/>
    <cellStyle name="Input 2 3 4 5" xfId="16706" xr:uid="{00000000-0005-0000-0000-00003E480000}"/>
    <cellStyle name="Input 2 3 4 6" xfId="15497" xr:uid="{00000000-0005-0000-0000-00003F480000}"/>
    <cellStyle name="Input 2 3 5" xfId="9769" xr:uid="{00000000-0005-0000-0000-000040480000}"/>
    <cellStyle name="Input 2 3 6" xfId="9770" xr:uid="{00000000-0005-0000-0000-000041480000}"/>
    <cellStyle name="Input 2 3 7" xfId="9771" xr:uid="{00000000-0005-0000-0000-000042480000}"/>
    <cellStyle name="Input 2 3 8" xfId="15811" xr:uid="{00000000-0005-0000-0000-000043480000}"/>
    <cellStyle name="Input 2 3 9" xfId="15846" xr:uid="{00000000-0005-0000-0000-000044480000}"/>
    <cellStyle name="input 2 4" xfId="9772" xr:uid="{00000000-0005-0000-0000-000045480000}"/>
    <cellStyle name="Input 2 4 2" xfId="30602" xr:uid="{00000000-0005-0000-0000-000046480000}"/>
    <cellStyle name="Input 2 4 3" xfId="30601" xr:uid="{00000000-0005-0000-0000-000047480000}"/>
    <cellStyle name="input 2 5" xfId="9773" xr:uid="{00000000-0005-0000-0000-000048480000}"/>
    <cellStyle name="Input 2 5 2" xfId="30604" xr:uid="{00000000-0005-0000-0000-000049480000}"/>
    <cellStyle name="Input 2 5 3" xfId="30603" xr:uid="{00000000-0005-0000-0000-00004A480000}"/>
    <cellStyle name="input 2 6" xfId="9774" xr:uid="{00000000-0005-0000-0000-00004B480000}"/>
    <cellStyle name="Input 2 6 2" xfId="30605" xr:uid="{00000000-0005-0000-0000-00004C480000}"/>
    <cellStyle name="Input 2 7" xfId="30606" xr:uid="{00000000-0005-0000-0000-00004D480000}"/>
    <cellStyle name="Input 20" xfId="3816" xr:uid="{00000000-0005-0000-0000-00004E480000}"/>
    <cellStyle name="Input 20 10" xfId="30607" xr:uid="{00000000-0005-0000-0000-00004F480000}"/>
    <cellStyle name="Input 20 2" xfId="3817" xr:uid="{00000000-0005-0000-0000-000050480000}"/>
    <cellStyle name="Input 20 2 2" xfId="3818" xr:uid="{00000000-0005-0000-0000-000051480000}"/>
    <cellStyle name="Input 20 2 2 2" xfId="9775" xr:uid="{00000000-0005-0000-0000-000052480000}"/>
    <cellStyle name="Input 20 2 2 3" xfId="9776" xr:uid="{00000000-0005-0000-0000-000053480000}"/>
    <cellStyle name="Input 20 2 2 4" xfId="9777" xr:uid="{00000000-0005-0000-0000-000054480000}"/>
    <cellStyle name="Input 20 2 2 5" xfId="16708" xr:uid="{00000000-0005-0000-0000-000055480000}"/>
    <cellStyle name="Input 20 2 2 6" xfId="16369" xr:uid="{00000000-0005-0000-0000-000056480000}"/>
    <cellStyle name="Input 20 2 3" xfId="3819" xr:uid="{00000000-0005-0000-0000-000057480000}"/>
    <cellStyle name="Input 20 2 3 2" xfId="9778" xr:uid="{00000000-0005-0000-0000-000058480000}"/>
    <cellStyle name="Input 20 2 3 3" xfId="9779" xr:uid="{00000000-0005-0000-0000-000059480000}"/>
    <cellStyle name="Input 20 2 3 4" xfId="9780" xr:uid="{00000000-0005-0000-0000-00005A480000}"/>
    <cellStyle name="Input 20 2 3 5" xfId="16709" xr:uid="{00000000-0005-0000-0000-00005B480000}"/>
    <cellStyle name="Input 20 2 3 6" xfId="15496" xr:uid="{00000000-0005-0000-0000-00005C480000}"/>
    <cellStyle name="Input 20 2 4" xfId="9781" xr:uid="{00000000-0005-0000-0000-00005D480000}"/>
    <cellStyle name="Input 20 2 5" xfId="9782" xr:uid="{00000000-0005-0000-0000-00005E480000}"/>
    <cellStyle name="Input 20 2 6" xfId="9783" xr:uid="{00000000-0005-0000-0000-00005F480000}"/>
    <cellStyle name="Input 20 2 7" xfId="16707" xr:uid="{00000000-0005-0000-0000-000060480000}"/>
    <cellStyle name="Input 20 2 8" xfId="17800" xr:uid="{00000000-0005-0000-0000-000061480000}"/>
    <cellStyle name="Input 20 2 9" xfId="30608" xr:uid="{00000000-0005-0000-0000-000062480000}"/>
    <cellStyle name="Input 20 3" xfId="3820" xr:uid="{00000000-0005-0000-0000-000063480000}"/>
    <cellStyle name="Input 20 3 2" xfId="9784" xr:uid="{00000000-0005-0000-0000-000064480000}"/>
    <cellStyle name="Input 20 3 3" xfId="9785" xr:uid="{00000000-0005-0000-0000-000065480000}"/>
    <cellStyle name="Input 20 3 4" xfId="9786" xr:uid="{00000000-0005-0000-0000-000066480000}"/>
    <cellStyle name="Input 20 3 5" xfId="16710" xr:uid="{00000000-0005-0000-0000-000067480000}"/>
    <cellStyle name="Input 20 3 6" xfId="17799" xr:uid="{00000000-0005-0000-0000-000068480000}"/>
    <cellStyle name="Input 20 3 7" xfId="30609" xr:uid="{00000000-0005-0000-0000-000069480000}"/>
    <cellStyle name="Input 20 4" xfId="3821" xr:uid="{00000000-0005-0000-0000-00006A480000}"/>
    <cellStyle name="Input 20 4 2" xfId="9787" xr:uid="{00000000-0005-0000-0000-00006B480000}"/>
    <cellStyle name="Input 20 4 3" xfId="9788" xr:uid="{00000000-0005-0000-0000-00006C480000}"/>
    <cellStyle name="Input 20 4 4" xfId="9789" xr:uid="{00000000-0005-0000-0000-00006D480000}"/>
    <cellStyle name="Input 20 4 5" xfId="16711" xr:uid="{00000000-0005-0000-0000-00006E480000}"/>
    <cellStyle name="Input 20 4 6" xfId="16368" xr:uid="{00000000-0005-0000-0000-00006F480000}"/>
    <cellStyle name="Input 20 5" xfId="9790" xr:uid="{00000000-0005-0000-0000-000070480000}"/>
    <cellStyle name="Input 20 6" xfId="9791" xr:uid="{00000000-0005-0000-0000-000071480000}"/>
    <cellStyle name="Input 20 7" xfId="9792" xr:uid="{00000000-0005-0000-0000-000072480000}"/>
    <cellStyle name="Input 20 8" xfId="15812" xr:uid="{00000000-0005-0000-0000-000073480000}"/>
    <cellStyle name="Input 20 9" xfId="15845" xr:uid="{00000000-0005-0000-0000-000074480000}"/>
    <cellStyle name="Input 21" xfId="3822" xr:uid="{00000000-0005-0000-0000-000075480000}"/>
    <cellStyle name="Input 21 10" xfId="30610" xr:uid="{00000000-0005-0000-0000-000076480000}"/>
    <cellStyle name="Input 21 2" xfId="3823" xr:uid="{00000000-0005-0000-0000-000077480000}"/>
    <cellStyle name="Input 21 2 2" xfId="3824" xr:uid="{00000000-0005-0000-0000-000078480000}"/>
    <cellStyle name="Input 21 2 2 2" xfId="9793" xr:uid="{00000000-0005-0000-0000-000079480000}"/>
    <cellStyle name="Input 21 2 2 3" xfId="9794" xr:uid="{00000000-0005-0000-0000-00007A480000}"/>
    <cellStyle name="Input 21 2 2 4" xfId="9795" xr:uid="{00000000-0005-0000-0000-00007B480000}"/>
    <cellStyle name="Input 21 2 2 5" xfId="16713" xr:uid="{00000000-0005-0000-0000-00007C480000}"/>
    <cellStyle name="Input 21 2 2 6" xfId="17798" xr:uid="{00000000-0005-0000-0000-00007D480000}"/>
    <cellStyle name="Input 21 2 3" xfId="3825" xr:uid="{00000000-0005-0000-0000-00007E480000}"/>
    <cellStyle name="Input 21 2 3 2" xfId="9796" xr:uid="{00000000-0005-0000-0000-00007F480000}"/>
    <cellStyle name="Input 21 2 3 3" xfId="9797" xr:uid="{00000000-0005-0000-0000-000080480000}"/>
    <cellStyle name="Input 21 2 3 4" xfId="9798" xr:uid="{00000000-0005-0000-0000-000081480000}"/>
    <cellStyle name="Input 21 2 3 5" xfId="16714" xr:uid="{00000000-0005-0000-0000-000082480000}"/>
    <cellStyle name="Input 21 2 3 6" xfId="16367" xr:uid="{00000000-0005-0000-0000-000083480000}"/>
    <cellStyle name="Input 21 2 4" xfId="9799" xr:uid="{00000000-0005-0000-0000-000084480000}"/>
    <cellStyle name="Input 21 2 5" xfId="9800" xr:uid="{00000000-0005-0000-0000-000085480000}"/>
    <cellStyle name="Input 21 2 6" xfId="9801" xr:uid="{00000000-0005-0000-0000-000086480000}"/>
    <cellStyle name="Input 21 2 7" xfId="16712" xr:uid="{00000000-0005-0000-0000-000087480000}"/>
    <cellStyle name="Input 21 2 8" xfId="15495" xr:uid="{00000000-0005-0000-0000-000088480000}"/>
    <cellStyle name="Input 21 2 9" xfId="30611" xr:uid="{00000000-0005-0000-0000-000089480000}"/>
    <cellStyle name="Input 21 3" xfId="3826" xr:uid="{00000000-0005-0000-0000-00008A480000}"/>
    <cellStyle name="Input 21 3 2" xfId="9802" xr:uid="{00000000-0005-0000-0000-00008B480000}"/>
    <cellStyle name="Input 21 3 3" xfId="9803" xr:uid="{00000000-0005-0000-0000-00008C480000}"/>
    <cellStyle name="Input 21 3 4" xfId="9804" xr:uid="{00000000-0005-0000-0000-00008D480000}"/>
    <cellStyle name="Input 21 3 5" xfId="16715" xr:uid="{00000000-0005-0000-0000-00008E480000}"/>
    <cellStyle name="Input 21 3 6" xfId="15494" xr:uid="{00000000-0005-0000-0000-00008F480000}"/>
    <cellStyle name="Input 21 4" xfId="3827" xr:uid="{00000000-0005-0000-0000-000090480000}"/>
    <cellStyle name="Input 21 4 2" xfId="9805" xr:uid="{00000000-0005-0000-0000-000091480000}"/>
    <cellStyle name="Input 21 4 3" xfId="9806" xr:uid="{00000000-0005-0000-0000-000092480000}"/>
    <cellStyle name="Input 21 4 4" xfId="9807" xr:uid="{00000000-0005-0000-0000-000093480000}"/>
    <cellStyle name="Input 21 4 5" xfId="16716" xr:uid="{00000000-0005-0000-0000-000094480000}"/>
    <cellStyle name="Input 21 4 6" xfId="18088" xr:uid="{00000000-0005-0000-0000-000095480000}"/>
    <cellStyle name="Input 21 5" xfId="9808" xr:uid="{00000000-0005-0000-0000-000096480000}"/>
    <cellStyle name="Input 21 6" xfId="9809" xr:uid="{00000000-0005-0000-0000-000097480000}"/>
    <cellStyle name="Input 21 7" xfId="9810" xr:uid="{00000000-0005-0000-0000-000098480000}"/>
    <cellStyle name="Input 21 8" xfId="15813" xr:uid="{00000000-0005-0000-0000-000099480000}"/>
    <cellStyle name="Input 21 9" xfId="15844" xr:uid="{00000000-0005-0000-0000-00009A480000}"/>
    <cellStyle name="Input 22" xfId="3828" xr:uid="{00000000-0005-0000-0000-00009B480000}"/>
    <cellStyle name="Input 22 10" xfId="30612" xr:uid="{00000000-0005-0000-0000-00009C480000}"/>
    <cellStyle name="Input 22 2" xfId="3829" xr:uid="{00000000-0005-0000-0000-00009D480000}"/>
    <cellStyle name="Input 22 2 2" xfId="3830" xr:uid="{00000000-0005-0000-0000-00009E480000}"/>
    <cellStyle name="Input 22 2 2 2" xfId="9811" xr:uid="{00000000-0005-0000-0000-00009F480000}"/>
    <cellStyle name="Input 22 2 2 3" xfId="9812" xr:uid="{00000000-0005-0000-0000-0000A0480000}"/>
    <cellStyle name="Input 22 2 2 4" xfId="9813" xr:uid="{00000000-0005-0000-0000-0000A1480000}"/>
    <cellStyle name="Input 22 2 2 5" xfId="16718" xr:uid="{00000000-0005-0000-0000-0000A2480000}"/>
    <cellStyle name="Input 22 2 2 6" xfId="16366" xr:uid="{00000000-0005-0000-0000-0000A3480000}"/>
    <cellStyle name="Input 22 2 3" xfId="3831" xr:uid="{00000000-0005-0000-0000-0000A4480000}"/>
    <cellStyle name="Input 22 2 3 2" xfId="9814" xr:uid="{00000000-0005-0000-0000-0000A5480000}"/>
    <cellStyle name="Input 22 2 3 3" xfId="9815" xr:uid="{00000000-0005-0000-0000-0000A6480000}"/>
    <cellStyle name="Input 22 2 3 4" xfId="9816" xr:uid="{00000000-0005-0000-0000-0000A7480000}"/>
    <cellStyle name="Input 22 2 3 5" xfId="16719" xr:uid="{00000000-0005-0000-0000-0000A8480000}"/>
    <cellStyle name="Input 22 2 3 6" xfId="15493" xr:uid="{00000000-0005-0000-0000-0000A9480000}"/>
    <cellStyle name="Input 22 2 4" xfId="9817" xr:uid="{00000000-0005-0000-0000-0000AA480000}"/>
    <cellStyle name="Input 22 2 5" xfId="9818" xr:uid="{00000000-0005-0000-0000-0000AB480000}"/>
    <cellStyle name="Input 22 2 6" xfId="9819" xr:uid="{00000000-0005-0000-0000-0000AC480000}"/>
    <cellStyle name="Input 22 2 7" xfId="16717" xr:uid="{00000000-0005-0000-0000-0000AD480000}"/>
    <cellStyle name="Input 22 2 8" xfId="17797" xr:uid="{00000000-0005-0000-0000-0000AE480000}"/>
    <cellStyle name="Input 22 2 9" xfId="30613" xr:uid="{00000000-0005-0000-0000-0000AF480000}"/>
    <cellStyle name="Input 22 3" xfId="3832" xr:uid="{00000000-0005-0000-0000-0000B0480000}"/>
    <cellStyle name="Input 22 3 2" xfId="9820" xr:uid="{00000000-0005-0000-0000-0000B1480000}"/>
    <cellStyle name="Input 22 3 3" xfId="9821" xr:uid="{00000000-0005-0000-0000-0000B2480000}"/>
    <cellStyle name="Input 22 3 4" xfId="9822" xr:uid="{00000000-0005-0000-0000-0000B3480000}"/>
    <cellStyle name="Input 22 3 5" xfId="16720" xr:uid="{00000000-0005-0000-0000-0000B4480000}"/>
    <cellStyle name="Input 22 3 6" xfId="17796" xr:uid="{00000000-0005-0000-0000-0000B5480000}"/>
    <cellStyle name="Input 22 4" xfId="3833" xr:uid="{00000000-0005-0000-0000-0000B6480000}"/>
    <cellStyle name="Input 22 4 2" xfId="9823" xr:uid="{00000000-0005-0000-0000-0000B7480000}"/>
    <cellStyle name="Input 22 4 3" xfId="9824" xr:uid="{00000000-0005-0000-0000-0000B8480000}"/>
    <cellStyle name="Input 22 4 4" xfId="9825" xr:uid="{00000000-0005-0000-0000-0000B9480000}"/>
    <cellStyle name="Input 22 4 5" xfId="16721" xr:uid="{00000000-0005-0000-0000-0000BA480000}"/>
    <cellStyle name="Input 22 4 6" xfId="16365" xr:uid="{00000000-0005-0000-0000-0000BB480000}"/>
    <cellStyle name="Input 22 5" xfId="9826" xr:uid="{00000000-0005-0000-0000-0000BC480000}"/>
    <cellStyle name="Input 22 6" xfId="9827" xr:uid="{00000000-0005-0000-0000-0000BD480000}"/>
    <cellStyle name="Input 22 7" xfId="9828" xr:uid="{00000000-0005-0000-0000-0000BE480000}"/>
    <cellStyle name="Input 22 8" xfId="15814" xr:uid="{00000000-0005-0000-0000-0000BF480000}"/>
    <cellStyle name="Input 22 9" xfId="15843" xr:uid="{00000000-0005-0000-0000-0000C0480000}"/>
    <cellStyle name="input 23" xfId="3834" xr:uid="{00000000-0005-0000-0000-0000C1480000}"/>
    <cellStyle name="Input 23 2" xfId="30615" xr:uid="{00000000-0005-0000-0000-0000C2480000}"/>
    <cellStyle name="Input 23 3" xfId="30614" xr:uid="{00000000-0005-0000-0000-0000C3480000}"/>
    <cellStyle name="input 24" xfId="3835" xr:uid="{00000000-0005-0000-0000-0000C4480000}"/>
    <cellStyle name="Input 24 2" xfId="30617" xr:uid="{00000000-0005-0000-0000-0000C5480000}"/>
    <cellStyle name="Input 24 3" xfId="30616" xr:uid="{00000000-0005-0000-0000-0000C6480000}"/>
    <cellStyle name="input 25" xfId="3836" xr:uid="{00000000-0005-0000-0000-0000C7480000}"/>
    <cellStyle name="Input 25 2" xfId="30618" xr:uid="{00000000-0005-0000-0000-0000C8480000}"/>
    <cellStyle name="Input 26" xfId="3837" xr:uid="{00000000-0005-0000-0000-0000C9480000}"/>
    <cellStyle name="Input 26 2" xfId="30619" xr:uid="{00000000-0005-0000-0000-0000CA480000}"/>
    <cellStyle name="Input 27" xfId="3838" xr:uid="{00000000-0005-0000-0000-0000CB480000}"/>
    <cellStyle name="Input 27 2" xfId="30620" xr:uid="{00000000-0005-0000-0000-0000CC480000}"/>
    <cellStyle name="Input 28" xfId="3839" xr:uid="{00000000-0005-0000-0000-0000CD480000}"/>
    <cellStyle name="Input 28 2" xfId="30621" xr:uid="{00000000-0005-0000-0000-0000CE480000}"/>
    <cellStyle name="input 29" xfId="3840" xr:uid="{00000000-0005-0000-0000-0000CF480000}"/>
    <cellStyle name="Input 29 2" xfId="30622" xr:uid="{00000000-0005-0000-0000-0000D0480000}"/>
    <cellStyle name="input 3" xfId="3841" xr:uid="{00000000-0005-0000-0000-0000D1480000}"/>
    <cellStyle name="Input 3 2" xfId="3842" xr:uid="{00000000-0005-0000-0000-0000D2480000}"/>
    <cellStyle name="Input 3 2 10" xfId="30623" xr:uid="{00000000-0005-0000-0000-0000D3480000}"/>
    <cellStyle name="Input 3 2 2" xfId="3843" xr:uid="{00000000-0005-0000-0000-0000D4480000}"/>
    <cellStyle name="Input 3 2 2 2" xfId="3844" xr:uid="{00000000-0005-0000-0000-0000D5480000}"/>
    <cellStyle name="Input 3 2 2 2 2" xfId="9829" xr:uid="{00000000-0005-0000-0000-0000D6480000}"/>
    <cellStyle name="Input 3 2 2 2 3" xfId="9830" xr:uid="{00000000-0005-0000-0000-0000D7480000}"/>
    <cellStyle name="Input 3 2 2 2 4" xfId="9831" xr:uid="{00000000-0005-0000-0000-0000D8480000}"/>
    <cellStyle name="Input 3 2 2 2 5" xfId="16723" xr:uid="{00000000-0005-0000-0000-0000D9480000}"/>
    <cellStyle name="Input 3 2 2 2 6" xfId="17795" xr:uid="{00000000-0005-0000-0000-0000DA480000}"/>
    <cellStyle name="Input 3 2 2 2 7" xfId="30625" xr:uid="{00000000-0005-0000-0000-0000DB480000}"/>
    <cellStyle name="Input 3 2 2 3" xfId="3845" xr:uid="{00000000-0005-0000-0000-0000DC480000}"/>
    <cellStyle name="Input 3 2 2 3 2" xfId="9832" xr:uid="{00000000-0005-0000-0000-0000DD480000}"/>
    <cellStyle name="Input 3 2 2 3 3" xfId="9833" xr:uid="{00000000-0005-0000-0000-0000DE480000}"/>
    <cellStyle name="Input 3 2 2 3 4" xfId="9834" xr:uid="{00000000-0005-0000-0000-0000DF480000}"/>
    <cellStyle name="Input 3 2 2 3 5" xfId="16724" xr:uid="{00000000-0005-0000-0000-0000E0480000}"/>
    <cellStyle name="Input 3 2 2 3 6" xfId="16364" xr:uid="{00000000-0005-0000-0000-0000E1480000}"/>
    <cellStyle name="Input 3 2 2 4" xfId="9835" xr:uid="{00000000-0005-0000-0000-0000E2480000}"/>
    <cellStyle name="Input 3 2 2 5" xfId="9836" xr:uid="{00000000-0005-0000-0000-0000E3480000}"/>
    <cellStyle name="Input 3 2 2 6" xfId="9837" xr:uid="{00000000-0005-0000-0000-0000E4480000}"/>
    <cellStyle name="Input 3 2 2 7" xfId="16722" xr:uid="{00000000-0005-0000-0000-0000E5480000}"/>
    <cellStyle name="Input 3 2 2 8" xfId="15492" xr:uid="{00000000-0005-0000-0000-0000E6480000}"/>
    <cellStyle name="Input 3 2 2 9" xfId="30624" xr:uid="{00000000-0005-0000-0000-0000E7480000}"/>
    <cellStyle name="Input 3 2 3" xfId="3846" xr:uid="{00000000-0005-0000-0000-0000E8480000}"/>
    <cellStyle name="Input 3 2 3 2" xfId="9838" xr:uid="{00000000-0005-0000-0000-0000E9480000}"/>
    <cellStyle name="Input 3 2 3 3" xfId="9839" xr:uid="{00000000-0005-0000-0000-0000EA480000}"/>
    <cellStyle name="Input 3 2 3 4" xfId="9840" xr:uid="{00000000-0005-0000-0000-0000EB480000}"/>
    <cellStyle name="Input 3 2 3 5" xfId="16725" xr:uid="{00000000-0005-0000-0000-0000EC480000}"/>
    <cellStyle name="Input 3 2 3 6" xfId="15491" xr:uid="{00000000-0005-0000-0000-0000ED480000}"/>
    <cellStyle name="Input 3 2 3 7" xfId="30626" xr:uid="{00000000-0005-0000-0000-0000EE480000}"/>
    <cellStyle name="Input 3 2 4" xfId="3847" xr:uid="{00000000-0005-0000-0000-0000EF480000}"/>
    <cellStyle name="Input 3 2 4 2" xfId="9841" xr:uid="{00000000-0005-0000-0000-0000F0480000}"/>
    <cellStyle name="Input 3 2 4 3" xfId="9842" xr:uid="{00000000-0005-0000-0000-0000F1480000}"/>
    <cellStyle name="Input 3 2 4 4" xfId="9843" xr:uid="{00000000-0005-0000-0000-0000F2480000}"/>
    <cellStyle name="Input 3 2 4 5" xfId="16726" xr:uid="{00000000-0005-0000-0000-0000F3480000}"/>
    <cellStyle name="Input 3 2 4 6" xfId="17794" xr:uid="{00000000-0005-0000-0000-0000F4480000}"/>
    <cellStyle name="Input 3 2 5" xfId="9844" xr:uid="{00000000-0005-0000-0000-0000F5480000}"/>
    <cellStyle name="Input 3 2 6" xfId="9845" xr:uid="{00000000-0005-0000-0000-0000F6480000}"/>
    <cellStyle name="Input 3 2 7" xfId="9846" xr:uid="{00000000-0005-0000-0000-0000F7480000}"/>
    <cellStyle name="Input 3 2 8" xfId="15815" xr:uid="{00000000-0005-0000-0000-0000F8480000}"/>
    <cellStyle name="Input 3 2 9" xfId="15842" xr:uid="{00000000-0005-0000-0000-0000F9480000}"/>
    <cellStyle name="Input 3 3" xfId="3848" xr:uid="{00000000-0005-0000-0000-0000FA480000}"/>
    <cellStyle name="Input 3 3 10" xfId="30627" xr:uid="{00000000-0005-0000-0000-0000FB480000}"/>
    <cellStyle name="Input 3 3 2" xfId="3849" xr:uid="{00000000-0005-0000-0000-0000FC480000}"/>
    <cellStyle name="Input 3 3 2 2" xfId="3850" xr:uid="{00000000-0005-0000-0000-0000FD480000}"/>
    <cellStyle name="Input 3 3 2 2 2" xfId="9847" xr:uid="{00000000-0005-0000-0000-0000FE480000}"/>
    <cellStyle name="Input 3 3 2 2 3" xfId="9848" xr:uid="{00000000-0005-0000-0000-0000FF480000}"/>
    <cellStyle name="Input 3 3 2 2 4" xfId="9849" xr:uid="{00000000-0005-0000-0000-000000490000}"/>
    <cellStyle name="Input 3 3 2 2 5" xfId="16728" xr:uid="{00000000-0005-0000-0000-000001490000}"/>
    <cellStyle name="Input 3 3 2 2 6" xfId="15490" xr:uid="{00000000-0005-0000-0000-000002490000}"/>
    <cellStyle name="Input 3 3 2 3" xfId="3851" xr:uid="{00000000-0005-0000-0000-000003490000}"/>
    <cellStyle name="Input 3 3 2 3 2" xfId="9850" xr:uid="{00000000-0005-0000-0000-000004490000}"/>
    <cellStyle name="Input 3 3 2 3 3" xfId="9851" xr:uid="{00000000-0005-0000-0000-000005490000}"/>
    <cellStyle name="Input 3 3 2 3 4" xfId="9852" xr:uid="{00000000-0005-0000-0000-000006490000}"/>
    <cellStyle name="Input 3 3 2 3 5" xfId="16729" xr:uid="{00000000-0005-0000-0000-000007490000}"/>
    <cellStyle name="Input 3 3 2 3 6" xfId="16160" xr:uid="{00000000-0005-0000-0000-000008490000}"/>
    <cellStyle name="Input 3 3 2 4" xfId="9853" xr:uid="{00000000-0005-0000-0000-000009490000}"/>
    <cellStyle name="Input 3 3 2 5" xfId="9854" xr:uid="{00000000-0005-0000-0000-00000A490000}"/>
    <cellStyle name="Input 3 3 2 6" xfId="9855" xr:uid="{00000000-0005-0000-0000-00000B490000}"/>
    <cellStyle name="Input 3 3 2 7" xfId="16727" xr:uid="{00000000-0005-0000-0000-00000C490000}"/>
    <cellStyle name="Input 3 3 2 8" xfId="16363" xr:uid="{00000000-0005-0000-0000-00000D490000}"/>
    <cellStyle name="Input 3 3 3" xfId="3852" xr:uid="{00000000-0005-0000-0000-00000E490000}"/>
    <cellStyle name="Input 3 3 3 2" xfId="9856" xr:uid="{00000000-0005-0000-0000-00000F490000}"/>
    <cellStyle name="Input 3 3 3 3" xfId="9857" xr:uid="{00000000-0005-0000-0000-000010490000}"/>
    <cellStyle name="Input 3 3 3 4" xfId="9858" xr:uid="{00000000-0005-0000-0000-000011490000}"/>
    <cellStyle name="Input 3 3 3 5" xfId="16730" xr:uid="{00000000-0005-0000-0000-000012490000}"/>
    <cellStyle name="Input 3 3 3 6" xfId="17793" xr:uid="{00000000-0005-0000-0000-000013490000}"/>
    <cellStyle name="Input 3 3 4" xfId="3853" xr:uid="{00000000-0005-0000-0000-000014490000}"/>
    <cellStyle name="Input 3 3 4 2" xfId="9859" xr:uid="{00000000-0005-0000-0000-000015490000}"/>
    <cellStyle name="Input 3 3 4 3" xfId="9860" xr:uid="{00000000-0005-0000-0000-000016490000}"/>
    <cellStyle name="Input 3 3 4 4" xfId="9861" xr:uid="{00000000-0005-0000-0000-000017490000}"/>
    <cellStyle name="Input 3 3 4 5" xfId="16731" xr:uid="{00000000-0005-0000-0000-000018490000}"/>
    <cellStyle name="Input 3 3 4 6" xfId="16362" xr:uid="{00000000-0005-0000-0000-000019490000}"/>
    <cellStyle name="Input 3 3 5" xfId="9862" xr:uid="{00000000-0005-0000-0000-00001A490000}"/>
    <cellStyle name="Input 3 3 6" xfId="9863" xr:uid="{00000000-0005-0000-0000-00001B490000}"/>
    <cellStyle name="Input 3 3 7" xfId="9864" xr:uid="{00000000-0005-0000-0000-00001C490000}"/>
    <cellStyle name="Input 3 3 8" xfId="15816" xr:uid="{00000000-0005-0000-0000-00001D490000}"/>
    <cellStyle name="Input 3 3 9" xfId="15841" xr:uid="{00000000-0005-0000-0000-00001E490000}"/>
    <cellStyle name="input 3 4" xfId="9865" xr:uid="{00000000-0005-0000-0000-00001F490000}"/>
    <cellStyle name="Input 3 4 2" xfId="30628" xr:uid="{00000000-0005-0000-0000-000020490000}"/>
    <cellStyle name="input 3 5" xfId="9866" xr:uid="{00000000-0005-0000-0000-000021490000}"/>
    <cellStyle name="input 3 6" xfId="9867" xr:uid="{00000000-0005-0000-0000-000022490000}"/>
    <cellStyle name="input 30" xfId="3854" xr:uid="{00000000-0005-0000-0000-000023490000}"/>
    <cellStyle name="input 31" xfId="3855" xr:uid="{00000000-0005-0000-0000-000024490000}"/>
    <cellStyle name="input 32" xfId="9868" xr:uid="{00000000-0005-0000-0000-000025490000}"/>
    <cellStyle name="input 33" xfId="9869" xr:uid="{00000000-0005-0000-0000-000026490000}"/>
    <cellStyle name="input 34" xfId="9870" xr:uid="{00000000-0005-0000-0000-000027490000}"/>
    <cellStyle name="input 35" xfId="9871" xr:uid="{00000000-0005-0000-0000-000028490000}"/>
    <cellStyle name="input 36" xfId="9872" xr:uid="{00000000-0005-0000-0000-000029490000}"/>
    <cellStyle name="input 37" xfId="9873" xr:uid="{00000000-0005-0000-0000-00002A490000}"/>
    <cellStyle name="input 38" xfId="9874" xr:uid="{00000000-0005-0000-0000-00002B490000}"/>
    <cellStyle name="input 39" xfId="9875" xr:uid="{00000000-0005-0000-0000-00002C490000}"/>
    <cellStyle name="input 4" xfId="3856" xr:uid="{00000000-0005-0000-0000-00002D490000}"/>
    <cellStyle name="Input 4 2" xfId="3857" xr:uid="{00000000-0005-0000-0000-00002E490000}"/>
    <cellStyle name="Input 4 2 10" xfId="30629" xr:uid="{00000000-0005-0000-0000-00002F490000}"/>
    <cellStyle name="Input 4 2 2" xfId="3858" xr:uid="{00000000-0005-0000-0000-000030490000}"/>
    <cellStyle name="Input 4 2 2 2" xfId="3859" xr:uid="{00000000-0005-0000-0000-000031490000}"/>
    <cellStyle name="Input 4 2 2 2 2" xfId="9876" xr:uid="{00000000-0005-0000-0000-000032490000}"/>
    <cellStyle name="Input 4 2 2 2 3" xfId="9877" xr:uid="{00000000-0005-0000-0000-000033490000}"/>
    <cellStyle name="Input 4 2 2 2 4" xfId="9878" xr:uid="{00000000-0005-0000-0000-000034490000}"/>
    <cellStyle name="Input 4 2 2 2 5" xfId="16733" xr:uid="{00000000-0005-0000-0000-000035490000}"/>
    <cellStyle name="Input 4 2 2 2 6" xfId="16361" xr:uid="{00000000-0005-0000-0000-000036490000}"/>
    <cellStyle name="Input 4 2 2 2 7" xfId="30631" xr:uid="{00000000-0005-0000-0000-000037490000}"/>
    <cellStyle name="Input 4 2 2 3" xfId="3860" xr:uid="{00000000-0005-0000-0000-000038490000}"/>
    <cellStyle name="Input 4 2 2 3 2" xfId="9879" xr:uid="{00000000-0005-0000-0000-000039490000}"/>
    <cellStyle name="Input 4 2 2 3 3" xfId="9880" xr:uid="{00000000-0005-0000-0000-00003A490000}"/>
    <cellStyle name="Input 4 2 2 3 4" xfId="9881" xr:uid="{00000000-0005-0000-0000-00003B490000}"/>
    <cellStyle name="Input 4 2 2 3 5" xfId="16734" xr:uid="{00000000-0005-0000-0000-00003C490000}"/>
    <cellStyle name="Input 4 2 2 3 6" xfId="15488" xr:uid="{00000000-0005-0000-0000-00003D490000}"/>
    <cellStyle name="Input 4 2 2 4" xfId="9882" xr:uid="{00000000-0005-0000-0000-00003E490000}"/>
    <cellStyle name="Input 4 2 2 5" xfId="9883" xr:uid="{00000000-0005-0000-0000-00003F490000}"/>
    <cellStyle name="Input 4 2 2 6" xfId="9884" xr:uid="{00000000-0005-0000-0000-000040490000}"/>
    <cellStyle name="Input 4 2 2 7" xfId="16732" xr:uid="{00000000-0005-0000-0000-000041490000}"/>
    <cellStyle name="Input 4 2 2 8" xfId="17792" xr:uid="{00000000-0005-0000-0000-000042490000}"/>
    <cellStyle name="Input 4 2 2 9" xfId="30630" xr:uid="{00000000-0005-0000-0000-000043490000}"/>
    <cellStyle name="Input 4 2 3" xfId="3861" xr:uid="{00000000-0005-0000-0000-000044490000}"/>
    <cellStyle name="Input 4 2 3 2" xfId="9885" xr:uid="{00000000-0005-0000-0000-000045490000}"/>
    <cellStyle name="Input 4 2 3 3" xfId="9886" xr:uid="{00000000-0005-0000-0000-000046490000}"/>
    <cellStyle name="Input 4 2 3 4" xfId="9887" xr:uid="{00000000-0005-0000-0000-000047490000}"/>
    <cellStyle name="Input 4 2 3 5" xfId="16735" xr:uid="{00000000-0005-0000-0000-000048490000}"/>
    <cellStyle name="Input 4 2 3 6" xfId="16138" xr:uid="{00000000-0005-0000-0000-000049490000}"/>
    <cellStyle name="Input 4 2 3 7" xfId="30632" xr:uid="{00000000-0005-0000-0000-00004A490000}"/>
    <cellStyle name="Input 4 2 4" xfId="3862" xr:uid="{00000000-0005-0000-0000-00004B490000}"/>
    <cellStyle name="Input 4 2 4 2" xfId="9888" xr:uid="{00000000-0005-0000-0000-00004C490000}"/>
    <cellStyle name="Input 4 2 4 3" xfId="9889" xr:uid="{00000000-0005-0000-0000-00004D490000}"/>
    <cellStyle name="Input 4 2 4 4" xfId="9890" xr:uid="{00000000-0005-0000-0000-00004E490000}"/>
    <cellStyle name="Input 4 2 4 5" xfId="16736" xr:uid="{00000000-0005-0000-0000-00004F490000}"/>
    <cellStyle name="Input 4 2 4 6" xfId="17791" xr:uid="{00000000-0005-0000-0000-000050490000}"/>
    <cellStyle name="Input 4 2 5" xfId="9891" xr:uid="{00000000-0005-0000-0000-000051490000}"/>
    <cellStyle name="Input 4 2 6" xfId="9892" xr:uid="{00000000-0005-0000-0000-000052490000}"/>
    <cellStyle name="Input 4 2 7" xfId="9893" xr:uid="{00000000-0005-0000-0000-000053490000}"/>
    <cellStyle name="Input 4 2 8" xfId="15817" xr:uid="{00000000-0005-0000-0000-000054490000}"/>
    <cellStyle name="Input 4 2 9" xfId="15840" xr:uid="{00000000-0005-0000-0000-000055490000}"/>
    <cellStyle name="Input 4 3" xfId="3863" xr:uid="{00000000-0005-0000-0000-000056490000}"/>
    <cellStyle name="Input 4 3 10" xfId="30633" xr:uid="{00000000-0005-0000-0000-000057490000}"/>
    <cellStyle name="Input 4 3 2" xfId="3864" xr:uid="{00000000-0005-0000-0000-000058490000}"/>
    <cellStyle name="Input 4 3 2 2" xfId="3865" xr:uid="{00000000-0005-0000-0000-000059490000}"/>
    <cellStyle name="Input 4 3 2 2 2" xfId="9894" xr:uid="{00000000-0005-0000-0000-00005A490000}"/>
    <cellStyle name="Input 4 3 2 2 3" xfId="9895" xr:uid="{00000000-0005-0000-0000-00005B490000}"/>
    <cellStyle name="Input 4 3 2 2 4" xfId="9896" xr:uid="{00000000-0005-0000-0000-00005C490000}"/>
    <cellStyle name="Input 4 3 2 2 5" xfId="16738" xr:uid="{00000000-0005-0000-0000-00005D490000}"/>
    <cellStyle name="Input 4 3 2 2 6" xfId="15487" xr:uid="{00000000-0005-0000-0000-00005E490000}"/>
    <cellStyle name="Input 4 3 2 3" xfId="3866" xr:uid="{00000000-0005-0000-0000-00005F490000}"/>
    <cellStyle name="Input 4 3 2 3 2" xfId="9897" xr:uid="{00000000-0005-0000-0000-000060490000}"/>
    <cellStyle name="Input 4 3 2 3 3" xfId="9898" xr:uid="{00000000-0005-0000-0000-000061490000}"/>
    <cellStyle name="Input 4 3 2 3 4" xfId="9899" xr:uid="{00000000-0005-0000-0000-000062490000}"/>
    <cellStyle name="Input 4 3 2 3 5" xfId="16739" xr:uid="{00000000-0005-0000-0000-000063490000}"/>
    <cellStyle name="Input 4 3 2 3 6" xfId="17790" xr:uid="{00000000-0005-0000-0000-000064490000}"/>
    <cellStyle name="Input 4 3 2 4" xfId="9900" xr:uid="{00000000-0005-0000-0000-000065490000}"/>
    <cellStyle name="Input 4 3 2 5" xfId="9901" xr:uid="{00000000-0005-0000-0000-000066490000}"/>
    <cellStyle name="Input 4 3 2 6" xfId="9902" xr:uid="{00000000-0005-0000-0000-000067490000}"/>
    <cellStyle name="Input 4 3 2 7" xfId="16737" xr:uid="{00000000-0005-0000-0000-000068490000}"/>
    <cellStyle name="Input 4 3 2 8" xfId="16360" xr:uid="{00000000-0005-0000-0000-000069490000}"/>
    <cellStyle name="Input 4 3 3" xfId="3867" xr:uid="{00000000-0005-0000-0000-00006A490000}"/>
    <cellStyle name="Input 4 3 3 2" xfId="9903" xr:uid="{00000000-0005-0000-0000-00006B490000}"/>
    <cellStyle name="Input 4 3 3 3" xfId="9904" xr:uid="{00000000-0005-0000-0000-00006C490000}"/>
    <cellStyle name="Input 4 3 3 4" xfId="9905" xr:uid="{00000000-0005-0000-0000-00006D490000}"/>
    <cellStyle name="Input 4 3 3 5" xfId="16740" xr:uid="{00000000-0005-0000-0000-00006E490000}"/>
    <cellStyle name="Input 4 3 3 6" xfId="16359" xr:uid="{00000000-0005-0000-0000-00006F490000}"/>
    <cellStyle name="Input 4 3 4" xfId="3868" xr:uid="{00000000-0005-0000-0000-000070490000}"/>
    <cellStyle name="Input 4 3 4 2" xfId="9906" xr:uid="{00000000-0005-0000-0000-000071490000}"/>
    <cellStyle name="Input 4 3 4 3" xfId="9907" xr:uid="{00000000-0005-0000-0000-000072490000}"/>
    <cellStyle name="Input 4 3 4 4" xfId="9908" xr:uid="{00000000-0005-0000-0000-000073490000}"/>
    <cellStyle name="Input 4 3 4 5" xfId="16741" xr:uid="{00000000-0005-0000-0000-000074490000}"/>
    <cellStyle name="Input 4 3 4 6" xfId="15486" xr:uid="{00000000-0005-0000-0000-000075490000}"/>
    <cellStyle name="Input 4 3 5" xfId="9909" xr:uid="{00000000-0005-0000-0000-000076490000}"/>
    <cellStyle name="Input 4 3 6" xfId="9910" xr:uid="{00000000-0005-0000-0000-000077490000}"/>
    <cellStyle name="Input 4 3 7" xfId="9911" xr:uid="{00000000-0005-0000-0000-000078490000}"/>
    <cellStyle name="Input 4 3 8" xfId="15818" xr:uid="{00000000-0005-0000-0000-000079490000}"/>
    <cellStyle name="Input 4 3 9" xfId="15839" xr:uid="{00000000-0005-0000-0000-00007A490000}"/>
    <cellStyle name="input 4 4" xfId="9912" xr:uid="{00000000-0005-0000-0000-00007B490000}"/>
    <cellStyle name="Input 4 4 2" xfId="30634" xr:uid="{00000000-0005-0000-0000-00007C490000}"/>
    <cellStyle name="input 4 5" xfId="9913" xr:uid="{00000000-0005-0000-0000-00007D490000}"/>
    <cellStyle name="input 4 6" xfId="9914" xr:uid="{00000000-0005-0000-0000-00007E490000}"/>
    <cellStyle name="input 40" xfId="9915" xr:uid="{00000000-0005-0000-0000-00007F490000}"/>
    <cellStyle name="input 41" xfId="9916" xr:uid="{00000000-0005-0000-0000-000080490000}"/>
    <cellStyle name="input 42" xfId="9917" xr:uid="{00000000-0005-0000-0000-000081490000}"/>
    <cellStyle name="input 5" xfId="3869" xr:uid="{00000000-0005-0000-0000-000082490000}"/>
    <cellStyle name="Input 5 2" xfId="3870" xr:uid="{00000000-0005-0000-0000-000083490000}"/>
    <cellStyle name="Input 5 2 10" xfId="30635" xr:uid="{00000000-0005-0000-0000-000084490000}"/>
    <cellStyle name="Input 5 2 2" xfId="3871" xr:uid="{00000000-0005-0000-0000-000085490000}"/>
    <cellStyle name="Input 5 2 2 2" xfId="3872" xr:uid="{00000000-0005-0000-0000-000086490000}"/>
    <cellStyle name="Input 5 2 2 2 2" xfId="9918" xr:uid="{00000000-0005-0000-0000-000087490000}"/>
    <cellStyle name="Input 5 2 2 2 3" xfId="9919" xr:uid="{00000000-0005-0000-0000-000088490000}"/>
    <cellStyle name="Input 5 2 2 2 4" xfId="9920" xr:uid="{00000000-0005-0000-0000-000089490000}"/>
    <cellStyle name="Input 5 2 2 2 5" xfId="16743" xr:uid="{00000000-0005-0000-0000-00008A490000}"/>
    <cellStyle name="Input 5 2 2 2 6" xfId="16358" xr:uid="{00000000-0005-0000-0000-00008B490000}"/>
    <cellStyle name="Input 5 2 2 3" xfId="3873" xr:uid="{00000000-0005-0000-0000-00008C490000}"/>
    <cellStyle name="Input 5 2 2 3 2" xfId="9921" xr:uid="{00000000-0005-0000-0000-00008D490000}"/>
    <cellStyle name="Input 5 2 2 3 3" xfId="9922" xr:uid="{00000000-0005-0000-0000-00008E490000}"/>
    <cellStyle name="Input 5 2 2 3 4" xfId="9923" xr:uid="{00000000-0005-0000-0000-00008F490000}"/>
    <cellStyle name="Input 5 2 2 3 5" xfId="16744" xr:uid="{00000000-0005-0000-0000-000090490000}"/>
    <cellStyle name="Input 5 2 2 3 6" xfId="15485" xr:uid="{00000000-0005-0000-0000-000091490000}"/>
    <cellStyle name="Input 5 2 2 4" xfId="9924" xr:uid="{00000000-0005-0000-0000-000092490000}"/>
    <cellStyle name="Input 5 2 2 5" xfId="9925" xr:uid="{00000000-0005-0000-0000-000093490000}"/>
    <cellStyle name="Input 5 2 2 6" xfId="9926" xr:uid="{00000000-0005-0000-0000-000094490000}"/>
    <cellStyle name="Input 5 2 2 7" xfId="16742" xr:uid="{00000000-0005-0000-0000-000095490000}"/>
    <cellStyle name="Input 5 2 2 8" xfId="17789" xr:uid="{00000000-0005-0000-0000-000096490000}"/>
    <cellStyle name="Input 5 2 2 9" xfId="30636" xr:uid="{00000000-0005-0000-0000-000097490000}"/>
    <cellStyle name="Input 5 2 3" xfId="3874" xr:uid="{00000000-0005-0000-0000-000098490000}"/>
    <cellStyle name="Input 5 2 3 2" xfId="9927" xr:uid="{00000000-0005-0000-0000-000099490000}"/>
    <cellStyle name="Input 5 2 3 3" xfId="9928" xr:uid="{00000000-0005-0000-0000-00009A490000}"/>
    <cellStyle name="Input 5 2 3 4" xfId="9929" xr:uid="{00000000-0005-0000-0000-00009B490000}"/>
    <cellStyle name="Input 5 2 3 5" xfId="16745" xr:uid="{00000000-0005-0000-0000-00009C490000}"/>
    <cellStyle name="Input 5 2 3 6" xfId="17788" xr:uid="{00000000-0005-0000-0000-00009D490000}"/>
    <cellStyle name="Input 5 2 4" xfId="3875" xr:uid="{00000000-0005-0000-0000-00009E490000}"/>
    <cellStyle name="Input 5 2 4 2" xfId="9930" xr:uid="{00000000-0005-0000-0000-00009F490000}"/>
    <cellStyle name="Input 5 2 4 3" xfId="9931" xr:uid="{00000000-0005-0000-0000-0000A0490000}"/>
    <cellStyle name="Input 5 2 4 4" xfId="9932" xr:uid="{00000000-0005-0000-0000-0000A1490000}"/>
    <cellStyle name="Input 5 2 4 5" xfId="16746" xr:uid="{00000000-0005-0000-0000-0000A2490000}"/>
    <cellStyle name="Input 5 2 4 6" xfId="16357" xr:uid="{00000000-0005-0000-0000-0000A3490000}"/>
    <cellStyle name="Input 5 2 5" xfId="9933" xr:uid="{00000000-0005-0000-0000-0000A4490000}"/>
    <cellStyle name="Input 5 2 6" xfId="9934" xr:uid="{00000000-0005-0000-0000-0000A5490000}"/>
    <cellStyle name="Input 5 2 7" xfId="9935" xr:uid="{00000000-0005-0000-0000-0000A6490000}"/>
    <cellStyle name="Input 5 2 8" xfId="15819" xr:uid="{00000000-0005-0000-0000-0000A7490000}"/>
    <cellStyle name="Input 5 2 9" xfId="15838" xr:uid="{00000000-0005-0000-0000-0000A8490000}"/>
    <cellStyle name="Input 5 3" xfId="3876" xr:uid="{00000000-0005-0000-0000-0000A9490000}"/>
    <cellStyle name="Input 5 3 10" xfId="30637" xr:uid="{00000000-0005-0000-0000-0000AA490000}"/>
    <cellStyle name="Input 5 3 2" xfId="3877" xr:uid="{00000000-0005-0000-0000-0000AB490000}"/>
    <cellStyle name="Input 5 3 2 2" xfId="3878" xr:uid="{00000000-0005-0000-0000-0000AC490000}"/>
    <cellStyle name="Input 5 3 2 2 2" xfId="9936" xr:uid="{00000000-0005-0000-0000-0000AD490000}"/>
    <cellStyle name="Input 5 3 2 2 3" xfId="9937" xr:uid="{00000000-0005-0000-0000-0000AE490000}"/>
    <cellStyle name="Input 5 3 2 2 4" xfId="9938" xr:uid="{00000000-0005-0000-0000-0000AF490000}"/>
    <cellStyle name="Input 5 3 2 2 5" xfId="16748" xr:uid="{00000000-0005-0000-0000-0000B0490000}"/>
    <cellStyle name="Input 5 3 2 2 6" xfId="16135" xr:uid="{00000000-0005-0000-0000-0000B1490000}"/>
    <cellStyle name="Input 5 3 2 3" xfId="3879" xr:uid="{00000000-0005-0000-0000-0000B2490000}"/>
    <cellStyle name="Input 5 3 2 3 2" xfId="9939" xr:uid="{00000000-0005-0000-0000-0000B3490000}"/>
    <cellStyle name="Input 5 3 2 3 3" xfId="9940" xr:uid="{00000000-0005-0000-0000-0000B4490000}"/>
    <cellStyle name="Input 5 3 2 3 4" xfId="9941" xr:uid="{00000000-0005-0000-0000-0000B5490000}"/>
    <cellStyle name="Input 5 3 2 3 5" xfId="16749" xr:uid="{00000000-0005-0000-0000-0000B6490000}"/>
    <cellStyle name="Input 5 3 2 3 6" xfId="17787" xr:uid="{00000000-0005-0000-0000-0000B7490000}"/>
    <cellStyle name="Input 5 3 2 4" xfId="9942" xr:uid="{00000000-0005-0000-0000-0000B8490000}"/>
    <cellStyle name="Input 5 3 2 5" xfId="9943" xr:uid="{00000000-0005-0000-0000-0000B9490000}"/>
    <cellStyle name="Input 5 3 2 6" xfId="9944" xr:uid="{00000000-0005-0000-0000-0000BA490000}"/>
    <cellStyle name="Input 5 3 2 7" xfId="16747" xr:uid="{00000000-0005-0000-0000-0000BB490000}"/>
    <cellStyle name="Input 5 3 2 8" xfId="15484" xr:uid="{00000000-0005-0000-0000-0000BC490000}"/>
    <cellStyle name="Input 5 3 3" xfId="3880" xr:uid="{00000000-0005-0000-0000-0000BD490000}"/>
    <cellStyle name="Input 5 3 3 2" xfId="9945" xr:uid="{00000000-0005-0000-0000-0000BE490000}"/>
    <cellStyle name="Input 5 3 3 3" xfId="9946" xr:uid="{00000000-0005-0000-0000-0000BF490000}"/>
    <cellStyle name="Input 5 3 3 4" xfId="9947" xr:uid="{00000000-0005-0000-0000-0000C0490000}"/>
    <cellStyle name="Input 5 3 3 5" xfId="16750" xr:uid="{00000000-0005-0000-0000-0000C1490000}"/>
    <cellStyle name="Input 5 3 3 6" xfId="16356" xr:uid="{00000000-0005-0000-0000-0000C2490000}"/>
    <cellStyle name="Input 5 3 4" xfId="3881" xr:uid="{00000000-0005-0000-0000-0000C3490000}"/>
    <cellStyle name="Input 5 3 4 2" xfId="9948" xr:uid="{00000000-0005-0000-0000-0000C4490000}"/>
    <cellStyle name="Input 5 3 4 3" xfId="9949" xr:uid="{00000000-0005-0000-0000-0000C5490000}"/>
    <cellStyle name="Input 5 3 4 4" xfId="9950" xr:uid="{00000000-0005-0000-0000-0000C6490000}"/>
    <cellStyle name="Input 5 3 4 5" xfId="16751" xr:uid="{00000000-0005-0000-0000-0000C7490000}"/>
    <cellStyle name="Input 5 3 4 6" xfId="15483" xr:uid="{00000000-0005-0000-0000-0000C8490000}"/>
    <cellStyle name="Input 5 3 5" xfId="9951" xr:uid="{00000000-0005-0000-0000-0000C9490000}"/>
    <cellStyle name="Input 5 3 6" xfId="9952" xr:uid="{00000000-0005-0000-0000-0000CA490000}"/>
    <cellStyle name="Input 5 3 7" xfId="9953" xr:uid="{00000000-0005-0000-0000-0000CB490000}"/>
    <cellStyle name="Input 5 3 8" xfId="15820" xr:uid="{00000000-0005-0000-0000-0000CC490000}"/>
    <cellStyle name="Input 5 3 9" xfId="15837" xr:uid="{00000000-0005-0000-0000-0000CD490000}"/>
    <cellStyle name="input 5 4" xfId="9954" xr:uid="{00000000-0005-0000-0000-0000CE490000}"/>
    <cellStyle name="Input 5 4 2" xfId="30638" xr:uid="{00000000-0005-0000-0000-0000CF490000}"/>
    <cellStyle name="input 5 5" xfId="9955" xr:uid="{00000000-0005-0000-0000-0000D0490000}"/>
    <cellStyle name="input 5 6" xfId="9956" xr:uid="{00000000-0005-0000-0000-0000D1490000}"/>
    <cellStyle name="input 6" xfId="3882" xr:uid="{00000000-0005-0000-0000-0000D2490000}"/>
    <cellStyle name="Input 6 2" xfId="3883" xr:uid="{00000000-0005-0000-0000-0000D3490000}"/>
    <cellStyle name="Input 6 2 10" xfId="30639" xr:uid="{00000000-0005-0000-0000-0000D4490000}"/>
    <cellStyle name="Input 6 2 2" xfId="3884" xr:uid="{00000000-0005-0000-0000-0000D5490000}"/>
    <cellStyle name="Input 6 2 2 2" xfId="3885" xr:uid="{00000000-0005-0000-0000-0000D6490000}"/>
    <cellStyle name="Input 6 2 2 2 2" xfId="9957" xr:uid="{00000000-0005-0000-0000-0000D7490000}"/>
    <cellStyle name="Input 6 2 2 2 3" xfId="9958" xr:uid="{00000000-0005-0000-0000-0000D8490000}"/>
    <cellStyle name="Input 6 2 2 2 4" xfId="9959" xr:uid="{00000000-0005-0000-0000-0000D9490000}"/>
    <cellStyle name="Input 6 2 2 2 5" xfId="16753" xr:uid="{00000000-0005-0000-0000-0000DA490000}"/>
    <cellStyle name="Input 6 2 2 2 6" xfId="15482" xr:uid="{00000000-0005-0000-0000-0000DB490000}"/>
    <cellStyle name="Input 6 2 2 3" xfId="3886" xr:uid="{00000000-0005-0000-0000-0000DC490000}"/>
    <cellStyle name="Input 6 2 2 3 2" xfId="9960" xr:uid="{00000000-0005-0000-0000-0000DD490000}"/>
    <cellStyle name="Input 6 2 2 3 3" xfId="9961" xr:uid="{00000000-0005-0000-0000-0000DE490000}"/>
    <cellStyle name="Input 6 2 2 3 4" xfId="9962" xr:uid="{00000000-0005-0000-0000-0000DF490000}"/>
    <cellStyle name="Input 6 2 2 3 5" xfId="16754" xr:uid="{00000000-0005-0000-0000-0000E0490000}"/>
    <cellStyle name="Input 6 2 2 3 6" xfId="16136" xr:uid="{00000000-0005-0000-0000-0000E1490000}"/>
    <cellStyle name="Input 6 2 2 4" xfId="9963" xr:uid="{00000000-0005-0000-0000-0000E2490000}"/>
    <cellStyle name="Input 6 2 2 5" xfId="9964" xr:uid="{00000000-0005-0000-0000-0000E3490000}"/>
    <cellStyle name="Input 6 2 2 6" xfId="9965" xr:uid="{00000000-0005-0000-0000-0000E4490000}"/>
    <cellStyle name="Input 6 2 2 7" xfId="16752" xr:uid="{00000000-0005-0000-0000-0000E5490000}"/>
    <cellStyle name="Input 6 2 2 8" xfId="16355" xr:uid="{00000000-0005-0000-0000-0000E6490000}"/>
    <cellStyle name="Input 6 2 2 9" xfId="30640" xr:uid="{00000000-0005-0000-0000-0000E7490000}"/>
    <cellStyle name="Input 6 2 3" xfId="3887" xr:uid="{00000000-0005-0000-0000-0000E8490000}"/>
    <cellStyle name="Input 6 2 3 2" xfId="9966" xr:uid="{00000000-0005-0000-0000-0000E9490000}"/>
    <cellStyle name="Input 6 2 3 3" xfId="9967" xr:uid="{00000000-0005-0000-0000-0000EA490000}"/>
    <cellStyle name="Input 6 2 3 4" xfId="9968" xr:uid="{00000000-0005-0000-0000-0000EB490000}"/>
    <cellStyle name="Input 6 2 3 5" xfId="16755" xr:uid="{00000000-0005-0000-0000-0000EC490000}"/>
    <cellStyle name="Input 6 2 3 6" xfId="17786" xr:uid="{00000000-0005-0000-0000-0000ED490000}"/>
    <cellStyle name="Input 6 2 4" xfId="3888" xr:uid="{00000000-0005-0000-0000-0000EE490000}"/>
    <cellStyle name="Input 6 2 4 2" xfId="9969" xr:uid="{00000000-0005-0000-0000-0000EF490000}"/>
    <cellStyle name="Input 6 2 4 3" xfId="9970" xr:uid="{00000000-0005-0000-0000-0000F0490000}"/>
    <cellStyle name="Input 6 2 4 4" xfId="9971" xr:uid="{00000000-0005-0000-0000-0000F1490000}"/>
    <cellStyle name="Input 6 2 4 5" xfId="16756" xr:uid="{00000000-0005-0000-0000-0000F2490000}"/>
    <cellStyle name="Input 6 2 4 6" xfId="16354" xr:uid="{00000000-0005-0000-0000-0000F3490000}"/>
    <cellStyle name="Input 6 2 5" xfId="9972" xr:uid="{00000000-0005-0000-0000-0000F4490000}"/>
    <cellStyle name="Input 6 2 6" xfId="9973" xr:uid="{00000000-0005-0000-0000-0000F5490000}"/>
    <cellStyle name="Input 6 2 7" xfId="9974" xr:uid="{00000000-0005-0000-0000-0000F6490000}"/>
    <cellStyle name="Input 6 2 8" xfId="15821" xr:uid="{00000000-0005-0000-0000-0000F7490000}"/>
    <cellStyle name="Input 6 2 9" xfId="15836" xr:uid="{00000000-0005-0000-0000-0000F8490000}"/>
    <cellStyle name="Input 6 3" xfId="3889" xr:uid="{00000000-0005-0000-0000-0000F9490000}"/>
    <cellStyle name="Input 6 3 10" xfId="30641" xr:uid="{00000000-0005-0000-0000-0000FA490000}"/>
    <cellStyle name="Input 6 3 2" xfId="3890" xr:uid="{00000000-0005-0000-0000-0000FB490000}"/>
    <cellStyle name="Input 6 3 2 2" xfId="3891" xr:uid="{00000000-0005-0000-0000-0000FC490000}"/>
    <cellStyle name="Input 6 3 2 2 2" xfId="9975" xr:uid="{00000000-0005-0000-0000-0000FD490000}"/>
    <cellStyle name="Input 6 3 2 2 3" xfId="9976" xr:uid="{00000000-0005-0000-0000-0000FE490000}"/>
    <cellStyle name="Input 6 3 2 2 4" xfId="9977" xr:uid="{00000000-0005-0000-0000-0000FF490000}"/>
    <cellStyle name="Input 6 3 2 2 5" xfId="16758" xr:uid="{00000000-0005-0000-0000-0000004A0000}"/>
    <cellStyle name="Input 6 3 2 2 6" xfId="17785" xr:uid="{00000000-0005-0000-0000-0000014A0000}"/>
    <cellStyle name="Input 6 3 2 3" xfId="3892" xr:uid="{00000000-0005-0000-0000-0000024A0000}"/>
    <cellStyle name="Input 6 3 2 3 2" xfId="9978" xr:uid="{00000000-0005-0000-0000-0000034A0000}"/>
    <cellStyle name="Input 6 3 2 3 3" xfId="9979" xr:uid="{00000000-0005-0000-0000-0000044A0000}"/>
    <cellStyle name="Input 6 3 2 3 4" xfId="9980" xr:uid="{00000000-0005-0000-0000-0000054A0000}"/>
    <cellStyle name="Input 6 3 2 3 5" xfId="16759" xr:uid="{00000000-0005-0000-0000-0000064A0000}"/>
    <cellStyle name="Input 6 3 2 3 6" xfId="16353" xr:uid="{00000000-0005-0000-0000-0000074A0000}"/>
    <cellStyle name="Input 6 3 2 4" xfId="9981" xr:uid="{00000000-0005-0000-0000-0000084A0000}"/>
    <cellStyle name="Input 6 3 2 5" xfId="9982" xr:uid="{00000000-0005-0000-0000-0000094A0000}"/>
    <cellStyle name="Input 6 3 2 6" xfId="9983" xr:uid="{00000000-0005-0000-0000-00000A4A0000}"/>
    <cellStyle name="Input 6 3 2 7" xfId="16757" xr:uid="{00000000-0005-0000-0000-00000B4A0000}"/>
    <cellStyle name="Input 6 3 2 8" xfId="15481" xr:uid="{00000000-0005-0000-0000-00000C4A0000}"/>
    <cellStyle name="Input 6 3 3" xfId="3893" xr:uid="{00000000-0005-0000-0000-00000D4A0000}"/>
    <cellStyle name="Input 6 3 3 2" xfId="9984" xr:uid="{00000000-0005-0000-0000-00000E4A0000}"/>
    <cellStyle name="Input 6 3 3 3" xfId="9985" xr:uid="{00000000-0005-0000-0000-00000F4A0000}"/>
    <cellStyle name="Input 6 3 3 4" xfId="9986" xr:uid="{00000000-0005-0000-0000-0000104A0000}"/>
    <cellStyle name="Input 6 3 3 5" xfId="16760" xr:uid="{00000000-0005-0000-0000-0000114A0000}"/>
    <cellStyle name="Input 6 3 3 6" xfId="15480" xr:uid="{00000000-0005-0000-0000-0000124A0000}"/>
    <cellStyle name="Input 6 3 4" xfId="3894" xr:uid="{00000000-0005-0000-0000-0000134A0000}"/>
    <cellStyle name="Input 6 3 4 2" xfId="9987" xr:uid="{00000000-0005-0000-0000-0000144A0000}"/>
    <cellStyle name="Input 6 3 4 3" xfId="9988" xr:uid="{00000000-0005-0000-0000-0000154A0000}"/>
    <cellStyle name="Input 6 3 4 4" xfId="9989" xr:uid="{00000000-0005-0000-0000-0000164A0000}"/>
    <cellStyle name="Input 6 3 4 5" xfId="16761" xr:uid="{00000000-0005-0000-0000-0000174A0000}"/>
    <cellStyle name="Input 6 3 4 6" xfId="16130" xr:uid="{00000000-0005-0000-0000-0000184A0000}"/>
    <cellStyle name="Input 6 3 5" xfId="9990" xr:uid="{00000000-0005-0000-0000-0000194A0000}"/>
    <cellStyle name="Input 6 3 6" xfId="9991" xr:uid="{00000000-0005-0000-0000-00001A4A0000}"/>
    <cellStyle name="Input 6 3 7" xfId="9992" xr:uid="{00000000-0005-0000-0000-00001B4A0000}"/>
    <cellStyle name="Input 6 3 8" xfId="15822" xr:uid="{00000000-0005-0000-0000-00001C4A0000}"/>
    <cellStyle name="Input 6 3 9" xfId="15835" xr:uid="{00000000-0005-0000-0000-00001D4A0000}"/>
    <cellStyle name="input 6 4" xfId="9993" xr:uid="{00000000-0005-0000-0000-00001E4A0000}"/>
    <cellStyle name="Input 6 4 2" xfId="30642" xr:uid="{00000000-0005-0000-0000-00001F4A0000}"/>
    <cellStyle name="input 6 5" xfId="9994" xr:uid="{00000000-0005-0000-0000-0000204A0000}"/>
    <cellStyle name="input 6 6" xfId="9995" xr:uid="{00000000-0005-0000-0000-0000214A0000}"/>
    <cellStyle name="input 7" xfId="3895" xr:uid="{00000000-0005-0000-0000-0000224A0000}"/>
    <cellStyle name="Input 7 2" xfId="3896" xr:uid="{00000000-0005-0000-0000-0000234A0000}"/>
    <cellStyle name="Input 7 2 10" xfId="30643" xr:uid="{00000000-0005-0000-0000-0000244A0000}"/>
    <cellStyle name="Input 7 2 2" xfId="3897" xr:uid="{00000000-0005-0000-0000-0000254A0000}"/>
    <cellStyle name="Input 7 2 2 2" xfId="3898" xr:uid="{00000000-0005-0000-0000-0000264A0000}"/>
    <cellStyle name="Input 7 2 2 2 2" xfId="9996" xr:uid="{00000000-0005-0000-0000-0000274A0000}"/>
    <cellStyle name="Input 7 2 2 2 3" xfId="9997" xr:uid="{00000000-0005-0000-0000-0000284A0000}"/>
    <cellStyle name="Input 7 2 2 2 4" xfId="9998" xr:uid="{00000000-0005-0000-0000-0000294A0000}"/>
    <cellStyle name="Input 7 2 2 2 5" xfId="16763" xr:uid="{00000000-0005-0000-0000-00002A4A0000}"/>
    <cellStyle name="Input 7 2 2 2 6" xfId="15479" xr:uid="{00000000-0005-0000-0000-00002B4A0000}"/>
    <cellStyle name="Input 7 2 2 3" xfId="3899" xr:uid="{00000000-0005-0000-0000-00002C4A0000}"/>
    <cellStyle name="Input 7 2 2 3 2" xfId="9999" xr:uid="{00000000-0005-0000-0000-00002D4A0000}"/>
    <cellStyle name="Input 7 2 2 3 3" xfId="10000" xr:uid="{00000000-0005-0000-0000-00002E4A0000}"/>
    <cellStyle name="Input 7 2 2 3 4" xfId="10001" xr:uid="{00000000-0005-0000-0000-00002F4A0000}"/>
    <cellStyle name="Input 7 2 2 3 5" xfId="16764" xr:uid="{00000000-0005-0000-0000-0000304A0000}"/>
    <cellStyle name="Input 7 2 2 3 6" xfId="17784" xr:uid="{00000000-0005-0000-0000-0000314A0000}"/>
    <cellStyle name="Input 7 2 2 4" xfId="10002" xr:uid="{00000000-0005-0000-0000-0000324A0000}"/>
    <cellStyle name="Input 7 2 2 5" xfId="10003" xr:uid="{00000000-0005-0000-0000-0000334A0000}"/>
    <cellStyle name="Input 7 2 2 6" xfId="10004" xr:uid="{00000000-0005-0000-0000-0000344A0000}"/>
    <cellStyle name="Input 7 2 2 7" xfId="16762" xr:uid="{00000000-0005-0000-0000-0000354A0000}"/>
    <cellStyle name="Input 7 2 2 8" xfId="16352" xr:uid="{00000000-0005-0000-0000-0000364A0000}"/>
    <cellStyle name="Input 7 2 2 9" xfId="30644" xr:uid="{00000000-0005-0000-0000-0000374A0000}"/>
    <cellStyle name="Input 7 2 3" xfId="3900" xr:uid="{00000000-0005-0000-0000-0000384A0000}"/>
    <cellStyle name="Input 7 2 3 2" xfId="10005" xr:uid="{00000000-0005-0000-0000-0000394A0000}"/>
    <cellStyle name="Input 7 2 3 3" xfId="10006" xr:uid="{00000000-0005-0000-0000-00003A4A0000}"/>
    <cellStyle name="Input 7 2 3 4" xfId="10007" xr:uid="{00000000-0005-0000-0000-00003B4A0000}"/>
    <cellStyle name="Input 7 2 3 5" xfId="16765" xr:uid="{00000000-0005-0000-0000-00003C4A0000}"/>
    <cellStyle name="Input 7 2 3 6" xfId="16351" xr:uid="{00000000-0005-0000-0000-00003D4A0000}"/>
    <cellStyle name="Input 7 2 4" xfId="3901" xr:uid="{00000000-0005-0000-0000-00003E4A0000}"/>
    <cellStyle name="Input 7 2 4 2" xfId="10008" xr:uid="{00000000-0005-0000-0000-00003F4A0000}"/>
    <cellStyle name="Input 7 2 4 3" xfId="10009" xr:uid="{00000000-0005-0000-0000-0000404A0000}"/>
    <cellStyle name="Input 7 2 4 4" xfId="10010" xr:uid="{00000000-0005-0000-0000-0000414A0000}"/>
    <cellStyle name="Input 7 2 4 5" xfId="16766" xr:uid="{00000000-0005-0000-0000-0000424A0000}"/>
    <cellStyle name="Input 7 2 4 6" xfId="15478" xr:uid="{00000000-0005-0000-0000-0000434A0000}"/>
    <cellStyle name="Input 7 2 5" xfId="10011" xr:uid="{00000000-0005-0000-0000-0000444A0000}"/>
    <cellStyle name="Input 7 2 6" xfId="10012" xr:uid="{00000000-0005-0000-0000-0000454A0000}"/>
    <cellStyle name="Input 7 2 7" xfId="10013" xr:uid="{00000000-0005-0000-0000-0000464A0000}"/>
    <cellStyle name="Input 7 2 8" xfId="15823" xr:uid="{00000000-0005-0000-0000-0000474A0000}"/>
    <cellStyle name="Input 7 2 9" xfId="15834" xr:uid="{00000000-0005-0000-0000-0000484A0000}"/>
    <cellStyle name="Input 7 3" xfId="3902" xr:uid="{00000000-0005-0000-0000-0000494A0000}"/>
    <cellStyle name="Input 7 3 10" xfId="30645" xr:uid="{00000000-0005-0000-0000-00004A4A0000}"/>
    <cellStyle name="Input 7 3 2" xfId="3903" xr:uid="{00000000-0005-0000-0000-00004B4A0000}"/>
    <cellStyle name="Input 7 3 2 2" xfId="3904" xr:uid="{00000000-0005-0000-0000-00004C4A0000}"/>
    <cellStyle name="Input 7 3 2 2 2" xfId="10014" xr:uid="{00000000-0005-0000-0000-00004D4A0000}"/>
    <cellStyle name="Input 7 3 2 2 3" xfId="10015" xr:uid="{00000000-0005-0000-0000-00004E4A0000}"/>
    <cellStyle name="Input 7 3 2 2 4" xfId="10016" xr:uid="{00000000-0005-0000-0000-00004F4A0000}"/>
    <cellStyle name="Input 7 3 2 2 5" xfId="16768" xr:uid="{00000000-0005-0000-0000-0000504A0000}"/>
    <cellStyle name="Input 7 3 2 2 6" xfId="17783" xr:uid="{00000000-0005-0000-0000-0000514A0000}"/>
    <cellStyle name="Input 7 3 2 3" xfId="3905" xr:uid="{00000000-0005-0000-0000-0000524A0000}"/>
    <cellStyle name="Input 7 3 2 3 2" xfId="10017" xr:uid="{00000000-0005-0000-0000-0000534A0000}"/>
    <cellStyle name="Input 7 3 2 3 3" xfId="10018" xr:uid="{00000000-0005-0000-0000-0000544A0000}"/>
    <cellStyle name="Input 7 3 2 3 4" xfId="10019" xr:uid="{00000000-0005-0000-0000-0000554A0000}"/>
    <cellStyle name="Input 7 3 2 3 5" xfId="16769" xr:uid="{00000000-0005-0000-0000-0000564A0000}"/>
    <cellStyle name="Input 7 3 2 3 6" xfId="16350" xr:uid="{00000000-0005-0000-0000-0000574A0000}"/>
    <cellStyle name="Input 7 3 2 4" xfId="10020" xr:uid="{00000000-0005-0000-0000-0000584A0000}"/>
    <cellStyle name="Input 7 3 2 5" xfId="10021" xr:uid="{00000000-0005-0000-0000-0000594A0000}"/>
    <cellStyle name="Input 7 3 2 6" xfId="10022" xr:uid="{00000000-0005-0000-0000-00005A4A0000}"/>
    <cellStyle name="Input 7 3 2 7" xfId="16767" xr:uid="{00000000-0005-0000-0000-00005B4A0000}"/>
    <cellStyle name="Input 7 3 2 8" xfId="16121" xr:uid="{00000000-0005-0000-0000-00005C4A0000}"/>
    <cellStyle name="Input 7 3 3" xfId="3906" xr:uid="{00000000-0005-0000-0000-00005D4A0000}"/>
    <cellStyle name="Input 7 3 3 2" xfId="10023" xr:uid="{00000000-0005-0000-0000-00005E4A0000}"/>
    <cellStyle name="Input 7 3 3 3" xfId="10024" xr:uid="{00000000-0005-0000-0000-00005F4A0000}"/>
    <cellStyle name="Input 7 3 3 4" xfId="10025" xr:uid="{00000000-0005-0000-0000-0000604A0000}"/>
    <cellStyle name="Input 7 3 3 5" xfId="16770" xr:uid="{00000000-0005-0000-0000-0000614A0000}"/>
    <cellStyle name="Input 7 3 3 6" xfId="15477" xr:uid="{00000000-0005-0000-0000-0000624A0000}"/>
    <cellStyle name="Input 7 3 4" xfId="3907" xr:uid="{00000000-0005-0000-0000-0000634A0000}"/>
    <cellStyle name="Input 7 3 4 2" xfId="10026" xr:uid="{00000000-0005-0000-0000-0000644A0000}"/>
    <cellStyle name="Input 7 3 4 3" xfId="10027" xr:uid="{00000000-0005-0000-0000-0000654A0000}"/>
    <cellStyle name="Input 7 3 4 4" xfId="10028" xr:uid="{00000000-0005-0000-0000-0000664A0000}"/>
    <cellStyle name="Input 7 3 4 5" xfId="16771" xr:uid="{00000000-0005-0000-0000-0000674A0000}"/>
    <cellStyle name="Input 7 3 4 6" xfId="17782" xr:uid="{00000000-0005-0000-0000-0000684A0000}"/>
    <cellStyle name="Input 7 3 5" xfId="10029" xr:uid="{00000000-0005-0000-0000-0000694A0000}"/>
    <cellStyle name="Input 7 3 6" xfId="10030" xr:uid="{00000000-0005-0000-0000-00006A4A0000}"/>
    <cellStyle name="Input 7 3 7" xfId="10031" xr:uid="{00000000-0005-0000-0000-00006B4A0000}"/>
    <cellStyle name="Input 7 3 8" xfId="15824" xr:uid="{00000000-0005-0000-0000-00006C4A0000}"/>
    <cellStyle name="Input 7 3 9" xfId="15833" xr:uid="{00000000-0005-0000-0000-00006D4A0000}"/>
    <cellStyle name="input 7 4" xfId="10032" xr:uid="{00000000-0005-0000-0000-00006E4A0000}"/>
    <cellStyle name="Input 7 4 2" xfId="30646" xr:uid="{00000000-0005-0000-0000-00006F4A0000}"/>
    <cellStyle name="input 7 5" xfId="10033" xr:uid="{00000000-0005-0000-0000-0000704A0000}"/>
    <cellStyle name="Input 7 5 2" xfId="30647" xr:uid="{00000000-0005-0000-0000-0000714A0000}"/>
    <cellStyle name="input 7 6" xfId="10034" xr:uid="{00000000-0005-0000-0000-0000724A0000}"/>
    <cellStyle name="input 8" xfId="3908" xr:uid="{00000000-0005-0000-0000-0000734A0000}"/>
    <cellStyle name="Input 8 2" xfId="3909" xr:uid="{00000000-0005-0000-0000-0000744A0000}"/>
    <cellStyle name="Input 8 2 10" xfId="30649" xr:uid="{00000000-0005-0000-0000-0000754A0000}"/>
    <cellStyle name="Input 8 2 2" xfId="3910" xr:uid="{00000000-0005-0000-0000-0000764A0000}"/>
    <cellStyle name="Input 8 2 2 2" xfId="3911" xr:uid="{00000000-0005-0000-0000-0000774A0000}"/>
    <cellStyle name="Input 8 2 2 2 2" xfId="10035" xr:uid="{00000000-0005-0000-0000-0000784A0000}"/>
    <cellStyle name="Input 8 2 2 2 3" xfId="10036" xr:uid="{00000000-0005-0000-0000-0000794A0000}"/>
    <cellStyle name="Input 8 2 2 2 4" xfId="10037" xr:uid="{00000000-0005-0000-0000-00007A4A0000}"/>
    <cellStyle name="Input 8 2 2 2 5" xfId="16773" xr:uid="{00000000-0005-0000-0000-00007B4A0000}"/>
    <cellStyle name="Input 8 2 2 2 6" xfId="16116" xr:uid="{00000000-0005-0000-0000-00007C4A0000}"/>
    <cellStyle name="Input 8 2 2 3" xfId="3912" xr:uid="{00000000-0005-0000-0000-00007D4A0000}"/>
    <cellStyle name="Input 8 2 2 3 2" xfId="10038" xr:uid="{00000000-0005-0000-0000-00007E4A0000}"/>
    <cellStyle name="Input 8 2 2 3 3" xfId="10039" xr:uid="{00000000-0005-0000-0000-00007F4A0000}"/>
    <cellStyle name="Input 8 2 2 3 4" xfId="10040" xr:uid="{00000000-0005-0000-0000-0000804A0000}"/>
    <cellStyle name="Input 8 2 2 3 5" xfId="16774" xr:uid="{00000000-0005-0000-0000-0000814A0000}"/>
    <cellStyle name="Input 8 2 2 3 6" xfId="17781" xr:uid="{00000000-0005-0000-0000-0000824A0000}"/>
    <cellStyle name="Input 8 2 2 4" xfId="10041" xr:uid="{00000000-0005-0000-0000-0000834A0000}"/>
    <cellStyle name="Input 8 2 2 5" xfId="10042" xr:uid="{00000000-0005-0000-0000-0000844A0000}"/>
    <cellStyle name="Input 8 2 2 6" xfId="10043" xr:uid="{00000000-0005-0000-0000-0000854A0000}"/>
    <cellStyle name="Input 8 2 2 7" xfId="16772" xr:uid="{00000000-0005-0000-0000-0000864A0000}"/>
    <cellStyle name="Input 8 2 2 8" xfId="15476" xr:uid="{00000000-0005-0000-0000-0000874A0000}"/>
    <cellStyle name="Input 8 2 2 9" xfId="30650" xr:uid="{00000000-0005-0000-0000-0000884A0000}"/>
    <cellStyle name="Input 8 2 3" xfId="3913" xr:uid="{00000000-0005-0000-0000-0000894A0000}"/>
    <cellStyle name="Input 8 2 3 2" xfId="10044" xr:uid="{00000000-0005-0000-0000-00008A4A0000}"/>
    <cellStyle name="Input 8 2 3 3" xfId="10045" xr:uid="{00000000-0005-0000-0000-00008B4A0000}"/>
    <cellStyle name="Input 8 2 3 4" xfId="10046" xr:uid="{00000000-0005-0000-0000-00008C4A0000}"/>
    <cellStyle name="Input 8 2 3 5" xfId="16775" xr:uid="{00000000-0005-0000-0000-00008D4A0000}"/>
    <cellStyle name="Input 8 2 3 6" xfId="16349" xr:uid="{00000000-0005-0000-0000-00008E4A0000}"/>
    <cellStyle name="Input 8 2 4" xfId="3914" xr:uid="{00000000-0005-0000-0000-00008F4A0000}"/>
    <cellStyle name="Input 8 2 4 2" xfId="10047" xr:uid="{00000000-0005-0000-0000-0000904A0000}"/>
    <cellStyle name="Input 8 2 4 3" xfId="10048" xr:uid="{00000000-0005-0000-0000-0000914A0000}"/>
    <cellStyle name="Input 8 2 4 4" xfId="10049" xr:uid="{00000000-0005-0000-0000-0000924A0000}"/>
    <cellStyle name="Input 8 2 4 5" xfId="16776" xr:uid="{00000000-0005-0000-0000-0000934A0000}"/>
    <cellStyle name="Input 8 2 4 6" xfId="15475" xr:uid="{00000000-0005-0000-0000-0000944A0000}"/>
    <cellStyle name="Input 8 2 5" xfId="10050" xr:uid="{00000000-0005-0000-0000-0000954A0000}"/>
    <cellStyle name="Input 8 2 6" xfId="10051" xr:uid="{00000000-0005-0000-0000-0000964A0000}"/>
    <cellStyle name="Input 8 2 7" xfId="10052" xr:uid="{00000000-0005-0000-0000-0000974A0000}"/>
    <cellStyle name="Input 8 2 8" xfId="15825" xr:uid="{00000000-0005-0000-0000-0000984A0000}"/>
    <cellStyle name="Input 8 2 9" xfId="15832" xr:uid="{00000000-0005-0000-0000-0000994A0000}"/>
    <cellStyle name="Input 8 3" xfId="3915" xr:uid="{00000000-0005-0000-0000-00009A4A0000}"/>
    <cellStyle name="Input 8 3 10" xfId="30651" xr:uid="{00000000-0005-0000-0000-00009B4A0000}"/>
    <cellStyle name="Input 8 3 2" xfId="3916" xr:uid="{00000000-0005-0000-0000-00009C4A0000}"/>
    <cellStyle name="Input 8 3 2 2" xfId="3917" xr:uid="{00000000-0005-0000-0000-00009D4A0000}"/>
    <cellStyle name="Input 8 3 2 2 2" xfId="10053" xr:uid="{00000000-0005-0000-0000-00009E4A0000}"/>
    <cellStyle name="Input 8 3 2 2 3" xfId="10054" xr:uid="{00000000-0005-0000-0000-00009F4A0000}"/>
    <cellStyle name="Input 8 3 2 2 4" xfId="10055" xr:uid="{00000000-0005-0000-0000-0000A04A0000}"/>
    <cellStyle name="Input 8 3 2 2 5" xfId="16778" xr:uid="{00000000-0005-0000-0000-0000A14A0000}"/>
    <cellStyle name="Input 8 3 2 2 6" xfId="16348" xr:uid="{00000000-0005-0000-0000-0000A24A0000}"/>
    <cellStyle name="Input 8 3 2 3" xfId="3918" xr:uid="{00000000-0005-0000-0000-0000A34A0000}"/>
    <cellStyle name="Input 8 3 2 3 2" xfId="10056" xr:uid="{00000000-0005-0000-0000-0000A44A0000}"/>
    <cellStyle name="Input 8 3 2 3 3" xfId="10057" xr:uid="{00000000-0005-0000-0000-0000A54A0000}"/>
    <cellStyle name="Input 8 3 2 3 4" xfId="10058" xr:uid="{00000000-0005-0000-0000-0000A64A0000}"/>
    <cellStyle name="Input 8 3 2 3 5" xfId="16779" xr:uid="{00000000-0005-0000-0000-0000A74A0000}"/>
    <cellStyle name="Input 8 3 2 3 6" xfId="15474" xr:uid="{00000000-0005-0000-0000-0000A84A0000}"/>
    <cellStyle name="Input 8 3 2 4" xfId="10059" xr:uid="{00000000-0005-0000-0000-0000A94A0000}"/>
    <cellStyle name="Input 8 3 2 5" xfId="10060" xr:uid="{00000000-0005-0000-0000-0000AA4A0000}"/>
    <cellStyle name="Input 8 3 2 6" xfId="10061" xr:uid="{00000000-0005-0000-0000-0000AB4A0000}"/>
    <cellStyle name="Input 8 3 2 7" xfId="16777" xr:uid="{00000000-0005-0000-0000-0000AC4A0000}"/>
    <cellStyle name="Input 8 3 2 8" xfId="17780" xr:uid="{00000000-0005-0000-0000-0000AD4A0000}"/>
    <cellStyle name="Input 8 3 3" xfId="3919" xr:uid="{00000000-0005-0000-0000-0000AE4A0000}"/>
    <cellStyle name="Input 8 3 3 2" xfId="10062" xr:uid="{00000000-0005-0000-0000-0000AF4A0000}"/>
    <cellStyle name="Input 8 3 3 3" xfId="10063" xr:uid="{00000000-0005-0000-0000-0000B04A0000}"/>
    <cellStyle name="Input 8 3 3 4" xfId="10064" xr:uid="{00000000-0005-0000-0000-0000B14A0000}"/>
    <cellStyle name="Input 8 3 3 5" xfId="16780" xr:uid="{00000000-0005-0000-0000-0000B24A0000}"/>
    <cellStyle name="Input 8 3 3 6" xfId="17779" xr:uid="{00000000-0005-0000-0000-0000B34A0000}"/>
    <cellStyle name="Input 8 3 4" xfId="3920" xr:uid="{00000000-0005-0000-0000-0000B44A0000}"/>
    <cellStyle name="Input 8 3 4 2" xfId="10065" xr:uid="{00000000-0005-0000-0000-0000B54A0000}"/>
    <cellStyle name="Input 8 3 4 3" xfId="10066" xr:uid="{00000000-0005-0000-0000-0000B64A0000}"/>
    <cellStyle name="Input 8 3 4 4" xfId="10067" xr:uid="{00000000-0005-0000-0000-0000B74A0000}"/>
    <cellStyle name="Input 8 3 4 5" xfId="16781" xr:uid="{00000000-0005-0000-0000-0000B84A0000}"/>
    <cellStyle name="Input 8 3 4 6" xfId="16347" xr:uid="{00000000-0005-0000-0000-0000B94A0000}"/>
    <cellStyle name="Input 8 3 5" xfId="10068" xr:uid="{00000000-0005-0000-0000-0000BA4A0000}"/>
    <cellStyle name="Input 8 3 6" xfId="10069" xr:uid="{00000000-0005-0000-0000-0000BB4A0000}"/>
    <cellStyle name="Input 8 3 7" xfId="10070" xr:uid="{00000000-0005-0000-0000-0000BC4A0000}"/>
    <cellStyle name="Input 8 3 8" xfId="15826" xr:uid="{00000000-0005-0000-0000-0000BD4A0000}"/>
    <cellStyle name="Input 8 3 9" xfId="15831" xr:uid="{00000000-0005-0000-0000-0000BE4A0000}"/>
    <cellStyle name="input 8 4" xfId="10071" xr:uid="{00000000-0005-0000-0000-0000BF4A0000}"/>
    <cellStyle name="Input 8 4 2" xfId="30652" xr:uid="{00000000-0005-0000-0000-0000C04A0000}"/>
    <cellStyle name="input 8 5" xfId="10072" xr:uid="{00000000-0005-0000-0000-0000C14A0000}"/>
    <cellStyle name="input 8 6" xfId="10073" xr:uid="{00000000-0005-0000-0000-0000C24A0000}"/>
    <cellStyle name="Input 8 7" xfId="30648" xr:uid="{00000000-0005-0000-0000-0000C34A0000}"/>
    <cellStyle name="input 9" xfId="3921" xr:uid="{00000000-0005-0000-0000-0000C44A0000}"/>
    <cellStyle name="Input 9 2" xfId="3922" xr:uid="{00000000-0005-0000-0000-0000C54A0000}"/>
    <cellStyle name="Input 9 2 10" xfId="30654" xr:uid="{00000000-0005-0000-0000-0000C64A0000}"/>
    <cellStyle name="Input 9 2 2" xfId="3923" xr:uid="{00000000-0005-0000-0000-0000C74A0000}"/>
    <cellStyle name="Input 9 2 2 2" xfId="3924" xr:uid="{00000000-0005-0000-0000-0000C84A0000}"/>
    <cellStyle name="Input 9 2 2 2 2" xfId="10074" xr:uid="{00000000-0005-0000-0000-0000C94A0000}"/>
    <cellStyle name="Input 9 2 2 2 3" xfId="10075" xr:uid="{00000000-0005-0000-0000-0000CA4A0000}"/>
    <cellStyle name="Input 9 2 2 2 4" xfId="10076" xr:uid="{00000000-0005-0000-0000-0000CB4A0000}"/>
    <cellStyle name="Input 9 2 2 2 5" xfId="16783" xr:uid="{00000000-0005-0000-0000-0000CC4A0000}"/>
    <cellStyle name="Input 9 2 2 2 6" xfId="16346" xr:uid="{00000000-0005-0000-0000-0000CD4A0000}"/>
    <cellStyle name="Input 9 2 2 3" xfId="3925" xr:uid="{00000000-0005-0000-0000-0000CE4A0000}"/>
    <cellStyle name="Input 9 2 2 3 2" xfId="10077" xr:uid="{00000000-0005-0000-0000-0000CF4A0000}"/>
    <cellStyle name="Input 9 2 2 3 3" xfId="10078" xr:uid="{00000000-0005-0000-0000-0000D04A0000}"/>
    <cellStyle name="Input 9 2 2 3 4" xfId="10079" xr:uid="{00000000-0005-0000-0000-0000D14A0000}"/>
    <cellStyle name="Input 9 2 2 3 5" xfId="16784" xr:uid="{00000000-0005-0000-0000-0000D24A0000}"/>
    <cellStyle name="Input 9 2 2 3 6" xfId="15473" xr:uid="{00000000-0005-0000-0000-0000D34A0000}"/>
    <cellStyle name="Input 9 2 2 4" xfId="10080" xr:uid="{00000000-0005-0000-0000-0000D44A0000}"/>
    <cellStyle name="Input 9 2 2 5" xfId="10081" xr:uid="{00000000-0005-0000-0000-0000D54A0000}"/>
    <cellStyle name="Input 9 2 2 6" xfId="10082" xr:uid="{00000000-0005-0000-0000-0000D64A0000}"/>
    <cellStyle name="Input 9 2 2 7" xfId="16782" xr:uid="{00000000-0005-0000-0000-0000D74A0000}"/>
    <cellStyle name="Input 9 2 2 8" xfId="17778" xr:uid="{00000000-0005-0000-0000-0000D84A0000}"/>
    <cellStyle name="Input 9 2 2 9" xfId="30655" xr:uid="{00000000-0005-0000-0000-0000D94A0000}"/>
    <cellStyle name="Input 9 2 3" xfId="3926" xr:uid="{00000000-0005-0000-0000-0000DA4A0000}"/>
    <cellStyle name="Input 9 2 3 2" xfId="10083" xr:uid="{00000000-0005-0000-0000-0000DB4A0000}"/>
    <cellStyle name="Input 9 2 3 3" xfId="10084" xr:uid="{00000000-0005-0000-0000-0000DC4A0000}"/>
    <cellStyle name="Input 9 2 3 4" xfId="10085" xr:uid="{00000000-0005-0000-0000-0000DD4A0000}"/>
    <cellStyle name="Input 9 2 3 5" xfId="16785" xr:uid="{00000000-0005-0000-0000-0000DE4A0000}"/>
    <cellStyle name="Input 9 2 3 6" xfId="17777" xr:uid="{00000000-0005-0000-0000-0000DF4A0000}"/>
    <cellStyle name="Input 9 2 4" xfId="3927" xr:uid="{00000000-0005-0000-0000-0000E04A0000}"/>
    <cellStyle name="Input 9 2 4 2" xfId="10086" xr:uid="{00000000-0005-0000-0000-0000E14A0000}"/>
    <cellStyle name="Input 9 2 4 3" xfId="10087" xr:uid="{00000000-0005-0000-0000-0000E24A0000}"/>
    <cellStyle name="Input 9 2 4 4" xfId="10088" xr:uid="{00000000-0005-0000-0000-0000E34A0000}"/>
    <cellStyle name="Input 9 2 4 5" xfId="16786" xr:uid="{00000000-0005-0000-0000-0000E44A0000}"/>
    <cellStyle name="Input 9 2 4 6" xfId="16345" xr:uid="{00000000-0005-0000-0000-0000E54A0000}"/>
    <cellStyle name="Input 9 2 5" xfId="10089" xr:uid="{00000000-0005-0000-0000-0000E64A0000}"/>
    <cellStyle name="Input 9 2 6" xfId="10090" xr:uid="{00000000-0005-0000-0000-0000E74A0000}"/>
    <cellStyle name="Input 9 2 7" xfId="10091" xr:uid="{00000000-0005-0000-0000-0000E84A0000}"/>
    <cellStyle name="Input 9 2 8" xfId="15827" xr:uid="{00000000-0005-0000-0000-0000E94A0000}"/>
    <cellStyle name="Input 9 2 9" xfId="15830" xr:uid="{00000000-0005-0000-0000-0000EA4A0000}"/>
    <cellStyle name="Input 9 3" xfId="3928" xr:uid="{00000000-0005-0000-0000-0000EB4A0000}"/>
    <cellStyle name="Input 9 3 10" xfId="30656" xr:uid="{00000000-0005-0000-0000-0000EC4A0000}"/>
    <cellStyle name="Input 9 3 2" xfId="3929" xr:uid="{00000000-0005-0000-0000-0000ED4A0000}"/>
    <cellStyle name="Input 9 3 2 2" xfId="3930" xr:uid="{00000000-0005-0000-0000-0000EE4A0000}"/>
    <cellStyle name="Input 9 3 2 2 2" xfId="10092" xr:uid="{00000000-0005-0000-0000-0000EF4A0000}"/>
    <cellStyle name="Input 9 3 2 2 3" xfId="10093" xr:uid="{00000000-0005-0000-0000-0000F04A0000}"/>
    <cellStyle name="Input 9 3 2 2 4" xfId="10094" xr:uid="{00000000-0005-0000-0000-0000F14A0000}"/>
    <cellStyle name="Input 9 3 2 2 5" xfId="16788" xr:uid="{00000000-0005-0000-0000-0000F24A0000}"/>
    <cellStyle name="Input 9 3 2 2 6" xfId="16106" xr:uid="{00000000-0005-0000-0000-0000F34A0000}"/>
    <cellStyle name="Input 9 3 2 3" xfId="3931" xr:uid="{00000000-0005-0000-0000-0000F44A0000}"/>
    <cellStyle name="Input 9 3 2 3 2" xfId="10095" xr:uid="{00000000-0005-0000-0000-0000F54A0000}"/>
    <cellStyle name="Input 9 3 2 3 3" xfId="10096" xr:uid="{00000000-0005-0000-0000-0000F64A0000}"/>
    <cellStyle name="Input 9 3 2 3 4" xfId="10097" xr:uid="{00000000-0005-0000-0000-0000F74A0000}"/>
    <cellStyle name="Input 9 3 2 3 5" xfId="16789" xr:uid="{00000000-0005-0000-0000-0000F84A0000}"/>
    <cellStyle name="Input 9 3 2 3 6" xfId="17776" xr:uid="{00000000-0005-0000-0000-0000F94A0000}"/>
    <cellStyle name="Input 9 3 2 4" xfId="10098" xr:uid="{00000000-0005-0000-0000-0000FA4A0000}"/>
    <cellStyle name="Input 9 3 2 5" xfId="10099" xr:uid="{00000000-0005-0000-0000-0000FB4A0000}"/>
    <cellStyle name="Input 9 3 2 6" xfId="10100" xr:uid="{00000000-0005-0000-0000-0000FC4A0000}"/>
    <cellStyle name="Input 9 3 2 7" xfId="16787" xr:uid="{00000000-0005-0000-0000-0000FD4A0000}"/>
    <cellStyle name="Input 9 3 2 8" xfId="15472" xr:uid="{00000000-0005-0000-0000-0000FE4A0000}"/>
    <cellStyle name="Input 9 3 3" xfId="3932" xr:uid="{00000000-0005-0000-0000-0000FF4A0000}"/>
    <cellStyle name="Input 9 3 3 2" xfId="10101" xr:uid="{00000000-0005-0000-0000-0000004B0000}"/>
    <cellStyle name="Input 9 3 3 3" xfId="10102" xr:uid="{00000000-0005-0000-0000-0000014B0000}"/>
    <cellStyle name="Input 9 3 3 4" xfId="10103" xr:uid="{00000000-0005-0000-0000-0000024B0000}"/>
    <cellStyle name="Input 9 3 3 5" xfId="16790" xr:uid="{00000000-0005-0000-0000-0000034B0000}"/>
    <cellStyle name="Input 9 3 3 6" xfId="16344" xr:uid="{00000000-0005-0000-0000-0000044B0000}"/>
    <cellStyle name="Input 9 3 4" xfId="3933" xr:uid="{00000000-0005-0000-0000-0000054B0000}"/>
    <cellStyle name="Input 9 3 4 2" xfId="10104" xr:uid="{00000000-0005-0000-0000-0000064B0000}"/>
    <cellStyle name="Input 9 3 4 3" xfId="10105" xr:uid="{00000000-0005-0000-0000-0000074B0000}"/>
    <cellStyle name="Input 9 3 4 4" xfId="10106" xr:uid="{00000000-0005-0000-0000-0000084B0000}"/>
    <cellStyle name="Input 9 3 4 5" xfId="16791" xr:uid="{00000000-0005-0000-0000-0000094B0000}"/>
    <cellStyle name="Input 9 3 4 6" xfId="15471" xr:uid="{00000000-0005-0000-0000-00000A4B0000}"/>
    <cellStyle name="Input 9 3 5" xfId="10107" xr:uid="{00000000-0005-0000-0000-00000B4B0000}"/>
    <cellStyle name="Input 9 3 6" xfId="10108" xr:uid="{00000000-0005-0000-0000-00000C4B0000}"/>
    <cellStyle name="Input 9 3 7" xfId="10109" xr:uid="{00000000-0005-0000-0000-00000D4B0000}"/>
    <cellStyle name="Input 9 3 8" xfId="15828" xr:uid="{00000000-0005-0000-0000-00000E4B0000}"/>
    <cellStyle name="Input 9 3 9" xfId="15829" xr:uid="{00000000-0005-0000-0000-00000F4B0000}"/>
    <cellStyle name="input 9 4" xfId="10110" xr:uid="{00000000-0005-0000-0000-0000104B0000}"/>
    <cellStyle name="Input 9 4 2" xfId="30657" xr:uid="{00000000-0005-0000-0000-0000114B0000}"/>
    <cellStyle name="input 9 5" xfId="10111" xr:uid="{00000000-0005-0000-0000-0000124B0000}"/>
    <cellStyle name="input 9 6" xfId="10112" xr:uid="{00000000-0005-0000-0000-0000134B0000}"/>
    <cellStyle name="Input 9 7" xfId="30653" xr:uid="{00000000-0005-0000-0000-0000144B0000}"/>
    <cellStyle name="Item" xfId="30658" xr:uid="{00000000-0005-0000-0000-0000154B0000}"/>
    <cellStyle name="Item (boxed)" xfId="30659" xr:uid="{00000000-0005-0000-0000-0000164B0000}"/>
    <cellStyle name="Item (boxed) 2" xfId="30660" xr:uid="{00000000-0005-0000-0000-0000174B0000}"/>
    <cellStyle name="Item (boxed) 2 2" xfId="30661" xr:uid="{00000000-0005-0000-0000-0000184B0000}"/>
    <cellStyle name="Item (boxed) 3" xfId="30662" xr:uid="{00000000-0005-0000-0000-0000194B0000}"/>
    <cellStyle name="Item (boxed) 3 2" xfId="30663" xr:uid="{00000000-0005-0000-0000-00001A4B0000}"/>
    <cellStyle name="Item (boxed) 3 2 2" xfId="30664" xr:uid="{00000000-0005-0000-0000-00001B4B0000}"/>
    <cellStyle name="Item (boxed) 3 3" xfId="30665" xr:uid="{00000000-0005-0000-0000-00001C4B0000}"/>
    <cellStyle name="Item (boxed) 4" xfId="30666" xr:uid="{00000000-0005-0000-0000-00001D4B0000}"/>
    <cellStyle name="Item (boxed) 4 2" xfId="30667" xr:uid="{00000000-0005-0000-0000-00001E4B0000}"/>
    <cellStyle name="Item (boxed) 4 2 2" xfId="30668" xr:uid="{00000000-0005-0000-0000-00001F4B0000}"/>
    <cellStyle name="Item (boxed) 4 3" xfId="30669" xr:uid="{00000000-0005-0000-0000-0000204B0000}"/>
    <cellStyle name="Item (boxed) 5" xfId="30670" xr:uid="{00000000-0005-0000-0000-0000214B0000}"/>
    <cellStyle name="Item (boxed) 5 2" xfId="30671" xr:uid="{00000000-0005-0000-0000-0000224B0000}"/>
    <cellStyle name="Item (boxed) 5 2 2" xfId="30672" xr:uid="{00000000-0005-0000-0000-0000234B0000}"/>
    <cellStyle name="Item (boxed) 5 3" xfId="30673" xr:uid="{00000000-0005-0000-0000-0000244B0000}"/>
    <cellStyle name="Item (boxed) 6" xfId="30674" xr:uid="{00000000-0005-0000-0000-0000254B0000}"/>
    <cellStyle name="Item 2" xfId="30675" xr:uid="{00000000-0005-0000-0000-0000264B0000}"/>
    <cellStyle name="Item 2 2" xfId="30676" xr:uid="{00000000-0005-0000-0000-0000274B0000}"/>
    <cellStyle name="Item 3" xfId="30677" xr:uid="{00000000-0005-0000-0000-0000284B0000}"/>
    <cellStyle name="Item 3 2" xfId="30678" xr:uid="{00000000-0005-0000-0000-0000294B0000}"/>
    <cellStyle name="Item 3 2 2" xfId="30679" xr:uid="{00000000-0005-0000-0000-00002A4B0000}"/>
    <cellStyle name="Item 3 3" xfId="30680" xr:uid="{00000000-0005-0000-0000-00002B4B0000}"/>
    <cellStyle name="Item 4" xfId="30681" xr:uid="{00000000-0005-0000-0000-00002C4B0000}"/>
    <cellStyle name="Item 4 2" xfId="30682" xr:uid="{00000000-0005-0000-0000-00002D4B0000}"/>
    <cellStyle name="Item 4 2 2" xfId="30683" xr:uid="{00000000-0005-0000-0000-00002E4B0000}"/>
    <cellStyle name="Item 4 3" xfId="30684" xr:uid="{00000000-0005-0000-0000-00002F4B0000}"/>
    <cellStyle name="Item 5" xfId="30685" xr:uid="{00000000-0005-0000-0000-0000304B0000}"/>
    <cellStyle name="Item 5 2" xfId="30686" xr:uid="{00000000-0005-0000-0000-0000314B0000}"/>
    <cellStyle name="Item 5 2 2" xfId="30687" xr:uid="{00000000-0005-0000-0000-0000324B0000}"/>
    <cellStyle name="Item 5 3" xfId="30688" xr:uid="{00000000-0005-0000-0000-0000334B0000}"/>
    <cellStyle name="Item 6" xfId="30689" xr:uid="{00000000-0005-0000-0000-0000344B0000}"/>
    <cellStyle name="Item 6 2" xfId="30690" xr:uid="{00000000-0005-0000-0000-0000354B0000}"/>
    <cellStyle name="Item 6 2 2" xfId="30691" xr:uid="{00000000-0005-0000-0000-0000364B0000}"/>
    <cellStyle name="Item 6 3" xfId="30692" xr:uid="{00000000-0005-0000-0000-0000374B0000}"/>
    <cellStyle name="Item 7" xfId="30693" xr:uid="{00000000-0005-0000-0000-0000384B0000}"/>
    <cellStyle name="Item 7 2" xfId="30694" xr:uid="{00000000-0005-0000-0000-0000394B0000}"/>
    <cellStyle name="Item 7 2 2" xfId="30695" xr:uid="{00000000-0005-0000-0000-00003A4B0000}"/>
    <cellStyle name="Item 7 3" xfId="30696" xr:uid="{00000000-0005-0000-0000-00003B4B0000}"/>
    <cellStyle name="Item 8" xfId="30697" xr:uid="{00000000-0005-0000-0000-00003C4B0000}"/>
    <cellStyle name="Item 8 2" xfId="30698" xr:uid="{00000000-0005-0000-0000-00003D4B0000}"/>
    <cellStyle name="Item 9" xfId="30699" xr:uid="{00000000-0005-0000-0000-00003E4B0000}"/>
    <cellStyle name="Item_PnL Summary" xfId="30700" xr:uid="{00000000-0005-0000-0000-00003F4B0000}"/>
    <cellStyle name="ItemLast" xfId="30701" xr:uid="{00000000-0005-0000-0000-0000404B0000}"/>
    <cellStyle name="ItemLast 2" xfId="30702" xr:uid="{00000000-0005-0000-0000-0000414B0000}"/>
    <cellStyle name="ItemLast 2 2" xfId="30703" xr:uid="{00000000-0005-0000-0000-0000424B0000}"/>
    <cellStyle name="ItemLast 3" xfId="30704" xr:uid="{00000000-0005-0000-0000-0000434B0000}"/>
    <cellStyle name="ItemLast 3 2" xfId="30705" xr:uid="{00000000-0005-0000-0000-0000444B0000}"/>
    <cellStyle name="ItemLast 3 2 2" xfId="30706" xr:uid="{00000000-0005-0000-0000-0000454B0000}"/>
    <cellStyle name="ItemLast 3 3" xfId="30707" xr:uid="{00000000-0005-0000-0000-0000464B0000}"/>
    <cellStyle name="ItemLast 4" xfId="30708" xr:uid="{00000000-0005-0000-0000-0000474B0000}"/>
    <cellStyle name="ItemLast 4 2" xfId="30709" xr:uid="{00000000-0005-0000-0000-0000484B0000}"/>
    <cellStyle name="ItemLast 4 2 2" xfId="30710" xr:uid="{00000000-0005-0000-0000-0000494B0000}"/>
    <cellStyle name="ItemLast 4 3" xfId="30711" xr:uid="{00000000-0005-0000-0000-00004A4B0000}"/>
    <cellStyle name="ItemLast 5" xfId="30712" xr:uid="{00000000-0005-0000-0000-00004B4B0000}"/>
    <cellStyle name="ItemLast 5 2" xfId="30713" xr:uid="{00000000-0005-0000-0000-00004C4B0000}"/>
    <cellStyle name="ItemLast 5 2 2" xfId="30714" xr:uid="{00000000-0005-0000-0000-00004D4B0000}"/>
    <cellStyle name="ItemLast 5 3" xfId="30715" xr:uid="{00000000-0005-0000-0000-00004E4B0000}"/>
    <cellStyle name="ItemLast 6" xfId="30716" xr:uid="{00000000-0005-0000-0000-00004F4B0000}"/>
    <cellStyle name="ItemLastRO" xfId="30717" xr:uid="{00000000-0005-0000-0000-0000504B0000}"/>
    <cellStyle name="ItemLastRO 2" xfId="30718" xr:uid="{00000000-0005-0000-0000-0000514B0000}"/>
    <cellStyle name="ItemLastRO 2 2" xfId="30719" xr:uid="{00000000-0005-0000-0000-0000524B0000}"/>
    <cellStyle name="ItemLastRO 3" xfId="30720" xr:uid="{00000000-0005-0000-0000-0000534B0000}"/>
    <cellStyle name="ItemLastRO 3 2" xfId="30721" xr:uid="{00000000-0005-0000-0000-0000544B0000}"/>
    <cellStyle name="ItemLastRO 3 2 2" xfId="30722" xr:uid="{00000000-0005-0000-0000-0000554B0000}"/>
    <cellStyle name="ItemLastRO 3 3" xfId="30723" xr:uid="{00000000-0005-0000-0000-0000564B0000}"/>
    <cellStyle name="ItemLastRO 4" xfId="30724" xr:uid="{00000000-0005-0000-0000-0000574B0000}"/>
    <cellStyle name="ItemLastRO 4 2" xfId="30725" xr:uid="{00000000-0005-0000-0000-0000584B0000}"/>
    <cellStyle name="ItemLastRO 4 2 2" xfId="30726" xr:uid="{00000000-0005-0000-0000-0000594B0000}"/>
    <cellStyle name="ItemLastRO 4 3" xfId="30727" xr:uid="{00000000-0005-0000-0000-00005A4B0000}"/>
    <cellStyle name="ItemLastRO 5" xfId="30728" xr:uid="{00000000-0005-0000-0000-00005B4B0000}"/>
    <cellStyle name="ItemLastRO 5 2" xfId="30729" xr:uid="{00000000-0005-0000-0000-00005C4B0000}"/>
    <cellStyle name="ItemLastRO 5 2 2" xfId="30730" xr:uid="{00000000-0005-0000-0000-00005D4B0000}"/>
    <cellStyle name="ItemLastRO 5 3" xfId="30731" xr:uid="{00000000-0005-0000-0000-00005E4B0000}"/>
    <cellStyle name="ItemLastRO 6" xfId="30732" xr:uid="{00000000-0005-0000-0000-00005F4B0000}"/>
    <cellStyle name="ItemRO" xfId="30733" xr:uid="{00000000-0005-0000-0000-0000604B0000}"/>
    <cellStyle name="ItemRO 2" xfId="30734" xr:uid="{00000000-0005-0000-0000-0000614B0000}"/>
    <cellStyle name="Itemtomorrow" xfId="30735" xr:uid="{00000000-0005-0000-0000-0000624B0000}"/>
    <cellStyle name="Itemtomorrow 2" xfId="30736" xr:uid="{00000000-0005-0000-0000-0000634B0000}"/>
    <cellStyle name="ItemtomorrowLast" xfId="30737" xr:uid="{00000000-0005-0000-0000-0000644B0000}"/>
    <cellStyle name="ItemtomorrowLast 2" xfId="30738" xr:uid="{00000000-0005-0000-0000-0000654B0000}"/>
    <cellStyle name="ItemtomorrowLastRO" xfId="30739" xr:uid="{00000000-0005-0000-0000-0000664B0000}"/>
    <cellStyle name="ItemtomorrowLastRO 2" xfId="30740" xr:uid="{00000000-0005-0000-0000-0000674B0000}"/>
    <cellStyle name="ItemtomorrowRO" xfId="30741" xr:uid="{00000000-0005-0000-0000-0000684B0000}"/>
    <cellStyle name="ItemtomorrowRO 2" xfId="30742" xr:uid="{00000000-0005-0000-0000-0000694B0000}"/>
    <cellStyle name="Itemyesterday" xfId="30743" xr:uid="{00000000-0005-0000-0000-00006A4B0000}"/>
    <cellStyle name="Itemyesterday 2" xfId="30744" xr:uid="{00000000-0005-0000-0000-00006B4B0000}"/>
    <cellStyle name="ItemyesterdayLast" xfId="30745" xr:uid="{00000000-0005-0000-0000-00006C4B0000}"/>
    <cellStyle name="ItemyesterdayLast 2" xfId="30746" xr:uid="{00000000-0005-0000-0000-00006D4B0000}"/>
    <cellStyle name="LeapYears" xfId="30747" xr:uid="{00000000-0005-0000-0000-00006E4B0000}"/>
    <cellStyle name="Link" xfId="30748" xr:uid="{00000000-0005-0000-0000-00006F4B0000}"/>
    <cellStyle name="Link 2" xfId="30749" xr:uid="{00000000-0005-0000-0000-0000704B0000}"/>
    <cellStyle name="Linked Cell" xfId="44334" builtinId="24" customBuiltin="1"/>
    <cellStyle name="Linked Cell 10" xfId="30750" xr:uid="{00000000-0005-0000-0000-0000724B0000}"/>
    <cellStyle name="Linked Cell 10 2" xfId="3934" xr:uid="{00000000-0005-0000-0000-0000734B0000}"/>
    <cellStyle name="Linked Cell 10 3" xfId="3935" xr:uid="{00000000-0005-0000-0000-0000744B0000}"/>
    <cellStyle name="Linked Cell 11" xfId="30751" xr:uid="{00000000-0005-0000-0000-0000754B0000}"/>
    <cellStyle name="Linked Cell 11 2" xfId="3936" xr:uid="{00000000-0005-0000-0000-0000764B0000}"/>
    <cellStyle name="Linked Cell 11 3" xfId="3937" xr:uid="{00000000-0005-0000-0000-0000774B0000}"/>
    <cellStyle name="Linked Cell 12" xfId="30752" xr:uid="{00000000-0005-0000-0000-0000784B0000}"/>
    <cellStyle name="Linked Cell 12 2" xfId="3938" xr:uid="{00000000-0005-0000-0000-0000794B0000}"/>
    <cellStyle name="Linked Cell 12 3" xfId="3939" xr:uid="{00000000-0005-0000-0000-00007A4B0000}"/>
    <cellStyle name="Linked Cell 13 2" xfId="3940" xr:uid="{00000000-0005-0000-0000-00007B4B0000}"/>
    <cellStyle name="Linked Cell 13 3" xfId="3941" xr:uid="{00000000-0005-0000-0000-00007C4B0000}"/>
    <cellStyle name="Linked Cell 14 2" xfId="3942" xr:uid="{00000000-0005-0000-0000-00007D4B0000}"/>
    <cellStyle name="Linked Cell 14 3" xfId="3943" xr:uid="{00000000-0005-0000-0000-00007E4B0000}"/>
    <cellStyle name="Linked Cell 15" xfId="3944" xr:uid="{00000000-0005-0000-0000-00007F4B0000}"/>
    <cellStyle name="Linked Cell 15 2" xfId="3945" xr:uid="{00000000-0005-0000-0000-0000804B0000}"/>
    <cellStyle name="Linked Cell 15 3" xfId="3946" xr:uid="{00000000-0005-0000-0000-0000814B0000}"/>
    <cellStyle name="Linked Cell 15 4" xfId="3947" xr:uid="{00000000-0005-0000-0000-0000824B0000}"/>
    <cellStyle name="Linked Cell 15 5" xfId="3948" xr:uid="{00000000-0005-0000-0000-0000834B0000}"/>
    <cellStyle name="Linked Cell 15 6" xfId="3949" xr:uid="{00000000-0005-0000-0000-0000844B0000}"/>
    <cellStyle name="Linked Cell 15 7" xfId="3950" xr:uid="{00000000-0005-0000-0000-0000854B0000}"/>
    <cellStyle name="Linked Cell 16" xfId="3951" xr:uid="{00000000-0005-0000-0000-0000864B0000}"/>
    <cellStyle name="Linked Cell 17" xfId="3952" xr:uid="{00000000-0005-0000-0000-0000874B0000}"/>
    <cellStyle name="Linked Cell 18" xfId="3953" xr:uid="{00000000-0005-0000-0000-0000884B0000}"/>
    <cellStyle name="Linked Cell 19" xfId="3954" xr:uid="{00000000-0005-0000-0000-0000894B0000}"/>
    <cellStyle name="Linked Cell 2" xfId="3955" xr:uid="{00000000-0005-0000-0000-00008A4B0000}"/>
    <cellStyle name="Linked Cell 2 2" xfId="3956" xr:uid="{00000000-0005-0000-0000-00008B4B0000}"/>
    <cellStyle name="Linked Cell 2 2 2" xfId="30754" xr:uid="{00000000-0005-0000-0000-00008C4B0000}"/>
    <cellStyle name="Linked Cell 2 2 2 2" xfId="30755" xr:uid="{00000000-0005-0000-0000-00008D4B0000}"/>
    <cellStyle name="Linked Cell 2 2 3" xfId="30756" xr:uid="{00000000-0005-0000-0000-00008E4B0000}"/>
    <cellStyle name="Linked Cell 2 2 3 2" xfId="30757" xr:uid="{00000000-0005-0000-0000-00008F4B0000}"/>
    <cellStyle name="Linked Cell 2 2 4" xfId="30758" xr:uid="{00000000-0005-0000-0000-0000904B0000}"/>
    <cellStyle name="Linked Cell 2 2 5" xfId="30753" xr:uid="{00000000-0005-0000-0000-0000914B0000}"/>
    <cellStyle name="Linked Cell 2 3" xfId="3957" xr:uid="{00000000-0005-0000-0000-0000924B0000}"/>
    <cellStyle name="Linked Cell 2 3 2" xfId="30760" xr:uid="{00000000-0005-0000-0000-0000934B0000}"/>
    <cellStyle name="Linked Cell 2 3 3" xfId="30759" xr:uid="{00000000-0005-0000-0000-0000944B0000}"/>
    <cellStyle name="Linked Cell 2 4" xfId="30761" xr:uid="{00000000-0005-0000-0000-0000954B0000}"/>
    <cellStyle name="Linked Cell 2 4 2" xfId="30762" xr:uid="{00000000-0005-0000-0000-0000964B0000}"/>
    <cellStyle name="Linked Cell 2 5" xfId="30763" xr:uid="{00000000-0005-0000-0000-0000974B0000}"/>
    <cellStyle name="Linked Cell 2 6" xfId="30764" xr:uid="{00000000-0005-0000-0000-0000984B0000}"/>
    <cellStyle name="Linked Cell 20" xfId="3958" xr:uid="{00000000-0005-0000-0000-0000994B0000}"/>
    <cellStyle name="Linked Cell 21" xfId="3959" xr:uid="{00000000-0005-0000-0000-00009A4B0000}"/>
    <cellStyle name="Linked Cell 22" xfId="3960" xr:uid="{00000000-0005-0000-0000-00009B4B0000}"/>
    <cellStyle name="Linked Cell 3" xfId="3961" xr:uid="{00000000-0005-0000-0000-00009C4B0000}"/>
    <cellStyle name="Linked Cell 3 2" xfId="3962" xr:uid="{00000000-0005-0000-0000-00009D4B0000}"/>
    <cellStyle name="Linked Cell 3 2 2" xfId="30767" xr:uid="{00000000-0005-0000-0000-00009E4B0000}"/>
    <cellStyle name="Linked Cell 3 2 2 2" xfId="30768" xr:uid="{00000000-0005-0000-0000-00009F4B0000}"/>
    <cellStyle name="Linked Cell 3 2 3" xfId="30769" xr:uid="{00000000-0005-0000-0000-0000A04B0000}"/>
    <cellStyle name="Linked Cell 3 2 4" xfId="30766" xr:uid="{00000000-0005-0000-0000-0000A14B0000}"/>
    <cellStyle name="Linked Cell 3 3" xfId="3963" xr:uid="{00000000-0005-0000-0000-0000A24B0000}"/>
    <cellStyle name="Linked Cell 3 3 2" xfId="30770" xr:uid="{00000000-0005-0000-0000-0000A34B0000}"/>
    <cellStyle name="Linked Cell 3 4" xfId="30771" xr:uid="{00000000-0005-0000-0000-0000A44B0000}"/>
    <cellStyle name="Linked Cell 3 5" xfId="30765" xr:uid="{00000000-0005-0000-0000-0000A54B0000}"/>
    <cellStyle name="Linked Cell 4" xfId="3964" xr:uid="{00000000-0005-0000-0000-0000A64B0000}"/>
    <cellStyle name="Linked Cell 4 2" xfId="3965" xr:uid="{00000000-0005-0000-0000-0000A74B0000}"/>
    <cellStyle name="Linked Cell 4 2 2" xfId="30774" xr:uid="{00000000-0005-0000-0000-0000A84B0000}"/>
    <cellStyle name="Linked Cell 4 2 3" xfId="30773" xr:uid="{00000000-0005-0000-0000-0000A94B0000}"/>
    <cellStyle name="Linked Cell 4 3" xfId="3966" xr:uid="{00000000-0005-0000-0000-0000AA4B0000}"/>
    <cellStyle name="Linked Cell 4 3 2" xfId="30776" xr:uid="{00000000-0005-0000-0000-0000AB4B0000}"/>
    <cellStyle name="Linked Cell 4 3 3" xfId="30775" xr:uid="{00000000-0005-0000-0000-0000AC4B0000}"/>
    <cellStyle name="Linked Cell 4 4" xfId="30777" xr:uid="{00000000-0005-0000-0000-0000AD4B0000}"/>
    <cellStyle name="Linked Cell 4 5" xfId="30778" xr:uid="{00000000-0005-0000-0000-0000AE4B0000}"/>
    <cellStyle name="Linked Cell 4 6" xfId="30772" xr:uid="{00000000-0005-0000-0000-0000AF4B0000}"/>
    <cellStyle name="Linked Cell 5" xfId="3967" xr:uid="{00000000-0005-0000-0000-0000B04B0000}"/>
    <cellStyle name="Linked Cell 5 2" xfId="3968" xr:uid="{00000000-0005-0000-0000-0000B14B0000}"/>
    <cellStyle name="Linked Cell 5 2 2" xfId="30780" xr:uid="{00000000-0005-0000-0000-0000B24B0000}"/>
    <cellStyle name="Linked Cell 5 3" xfId="3969" xr:uid="{00000000-0005-0000-0000-0000B34B0000}"/>
    <cellStyle name="Linked Cell 5 3 2" xfId="30781" xr:uid="{00000000-0005-0000-0000-0000B44B0000}"/>
    <cellStyle name="Linked Cell 5 4" xfId="30779" xr:uid="{00000000-0005-0000-0000-0000B54B0000}"/>
    <cellStyle name="Linked Cell 6" xfId="30782" xr:uid="{00000000-0005-0000-0000-0000B64B0000}"/>
    <cellStyle name="Linked Cell 6 2" xfId="3970" xr:uid="{00000000-0005-0000-0000-0000B74B0000}"/>
    <cellStyle name="Linked Cell 6 2 2" xfId="30783" xr:uid="{00000000-0005-0000-0000-0000B84B0000}"/>
    <cellStyle name="Linked Cell 6 3" xfId="3971" xr:uid="{00000000-0005-0000-0000-0000B94B0000}"/>
    <cellStyle name="Linked Cell 7" xfId="30784" xr:uid="{00000000-0005-0000-0000-0000BA4B0000}"/>
    <cellStyle name="Linked Cell 7 2" xfId="3972" xr:uid="{00000000-0005-0000-0000-0000BB4B0000}"/>
    <cellStyle name="Linked Cell 7 2 2" xfId="30785" xr:uid="{00000000-0005-0000-0000-0000BC4B0000}"/>
    <cellStyle name="Linked Cell 7 3" xfId="3973" xr:uid="{00000000-0005-0000-0000-0000BD4B0000}"/>
    <cellStyle name="Linked Cell 8" xfId="30786" xr:uid="{00000000-0005-0000-0000-0000BE4B0000}"/>
    <cellStyle name="Linked Cell 8 2" xfId="3974" xr:uid="{00000000-0005-0000-0000-0000BF4B0000}"/>
    <cellStyle name="Linked Cell 8 2 2" xfId="30787" xr:uid="{00000000-0005-0000-0000-0000C04B0000}"/>
    <cellStyle name="Linked Cell 8 3" xfId="3975" xr:uid="{00000000-0005-0000-0000-0000C14B0000}"/>
    <cellStyle name="Linked Cell 9" xfId="30788" xr:uid="{00000000-0005-0000-0000-0000C24B0000}"/>
    <cellStyle name="Linked Cell 9 2" xfId="3976" xr:uid="{00000000-0005-0000-0000-0000C34B0000}"/>
    <cellStyle name="Linked Cell 9 2 2" xfId="30789" xr:uid="{00000000-0005-0000-0000-0000C44B0000}"/>
    <cellStyle name="Linked Cell 9 3" xfId="3977" xr:uid="{00000000-0005-0000-0000-0000C54B0000}"/>
    <cellStyle name="Maintenance" xfId="30790" xr:uid="{00000000-0005-0000-0000-0000C64B0000}"/>
    <cellStyle name="Milliers [0]_Open&amp;Close" xfId="30791" xr:uid="{00000000-0005-0000-0000-0000C74B0000}"/>
    <cellStyle name="Milliers_Open&amp;Close" xfId="30792" xr:uid="{00000000-0005-0000-0000-0000C84B0000}"/>
    <cellStyle name="Moneda [0]_Mex-Braz-Arg" xfId="30793" xr:uid="{00000000-0005-0000-0000-0000C94B0000}"/>
    <cellStyle name="Moneda_Mex-Braz-Arg" xfId="30794" xr:uid="{00000000-0005-0000-0000-0000CA4B0000}"/>
    <cellStyle name="Monétaire [0]_Open&amp;Close" xfId="30795" xr:uid="{00000000-0005-0000-0000-0000CB4B0000}"/>
    <cellStyle name="Monétaire_Open&amp;Close" xfId="30796" xr:uid="{00000000-0005-0000-0000-0000CC4B0000}"/>
    <cellStyle name="Month" xfId="30797" xr:uid="{00000000-0005-0000-0000-0000CD4B0000}"/>
    <cellStyle name="Month 2" xfId="30798" xr:uid="{00000000-0005-0000-0000-0000CE4B0000}"/>
    <cellStyle name="Month 2 2" xfId="30799" xr:uid="{00000000-0005-0000-0000-0000CF4B0000}"/>
    <cellStyle name="Month 3" xfId="30800" xr:uid="{00000000-0005-0000-0000-0000D04B0000}"/>
    <cellStyle name="Neutral" xfId="44330" builtinId="28" customBuiltin="1"/>
    <cellStyle name="Neutral 10" xfId="30801" xr:uid="{00000000-0005-0000-0000-0000D24B0000}"/>
    <cellStyle name="Neutral 10 2" xfId="3978" xr:uid="{00000000-0005-0000-0000-0000D34B0000}"/>
    <cellStyle name="Neutral 10 3" xfId="3979" xr:uid="{00000000-0005-0000-0000-0000D44B0000}"/>
    <cellStyle name="Neutral 11" xfId="30802" xr:uid="{00000000-0005-0000-0000-0000D54B0000}"/>
    <cellStyle name="Neutral 11 2" xfId="3980" xr:uid="{00000000-0005-0000-0000-0000D64B0000}"/>
    <cellStyle name="Neutral 11 3" xfId="3981" xr:uid="{00000000-0005-0000-0000-0000D74B0000}"/>
    <cellStyle name="Neutral 12" xfId="30803" xr:uid="{00000000-0005-0000-0000-0000D84B0000}"/>
    <cellStyle name="Neutral 12 2" xfId="3982" xr:uid="{00000000-0005-0000-0000-0000D94B0000}"/>
    <cellStyle name="Neutral 12 3" xfId="3983" xr:uid="{00000000-0005-0000-0000-0000DA4B0000}"/>
    <cellStyle name="Neutral 13 2" xfId="3984" xr:uid="{00000000-0005-0000-0000-0000DB4B0000}"/>
    <cellStyle name="Neutral 13 3" xfId="3985" xr:uid="{00000000-0005-0000-0000-0000DC4B0000}"/>
    <cellStyle name="Neutral 14 2" xfId="3986" xr:uid="{00000000-0005-0000-0000-0000DD4B0000}"/>
    <cellStyle name="Neutral 14 3" xfId="3987" xr:uid="{00000000-0005-0000-0000-0000DE4B0000}"/>
    <cellStyle name="Neutral 15" xfId="3988" xr:uid="{00000000-0005-0000-0000-0000DF4B0000}"/>
    <cellStyle name="Neutral 15 2" xfId="3989" xr:uid="{00000000-0005-0000-0000-0000E04B0000}"/>
    <cellStyle name="Neutral 15 3" xfId="3990" xr:uid="{00000000-0005-0000-0000-0000E14B0000}"/>
    <cellStyle name="Neutral 15 4" xfId="3991" xr:uid="{00000000-0005-0000-0000-0000E24B0000}"/>
    <cellStyle name="Neutral 15 5" xfId="3992" xr:uid="{00000000-0005-0000-0000-0000E34B0000}"/>
    <cellStyle name="Neutral 15 6" xfId="3993" xr:uid="{00000000-0005-0000-0000-0000E44B0000}"/>
    <cellStyle name="Neutral 15 7" xfId="3994" xr:uid="{00000000-0005-0000-0000-0000E54B0000}"/>
    <cellStyle name="Neutral 16" xfId="3995" xr:uid="{00000000-0005-0000-0000-0000E64B0000}"/>
    <cellStyle name="Neutral 17" xfId="3996" xr:uid="{00000000-0005-0000-0000-0000E74B0000}"/>
    <cellStyle name="Neutral 18" xfId="3997" xr:uid="{00000000-0005-0000-0000-0000E84B0000}"/>
    <cellStyle name="Neutral 19" xfId="3998" xr:uid="{00000000-0005-0000-0000-0000E94B0000}"/>
    <cellStyle name="Neutral 2" xfId="3999" xr:uid="{00000000-0005-0000-0000-0000EA4B0000}"/>
    <cellStyle name="Neutral 2 2" xfId="4000" xr:uid="{00000000-0005-0000-0000-0000EB4B0000}"/>
    <cellStyle name="Neutral 2 2 2" xfId="30805" xr:uid="{00000000-0005-0000-0000-0000EC4B0000}"/>
    <cellStyle name="Neutral 2 2 2 2" xfId="30806" xr:uid="{00000000-0005-0000-0000-0000ED4B0000}"/>
    <cellStyle name="Neutral 2 2 3" xfId="30807" xr:uid="{00000000-0005-0000-0000-0000EE4B0000}"/>
    <cellStyle name="Neutral 2 2 3 2" xfId="30808" xr:uid="{00000000-0005-0000-0000-0000EF4B0000}"/>
    <cellStyle name="Neutral 2 2 4" xfId="30809" xr:uid="{00000000-0005-0000-0000-0000F04B0000}"/>
    <cellStyle name="Neutral 2 2 5" xfId="30804" xr:uid="{00000000-0005-0000-0000-0000F14B0000}"/>
    <cellStyle name="Neutral 2 3" xfId="4001" xr:uid="{00000000-0005-0000-0000-0000F24B0000}"/>
    <cellStyle name="Neutral 2 3 2" xfId="30811" xr:uid="{00000000-0005-0000-0000-0000F34B0000}"/>
    <cellStyle name="Neutral 2 3 3" xfId="30810" xr:uid="{00000000-0005-0000-0000-0000F44B0000}"/>
    <cellStyle name="Neutral 2 4" xfId="30812" xr:uid="{00000000-0005-0000-0000-0000F54B0000}"/>
    <cellStyle name="Neutral 2 4 2" xfId="30813" xr:uid="{00000000-0005-0000-0000-0000F64B0000}"/>
    <cellStyle name="Neutral 2 5" xfId="30814" xr:uid="{00000000-0005-0000-0000-0000F74B0000}"/>
    <cellStyle name="Neutral 2 5 2" xfId="30815" xr:uid="{00000000-0005-0000-0000-0000F84B0000}"/>
    <cellStyle name="Neutral 2 6" xfId="30816" xr:uid="{00000000-0005-0000-0000-0000F94B0000}"/>
    <cellStyle name="Neutral 2 7" xfId="30817" xr:uid="{00000000-0005-0000-0000-0000FA4B0000}"/>
    <cellStyle name="Neutral 20" xfId="4002" xr:uid="{00000000-0005-0000-0000-0000FB4B0000}"/>
    <cellStyle name="Neutral 21" xfId="4003" xr:uid="{00000000-0005-0000-0000-0000FC4B0000}"/>
    <cellStyle name="Neutral 22" xfId="4004" xr:uid="{00000000-0005-0000-0000-0000FD4B0000}"/>
    <cellStyle name="Neutral 3" xfId="4005" xr:uid="{00000000-0005-0000-0000-0000FE4B0000}"/>
    <cellStyle name="Neutral 3 2" xfId="4006" xr:uid="{00000000-0005-0000-0000-0000FF4B0000}"/>
    <cellStyle name="Neutral 3 2 2" xfId="30820" xr:uid="{00000000-0005-0000-0000-0000004C0000}"/>
    <cellStyle name="Neutral 3 2 2 2" xfId="30821" xr:uid="{00000000-0005-0000-0000-0000014C0000}"/>
    <cellStyle name="Neutral 3 2 3" xfId="30822" xr:uid="{00000000-0005-0000-0000-0000024C0000}"/>
    <cellStyle name="Neutral 3 2 4" xfId="30819" xr:uid="{00000000-0005-0000-0000-0000034C0000}"/>
    <cellStyle name="Neutral 3 3" xfId="4007" xr:uid="{00000000-0005-0000-0000-0000044C0000}"/>
    <cellStyle name="Neutral 3 3 2" xfId="30823" xr:uid="{00000000-0005-0000-0000-0000054C0000}"/>
    <cellStyle name="Neutral 3 4" xfId="30824" xr:uid="{00000000-0005-0000-0000-0000064C0000}"/>
    <cellStyle name="Neutral 3 5" xfId="30818" xr:uid="{00000000-0005-0000-0000-0000074C0000}"/>
    <cellStyle name="Neutral 4" xfId="4008" xr:uid="{00000000-0005-0000-0000-0000084C0000}"/>
    <cellStyle name="Neutral 4 2" xfId="4009" xr:uid="{00000000-0005-0000-0000-0000094C0000}"/>
    <cellStyle name="Neutral 4 2 2" xfId="30827" xr:uid="{00000000-0005-0000-0000-00000A4C0000}"/>
    <cellStyle name="Neutral 4 2 2 2" xfId="30828" xr:uid="{00000000-0005-0000-0000-00000B4C0000}"/>
    <cellStyle name="Neutral 4 2 3" xfId="30829" xr:uid="{00000000-0005-0000-0000-00000C4C0000}"/>
    <cellStyle name="Neutral 4 2 4" xfId="30826" xr:uid="{00000000-0005-0000-0000-00000D4C0000}"/>
    <cellStyle name="Neutral 4 3" xfId="4010" xr:uid="{00000000-0005-0000-0000-00000E4C0000}"/>
    <cellStyle name="Neutral 4 3 2" xfId="30830" xr:uid="{00000000-0005-0000-0000-00000F4C0000}"/>
    <cellStyle name="Neutral 4 4" xfId="30831" xr:uid="{00000000-0005-0000-0000-0000104C0000}"/>
    <cellStyle name="Neutral 4 5" xfId="30825" xr:uid="{00000000-0005-0000-0000-0000114C0000}"/>
    <cellStyle name="Neutral 5" xfId="4011" xr:uid="{00000000-0005-0000-0000-0000124C0000}"/>
    <cellStyle name="Neutral 5 2" xfId="4012" xr:uid="{00000000-0005-0000-0000-0000134C0000}"/>
    <cellStyle name="Neutral 5 2 2" xfId="30833" xr:uid="{00000000-0005-0000-0000-0000144C0000}"/>
    <cellStyle name="Neutral 5 3" xfId="4013" xr:uid="{00000000-0005-0000-0000-0000154C0000}"/>
    <cellStyle name="Neutral 5 3 2" xfId="30834" xr:uid="{00000000-0005-0000-0000-0000164C0000}"/>
    <cellStyle name="Neutral 5 4" xfId="30832" xr:uid="{00000000-0005-0000-0000-0000174C0000}"/>
    <cellStyle name="Neutral 6" xfId="30835" xr:uid="{00000000-0005-0000-0000-0000184C0000}"/>
    <cellStyle name="Neutral 6 2" xfId="4014" xr:uid="{00000000-0005-0000-0000-0000194C0000}"/>
    <cellStyle name="Neutral 6 2 2" xfId="30836" xr:uid="{00000000-0005-0000-0000-00001A4C0000}"/>
    <cellStyle name="Neutral 6 3" xfId="4015" xr:uid="{00000000-0005-0000-0000-00001B4C0000}"/>
    <cellStyle name="Neutral 7" xfId="30837" xr:uid="{00000000-0005-0000-0000-00001C4C0000}"/>
    <cellStyle name="Neutral 7 2" xfId="4016" xr:uid="{00000000-0005-0000-0000-00001D4C0000}"/>
    <cellStyle name="Neutral 7 2 2" xfId="30838" xr:uid="{00000000-0005-0000-0000-00001E4C0000}"/>
    <cellStyle name="Neutral 7 3" xfId="4017" xr:uid="{00000000-0005-0000-0000-00001F4C0000}"/>
    <cellStyle name="Neutral 8" xfId="30839" xr:uid="{00000000-0005-0000-0000-0000204C0000}"/>
    <cellStyle name="Neutral 8 2" xfId="4018" xr:uid="{00000000-0005-0000-0000-0000214C0000}"/>
    <cellStyle name="Neutral 8 2 2" xfId="30840" xr:uid="{00000000-0005-0000-0000-0000224C0000}"/>
    <cellStyle name="Neutral 8 3" xfId="4019" xr:uid="{00000000-0005-0000-0000-0000234C0000}"/>
    <cellStyle name="Neutral 9" xfId="30841" xr:uid="{00000000-0005-0000-0000-0000244C0000}"/>
    <cellStyle name="Neutral 9 2" xfId="4020" xr:uid="{00000000-0005-0000-0000-0000254C0000}"/>
    <cellStyle name="Neutral 9 2 2" xfId="30842" xr:uid="{00000000-0005-0000-0000-0000264C0000}"/>
    <cellStyle name="Neutral 9 3" xfId="4021" xr:uid="{00000000-0005-0000-0000-0000274C0000}"/>
    <cellStyle name="NIS" xfId="30843" xr:uid="{00000000-0005-0000-0000-0000284C0000}"/>
    <cellStyle name="no dec" xfId="4022" xr:uid="{00000000-0005-0000-0000-0000294C0000}"/>
    <cellStyle name="no dec 2" xfId="30844" xr:uid="{00000000-0005-0000-0000-00002A4C0000}"/>
    <cellStyle name="no dec 2 2" xfId="30845" xr:uid="{00000000-0005-0000-0000-00002B4C0000}"/>
    <cellStyle name="no dec 2 2 2" xfId="30846" xr:uid="{00000000-0005-0000-0000-00002C4C0000}"/>
    <cellStyle name="no dec 2 3" xfId="30847" xr:uid="{00000000-0005-0000-0000-00002D4C0000}"/>
    <cellStyle name="no dec 3" xfId="30848" xr:uid="{00000000-0005-0000-0000-00002E4C0000}"/>
    <cellStyle name="no dec 3 2" xfId="30849" xr:uid="{00000000-0005-0000-0000-00002F4C0000}"/>
    <cellStyle name="no dec 4" xfId="30850" xr:uid="{00000000-0005-0000-0000-0000304C0000}"/>
    <cellStyle name="no dec 4 2" xfId="30851" xr:uid="{00000000-0005-0000-0000-0000314C0000}"/>
    <cellStyle name="no dec 5" xfId="30852" xr:uid="{00000000-0005-0000-0000-0000324C0000}"/>
    <cellStyle name="no dec 5 2" xfId="30853" xr:uid="{00000000-0005-0000-0000-0000334C0000}"/>
    <cellStyle name="no dec 6" xfId="30854" xr:uid="{00000000-0005-0000-0000-0000344C0000}"/>
    <cellStyle name="no dec 6 2" xfId="30855" xr:uid="{00000000-0005-0000-0000-0000354C0000}"/>
    <cellStyle name="no dec 6 2 2" xfId="30856" xr:uid="{00000000-0005-0000-0000-0000364C0000}"/>
    <cellStyle name="no dec 6 3" xfId="30857" xr:uid="{00000000-0005-0000-0000-0000374C0000}"/>
    <cellStyle name="no dec 6 3 2" xfId="30858" xr:uid="{00000000-0005-0000-0000-0000384C0000}"/>
    <cellStyle name="no dec 6 4" xfId="30859" xr:uid="{00000000-0005-0000-0000-0000394C0000}"/>
    <cellStyle name="no dec 7" xfId="30860" xr:uid="{00000000-0005-0000-0000-00003A4C0000}"/>
    <cellStyle name="no dec 8" xfId="30861" xr:uid="{00000000-0005-0000-0000-00003B4C0000}"/>
    <cellStyle name="no dst" xfId="30862" xr:uid="{00000000-0005-0000-0000-00003C4C0000}"/>
    <cellStyle name="no dst 2" xfId="30863" xr:uid="{00000000-0005-0000-0000-00003D4C0000}"/>
    <cellStyle name="NoPattern" xfId="30864" xr:uid="{00000000-0005-0000-0000-00003E4C0000}"/>
    <cellStyle name="NoPattern 2" xfId="30865" xr:uid="{00000000-0005-0000-0000-00003F4C0000}"/>
    <cellStyle name="Normal" xfId="0" builtinId="0"/>
    <cellStyle name="Normal - Styl_CCR" xfId="30866" xr:uid="{00000000-0005-0000-0000-0000414C0000}"/>
    <cellStyle name="Normal - Style1" xfId="4023" xr:uid="{00000000-0005-0000-0000-0000424C0000}"/>
    <cellStyle name="Normal - Style1 10" xfId="30867" xr:uid="{00000000-0005-0000-0000-0000434C0000}"/>
    <cellStyle name="Normal - Style1 2" xfId="30868" xr:uid="{00000000-0005-0000-0000-0000444C0000}"/>
    <cellStyle name="Normal - Style1 2 2" xfId="30869" xr:uid="{00000000-0005-0000-0000-0000454C0000}"/>
    <cellStyle name="Normal - Style1 2 2 2" xfId="39209" xr:uid="{00000000-0005-0000-0000-0000464C0000}"/>
    <cellStyle name="Normal - Style1 2 3" xfId="30870" xr:uid="{00000000-0005-0000-0000-0000474C0000}"/>
    <cellStyle name="Normal - Style1 2 3 2" xfId="39210" xr:uid="{00000000-0005-0000-0000-0000484C0000}"/>
    <cellStyle name="Normal - Style1 2 4" xfId="30871" xr:uid="{00000000-0005-0000-0000-0000494C0000}"/>
    <cellStyle name="Normal - Style1 2 4 2" xfId="39211" xr:uid="{00000000-0005-0000-0000-00004A4C0000}"/>
    <cellStyle name="Normal - Style1 2 5" xfId="30872" xr:uid="{00000000-0005-0000-0000-00004B4C0000}"/>
    <cellStyle name="Normal - Style1 2 5 2" xfId="39212" xr:uid="{00000000-0005-0000-0000-00004C4C0000}"/>
    <cellStyle name="Normal - Style1 2 6" xfId="30873" xr:uid="{00000000-0005-0000-0000-00004D4C0000}"/>
    <cellStyle name="Normal - Style1 2 6 2" xfId="39213" xr:uid="{00000000-0005-0000-0000-00004E4C0000}"/>
    <cellStyle name="Normal - Style1 2 7" xfId="30874" xr:uid="{00000000-0005-0000-0000-00004F4C0000}"/>
    <cellStyle name="Normal - Style1 2 7 2" xfId="39214" xr:uid="{00000000-0005-0000-0000-0000504C0000}"/>
    <cellStyle name="Normal - Style1 3" xfId="30875" xr:uid="{00000000-0005-0000-0000-0000514C0000}"/>
    <cellStyle name="Normal - Style1 3 2" xfId="30876" xr:uid="{00000000-0005-0000-0000-0000524C0000}"/>
    <cellStyle name="Normal - Style1 3 2 2" xfId="39215" xr:uid="{00000000-0005-0000-0000-0000534C0000}"/>
    <cellStyle name="Normal - Style1 3 3" xfId="30877" xr:uid="{00000000-0005-0000-0000-0000544C0000}"/>
    <cellStyle name="Normal - Style1 3 3 2" xfId="39216" xr:uid="{00000000-0005-0000-0000-0000554C0000}"/>
    <cellStyle name="Normal - Style1 4" xfId="30878" xr:uid="{00000000-0005-0000-0000-0000564C0000}"/>
    <cellStyle name="Normal - Style1 4 2" xfId="39217" xr:uid="{00000000-0005-0000-0000-0000574C0000}"/>
    <cellStyle name="Normal - Style1 5" xfId="30879" xr:uid="{00000000-0005-0000-0000-0000584C0000}"/>
    <cellStyle name="Normal - Style1 5 2" xfId="39218" xr:uid="{00000000-0005-0000-0000-0000594C0000}"/>
    <cellStyle name="Normal - Style1 6" xfId="30880" xr:uid="{00000000-0005-0000-0000-00005A4C0000}"/>
    <cellStyle name="Normal - Style1 6 2" xfId="39219" xr:uid="{00000000-0005-0000-0000-00005B4C0000}"/>
    <cellStyle name="Normal - Style1 7" xfId="30881" xr:uid="{00000000-0005-0000-0000-00005C4C0000}"/>
    <cellStyle name="Normal - Style1 7 2" xfId="39220" xr:uid="{00000000-0005-0000-0000-00005D4C0000}"/>
    <cellStyle name="Normal - Style1 8" xfId="30882" xr:uid="{00000000-0005-0000-0000-00005E4C0000}"/>
    <cellStyle name="Normal - Style1 8 2" xfId="39221" xr:uid="{00000000-0005-0000-0000-00005F4C0000}"/>
    <cellStyle name="Normal - Style1 9" xfId="30883" xr:uid="{00000000-0005-0000-0000-0000604C0000}"/>
    <cellStyle name="Normal - Style2" xfId="4024" xr:uid="{00000000-0005-0000-0000-0000614C0000}"/>
    <cellStyle name="Normal - Style2 2" xfId="30884" xr:uid="{00000000-0005-0000-0000-0000624C0000}"/>
    <cellStyle name="Normal - Style2 2 2" xfId="30885" xr:uid="{00000000-0005-0000-0000-0000634C0000}"/>
    <cellStyle name="Normal - Style2 2 3" xfId="39222" xr:uid="{00000000-0005-0000-0000-0000644C0000}"/>
    <cellStyle name="Normal - Style2 3" xfId="30886" xr:uid="{00000000-0005-0000-0000-0000654C0000}"/>
    <cellStyle name="Normal - Style2 3 2" xfId="30887" xr:uid="{00000000-0005-0000-0000-0000664C0000}"/>
    <cellStyle name="Normal - Style2 3 3" xfId="39223" xr:uid="{00000000-0005-0000-0000-0000674C0000}"/>
    <cellStyle name="Normal - Style2 4" xfId="30888" xr:uid="{00000000-0005-0000-0000-0000684C0000}"/>
    <cellStyle name="Normal - Style3" xfId="4025" xr:uid="{00000000-0005-0000-0000-0000694C0000}"/>
    <cellStyle name="Normal - Style3 2" xfId="30889" xr:uid="{00000000-0005-0000-0000-00006A4C0000}"/>
    <cellStyle name="Normal - Style3 2 2" xfId="30890" xr:uid="{00000000-0005-0000-0000-00006B4C0000}"/>
    <cellStyle name="Normal - Style3 2 3" xfId="39224" xr:uid="{00000000-0005-0000-0000-00006C4C0000}"/>
    <cellStyle name="Normal - Style3 3" xfId="30891" xr:uid="{00000000-0005-0000-0000-00006D4C0000}"/>
    <cellStyle name="Normal - Style3 3 2" xfId="30892" xr:uid="{00000000-0005-0000-0000-00006E4C0000}"/>
    <cellStyle name="Normal - Style3 3 3" xfId="39225" xr:uid="{00000000-0005-0000-0000-00006F4C0000}"/>
    <cellStyle name="Normal - Style3 4" xfId="30893" xr:uid="{00000000-0005-0000-0000-0000704C0000}"/>
    <cellStyle name="Normal - Style4" xfId="4026" xr:uid="{00000000-0005-0000-0000-0000714C0000}"/>
    <cellStyle name="Normal - Style4 2" xfId="30894" xr:uid="{00000000-0005-0000-0000-0000724C0000}"/>
    <cellStyle name="Normal - Style4 2 2" xfId="30895" xr:uid="{00000000-0005-0000-0000-0000734C0000}"/>
    <cellStyle name="Normal - Style4 2 3" xfId="39226" xr:uid="{00000000-0005-0000-0000-0000744C0000}"/>
    <cellStyle name="Normal - Style4 3" xfId="30896" xr:uid="{00000000-0005-0000-0000-0000754C0000}"/>
    <cellStyle name="Normal - Style4 3 2" xfId="30897" xr:uid="{00000000-0005-0000-0000-0000764C0000}"/>
    <cellStyle name="Normal - Style4 3 3" xfId="39227" xr:uid="{00000000-0005-0000-0000-0000774C0000}"/>
    <cellStyle name="Normal - Style4 4" xfId="30898" xr:uid="{00000000-0005-0000-0000-0000784C0000}"/>
    <cellStyle name="Normal - Style5" xfId="4027" xr:uid="{00000000-0005-0000-0000-0000794C0000}"/>
    <cellStyle name="Normal - Style5 2" xfId="30899" xr:uid="{00000000-0005-0000-0000-00007A4C0000}"/>
    <cellStyle name="Normal - Style5 2 2" xfId="30900" xr:uid="{00000000-0005-0000-0000-00007B4C0000}"/>
    <cellStyle name="Normal - Style5 2 3" xfId="39228" xr:uid="{00000000-0005-0000-0000-00007C4C0000}"/>
    <cellStyle name="Normal - Style5 3" xfId="30901" xr:uid="{00000000-0005-0000-0000-00007D4C0000}"/>
    <cellStyle name="Normal - Style5 3 2" xfId="30902" xr:uid="{00000000-0005-0000-0000-00007E4C0000}"/>
    <cellStyle name="Normal - Style5 3 3" xfId="39229" xr:uid="{00000000-0005-0000-0000-00007F4C0000}"/>
    <cellStyle name="Normal - Style5 4" xfId="30903" xr:uid="{00000000-0005-0000-0000-0000804C0000}"/>
    <cellStyle name="Normal - Style6" xfId="4028" xr:uid="{00000000-0005-0000-0000-0000814C0000}"/>
    <cellStyle name="Normal - Style6 2" xfId="30904" xr:uid="{00000000-0005-0000-0000-0000824C0000}"/>
    <cellStyle name="Normal - Style6 2 2" xfId="30905" xr:uid="{00000000-0005-0000-0000-0000834C0000}"/>
    <cellStyle name="Normal - Style6 2 3" xfId="39230" xr:uid="{00000000-0005-0000-0000-0000844C0000}"/>
    <cellStyle name="Normal - Style6 3" xfId="30906" xr:uid="{00000000-0005-0000-0000-0000854C0000}"/>
    <cellStyle name="Normal - Style6 3 2" xfId="30907" xr:uid="{00000000-0005-0000-0000-0000864C0000}"/>
    <cellStyle name="Normal - Style6 3 3" xfId="39231" xr:uid="{00000000-0005-0000-0000-0000874C0000}"/>
    <cellStyle name="Normal - Style6 4" xfId="30908" xr:uid="{00000000-0005-0000-0000-0000884C0000}"/>
    <cellStyle name="Normal - Style7" xfId="4029" xr:uid="{00000000-0005-0000-0000-0000894C0000}"/>
    <cellStyle name="Normal - Style7 2" xfId="30909" xr:uid="{00000000-0005-0000-0000-00008A4C0000}"/>
    <cellStyle name="Normal - Style7 2 2" xfId="30910" xr:uid="{00000000-0005-0000-0000-00008B4C0000}"/>
    <cellStyle name="Normal - Style7 2 3" xfId="39232" xr:uid="{00000000-0005-0000-0000-00008C4C0000}"/>
    <cellStyle name="Normal - Style7 3" xfId="30911" xr:uid="{00000000-0005-0000-0000-00008D4C0000}"/>
    <cellStyle name="Normal - Style7 3 2" xfId="30912" xr:uid="{00000000-0005-0000-0000-00008E4C0000}"/>
    <cellStyle name="Normal - Style7 3 3" xfId="39233" xr:uid="{00000000-0005-0000-0000-00008F4C0000}"/>
    <cellStyle name="Normal - Style7 4" xfId="30913" xr:uid="{00000000-0005-0000-0000-0000904C0000}"/>
    <cellStyle name="Normal - Style8" xfId="4030" xr:uid="{00000000-0005-0000-0000-0000914C0000}"/>
    <cellStyle name="Normal - Style8 2" xfId="30914" xr:uid="{00000000-0005-0000-0000-0000924C0000}"/>
    <cellStyle name="Normal - Style8 2 2" xfId="30915" xr:uid="{00000000-0005-0000-0000-0000934C0000}"/>
    <cellStyle name="Normal - Style8 2 3" xfId="39234" xr:uid="{00000000-0005-0000-0000-0000944C0000}"/>
    <cellStyle name="Normal - Style8 3" xfId="30916" xr:uid="{00000000-0005-0000-0000-0000954C0000}"/>
    <cellStyle name="Normal - Style8 3 2" xfId="30917" xr:uid="{00000000-0005-0000-0000-0000964C0000}"/>
    <cellStyle name="Normal - Style8 3 3" xfId="39235" xr:uid="{00000000-0005-0000-0000-0000974C0000}"/>
    <cellStyle name="Normal - Style8 4" xfId="30918" xr:uid="{00000000-0005-0000-0000-0000984C0000}"/>
    <cellStyle name="Normal - Styln" xfId="30919" xr:uid="{00000000-0005-0000-0000-0000994C0000}"/>
    <cellStyle name="Normal - Styln 2" xfId="39236" xr:uid="{00000000-0005-0000-0000-00009A4C0000}"/>
    <cellStyle name="Normal (bottom)" xfId="30920" xr:uid="{00000000-0005-0000-0000-00009B4C0000}"/>
    <cellStyle name="Normal (bottom) 2" xfId="30921" xr:uid="{00000000-0005-0000-0000-00009C4C0000}"/>
    <cellStyle name="Normal (bottom) 2 2" xfId="39238" xr:uid="{00000000-0005-0000-0000-00009D4C0000}"/>
    <cellStyle name="Normal (bottom) 3" xfId="30922" xr:uid="{00000000-0005-0000-0000-00009E4C0000}"/>
    <cellStyle name="Normal (bottom) 3 2" xfId="30923" xr:uid="{00000000-0005-0000-0000-00009F4C0000}"/>
    <cellStyle name="Normal (bottom) 3 2 2" xfId="39240" xr:uid="{00000000-0005-0000-0000-0000A04C0000}"/>
    <cellStyle name="Normal (bottom) 3 3" xfId="39239" xr:uid="{00000000-0005-0000-0000-0000A14C0000}"/>
    <cellStyle name="Normal (bottom) 4" xfId="30924" xr:uid="{00000000-0005-0000-0000-0000A24C0000}"/>
    <cellStyle name="Normal (bottom) 4 2" xfId="30925" xr:uid="{00000000-0005-0000-0000-0000A34C0000}"/>
    <cellStyle name="Normal (bottom) 4 2 2" xfId="39242" xr:uid="{00000000-0005-0000-0000-0000A44C0000}"/>
    <cellStyle name="Normal (bottom) 4 3" xfId="39241" xr:uid="{00000000-0005-0000-0000-0000A54C0000}"/>
    <cellStyle name="Normal (bottom) 5" xfId="30926" xr:uid="{00000000-0005-0000-0000-0000A64C0000}"/>
    <cellStyle name="Normal (bottom) 5 2" xfId="30927" xr:uid="{00000000-0005-0000-0000-0000A74C0000}"/>
    <cellStyle name="Normal (bottom) 5 2 2" xfId="39244" xr:uid="{00000000-0005-0000-0000-0000A84C0000}"/>
    <cellStyle name="Normal (bottom) 5 3" xfId="39243" xr:uid="{00000000-0005-0000-0000-0000A94C0000}"/>
    <cellStyle name="Normal (bottom) 6" xfId="39237" xr:uid="{00000000-0005-0000-0000-0000AA4C0000}"/>
    <cellStyle name="Normal (grey)" xfId="30928" xr:uid="{00000000-0005-0000-0000-0000AB4C0000}"/>
    <cellStyle name="Normal (grey) 2" xfId="39245" xr:uid="{00000000-0005-0000-0000-0000AC4C0000}"/>
    <cellStyle name="Normal (left)" xfId="30929" xr:uid="{00000000-0005-0000-0000-0000AD4C0000}"/>
    <cellStyle name="Normal (left) 2" xfId="30930" xr:uid="{00000000-0005-0000-0000-0000AE4C0000}"/>
    <cellStyle name="Normal (left) 2 2" xfId="39247" xr:uid="{00000000-0005-0000-0000-0000AF4C0000}"/>
    <cellStyle name="Normal (left) 3" xfId="30931" xr:uid="{00000000-0005-0000-0000-0000B04C0000}"/>
    <cellStyle name="Normal (left) 3 2" xfId="30932" xr:uid="{00000000-0005-0000-0000-0000B14C0000}"/>
    <cellStyle name="Normal (left) 3 2 2" xfId="39249" xr:uid="{00000000-0005-0000-0000-0000B24C0000}"/>
    <cellStyle name="Normal (left) 3 3" xfId="39248" xr:uid="{00000000-0005-0000-0000-0000B34C0000}"/>
    <cellStyle name="Normal (left) 4" xfId="30933" xr:uid="{00000000-0005-0000-0000-0000B44C0000}"/>
    <cellStyle name="Normal (left) 4 2" xfId="30934" xr:uid="{00000000-0005-0000-0000-0000B54C0000}"/>
    <cellStyle name="Normal (left) 4 2 2" xfId="39251" xr:uid="{00000000-0005-0000-0000-0000B64C0000}"/>
    <cellStyle name="Normal (left) 4 3" xfId="39250" xr:uid="{00000000-0005-0000-0000-0000B74C0000}"/>
    <cellStyle name="Normal (left) 5" xfId="30935" xr:uid="{00000000-0005-0000-0000-0000B84C0000}"/>
    <cellStyle name="Normal (left) 5 2" xfId="30936" xr:uid="{00000000-0005-0000-0000-0000B94C0000}"/>
    <cellStyle name="Normal (left) 5 2 2" xfId="39253" xr:uid="{00000000-0005-0000-0000-0000BA4C0000}"/>
    <cellStyle name="Normal (left) 5 3" xfId="39252" xr:uid="{00000000-0005-0000-0000-0000BB4C0000}"/>
    <cellStyle name="Normal (left) 6" xfId="39246" xr:uid="{00000000-0005-0000-0000-0000BC4C0000}"/>
    <cellStyle name="Normal (middle)" xfId="30937" xr:uid="{00000000-0005-0000-0000-0000BD4C0000}"/>
    <cellStyle name="Normal (middle) 2" xfId="30938" xr:uid="{00000000-0005-0000-0000-0000BE4C0000}"/>
    <cellStyle name="Normal (middle) 2 2" xfId="39255" xr:uid="{00000000-0005-0000-0000-0000BF4C0000}"/>
    <cellStyle name="Normal (middle) 3" xfId="30939" xr:uid="{00000000-0005-0000-0000-0000C04C0000}"/>
    <cellStyle name="Normal (middle) 3 2" xfId="30940" xr:uid="{00000000-0005-0000-0000-0000C14C0000}"/>
    <cellStyle name="Normal (middle) 3 2 2" xfId="39257" xr:uid="{00000000-0005-0000-0000-0000C24C0000}"/>
    <cellStyle name="Normal (middle) 3 3" xfId="39256" xr:uid="{00000000-0005-0000-0000-0000C34C0000}"/>
    <cellStyle name="Normal (middle) 4" xfId="30941" xr:uid="{00000000-0005-0000-0000-0000C44C0000}"/>
    <cellStyle name="Normal (middle) 4 2" xfId="30942" xr:uid="{00000000-0005-0000-0000-0000C54C0000}"/>
    <cellStyle name="Normal (middle) 4 2 2" xfId="39259" xr:uid="{00000000-0005-0000-0000-0000C64C0000}"/>
    <cellStyle name="Normal (middle) 4 3" xfId="39258" xr:uid="{00000000-0005-0000-0000-0000C74C0000}"/>
    <cellStyle name="Normal (middle) 5" xfId="30943" xr:uid="{00000000-0005-0000-0000-0000C84C0000}"/>
    <cellStyle name="Normal (middle) 5 2" xfId="30944" xr:uid="{00000000-0005-0000-0000-0000C94C0000}"/>
    <cellStyle name="Normal (middle) 5 2 2" xfId="39261" xr:uid="{00000000-0005-0000-0000-0000CA4C0000}"/>
    <cellStyle name="Normal (middle) 5 3" xfId="39260" xr:uid="{00000000-0005-0000-0000-0000CB4C0000}"/>
    <cellStyle name="Normal (middle) 6" xfId="39254" xr:uid="{00000000-0005-0000-0000-0000CC4C0000}"/>
    <cellStyle name="Normal (right)" xfId="30945" xr:uid="{00000000-0005-0000-0000-0000CD4C0000}"/>
    <cellStyle name="Normal (right) 2" xfId="30946" xr:uid="{00000000-0005-0000-0000-0000CE4C0000}"/>
    <cellStyle name="Normal (right) 2 2" xfId="39263" xr:uid="{00000000-0005-0000-0000-0000CF4C0000}"/>
    <cellStyle name="Normal (right) 3" xfId="30947" xr:uid="{00000000-0005-0000-0000-0000D04C0000}"/>
    <cellStyle name="Normal (right) 3 2" xfId="30948" xr:uid="{00000000-0005-0000-0000-0000D14C0000}"/>
    <cellStyle name="Normal (right) 3 2 2" xfId="39265" xr:uid="{00000000-0005-0000-0000-0000D24C0000}"/>
    <cellStyle name="Normal (right) 3 3" xfId="39264" xr:uid="{00000000-0005-0000-0000-0000D34C0000}"/>
    <cellStyle name="Normal (right) 4" xfId="30949" xr:uid="{00000000-0005-0000-0000-0000D44C0000}"/>
    <cellStyle name="Normal (right) 4 2" xfId="30950" xr:uid="{00000000-0005-0000-0000-0000D54C0000}"/>
    <cellStyle name="Normal (right) 4 2 2" xfId="39267" xr:uid="{00000000-0005-0000-0000-0000D64C0000}"/>
    <cellStyle name="Normal (right) 4 3" xfId="39266" xr:uid="{00000000-0005-0000-0000-0000D74C0000}"/>
    <cellStyle name="Normal (right) 5" xfId="30951" xr:uid="{00000000-0005-0000-0000-0000D84C0000}"/>
    <cellStyle name="Normal (right) 5 2" xfId="30952" xr:uid="{00000000-0005-0000-0000-0000D94C0000}"/>
    <cellStyle name="Normal (right) 5 2 2" xfId="39269" xr:uid="{00000000-0005-0000-0000-0000DA4C0000}"/>
    <cellStyle name="Normal (right) 5 3" xfId="39268" xr:uid="{00000000-0005-0000-0000-0000DB4C0000}"/>
    <cellStyle name="Normal (right) 6" xfId="39262" xr:uid="{00000000-0005-0000-0000-0000DC4C0000}"/>
    <cellStyle name="Normal (top)" xfId="30953" xr:uid="{00000000-0005-0000-0000-0000DD4C0000}"/>
    <cellStyle name="Normal (top) 2" xfId="39270" xr:uid="{00000000-0005-0000-0000-0000DE4C0000}"/>
    <cellStyle name="Normal (white)" xfId="30954" xr:uid="{00000000-0005-0000-0000-0000DF4C0000}"/>
    <cellStyle name="Normal (white) 2" xfId="30955" xr:uid="{00000000-0005-0000-0000-0000E04C0000}"/>
    <cellStyle name="Normal (white) 2 2" xfId="39272" xr:uid="{00000000-0005-0000-0000-0000E14C0000}"/>
    <cellStyle name="Normal (white) 3" xfId="30956" xr:uid="{00000000-0005-0000-0000-0000E24C0000}"/>
    <cellStyle name="Normal (white) 3 2" xfId="30957" xr:uid="{00000000-0005-0000-0000-0000E34C0000}"/>
    <cellStyle name="Normal (white) 3 2 2" xfId="39274" xr:uid="{00000000-0005-0000-0000-0000E44C0000}"/>
    <cellStyle name="Normal (white) 3 3" xfId="39273" xr:uid="{00000000-0005-0000-0000-0000E54C0000}"/>
    <cellStyle name="Normal (white) 4" xfId="30958" xr:uid="{00000000-0005-0000-0000-0000E64C0000}"/>
    <cellStyle name="Normal (white) 4 2" xfId="30959" xr:uid="{00000000-0005-0000-0000-0000E74C0000}"/>
    <cellStyle name="Normal (white) 4 2 2" xfId="39276" xr:uid="{00000000-0005-0000-0000-0000E84C0000}"/>
    <cellStyle name="Normal (white) 4 3" xfId="39275" xr:uid="{00000000-0005-0000-0000-0000E94C0000}"/>
    <cellStyle name="Normal (white) 5" xfId="30960" xr:uid="{00000000-0005-0000-0000-0000EA4C0000}"/>
    <cellStyle name="Normal (white) 5 2" xfId="30961" xr:uid="{00000000-0005-0000-0000-0000EB4C0000}"/>
    <cellStyle name="Normal (white) 5 2 2" xfId="39278" xr:uid="{00000000-0005-0000-0000-0000EC4C0000}"/>
    <cellStyle name="Normal (white) 5 3" xfId="39277" xr:uid="{00000000-0005-0000-0000-0000ED4C0000}"/>
    <cellStyle name="Normal (white) 6" xfId="39271" xr:uid="{00000000-0005-0000-0000-0000EE4C0000}"/>
    <cellStyle name="Normal 10" xfId="28" xr:uid="{00000000-0005-0000-0000-0000EF4C0000}"/>
    <cellStyle name="Normal 10 10" xfId="4032" xr:uid="{00000000-0005-0000-0000-0000F04C0000}"/>
    <cellStyle name="Normal 10 10 2" xfId="4033" xr:uid="{00000000-0005-0000-0000-0000F14C0000}"/>
    <cellStyle name="Normal 10 10 2 2" xfId="39280" xr:uid="{00000000-0005-0000-0000-0000F24C0000}"/>
    <cellStyle name="Normal 10 10 2 3" xfId="30963" xr:uid="{00000000-0005-0000-0000-0000F34C0000}"/>
    <cellStyle name="Normal 10 10 3" xfId="4034" xr:uid="{00000000-0005-0000-0000-0000F44C0000}"/>
    <cellStyle name="Normal 10 10 3 2" xfId="39281" xr:uid="{00000000-0005-0000-0000-0000F54C0000}"/>
    <cellStyle name="Normal 10 10 3 3" xfId="30964" xr:uid="{00000000-0005-0000-0000-0000F64C0000}"/>
    <cellStyle name="Normal 10 10 4" xfId="30965" xr:uid="{00000000-0005-0000-0000-0000F74C0000}"/>
    <cellStyle name="Normal 10 10 4 2" xfId="39282" xr:uid="{00000000-0005-0000-0000-0000F84C0000}"/>
    <cellStyle name="Normal 10 10 5" xfId="30966" xr:uid="{00000000-0005-0000-0000-0000F94C0000}"/>
    <cellStyle name="Normal 10 10 5 2" xfId="39283" xr:uid="{00000000-0005-0000-0000-0000FA4C0000}"/>
    <cellStyle name="Normal 10 10 6" xfId="39279" xr:uid="{00000000-0005-0000-0000-0000FB4C0000}"/>
    <cellStyle name="Normal 10 10 7" xfId="30962" xr:uid="{00000000-0005-0000-0000-0000FC4C0000}"/>
    <cellStyle name="Normal 10 11" xfId="4035" xr:uid="{00000000-0005-0000-0000-0000FD4C0000}"/>
    <cellStyle name="Normal 10 11 2" xfId="4036" xr:uid="{00000000-0005-0000-0000-0000FE4C0000}"/>
    <cellStyle name="Normal 10 11 2 2" xfId="39285" xr:uid="{00000000-0005-0000-0000-0000FF4C0000}"/>
    <cellStyle name="Normal 10 11 2 3" xfId="30968" xr:uid="{00000000-0005-0000-0000-0000004D0000}"/>
    <cellStyle name="Normal 10 11 3" xfId="4037" xr:uid="{00000000-0005-0000-0000-0000014D0000}"/>
    <cellStyle name="Normal 10 11 3 2" xfId="39286" xr:uid="{00000000-0005-0000-0000-0000024D0000}"/>
    <cellStyle name="Normal 10 11 3 3" xfId="30969" xr:uid="{00000000-0005-0000-0000-0000034D0000}"/>
    <cellStyle name="Normal 10 11 4" xfId="30970" xr:uid="{00000000-0005-0000-0000-0000044D0000}"/>
    <cellStyle name="Normal 10 11 4 2" xfId="39287" xr:uid="{00000000-0005-0000-0000-0000054D0000}"/>
    <cellStyle name="Normal 10 11 5" xfId="30971" xr:uid="{00000000-0005-0000-0000-0000064D0000}"/>
    <cellStyle name="Normal 10 11 5 2" xfId="39288" xr:uid="{00000000-0005-0000-0000-0000074D0000}"/>
    <cellStyle name="Normal 10 11 6" xfId="39284" xr:uid="{00000000-0005-0000-0000-0000084D0000}"/>
    <cellStyle name="Normal 10 11 7" xfId="30967" xr:uid="{00000000-0005-0000-0000-0000094D0000}"/>
    <cellStyle name="Normal 10 12" xfId="4038" xr:uid="{00000000-0005-0000-0000-00000A4D0000}"/>
    <cellStyle name="Normal 10 12 2" xfId="4039" xr:uid="{00000000-0005-0000-0000-00000B4D0000}"/>
    <cellStyle name="Normal 10 12 2 2" xfId="39290" xr:uid="{00000000-0005-0000-0000-00000C4D0000}"/>
    <cellStyle name="Normal 10 12 2 3" xfId="30973" xr:uid="{00000000-0005-0000-0000-00000D4D0000}"/>
    <cellStyle name="Normal 10 12 3" xfId="4040" xr:uid="{00000000-0005-0000-0000-00000E4D0000}"/>
    <cellStyle name="Normal 10 12 3 2" xfId="39291" xr:uid="{00000000-0005-0000-0000-00000F4D0000}"/>
    <cellStyle name="Normal 10 12 3 3" xfId="30974" xr:uid="{00000000-0005-0000-0000-0000104D0000}"/>
    <cellStyle name="Normal 10 12 4" xfId="30975" xr:uid="{00000000-0005-0000-0000-0000114D0000}"/>
    <cellStyle name="Normal 10 12 4 2" xfId="39292" xr:uid="{00000000-0005-0000-0000-0000124D0000}"/>
    <cellStyle name="Normal 10 12 5" xfId="39289" xr:uid="{00000000-0005-0000-0000-0000134D0000}"/>
    <cellStyle name="Normal 10 12 6" xfId="30972" xr:uid="{00000000-0005-0000-0000-0000144D0000}"/>
    <cellStyle name="Normal 10 13" xfId="30976" xr:uid="{00000000-0005-0000-0000-0000154D0000}"/>
    <cellStyle name="Normal 10 13 2" xfId="30977" xr:uid="{00000000-0005-0000-0000-0000164D0000}"/>
    <cellStyle name="Normal 10 13 2 2" xfId="39294" xr:uid="{00000000-0005-0000-0000-0000174D0000}"/>
    <cellStyle name="Normal 10 13 3" xfId="30978" xr:uid="{00000000-0005-0000-0000-0000184D0000}"/>
    <cellStyle name="Normal 10 13 3 2" xfId="39295" xr:uid="{00000000-0005-0000-0000-0000194D0000}"/>
    <cellStyle name="Normal 10 13 4" xfId="30979" xr:uid="{00000000-0005-0000-0000-00001A4D0000}"/>
    <cellStyle name="Normal 10 13 4 2" xfId="39296" xr:uid="{00000000-0005-0000-0000-00001B4D0000}"/>
    <cellStyle name="Normal 10 13 5" xfId="39293" xr:uid="{00000000-0005-0000-0000-00001C4D0000}"/>
    <cellStyle name="Normal 10 14" xfId="30980" xr:uid="{00000000-0005-0000-0000-00001D4D0000}"/>
    <cellStyle name="Normal 10 14 2" xfId="30981" xr:uid="{00000000-0005-0000-0000-00001E4D0000}"/>
    <cellStyle name="Normal 10 14 2 2" xfId="39298" xr:uid="{00000000-0005-0000-0000-00001F4D0000}"/>
    <cellStyle name="Normal 10 14 3" xfId="30982" xr:uid="{00000000-0005-0000-0000-0000204D0000}"/>
    <cellStyle name="Normal 10 14 3 2" xfId="39299" xr:uid="{00000000-0005-0000-0000-0000214D0000}"/>
    <cellStyle name="Normal 10 14 4" xfId="30983" xr:uid="{00000000-0005-0000-0000-0000224D0000}"/>
    <cellStyle name="Normal 10 14 4 2" xfId="39300" xr:uid="{00000000-0005-0000-0000-0000234D0000}"/>
    <cellStyle name="Normal 10 14 5" xfId="39297" xr:uid="{00000000-0005-0000-0000-0000244D0000}"/>
    <cellStyle name="Normal 10 15" xfId="30984" xr:uid="{00000000-0005-0000-0000-0000254D0000}"/>
    <cellStyle name="Normal 10 15 2" xfId="30985" xr:uid="{00000000-0005-0000-0000-0000264D0000}"/>
    <cellStyle name="Normal 10 15 2 2" xfId="39302" xr:uid="{00000000-0005-0000-0000-0000274D0000}"/>
    <cellStyle name="Normal 10 15 3" xfId="30986" xr:uid="{00000000-0005-0000-0000-0000284D0000}"/>
    <cellStyle name="Normal 10 15 3 2" xfId="39303" xr:uid="{00000000-0005-0000-0000-0000294D0000}"/>
    <cellStyle name="Normal 10 15 4" xfId="30987" xr:uid="{00000000-0005-0000-0000-00002A4D0000}"/>
    <cellStyle name="Normal 10 15 4 2" xfId="39304" xr:uid="{00000000-0005-0000-0000-00002B4D0000}"/>
    <cellStyle name="Normal 10 15 5" xfId="39301" xr:uid="{00000000-0005-0000-0000-00002C4D0000}"/>
    <cellStyle name="Normal 10 16" xfId="30988" xr:uid="{00000000-0005-0000-0000-00002D4D0000}"/>
    <cellStyle name="Normal 10 16 2" xfId="30989" xr:uid="{00000000-0005-0000-0000-00002E4D0000}"/>
    <cellStyle name="Normal 10 16 2 2" xfId="39306" xr:uid="{00000000-0005-0000-0000-00002F4D0000}"/>
    <cellStyle name="Normal 10 16 3" xfId="30990" xr:uid="{00000000-0005-0000-0000-0000304D0000}"/>
    <cellStyle name="Normal 10 16 3 2" xfId="39307" xr:uid="{00000000-0005-0000-0000-0000314D0000}"/>
    <cellStyle name="Normal 10 16 4" xfId="30991" xr:uid="{00000000-0005-0000-0000-0000324D0000}"/>
    <cellStyle name="Normal 10 16 4 2" xfId="39308" xr:uid="{00000000-0005-0000-0000-0000334D0000}"/>
    <cellStyle name="Normal 10 16 5" xfId="39305" xr:uid="{00000000-0005-0000-0000-0000344D0000}"/>
    <cellStyle name="Normal 10 17" xfId="30992" xr:uid="{00000000-0005-0000-0000-0000354D0000}"/>
    <cellStyle name="Normal 10 17 2" xfId="30993" xr:uid="{00000000-0005-0000-0000-0000364D0000}"/>
    <cellStyle name="Normal 10 17 2 2" xfId="39310" xr:uid="{00000000-0005-0000-0000-0000374D0000}"/>
    <cellStyle name="Normal 10 17 3" xfId="30994" xr:uid="{00000000-0005-0000-0000-0000384D0000}"/>
    <cellStyle name="Normal 10 17 3 2" xfId="39311" xr:uid="{00000000-0005-0000-0000-0000394D0000}"/>
    <cellStyle name="Normal 10 17 4" xfId="30995" xr:uid="{00000000-0005-0000-0000-00003A4D0000}"/>
    <cellStyle name="Normal 10 17 4 2" xfId="39312" xr:uid="{00000000-0005-0000-0000-00003B4D0000}"/>
    <cellStyle name="Normal 10 17 5" xfId="39309" xr:uid="{00000000-0005-0000-0000-00003C4D0000}"/>
    <cellStyle name="Normal 10 18" xfId="30996" xr:uid="{00000000-0005-0000-0000-00003D4D0000}"/>
    <cellStyle name="Normal 10 18 2" xfId="30997" xr:uid="{00000000-0005-0000-0000-00003E4D0000}"/>
    <cellStyle name="Normal 10 18 2 2" xfId="30998" xr:uid="{00000000-0005-0000-0000-00003F4D0000}"/>
    <cellStyle name="Normal 10 18 2 2 2" xfId="30999" xr:uid="{00000000-0005-0000-0000-0000404D0000}"/>
    <cellStyle name="Normal 10 18 2 2 2 2" xfId="39316" xr:uid="{00000000-0005-0000-0000-0000414D0000}"/>
    <cellStyle name="Normal 10 18 2 2 3" xfId="39315" xr:uid="{00000000-0005-0000-0000-0000424D0000}"/>
    <cellStyle name="Normal 10 18 2 3" xfId="31000" xr:uid="{00000000-0005-0000-0000-0000434D0000}"/>
    <cellStyle name="Normal 10 18 2 3 2" xfId="39317" xr:uid="{00000000-0005-0000-0000-0000444D0000}"/>
    <cellStyle name="Normal 10 18 2 4" xfId="39314" xr:uid="{00000000-0005-0000-0000-0000454D0000}"/>
    <cellStyle name="Normal 10 18 3" xfId="31001" xr:uid="{00000000-0005-0000-0000-0000464D0000}"/>
    <cellStyle name="Normal 10 18 3 2" xfId="31002" xr:uid="{00000000-0005-0000-0000-0000474D0000}"/>
    <cellStyle name="Normal 10 18 3 2 2" xfId="39319" xr:uid="{00000000-0005-0000-0000-0000484D0000}"/>
    <cellStyle name="Normal 10 18 3 3" xfId="39318" xr:uid="{00000000-0005-0000-0000-0000494D0000}"/>
    <cellStyle name="Normal 10 18 4" xfId="31003" xr:uid="{00000000-0005-0000-0000-00004A4D0000}"/>
    <cellStyle name="Normal 10 18 4 2" xfId="39320" xr:uid="{00000000-0005-0000-0000-00004B4D0000}"/>
    <cellStyle name="Normal 10 18 5" xfId="39313" xr:uid="{00000000-0005-0000-0000-00004C4D0000}"/>
    <cellStyle name="Normal 10 19" xfId="31004" xr:uid="{00000000-0005-0000-0000-00004D4D0000}"/>
    <cellStyle name="Normal 10 19 2" xfId="39321" xr:uid="{00000000-0005-0000-0000-00004E4D0000}"/>
    <cellStyle name="Normal 10 2" xfId="4041" xr:uid="{00000000-0005-0000-0000-00004F4D0000}"/>
    <cellStyle name="Normal 10 2 10" xfId="31006" xr:uid="{00000000-0005-0000-0000-0000504D0000}"/>
    <cellStyle name="Normal 10 2 11" xfId="39322" xr:uid="{00000000-0005-0000-0000-0000514D0000}"/>
    <cellStyle name="Normal 10 2 12" xfId="31005" xr:uid="{00000000-0005-0000-0000-0000524D0000}"/>
    <cellStyle name="Normal 10 2 2" xfId="4042" xr:uid="{00000000-0005-0000-0000-0000534D0000}"/>
    <cellStyle name="Normal 10 2 2 10" xfId="31007" xr:uid="{00000000-0005-0000-0000-0000544D0000}"/>
    <cellStyle name="Normal 10 2 2 2" xfId="31008" xr:uid="{00000000-0005-0000-0000-0000554D0000}"/>
    <cellStyle name="Normal 10 2 2 2 2" xfId="31009" xr:uid="{00000000-0005-0000-0000-0000564D0000}"/>
    <cellStyle name="Normal 10 2 2 2 2 2" xfId="31010" xr:uid="{00000000-0005-0000-0000-0000574D0000}"/>
    <cellStyle name="Normal 10 2 2 2 2 2 2" xfId="39326" xr:uid="{00000000-0005-0000-0000-0000584D0000}"/>
    <cellStyle name="Normal 10 2 2 2 2 3" xfId="31011" xr:uid="{00000000-0005-0000-0000-0000594D0000}"/>
    <cellStyle name="Normal 10 2 2 2 2 3 2" xfId="39327" xr:uid="{00000000-0005-0000-0000-00005A4D0000}"/>
    <cellStyle name="Normal 10 2 2 2 2 4" xfId="39325" xr:uid="{00000000-0005-0000-0000-00005B4D0000}"/>
    <cellStyle name="Normal 10 2 2 2 3" xfId="31012" xr:uid="{00000000-0005-0000-0000-00005C4D0000}"/>
    <cellStyle name="Normal 10 2 2 2 3 2" xfId="31013" xr:uid="{00000000-0005-0000-0000-00005D4D0000}"/>
    <cellStyle name="Normal 10 2 2 2 3 2 2" xfId="39329" xr:uid="{00000000-0005-0000-0000-00005E4D0000}"/>
    <cellStyle name="Normal 10 2 2 2 3 3" xfId="39328" xr:uid="{00000000-0005-0000-0000-00005F4D0000}"/>
    <cellStyle name="Normal 10 2 2 2 4" xfId="31014" xr:uid="{00000000-0005-0000-0000-0000604D0000}"/>
    <cellStyle name="Normal 10 2 2 2 4 2" xfId="39330" xr:uid="{00000000-0005-0000-0000-0000614D0000}"/>
    <cellStyle name="Normal 10 2 2 2 5" xfId="39324" xr:uid="{00000000-0005-0000-0000-0000624D0000}"/>
    <cellStyle name="Normal 10 2 2 3" xfId="31015" xr:uid="{00000000-0005-0000-0000-0000634D0000}"/>
    <cellStyle name="Normal 10 2 2 3 2" xfId="31016" xr:uid="{00000000-0005-0000-0000-0000644D0000}"/>
    <cellStyle name="Normal 10 2 2 3 2 2" xfId="31017" xr:uid="{00000000-0005-0000-0000-0000654D0000}"/>
    <cellStyle name="Normal 10 2 2 3 2 2 2" xfId="39333" xr:uid="{00000000-0005-0000-0000-0000664D0000}"/>
    <cellStyle name="Normal 10 2 2 3 2 3" xfId="39332" xr:uid="{00000000-0005-0000-0000-0000674D0000}"/>
    <cellStyle name="Normal 10 2 2 3 3" xfId="31018" xr:uid="{00000000-0005-0000-0000-0000684D0000}"/>
    <cellStyle name="Normal 10 2 2 3 3 2" xfId="39334" xr:uid="{00000000-0005-0000-0000-0000694D0000}"/>
    <cellStyle name="Normal 10 2 2 3 4" xfId="39331" xr:uid="{00000000-0005-0000-0000-00006A4D0000}"/>
    <cellStyle name="Normal 10 2 2 4" xfId="31019" xr:uid="{00000000-0005-0000-0000-00006B4D0000}"/>
    <cellStyle name="Normal 10 2 2 4 2" xfId="31020" xr:uid="{00000000-0005-0000-0000-00006C4D0000}"/>
    <cellStyle name="Normal 10 2 2 4 2 2" xfId="39336" xr:uid="{00000000-0005-0000-0000-00006D4D0000}"/>
    <cellStyle name="Normal 10 2 2 4 3" xfId="39335" xr:uid="{00000000-0005-0000-0000-00006E4D0000}"/>
    <cellStyle name="Normal 10 2 2 5" xfId="31021" xr:uid="{00000000-0005-0000-0000-00006F4D0000}"/>
    <cellStyle name="Normal 10 2 2 5 2" xfId="39337" xr:uid="{00000000-0005-0000-0000-0000704D0000}"/>
    <cellStyle name="Normal 10 2 2 6" xfId="31022" xr:uid="{00000000-0005-0000-0000-0000714D0000}"/>
    <cellStyle name="Normal 10 2 2 6 2" xfId="39338" xr:uid="{00000000-0005-0000-0000-0000724D0000}"/>
    <cellStyle name="Normal 10 2 2 7" xfId="31023" xr:uid="{00000000-0005-0000-0000-0000734D0000}"/>
    <cellStyle name="Normal 10 2 2 7 2" xfId="39339" xr:uid="{00000000-0005-0000-0000-0000744D0000}"/>
    <cellStyle name="Normal 10 2 2 8" xfId="31024" xr:uid="{00000000-0005-0000-0000-0000754D0000}"/>
    <cellStyle name="Normal 10 2 2 8 2" xfId="39340" xr:uid="{00000000-0005-0000-0000-0000764D0000}"/>
    <cellStyle name="Normal 10 2 2 9" xfId="39323" xr:uid="{00000000-0005-0000-0000-0000774D0000}"/>
    <cellStyle name="Normal 10 2 3" xfId="4043" xr:uid="{00000000-0005-0000-0000-0000784D0000}"/>
    <cellStyle name="Normal 10 2 3 2" xfId="31026" xr:uid="{00000000-0005-0000-0000-0000794D0000}"/>
    <cellStyle name="Normal 10 2 3 2 2" xfId="31027" xr:uid="{00000000-0005-0000-0000-00007A4D0000}"/>
    <cellStyle name="Normal 10 2 3 2 2 2" xfId="39343" xr:uid="{00000000-0005-0000-0000-00007B4D0000}"/>
    <cellStyle name="Normal 10 2 3 2 3" xfId="31028" xr:uid="{00000000-0005-0000-0000-00007C4D0000}"/>
    <cellStyle name="Normal 10 2 3 2 3 2" xfId="39344" xr:uid="{00000000-0005-0000-0000-00007D4D0000}"/>
    <cellStyle name="Normal 10 2 3 2 4" xfId="39342" xr:uid="{00000000-0005-0000-0000-00007E4D0000}"/>
    <cellStyle name="Normal 10 2 3 3" xfId="31029" xr:uid="{00000000-0005-0000-0000-00007F4D0000}"/>
    <cellStyle name="Normal 10 2 3 3 2" xfId="31030" xr:uid="{00000000-0005-0000-0000-0000804D0000}"/>
    <cellStyle name="Normal 10 2 3 3 2 2" xfId="39346" xr:uid="{00000000-0005-0000-0000-0000814D0000}"/>
    <cellStyle name="Normal 10 2 3 3 3" xfId="39345" xr:uid="{00000000-0005-0000-0000-0000824D0000}"/>
    <cellStyle name="Normal 10 2 3 4" xfId="31031" xr:uid="{00000000-0005-0000-0000-0000834D0000}"/>
    <cellStyle name="Normal 10 2 3 4 2" xfId="39347" xr:uid="{00000000-0005-0000-0000-0000844D0000}"/>
    <cellStyle name="Normal 10 2 3 5" xfId="31032" xr:uid="{00000000-0005-0000-0000-0000854D0000}"/>
    <cellStyle name="Normal 10 2 3 5 2" xfId="39348" xr:uid="{00000000-0005-0000-0000-0000864D0000}"/>
    <cellStyle name="Normal 10 2 3 6" xfId="39341" xr:uid="{00000000-0005-0000-0000-0000874D0000}"/>
    <cellStyle name="Normal 10 2 3 7" xfId="31025" xr:uid="{00000000-0005-0000-0000-0000884D0000}"/>
    <cellStyle name="Normal 10 2 4" xfId="31033" xr:uid="{00000000-0005-0000-0000-0000894D0000}"/>
    <cellStyle name="Normal 10 2 4 2" xfId="31034" xr:uid="{00000000-0005-0000-0000-00008A4D0000}"/>
    <cellStyle name="Normal 10 2 4 2 2" xfId="31035" xr:uid="{00000000-0005-0000-0000-00008B4D0000}"/>
    <cellStyle name="Normal 10 2 4 2 2 2" xfId="39351" xr:uid="{00000000-0005-0000-0000-00008C4D0000}"/>
    <cellStyle name="Normal 10 2 4 2 3" xfId="39350" xr:uid="{00000000-0005-0000-0000-00008D4D0000}"/>
    <cellStyle name="Normal 10 2 4 3" xfId="31036" xr:uid="{00000000-0005-0000-0000-00008E4D0000}"/>
    <cellStyle name="Normal 10 2 4 3 2" xfId="39352" xr:uid="{00000000-0005-0000-0000-00008F4D0000}"/>
    <cellStyle name="Normal 10 2 4 4" xfId="31037" xr:uid="{00000000-0005-0000-0000-0000904D0000}"/>
    <cellStyle name="Normal 10 2 4 4 2" xfId="39353" xr:uid="{00000000-0005-0000-0000-0000914D0000}"/>
    <cellStyle name="Normal 10 2 4 5" xfId="39349" xr:uid="{00000000-0005-0000-0000-0000924D0000}"/>
    <cellStyle name="Normal 10 2 5" xfId="31038" xr:uid="{00000000-0005-0000-0000-0000934D0000}"/>
    <cellStyle name="Normal 10 2 5 2" xfId="31039" xr:uid="{00000000-0005-0000-0000-0000944D0000}"/>
    <cellStyle name="Normal 10 2 5 2 2" xfId="39355" xr:uid="{00000000-0005-0000-0000-0000954D0000}"/>
    <cellStyle name="Normal 10 2 5 3" xfId="39354" xr:uid="{00000000-0005-0000-0000-0000964D0000}"/>
    <cellStyle name="Normal 10 2 6" xfId="31040" xr:uid="{00000000-0005-0000-0000-0000974D0000}"/>
    <cellStyle name="Normal 10 2 6 2" xfId="39356" xr:uid="{00000000-0005-0000-0000-0000984D0000}"/>
    <cellStyle name="Normal 10 2 7" xfId="31041" xr:uid="{00000000-0005-0000-0000-0000994D0000}"/>
    <cellStyle name="Normal 10 2 7 2" xfId="39357" xr:uid="{00000000-0005-0000-0000-00009A4D0000}"/>
    <cellStyle name="Normal 10 2 8" xfId="31042" xr:uid="{00000000-0005-0000-0000-00009B4D0000}"/>
    <cellStyle name="Normal 10 2 8 2" xfId="39358" xr:uid="{00000000-0005-0000-0000-00009C4D0000}"/>
    <cellStyle name="Normal 10 2 9" xfId="31043" xr:uid="{00000000-0005-0000-0000-00009D4D0000}"/>
    <cellStyle name="Normal 10 2 9 2" xfId="39359" xr:uid="{00000000-0005-0000-0000-00009E4D0000}"/>
    <cellStyle name="Normal 10 20" xfId="31044" xr:uid="{00000000-0005-0000-0000-00009F4D0000}"/>
    <cellStyle name="Normal 10 20 2" xfId="39360" xr:uid="{00000000-0005-0000-0000-0000A04D0000}"/>
    <cellStyle name="Normal 10 21" xfId="31045" xr:uid="{00000000-0005-0000-0000-0000A14D0000}"/>
    <cellStyle name="Normal 10 21 2" xfId="39361" xr:uid="{00000000-0005-0000-0000-0000A24D0000}"/>
    <cellStyle name="Normal 10 22" xfId="31046" xr:uid="{00000000-0005-0000-0000-0000A34D0000}"/>
    <cellStyle name="Normal 10 23" xfId="4031" xr:uid="{00000000-0005-0000-0000-0000A44D0000}"/>
    <cellStyle name="Normal 10 3" xfId="4044" xr:uid="{00000000-0005-0000-0000-0000A54D0000}"/>
    <cellStyle name="Normal 10 3 10" xfId="39362" xr:uid="{00000000-0005-0000-0000-0000A64D0000}"/>
    <cellStyle name="Normal 10 3 11" xfId="31047" xr:uid="{00000000-0005-0000-0000-0000A74D0000}"/>
    <cellStyle name="Normal 10 3 2" xfId="4045" xr:uid="{00000000-0005-0000-0000-0000A84D0000}"/>
    <cellStyle name="Normal 10 3 2 2" xfId="31049" xr:uid="{00000000-0005-0000-0000-0000A94D0000}"/>
    <cellStyle name="Normal 10 3 2 2 2" xfId="31050" xr:uid="{00000000-0005-0000-0000-0000AA4D0000}"/>
    <cellStyle name="Normal 10 3 2 2 2 2" xfId="39365" xr:uid="{00000000-0005-0000-0000-0000AB4D0000}"/>
    <cellStyle name="Normal 10 3 2 2 3" xfId="31051" xr:uid="{00000000-0005-0000-0000-0000AC4D0000}"/>
    <cellStyle name="Normal 10 3 2 2 3 2" xfId="39366" xr:uid="{00000000-0005-0000-0000-0000AD4D0000}"/>
    <cellStyle name="Normal 10 3 2 2 4" xfId="39364" xr:uid="{00000000-0005-0000-0000-0000AE4D0000}"/>
    <cellStyle name="Normal 10 3 2 3" xfId="31052" xr:uid="{00000000-0005-0000-0000-0000AF4D0000}"/>
    <cellStyle name="Normal 10 3 2 3 2" xfId="31053" xr:uid="{00000000-0005-0000-0000-0000B04D0000}"/>
    <cellStyle name="Normal 10 3 2 3 2 2" xfId="39368" xr:uid="{00000000-0005-0000-0000-0000B14D0000}"/>
    <cellStyle name="Normal 10 3 2 3 3" xfId="39367" xr:uid="{00000000-0005-0000-0000-0000B24D0000}"/>
    <cellStyle name="Normal 10 3 2 4" xfId="31054" xr:uid="{00000000-0005-0000-0000-0000B34D0000}"/>
    <cellStyle name="Normal 10 3 2 4 2" xfId="39369" xr:uid="{00000000-0005-0000-0000-0000B44D0000}"/>
    <cellStyle name="Normal 10 3 2 5" xfId="31055" xr:uid="{00000000-0005-0000-0000-0000B54D0000}"/>
    <cellStyle name="Normal 10 3 2 5 2" xfId="39370" xr:uid="{00000000-0005-0000-0000-0000B64D0000}"/>
    <cellStyle name="Normal 10 3 2 6" xfId="31056" xr:uid="{00000000-0005-0000-0000-0000B74D0000}"/>
    <cellStyle name="Normal 10 3 2 6 2" xfId="39371" xr:uid="{00000000-0005-0000-0000-0000B84D0000}"/>
    <cellStyle name="Normal 10 3 2 7" xfId="31057" xr:uid="{00000000-0005-0000-0000-0000B94D0000}"/>
    <cellStyle name="Normal 10 3 2 7 2" xfId="39372" xr:uid="{00000000-0005-0000-0000-0000BA4D0000}"/>
    <cellStyle name="Normal 10 3 2 8" xfId="39363" xr:uid="{00000000-0005-0000-0000-0000BB4D0000}"/>
    <cellStyle name="Normal 10 3 2 9" xfId="31048" xr:uid="{00000000-0005-0000-0000-0000BC4D0000}"/>
    <cellStyle name="Normal 10 3 3" xfId="4046" xr:uid="{00000000-0005-0000-0000-0000BD4D0000}"/>
    <cellStyle name="Normal 10 3 3 2" xfId="31059" xr:uid="{00000000-0005-0000-0000-0000BE4D0000}"/>
    <cellStyle name="Normal 10 3 3 2 2" xfId="31060" xr:uid="{00000000-0005-0000-0000-0000BF4D0000}"/>
    <cellStyle name="Normal 10 3 3 2 2 2" xfId="39375" xr:uid="{00000000-0005-0000-0000-0000C04D0000}"/>
    <cellStyle name="Normal 10 3 3 2 3" xfId="39374" xr:uid="{00000000-0005-0000-0000-0000C14D0000}"/>
    <cellStyle name="Normal 10 3 3 3" xfId="31061" xr:uid="{00000000-0005-0000-0000-0000C24D0000}"/>
    <cellStyle name="Normal 10 3 3 3 2" xfId="39376" xr:uid="{00000000-0005-0000-0000-0000C34D0000}"/>
    <cellStyle name="Normal 10 3 3 4" xfId="31062" xr:uid="{00000000-0005-0000-0000-0000C44D0000}"/>
    <cellStyle name="Normal 10 3 3 4 2" xfId="39377" xr:uid="{00000000-0005-0000-0000-0000C54D0000}"/>
    <cellStyle name="Normal 10 3 3 5" xfId="39373" xr:uid="{00000000-0005-0000-0000-0000C64D0000}"/>
    <cellStyle name="Normal 10 3 3 6" xfId="31058" xr:uid="{00000000-0005-0000-0000-0000C74D0000}"/>
    <cellStyle name="Normal 10 3 4" xfId="31063" xr:uid="{00000000-0005-0000-0000-0000C84D0000}"/>
    <cellStyle name="Normal 10 3 4 2" xfId="31064" xr:uid="{00000000-0005-0000-0000-0000C94D0000}"/>
    <cellStyle name="Normal 10 3 4 2 2" xfId="39379" xr:uid="{00000000-0005-0000-0000-0000CA4D0000}"/>
    <cellStyle name="Normal 10 3 4 3" xfId="31065" xr:uid="{00000000-0005-0000-0000-0000CB4D0000}"/>
    <cellStyle name="Normal 10 3 4 3 2" xfId="39380" xr:uid="{00000000-0005-0000-0000-0000CC4D0000}"/>
    <cellStyle name="Normal 10 3 4 4" xfId="39378" xr:uid="{00000000-0005-0000-0000-0000CD4D0000}"/>
    <cellStyle name="Normal 10 3 5" xfId="31066" xr:uid="{00000000-0005-0000-0000-0000CE4D0000}"/>
    <cellStyle name="Normal 10 3 5 2" xfId="39381" xr:uid="{00000000-0005-0000-0000-0000CF4D0000}"/>
    <cellStyle name="Normal 10 3 6" xfId="31067" xr:uid="{00000000-0005-0000-0000-0000D04D0000}"/>
    <cellStyle name="Normal 10 3 6 2" xfId="39382" xr:uid="{00000000-0005-0000-0000-0000D14D0000}"/>
    <cellStyle name="Normal 10 3 7" xfId="31068" xr:uid="{00000000-0005-0000-0000-0000D24D0000}"/>
    <cellStyle name="Normal 10 3 7 2" xfId="39383" xr:uid="{00000000-0005-0000-0000-0000D34D0000}"/>
    <cellStyle name="Normal 10 3 8" xfId="31069" xr:uid="{00000000-0005-0000-0000-0000D44D0000}"/>
    <cellStyle name="Normal 10 3 8 2" xfId="39384" xr:uid="{00000000-0005-0000-0000-0000D54D0000}"/>
    <cellStyle name="Normal 10 3 9" xfId="31070" xr:uid="{00000000-0005-0000-0000-0000D64D0000}"/>
    <cellStyle name="Normal 10 4" xfId="4047" xr:uid="{00000000-0005-0000-0000-0000D74D0000}"/>
    <cellStyle name="Normal 10 4 10" xfId="39385" xr:uid="{00000000-0005-0000-0000-0000D84D0000}"/>
    <cellStyle name="Normal 10 4 11" xfId="31071" xr:uid="{00000000-0005-0000-0000-0000D94D0000}"/>
    <cellStyle name="Normal 10 4 2" xfId="4048" xr:uid="{00000000-0005-0000-0000-0000DA4D0000}"/>
    <cellStyle name="Normal 10 4 2 2" xfId="31073" xr:uid="{00000000-0005-0000-0000-0000DB4D0000}"/>
    <cellStyle name="Normal 10 4 2 2 2" xfId="31074" xr:uid="{00000000-0005-0000-0000-0000DC4D0000}"/>
    <cellStyle name="Normal 10 4 2 2 2 2" xfId="39388" xr:uid="{00000000-0005-0000-0000-0000DD4D0000}"/>
    <cellStyle name="Normal 10 4 2 2 3" xfId="31075" xr:uid="{00000000-0005-0000-0000-0000DE4D0000}"/>
    <cellStyle name="Normal 10 4 2 2 3 2" xfId="39389" xr:uid="{00000000-0005-0000-0000-0000DF4D0000}"/>
    <cellStyle name="Normal 10 4 2 2 4" xfId="39387" xr:uid="{00000000-0005-0000-0000-0000E04D0000}"/>
    <cellStyle name="Normal 10 4 2 3" xfId="31076" xr:uid="{00000000-0005-0000-0000-0000E14D0000}"/>
    <cellStyle name="Normal 10 4 2 3 2" xfId="39390" xr:uid="{00000000-0005-0000-0000-0000E24D0000}"/>
    <cellStyle name="Normal 10 4 2 4" xfId="31077" xr:uid="{00000000-0005-0000-0000-0000E34D0000}"/>
    <cellStyle name="Normal 10 4 2 4 2" xfId="39391" xr:uid="{00000000-0005-0000-0000-0000E44D0000}"/>
    <cellStyle name="Normal 10 4 2 5" xfId="31078" xr:uid="{00000000-0005-0000-0000-0000E54D0000}"/>
    <cellStyle name="Normal 10 4 2 5 2" xfId="39392" xr:uid="{00000000-0005-0000-0000-0000E64D0000}"/>
    <cellStyle name="Normal 10 4 2 6" xfId="31079" xr:uid="{00000000-0005-0000-0000-0000E74D0000}"/>
    <cellStyle name="Normal 10 4 2 6 2" xfId="39393" xr:uid="{00000000-0005-0000-0000-0000E84D0000}"/>
    <cellStyle name="Normal 10 4 2 7" xfId="31080" xr:uid="{00000000-0005-0000-0000-0000E94D0000}"/>
    <cellStyle name="Normal 10 4 2 7 2" xfId="39394" xr:uid="{00000000-0005-0000-0000-0000EA4D0000}"/>
    <cellStyle name="Normal 10 4 2 8" xfId="39386" xr:uid="{00000000-0005-0000-0000-0000EB4D0000}"/>
    <cellStyle name="Normal 10 4 2 9" xfId="31072" xr:uid="{00000000-0005-0000-0000-0000EC4D0000}"/>
    <cellStyle name="Normal 10 4 3" xfId="4049" xr:uid="{00000000-0005-0000-0000-0000ED4D0000}"/>
    <cellStyle name="Normal 10 4 3 2" xfId="31082" xr:uid="{00000000-0005-0000-0000-0000EE4D0000}"/>
    <cellStyle name="Normal 10 4 3 2 2" xfId="39396" xr:uid="{00000000-0005-0000-0000-0000EF4D0000}"/>
    <cellStyle name="Normal 10 4 3 3" xfId="31083" xr:uid="{00000000-0005-0000-0000-0000F04D0000}"/>
    <cellStyle name="Normal 10 4 3 3 2" xfId="39397" xr:uid="{00000000-0005-0000-0000-0000F14D0000}"/>
    <cellStyle name="Normal 10 4 3 4" xfId="31084" xr:uid="{00000000-0005-0000-0000-0000F24D0000}"/>
    <cellStyle name="Normal 10 4 3 4 2" xfId="39398" xr:uid="{00000000-0005-0000-0000-0000F34D0000}"/>
    <cellStyle name="Normal 10 4 3 5" xfId="39395" xr:uid="{00000000-0005-0000-0000-0000F44D0000}"/>
    <cellStyle name="Normal 10 4 3 6" xfId="31081" xr:uid="{00000000-0005-0000-0000-0000F54D0000}"/>
    <cellStyle name="Normal 10 4 4" xfId="31085" xr:uid="{00000000-0005-0000-0000-0000F64D0000}"/>
    <cellStyle name="Normal 10 4 4 2" xfId="31086" xr:uid="{00000000-0005-0000-0000-0000F74D0000}"/>
    <cellStyle name="Normal 10 4 4 2 2" xfId="39400" xr:uid="{00000000-0005-0000-0000-0000F84D0000}"/>
    <cellStyle name="Normal 10 4 4 3" xfId="31087" xr:uid="{00000000-0005-0000-0000-0000F94D0000}"/>
    <cellStyle name="Normal 10 4 4 3 2" xfId="39401" xr:uid="{00000000-0005-0000-0000-0000FA4D0000}"/>
    <cellStyle name="Normal 10 4 4 4" xfId="39399" xr:uid="{00000000-0005-0000-0000-0000FB4D0000}"/>
    <cellStyle name="Normal 10 4 5" xfId="31088" xr:uid="{00000000-0005-0000-0000-0000FC4D0000}"/>
    <cellStyle name="Normal 10 4 5 2" xfId="39402" xr:uid="{00000000-0005-0000-0000-0000FD4D0000}"/>
    <cellStyle name="Normal 10 4 6" xfId="31089" xr:uid="{00000000-0005-0000-0000-0000FE4D0000}"/>
    <cellStyle name="Normal 10 4 6 2" xfId="39403" xr:uid="{00000000-0005-0000-0000-0000FF4D0000}"/>
    <cellStyle name="Normal 10 4 7" xfId="31090" xr:uid="{00000000-0005-0000-0000-0000004E0000}"/>
    <cellStyle name="Normal 10 4 7 2" xfId="39404" xr:uid="{00000000-0005-0000-0000-0000014E0000}"/>
    <cellStyle name="Normal 10 4 8" xfId="31091" xr:uid="{00000000-0005-0000-0000-0000024E0000}"/>
    <cellStyle name="Normal 10 4 8 2" xfId="39405" xr:uid="{00000000-0005-0000-0000-0000034E0000}"/>
    <cellStyle name="Normal 10 4 9" xfId="31092" xr:uid="{00000000-0005-0000-0000-0000044E0000}"/>
    <cellStyle name="Normal 10 5" xfId="4050" xr:uid="{00000000-0005-0000-0000-0000054E0000}"/>
    <cellStyle name="Normal 10 5 2" xfId="4051" xr:uid="{00000000-0005-0000-0000-0000064E0000}"/>
    <cellStyle name="Normal 10 5 2 2" xfId="31095" xr:uid="{00000000-0005-0000-0000-0000074E0000}"/>
    <cellStyle name="Normal 10 5 2 2 2" xfId="39408" xr:uid="{00000000-0005-0000-0000-0000084E0000}"/>
    <cellStyle name="Normal 10 5 2 3" xfId="31096" xr:uid="{00000000-0005-0000-0000-0000094E0000}"/>
    <cellStyle name="Normal 10 5 2 3 2" xfId="39409" xr:uid="{00000000-0005-0000-0000-00000A4E0000}"/>
    <cellStyle name="Normal 10 5 2 4" xfId="31097" xr:uid="{00000000-0005-0000-0000-00000B4E0000}"/>
    <cellStyle name="Normal 10 5 2 4 2" xfId="39410" xr:uid="{00000000-0005-0000-0000-00000C4E0000}"/>
    <cellStyle name="Normal 10 5 2 5" xfId="31098" xr:uid="{00000000-0005-0000-0000-00000D4E0000}"/>
    <cellStyle name="Normal 10 5 2 5 2" xfId="39411" xr:uid="{00000000-0005-0000-0000-00000E4E0000}"/>
    <cellStyle name="Normal 10 5 2 6" xfId="39407" xr:uid="{00000000-0005-0000-0000-00000F4E0000}"/>
    <cellStyle name="Normal 10 5 2 7" xfId="31094" xr:uid="{00000000-0005-0000-0000-0000104E0000}"/>
    <cellStyle name="Normal 10 5 3" xfId="4052" xr:uid="{00000000-0005-0000-0000-0000114E0000}"/>
    <cellStyle name="Normal 10 5 3 2" xfId="31100" xr:uid="{00000000-0005-0000-0000-0000124E0000}"/>
    <cellStyle name="Normal 10 5 3 2 2" xfId="39413" xr:uid="{00000000-0005-0000-0000-0000134E0000}"/>
    <cellStyle name="Normal 10 5 3 3" xfId="31101" xr:uid="{00000000-0005-0000-0000-0000144E0000}"/>
    <cellStyle name="Normal 10 5 3 3 2" xfId="39414" xr:uid="{00000000-0005-0000-0000-0000154E0000}"/>
    <cellStyle name="Normal 10 5 3 4" xfId="31102" xr:uid="{00000000-0005-0000-0000-0000164E0000}"/>
    <cellStyle name="Normal 10 5 3 4 2" xfId="39415" xr:uid="{00000000-0005-0000-0000-0000174E0000}"/>
    <cellStyle name="Normal 10 5 3 5" xfId="39412" xr:uid="{00000000-0005-0000-0000-0000184E0000}"/>
    <cellStyle name="Normal 10 5 3 6" xfId="31099" xr:uid="{00000000-0005-0000-0000-0000194E0000}"/>
    <cellStyle name="Normal 10 5 4" xfId="31103" xr:uid="{00000000-0005-0000-0000-00001A4E0000}"/>
    <cellStyle name="Normal 10 5 4 2" xfId="31104" xr:uid="{00000000-0005-0000-0000-00001B4E0000}"/>
    <cellStyle name="Normal 10 5 4 2 2" xfId="39417" xr:uid="{00000000-0005-0000-0000-00001C4E0000}"/>
    <cellStyle name="Normal 10 5 4 3" xfId="31105" xr:uid="{00000000-0005-0000-0000-00001D4E0000}"/>
    <cellStyle name="Normal 10 5 4 3 2" xfId="39418" xr:uid="{00000000-0005-0000-0000-00001E4E0000}"/>
    <cellStyle name="Normal 10 5 4 4" xfId="39416" xr:uid="{00000000-0005-0000-0000-00001F4E0000}"/>
    <cellStyle name="Normal 10 5 5" xfId="31106" xr:uid="{00000000-0005-0000-0000-0000204E0000}"/>
    <cellStyle name="Normal 10 5 5 2" xfId="39419" xr:uid="{00000000-0005-0000-0000-0000214E0000}"/>
    <cellStyle name="Normal 10 5 6" xfId="31107" xr:uid="{00000000-0005-0000-0000-0000224E0000}"/>
    <cellStyle name="Normal 10 5 6 2" xfId="39420" xr:uid="{00000000-0005-0000-0000-0000234E0000}"/>
    <cellStyle name="Normal 10 5 7" xfId="31108" xr:uid="{00000000-0005-0000-0000-0000244E0000}"/>
    <cellStyle name="Normal 10 5 8" xfId="39406" xr:uid="{00000000-0005-0000-0000-0000254E0000}"/>
    <cellStyle name="Normal 10 5 9" xfId="31093" xr:uid="{00000000-0005-0000-0000-0000264E0000}"/>
    <cellStyle name="Normal 10 6" xfId="4053" xr:uid="{00000000-0005-0000-0000-0000274E0000}"/>
    <cellStyle name="Normal 10 6 2" xfId="4054" xr:uid="{00000000-0005-0000-0000-0000284E0000}"/>
    <cellStyle name="Normal 10 6 2 2" xfId="31111" xr:uid="{00000000-0005-0000-0000-0000294E0000}"/>
    <cellStyle name="Normal 10 6 2 2 2" xfId="39423" xr:uid="{00000000-0005-0000-0000-00002A4E0000}"/>
    <cellStyle name="Normal 10 6 2 3" xfId="31112" xr:uid="{00000000-0005-0000-0000-00002B4E0000}"/>
    <cellStyle name="Normal 10 6 2 3 2" xfId="39424" xr:uid="{00000000-0005-0000-0000-00002C4E0000}"/>
    <cellStyle name="Normal 10 6 2 4" xfId="31113" xr:uid="{00000000-0005-0000-0000-00002D4E0000}"/>
    <cellStyle name="Normal 10 6 2 4 2" xfId="39425" xr:uid="{00000000-0005-0000-0000-00002E4E0000}"/>
    <cellStyle name="Normal 10 6 2 5" xfId="39422" xr:uid="{00000000-0005-0000-0000-00002F4E0000}"/>
    <cellStyle name="Normal 10 6 2 6" xfId="31110" xr:uid="{00000000-0005-0000-0000-0000304E0000}"/>
    <cellStyle name="Normal 10 6 3" xfId="4055" xr:uid="{00000000-0005-0000-0000-0000314E0000}"/>
    <cellStyle name="Normal 10 6 3 2" xfId="31115" xr:uid="{00000000-0005-0000-0000-0000324E0000}"/>
    <cellStyle name="Normal 10 6 3 2 2" xfId="39427" xr:uid="{00000000-0005-0000-0000-0000334E0000}"/>
    <cellStyle name="Normal 10 6 3 3" xfId="39426" xr:uid="{00000000-0005-0000-0000-0000344E0000}"/>
    <cellStyle name="Normal 10 6 3 4" xfId="31114" xr:uid="{00000000-0005-0000-0000-0000354E0000}"/>
    <cellStyle name="Normal 10 6 4" xfId="31116" xr:uid="{00000000-0005-0000-0000-0000364E0000}"/>
    <cellStyle name="Normal 10 6 4 2" xfId="31117" xr:uid="{00000000-0005-0000-0000-0000374E0000}"/>
    <cellStyle name="Normal 10 6 4 2 2" xfId="39429" xr:uid="{00000000-0005-0000-0000-0000384E0000}"/>
    <cellStyle name="Normal 10 6 4 3" xfId="39428" xr:uid="{00000000-0005-0000-0000-0000394E0000}"/>
    <cellStyle name="Normal 10 6 5" xfId="31118" xr:uid="{00000000-0005-0000-0000-00003A4E0000}"/>
    <cellStyle name="Normal 10 6 5 2" xfId="39430" xr:uid="{00000000-0005-0000-0000-00003B4E0000}"/>
    <cellStyle name="Normal 10 6 6" xfId="39421" xr:uid="{00000000-0005-0000-0000-00003C4E0000}"/>
    <cellStyle name="Normal 10 6 7" xfId="31109" xr:uid="{00000000-0005-0000-0000-00003D4E0000}"/>
    <cellStyle name="Normal 10 7" xfId="4056" xr:uid="{00000000-0005-0000-0000-00003E4E0000}"/>
    <cellStyle name="Normal 10 7 2" xfId="4057" xr:uid="{00000000-0005-0000-0000-00003F4E0000}"/>
    <cellStyle name="Normal 10 7 2 2" xfId="31121" xr:uid="{00000000-0005-0000-0000-0000404E0000}"/>
    <cellStyle name="Normal 10 7 2 2 2" xfId="39433" xr:uid="{00000000-0005-0000-0000-0000414E0000}"/>
    <cellStyle name="Normal 10 7 2 3" xfId="39432" xr:uid="{00000000-0005-0000-0000-0000424E0000}"/>
    <cellStyle name="Normal 10 7 2 4" xfId="31120" xr:uid="{00000000-0005-0000-0000-0000434E0000}"/>
    <cellStyle name="Normal 10 7 3" xfId="4058" xr:uid="{00000000-0005-0000-0000-0000444E0000}"/>
    <cellStyle name="Normal 10 7 3 2" xfId="39434" xr:uid="{00000000-0005-0000-0000-0000454E0000}"/>
    <cellStyle name="Normal 10 7 3 3" xfId="31122" xr:uid="{00000000-0005-0000-0000-0000464E0000}"/>
    <cellStyle name="Normal 10 7 4" xfId="31123" xr:uid="{00000000-0005-0000-0000-0000474E0000}"/>
    <cellStyle name="Normal 10 7 4 2" xfId="39435" xr:uid="{00000000-0005-0000-0000-0000484E0000}"/>
    <cellStyle name="Normal 10 7 5" xfId="31124" xr:uid="{00000000-0005-0000-0000-0000494E0000}"/>
    <cellStyle name="Normal 10 7 5 2" xfId="39436" xr:uid="{00000000-0005-0000-0000-00004A4E0000}"/>
    <cellStyle name="Normal 10 7 6" xfId="39431" xr:uid="{00000000-0005-0000-0000-00004B4E0000}"/>
    <cellStyle name="Normal 10 7 7" xfId="31119" xr:uid="{00000000-0005-0000-0000-00004C4E0000}"/>
    <cellStyle name="Normal 10 8" xfId="4059" xr:uid="{00000000-0005-0000-0000-00004D4E0000}"/>
    <cellStyle name="Normal 10 8 2" xfId="10113" xr:uid="{00000000-0005-0000-0000-00004E4E0000}"/>
    <cellStyle name="Normal 10 8 2 2" xfId="39438" xr:uid="{00000000-0005-0000-0000-00004F4E0000}"/>
    <cellStyle name="Normal 10 8 2 3" xfId="31126" xr:uid="{00000000-0005-0000-0000-0000504E0000}"/>
    <cellStyle name="Normal 10 8 3" xfId="31127" xr:uid="{00000000-0005-0000-0000-0000514E0000}"/>
    <cellStyle name="Normal 10 8 3 2" xfId="39439" xr:uid="{00000000-0005-0000-0000-0000524E0000}"/>
    <cellStyle name="Normal 10 8 4" xfId="31128" xr:uid="{00000000-0005-0000-0000-0000534E0000}"/>
    <cellStyle name="Normal 10 8 4 2" xfId="39440" xr:uid="{00000000-0005-0000-0000-0000544E0000}"/>
    <cellStyle name="Normal 10 8 5" xfId="31129" xr:uid="{00000000-0005-0000-0000-0000554E0000}"/>
    <cellStyle name="Normal 10 8 5 2" xfId="39441" xr:uid="{00000000-0005-0000-0000-0000564E0000}"/>
    <cellStyle name="Normal 10 8 6" xfId="39437" xr:uid="{00000000-0005-0000-0000-0000574E0000}"/>
    <cellStyle name="Normal 10 8 7" xfId="31125" xr:uid="{00000000-0005-0000-0000-0000584E0000}"/>
    <cellStyle name="Normal 10 9" xfId="4060" xr:uid="{00000000-0005-0000-0000-0000594E0000}"/>
    <cellStyle name="Normal 10 9 2" xfId="10114" xr:uid="{00000000-0005-0000-0000-00005A4E0000}"/>
    <cellStyle name="Normal 10 9 2 2" xfId="39443" xr:uid="{00000000-0005-0000-0000-00005B4E0000}"/>
    <cellStyle name="Normal 10 9 2 3" xfId="31131" xr:uid="{00000000-0005-0000-0000-00005C4E0000}"/>
    <cellStyle name="Normal 10 9 3" xfId="31132" xr:uid="{00000000-0005-0000-0000-00005D4E0000}"/>
    <cellStyle name="Normal 10 9 3 2" xfId="39444" xr:uid="{00000000-0005-0000-0000-00005E4E0000}"/>
    <cellStyle name="Normal 10 9 4" xfId="31133" xr:uid="{00000000-0005-0000-0000-00005F4E0000}"/>
    <cellStyle name="Normal 10 9 4 2" xfId="39445" xr:uid="{00000000-0005-0000-0000-0000604E0000}"/>
    <cellStyle name="Normal 10 9 5" xfId="31134" xr:uid="{00000000-0005-0000-0000-0000614E0000}"/>
    <cellStyle name="Normal 10 9 5 2" xfId="39446" xr:uid="{00000000-0005-0000-0000-0000624E0000}"/>
    <cellStyle name="Normal 10 9 6" xfId="39442" xr:uid="{00000000-0005-0000-0000-0000634E0000}"/>
    <cellStyle name="Normal 10 9 7" xfId="31130" xr:uid="{00000000-0005-0000-0000-0000644E0000}"/>
    <cellStyle name="Normal 100" xfId="4061" xr:uid="{00000000-0005-0000-0000-0000654E0000}"/>
    <cellStyle name="Normal 100 2" xfId="31136" xr:uid="{00000000-0005-0000-0000-0000664E0000}"/>
    <cellStyle name="Normal 100 2 2" xfId="31137" xr:uid="{00000000-0005-0000-0000-0000674E0000}"/>
    <cellStyle name="Normal 100 3" xfId="31138" xr:uid="{00000000-0005-0000-0000-0000684E0000}"/>
    <cellStyle name="Normal 100 3 2" xfId="39447" xr:uid="{00000000-0005-0000-0000-0000694E0000}"/>
    <cellStyle name="Normal 100 4" xfId="31139" xr:uid="{00000000-0005-0000-0000-00006A4E0000}"/>
    <cellStyle name="Normal 100 4 2" xfId="39448" xr:uid="{00000000-0005-0000-0000-00006B4E0000}"/>
    <cellStyle name="Normal 100 5" xfId="31140" xr:uid="{00000000-0005-0000-0000-00006C4E0000}"/>
    <cellStyle name="Normal 100 6" xfId="31135" xr:uid="{00000000-0005-0000-0000-00006D4E0000}"/>
    <cellStyle name="Normal 101" xfId="4062" xr:uid="{00000000-0005-0000-0000-00006E4E0000}"/>
    <cellStyle name="Normal 101 2" xfId="31142" xr:uid="{00000000-0005-0000-0000-00006F4E0000}"/>
    <cellStyle name="Normal 101 2 2" xfId="31143" xr:uid="{00000000-0005-0000-0000-0000704E0000}"/>
    <cellStyle name="Normal 101 2 3" xfId="39449" xr:uid="{00000000-0005-0000-0000-0000714E0000}"/>
    <cellStyle name="Normal 101 3" xfId="31144" xr:uid="{00000000-0005-0000-0000-0000724E0000}"/>
    <cellStyle name="Normal 101 3 2" xfId="39450" xr:uid="{00000000-0005-0000-0000-0000734E0000}"/>
    <cellStyle name="Normal 101 4" xfId="31145" xr:uid="{00000000-0005-0000-0000-0000744E0000}"/>
    <cellStyle name="Normal 101 5" xfId="31141" xr:uid="{00000000-0005-0000-0000-0000754E0000}"/>
    <cellStyle name="Normal 102" xfId="4063" xr:uid="{00000000-0005-0000-0000-0000764E0000}"/>
    <cellStyle name="Normal 102 2" xfId="31147" xr:uid="{00000000-0005-0000-0000-0000774E0000}"/>
    <cellStyle name="Normal 102 3" xfId="31148" xr:uid="{00000000-0005-0000-0000-0000784E0000}"/>
    <cellStyle name="Normal 102 4" xfId="39451" xr:uid="{00000000-0005-0000-0000-0000794E0000}"/>
    <cellStyle name="Normal 102 5" xfId="31146" xr:uid="{00000000-0005-0000-0000-00007A4E0000}"/>
    <cellStyle name="Normal 103" xfId="4064" xr:uid="{00000000-0005-0000-0000-00007B4E0000}"/>
    <cellStyle name="Normal 103 2" xfId="14" xr:uid="{00000000-0005-0000-0000-00007C4E0000}"/>
    <cellStyle name="Normal 103 2 2" xfId="31150" xr:uid="{00000000-0005-0000-0000-00007D4E0000}"/>
    <cellStyle name="Normal 103 3" xfId="31151" xr:uid="{00000000-0005-0000-0000-00007E4E0000}"/>
    <cellStyle name="Normal 103 4" xfId="39452" xr:uid="{00000000-0005-0000-0000-00007F4E0000}"/>
    <cellStyle name="Normal 103 5" xfId="31149" xr:uid="{00000000-0005-0000-0000-0000804E0000}"/>
    <cellStyle name="Normal 104" xfId="4065" xr:uid="{00000000-0005-0000-0000-0000814E0000}"/>
    <cellStyle name="Normal 104 2" xfId="31153" xr:uid="{00000000-0005-0000-0000-0000824E0000}"/>
    <cellStyle name="Normal 104 3" xfId="31154" xr:uid="{00000000-0005-0000-0000-0000834E0000}"/>
    <cellStyle name="Normal 104 4" xfId="39453" xr:uid="{00000000-0005-0000-0000-0000844E0000}"/>
    <cellStyle name="Normal 104 5" xfId="31152" xr:uid="{00000000-0005-0000-0000-0000854E0000}"/>
    <cellStyle name="Normal 105" xfId="4066" xr:uid="{00000000-0005-0000-0000-0000864E0000}"/>
    <cellStyle name="Normal 105 2" xfId="15" xr:uid="{00000000-0005-0000-0000-0000874E0000}"/>
    <cellStyle name="Normal 105 2 2" xfId="31156" xr:uid="{00000000-0005-0000-0000-0000884E0000}"/>
    <cellStyle name="Normal 105 3" xfId="31157" xr:uid="{00000000-0005-0000-0000-0000894E0000}"/>
    <cellStyle name="Normal 105 4" xfId="39454" xr:uid="{00000000-0005-0000-0000-00008A4E0000}"/>
    <cellStyle name="Normal 105 5" xfId="31155" xr:uid="{00000000-0005-0000-0000-00008B4E0000}"/>
    <cellStyle name="Normal 106" xfId="4067" xr:uid="{00000000-0005-0000-0000-00008C4E0000}"/>
    <cellStyle name="Normal 106 2" xfId="31159" xr:uid="{00000000-0005-0000-0000-00008D4E0000}"/>
    <cellStyle name="Normal 106 3" xfId="31160" xr:uid="{00000000-0005-0000-0000-00008E4E0000}"/>
    <cellStyle name="Normal 106 4" xfId="39455" xr:uid="{00000000-0005-0000-0000-00008F4E0000}"/>
    <cellStyle name="Normal 106 5" xfId="31158" xr:uid="{00000000-0005-0000-0000-0000904E0000}"/>
    <cellStyle name="Normal 107" xfId="4068" xr:uid="{00000000-0005-0000-0000-0000914E0000}"/>
    <cellStyle name="Normal 107 2" xfId="31162" xr:uid="{00000000-0005-0000-0000-0000924E0000}"/>
    <cellStyle name="Normal 107 3" xfId="31163" xr:uid="{00000000-0005-0000-0000-0000934E0000}"/>
    <cellStyle name="Normal 107 4" xfId="39456" xr:uid="{00000000-0005-0000-0000-0000944E0000}"/>
    <cellStyle name="Normal 107 5" xfId="31161" xr:uid="{00000000-0005-0000-0000-0000954E0000}"/>
    <cellStyle name="Normal 108" xfId="4069" xr:uid="{00000000-0005-0000-0000-0000964E0000}"/>
    <cellStyle name="Normal 108 2" xfId="31165" xr:uid="{00000000-0005-0000-0000-0000974E0000}"/>
    <cellStyle name="Normal 108 3" xfId="31166" xr:uid="{00000000-0005-0000-0000-0000984E0000}"/>
    <cellStyle name="Normal 108 4" xfId="39457" xr:uid="{00000000-0005-0000-0000-0000994E0000}"/>
    <cellStyle name="Normal 108 5" xfId="31164" xr:uid="{00000000-0005-0000-0000-00009A4E0000}"/>
    <cellStyle name="Normal 109" xfId="4070" xr:uid="{00000000-0005-0000-0000-00009B4E0000}"/>
    <cellStyle name="Normal 109 2" xfId="8040" xr:uid="{00000000-0005-0000-0000-00009C4E0000}"/>
    <cellStyle name="Normal 109 2 2" xfId="31168" xr:uid="{00000000-0005-0000-0000-00009D4E0000}"/>
    <cellStyle name="Normal 109 3" xfId="31169" xr:uid="{00000000-0005-0000-0000-00009E4E0000}"/>
    <cellStyle name="Normal 109 4" xfId="39458" xr:uid="{00000000-0005-0000-0000-00009F4E0000}"/>
    <cellStyle name="Normal 109 5" xfId="31167" xr:uid="{00000000-0005-0000-0000-0000A04E0000}"/>
    <cellStyle name="Normal 11" xfId="50" xr:uid="{00000000-0005-0000-0000-0000A14E0000}"/>
    <cellStyle name="Normal 11 10" xfId="4072" xr:uid="{00000000-0005-0000-0000-0000A24E0000}"/>
    <cellStyle name="Normal 11 10 2" xfId="31171" xr:uid="{00000000-0005-0000-0000-0000A34E0000}"/>
    <cellStyle name="Normal 11 10 2 2" xfId="39460" xr:uid="{00000000-0005-0000-0000-0000A44E0000}"/>
    <cellStyle name="Normal 11 10 3" xfId="31172" xr:uid="{00000000-0005-0000-0000-0000A54E0000}"/>
    <cellStyle name="Normal 11 10 3 2" xfId="39461" xr:uid="{00000000-0005-0000-0000-0000A64E0000}"/>
    <cellStyle name="Normal 11 10 4" xfId="31173" xr:uid="{00000000-0005-0000-0000-0000A74E0000}"/>
    <cellStyle name="Normal 11 10 4 2" xfId="39462" xr:uid="{00000000-0005-0000-0000-0000A84E0000}"/>
    <cellStyle name="Normal 11 10 5" xfId="31174" xr:uid="{00000000-0005-0000-0000-0000A94E0000}"/>
    <cellStyle name="Normal 11 10 5 2" xfId="39463" xr:uid="{00000000-0005-0000-0000-0000AA4E0000}"/>
    <cellStyle name="Normal 11 10 6" xfId="39459" xr:uid="{00000000-0005-0000-0000-0000AB4E0000}"/>
    <cellStyle name="Normal 11 10 7" xfId="31170" xr:uid="{00000000-0005-0000-0000-0000AC4E0000}"/>
    <cellStyle name="Normal 11 11" xfId="4073" xr:uid="{00000000-0005-0000-0000-0000AD4E0000}"/>
    <cellStyle name="Normal 11 11 2" xfId="31176" xr:uid="{00000000-0005-0000-0000-0000AE4E0000}"/>
    <cellStyle name="Normal 11 11 2 2" xfId="39465" xr:uid="{00000000-0005-0000-0000-0000AF4E0000}"/>
    <cellStyle name="Normal 11 11 3" xfId="31177" xr:uid="{00000000-0005-0000-0000-0000B04E0000}"/>
    <cellStyle name="Normal 11 11 3 2" xfId="39466" xr:uid="{00000000-0005-0000-0000-0000B14E0000}"/>
    <cellStyle name="Normal 11 11 4" xfId="31178" xr:uid="{00000000-0005-0000-0000-0000B24E0000}"/>
    <cellStyle name="Normal 11 11 4 2" xfId="39467" xr:uid="{00000000-0005-0000-0000-0000B34E0000}"/>
    <cellStyle name="Normal 11 11 5" xfId="39464" xr:uid="{00000000-0005-0000-0000-0000B44E0000}"/>
    <cellStyle name="Normal 11 11 6" xfId="31175" xr:uid="{00000000-0005-0000-0000-0000B54E0000}"/>
    <cellStyle name="Normal 11 12" xfId="31179" xr:uid="{00000000-0005-0000-0000-0000B64E0000}"/>
    <cellStyle name="Normal 11 12 2" xfId="31180" xr:uid="{00000000-0005-0000-0000-0000B74E0000}"/>
    <cellStyle name="Normal 11 12 2 2" xfId="39469" xr:uid="{00000000-0005-0000-0000-0000B84E0000}"/>
    <cellStyle name="Normal 11 12 3" xfId="31181" xr:uid="{00000000-0005-0000-0000-0000B94E0000}"/>
    <cellStyle name="Normal 11 12 3 2" xfId="39470" xr:uid="{00000000-0005-0000-0000-0000BA4E0000}"/>
    <cellStyle name="Normal 11 12 4" xfId="31182" xr:uid="{00000000-0005-0000-0000-0000BB4E0000}"/>
    <cellStyle name="Normal 11 12 4 2" xfId="39471" xr:uid="{00000000-0005-0000-0000-0000BC4E0000}"/>
    <cellStyle name="Normal 11 12 5" xfId="39468" xr:uid="{00000000-0005-0000-0000-0000BD4E0000}"/>
    <cellStyle name="Normal 11 13" xfId="31183" xr:uid="{00000000-0005-0000-0000-0000BE4E0000}"/>
    <cellStyle name="Normal 11 13 2" xfId="31184" xr:uid="{00000000-0005-0000-0000-0000BF4E0000}"/>
    <cellStyle name="Normal 11 13 2 2" xfId="39473" xr:uid="{00000000-0005-0000-0000-0000C04E0000}"/>
    <cellStyle name="Normal 11 13 3" xfId="31185" xr:uid="{00000000-0005-0000-0000-0000C14E0000}"/>
    <cellStyle name="Normal 11 13 3 2" xfId="39474" xr:uid="{00000000-0005-0000-0000-0000C24E0000}"/>
    <cellStyle name="Normal 11 13 4" xfId="31186" xr:uid="{00000000-0005-0000-0000-0000C34E0000}"/>
    <cellStyle name="Normal 11 13 4 2" xfId="39475" xr:uid="{00000000-0005-0000-0000-0000C44E0000}"/>
    <cellStyle name="Normal 11 13 5" xfId="39472" xr:uid="{00000000-0005-0000-0000-0000C54E0000}"/>
    <cellStyle name="Normal 11 14" xfId="31187" xr:uid="{00000000-0005-0000-0000-0000C64E0000}"/>
    <cellStyle name="Normal 11 14 2" xfId="31188" xr:uid="{00000000-0005-0000-0000-0000C74E0000}"/>
    <cellStyle name="Normal 11 14 2 2" xfId="39477" xr:uid="{00000000-0005-0000-0000-0000C84E0000}"/>
    <cellStyle name="Normal 11 14 3" xfId="31189" xr:uid="{00000000-0005-0000-0000-0000C94E0000}"/>
    <cellStyle name="Normal 11 14 3 2" xfId="39478" xr:uid="{00000000-0005-0000-0000-0000CA4E0000}"/>
    <cellStyle name="Normal 11 14 4" xfId="31190" xr:uid="{00000000-0005-0000-0000-0000CB4E0000}"/>
    <cellStyle name="Normal 11 14 4 2" xfId="39479" xr:uid="{00000000-0005-0000-0000-0000CC4E0000}"/>
    <cellStyle name="Normal 11 14 5" xfId="39476" xr:uid="{00000000-0005-0000-0000-0000CD4E0000}"/>
    <cellStyle name="Normal 11 15" xfId="31191" xr:uid="{00000000-0005-0000-0000-0000CE4E0000}"/>
    <cellStyle name="Normal 11 15 2" xfId="31192" xr:uid="{00000000-0005-0000-0000-0000CF4E0000}"/>
    <cellStyle name="Normal 11 15 2 2" xfId="39481" xr:uid="{00000000-0005-0000-0000-0000D04E0000}"/>
    <cellStyle name="Normal 11 15 3" xfId="31193" xr:uid="{00000000-0005-0000-0000-0000D14E0000}"/>
    <cellStyle name="Normal 11 15 3 2" xfId="39482" xr:uid="{00000000-0005-0000-0000-0000D24E0000}"/>
    <cellStyle name="Normal 11 15 4" xfId="31194" xr:uid="{00000000-0005-0000-0000-0000D34E0000}"/>
    <cellStyle name="Normal 11 15 4 2" xfId="39483" xr:uid="{00000000-0005-0000-0000-0000D44E0000}"/>
    <cellStyle name="Normal 11 15 5" xfId="39480" xr:uid="{00000000-0005-0000-0000-0000D54E0000}"/>
    <cellStyle name="Normal 11 16" xfId="31195" xr:uid="{00000000-0005-0000-0000-0000D64E0000}"/>
    <cellStyle name="Normal 11 16 2" xfId="31196" xr:uid="{00000000-0005-0000-0000-0000D74E0000}"/>
    <cellStyle name="Normal 11 16 2 2" xfId="39485" xr:uid="{00000000-0005-0000-0000-0000D84E0000}"/>
    <cellStyle name="Normal 11 16 3" xfId="31197" xr:uid="{00000000-0005-0000-0000-0000D94E0000}"/>
    <cellStyle name="Normal 11 16 3 2" xfId="39486" xr:uid="{00000000-0005-0000-0000-0000DA4E0000}"/>
    <cellStyle name="Normal 11 16 4" xfId="31198" xr:uid="{00000000-0005-0000-0000-0000DB4E0000}"/>
    <cellStyle name="Normal 11 16 4 2" xfId="39487" xr:uid="{00000000-0005-0000-0000-0000DC4E0000}"/>
    <cellStyle name="Normal 11 16 5" xfId="39484" xr:uid="{00000000-0005-0000-0000-0000DD4E0000}"/>
    <cellStyle name="Normal 11 17" xfId="31199" xr:uid="{00000000-0005-0000-0000-0000DE4E0000}"/>
    <cellStyle name="Normal 11 17 2" xfId="31200" xr:uid="{00000000-0005-0000-0000-0000DF4E0000}"/>
    <cellStyle name="Normal 11 17 2 2" xfId="39489" xr:uid="{00000000-0005-0000-0000-0000E04E0000}"/>
    <cellStyle name="Normal 11 17 3" xfId="31201" xr:uid="{00000000-0005-0000-0000-0000E14E0000}"/>
    <cellStyle name="Normal 11 17 3 2" xfId="39490" xr:uid="{00000000-0005-0000-0000-0000E24E0000}"/>
    <cellStyle name="Normal 11 17 4" xfId="31202" xr:uid="{00000000-0005-0000-0000-0000E34E0000}"/>
    <cellStyle name="Normal 11 17 4 2" xfId="39491" xr:uid="{00000000-0005-0000-0000-0000E44E0000}"/>
    <cellStyle name="Normal 11 17 5" xfId="39488" xr:uid="{00000000-0005-0000-0000-0000E54E0000}"/>
    <cellStyle name="Normal 11 18" xfId="31203" xr:uid="{00000000-0005-0000-0000-0000E64E0000}"/>
    <cellStyle name="Normal 11 18 2" xfId="31204" xr:uid="{00000000-0005-0000-0000-0000E74E0000}"/>
    <cellStyle name="Normal 11 18 2 2" xfId="31205" xr:uid="{00000000-0005-0000-0000-0000E84E0000}"/>
    <cellStyle name="Normal 11 18 2 2 2" xfId="31206" xr:uid="{00000000-0005-0000-0000-0000E94E0000}"/>
    <cellStyle name="Normal 11 18 2 2 2 2" xfId="39495" xr:uid="{00000000-0005-0000-0000-0000EA4E0000}"/>
    <cellStyle name="Normal 11 18 2 2 3" xfId="39494" xr:uid="{00000000-0005-0000-0000-0000EB4E0000}"/>
    <cellStyle name="Normal 11 18 2 3" xfId="31207" xr:uid="{00000000-0005-0000-0000-0000EC4E0000}"/>
    <cellStyle name="Normal 11 18 2 3 2" xfId="39496" xr:uid="{00000000-0005-0000-0000-0000ED4E0000}"/>
    <cellStyle name="Normal 11 18 2 4" xfId="39493" xr:uid="{00000000-0005-0000-0000-0000EE4E0000}"/>
    <cellStyle name="Normal 11 18 3" xfId="31208" xr:uid="{00000000-0005-0000-0000-0000EF4E0000}"/>
    <cellStyle name="Normal 11 18 3 2" xfId="31209" xr:uid="{00000000-0005-0000-0000-0000F04E0000}"/>
    <cellStyle name="Normal 11 18 3 2 2" xfId="39498" xr:uid="{00000000-0005-0000-0000-0000F14E0000}"/>
    <cellStyle name="Normal 11 18 3 3" xfId="39497" xr:uid="{00000000-0005-0000-0000-0000F24E0000}"/>
    <cellStyle name="Normal 11 18 4" xfId="31210" xr:uid="{00000000-0005-0000-0000-0000F34E0000}"/>
    <cellStyle name="Normal 11 18 4 2" xfId="39499" xr:uid="{00000000-0005-0000-0000-0000F44E0000}"/>
    <cellStyle name="Normal 11 18 5" xfId="39492" xr:uid="{00000000-0005-0000-0000-0000F54E0000}"/>
    <cellStyle name="Normal 11 19" xfId="31211" xr:uid="{00000000-0005-0000-0000-0000F64E0000}"/>
    <cellStyle name="Normal 11 19 2" xfId="39500" xr:uid="{00000000-0005-0000-0000-0000F74E0000}"/>
    <cellStyle name="Normal 11 2" xfId="4074" xr:uid="{00000000-0005-0000-0000-0000F84E0000}"/>
    <cellStyle name="Normal 11 2 10" xfId="39501" xr:uid="{00000000-0005-0000-0000-0000F94E0000}"/>
    <cellStyle name="Normal 11 2 11" xfId="31212" xr:uid="{00000000-0005-0000-0000-0000FA4E0000}"/>
    <cellStyle name="Normal 11 2 2" xfId="4075" xr:uid="{00000000-0005-0000-0000-0000FB4E0000}"/>
    <cellStyle name="Normal 11 2 2 10" xfId="31213" xr:uid="{00000000-0005-0000-0000-0000FC4E0000}"/>
    <cellStyle name="Normal 11 2 2 2" xfId="31214" xr:uid="{00000000-0005-0000-0000-0000FD4E0000}"/>
    <cellStyle name="Normal 11 2 2 2 2" xfId="31215" xr:uid="{00000000-0005-0000-0000-0000FE4E0000}"/>
    <cellStyle name="Normal 11 2 2 2 2 2" xfId="39504" xr:uid="{00000000-0005-0000-0000-0000FF4E0000}"/>
    <cellStyle name="Normal 11 2 2 2 3" xfId="31216" xr:uid="{00000000-0005-0000-0000-0000004F0000}"/>
    <cellStyle name="Normal 11 2 2 2 3 2" xfId="39505" xr:uid="{00000000-0005-0000-0000-0000014F0000}"/>
    <cellStyle name="Normal 11 2 2 2 4" xfId="31217" xr:uid="{00000000-0005-0000-0000-0000024F0000}"/>
    <cellStyle name="Normal 11 2 2 2 5" xfId="39503" xr:uid="{00000000-0005-0000-0000-0000034F0000}"/>
    <cellStyle name="Normal 11 2 2 3" xfId="31218" xr:uid="{00000000-0005-0000-0000-0000044F0000}"/>
    <cellStyle name="Normal 11 2 2 3 2" xfId="31219" xr:uid="{00000000-0005-0000-0000-0000054F0000}"/>
    <cellStyle name="Normal 11 2 2 3 2 2" xfId="39507" xr:uid="{00000000-0005-0000-0000-0000064F0000}"/>
    <cellStyle name="Normal 11 2 2 3 3" xfId="31220" xr:uid="{00000000-0005-0000-0000-0000074F0000}"/>
    <cellStyle name="Normal 11 2 2 3 4" xfId="39506" xr:uid="{00000000-0005-0000-0000-0000084F0000}"/>
    <cellStyle name="Normal 11 2 2 4" xfId="31221" xr:uid="{00000000-0005-0000-0000-0000094F0000}"/>
    <cellStyle name="Normal 11 2 2 4 2" xfId="39508" xr:uid="{00000000-0005-0000-0000-00000A4F0000}"/>
    <cellStyle name="Normal 11 2 2 5" xfId="31222" xr:uid="{00000000-0005-0000-0000-00000B4F0000}"/>
    <cellStyle name="Normal 11 2 2 5 2" xfId="39509" xr:uid="{00000000-0005-0000-0000-00000C4F0000}"/>
    <cellStyle name="Normal 11 2 2 6" xfId="31223" xr:uid="{00000000-0005-0000-0000-00000D4F0000}"/>
    <cellStyle name="Normal 11 2 2 6 2" xfId="39510" xr:uid="{00000000-0005-0000-0000-00000E4F0000}"/>
    <cellStyle name="Normal 11 2 2 7" xfId="31224" xr:uid="{00000000-0005-0000-0000-00000F4F0000}"/>
    <cellStyle name="Normal 11 2 2 7 2" xfId="39511" xr:uid="{00000000-0005-0000-0000-0000104F0000}"/>
    <cellStyle name="Normal 11 2 2 8" xfId="31225" xr:uid="{00000000-0005-0000-0000-0000114F0000}"/>
    <cellStyle name="Normal 11 2 2 9" xfId="39502" xr:uid="{00000000-0005-0000-0000-0000124F0000}"/>
    <cellStyle name="Normal 11 2 3" xfId="4076" xr:uid="{00000000-0005-0000-0000-0000134F0000}"/>
    <cellStyle name="Normal 11 2 3 2" xfId="31227" xr:uid="{00000000-0005-0000-0000-0000144F0000}"/>
    <cellStyle name="Normal 11 2 3 2 2" xfId="31228" xr:uid="{00000000-0005-0000-0000-0000154F0000}"/>
    <cellStyle name="Normal 11 2 3 2 2 2" xfId="39514" xr:uid="{00000000-0005-0000-0000-0000164F0000}"/>
    <cellStyle name="Normal 11 2 3 2 3" xfId="39513" xr:uid="{00000000-0005-0000-0000-0000174F0000}"/>
    <cellStyle name="Normal 11 2 3 3" xfId="31229" xr:uid="{00000000-0005-0000-0000-0000184F0000}"/>
    <cellStyle name="Normal 11 2 3 3 2" xfId="39515" xr:uid="{00000000-0005-0000-0000-0000194F0000}"/>
    <cellStyle name="Normal 11 2 3 4" xfId="31230" xr:uid="{00000000-0005-0000-0000-00001A4F0000}"/>
    <cellStyle name="Normal 11 2 3 4 2" xfId="39516" xr:uid="{00000000-0005-0000-0000-00001B4F0000}"/>
    <cellStyle name="Normal 11 2 3 5" xfId="31231" xr:uid="{00000000-0005-0000-0000-00001C4F0000}"/>
    <cellStyle name="Normal 11 2 3 6" xfId="39512" xr:uid="{00000000-0005-0000-0000-00001D4F0000}"/>
    <cellStyle name="Normal 11 2 3 7" xfId="31226" xr:uid="{00000000-0005-0000-0000-00001E4F0000}"/>
    <cellStyle name="Normal 11 2 4" xfId="31232" xr:uid="{00000000-0005-0000-0000-00001F4F0000}"/>
    <cellStyle name="Normal 11 2 4 2" xfId="31233" xr:uid="{00000000-0005-0000-0000-0000204F0000}"/>
    <cellStyle name="Normal 11 2 4 2 2" xfId="39518" xr:uid="{00000000-0005-0000-0000-0000214F0000}"/>
    <cellStyle name="Normal 11 2 4 3" xfId="31234" xr:uid="{00000000-0005-0000-0000-0000224F0000}"/>
    <cellStyle name="Normal 11 2 4 3 2" xfId="39519" xr:uid="{00000000-0005-0000-0000-0000234F0000}"/>
    <cellStyle name="Normal 11 2 4 4" xfId="31235" xr:uid="{00000000-0005-0000-0000-0000244F0000}"/>
    <cellStyle name="Normal 11 2 4 5" xfId="39517" xr:uid="{00000000-0005-0000-0000-0000254F0000}"/>
    <cellStyle name="Normal 11 2 5" xfId="31236" xr:uid="{00000000-0005-0000-0000-0000264F0000}"/>
    <cellStyle name="Normal 11 2 5 2" xfId="39520" xr:uid="{00000000-0005-0000-0000-0000274F0000}"/>
    <cellStyle name="Normal 11 2 6" xfId="31237" xr:uid="{00000000-0005-0000-0000-0000284F0000}"/>
    <cellStyle name="Normal 11 2 6 2" xfId="39521" xr:uid="{00000000-0005-0000-0000-0000294F0000}"/>
    <cellStyle name="Normal 11 2 7" xfId="31238" xr:uid="{00000000-0005-0000-0000-00002A4F0000}"/>
    <cellStyle name="Normal 11 2 7 2" xfId="39522" xr:uid="{00000000-0005-0000-0000-00002B4F0000}"/>
    <cellStyle name="Normal 11 2 8" xfId="31239" xr:uid="{00000000-0005-0000-0000-00002C4F0000}"/>
    <cellStyle name="Normal 11 2 8 2" xfId="39523" xr:uid="{00000000-0005-0000-0000-00002D4F0000}"/>
    <cellStyle name="Normal 11 2 9" xfId="31240" xr:uid="{00000000-0005-0000-0000-00002E4F0000}"/>
    <cellStyle name="Normal 11 20" xfId="31241" xr:uid="{00000000-0005-0000-0000-00002F4F0000}"/>
    <cellStyle name="Normal 11 20 2" xfId="39524" xr:uid="{00000000-0005-0000-0000-0000304F0000}"/>
    <cellStyle name="Normal 11 21" xfId="31242" xr:uid="{00000000-0005-0000-0000-0000314F0000}"/>
    <cellStyle name="Normal 11 21 2" xfId="39525" xr:uid="{00000000-0005-0000-0000-0000324F0000}"/>
    <cellStyle name="Normal 11 22" xfId="31243" xr:uid="{00000000-0005-0000-0000-0000334F0000}"/>
    <cellStyle name="Normal 11 23" xfId="4071" xr:uid="{00000000-0005-0000-0000-0000344F0000}"/>
    <cellStyle name="Normal 11 3" xfId="4077" xr:uid="{00000000-0005-0000-0000-0000354F0000}"/>
    <cellStyle name="Normal 11 3 2" xfId="4078" xr:uid="{00000000-0005-0000-0000-0000364F0000}"/>
    <cellStyle name="Normal 11 3 2 2" xfId="31246" xr:uid="{00000000-0005-0000-0000-0000374F0000}"/>
    <cellStyle name="Normal 11 3 2 2 2" xfId="31247" xr:uid="{00000000-0005-0000-0000-0000384F0000}"/>
    <cellStyle name="Normal 11 3 2 2 3" xfId="39528" xr:uid="{00000000-0005-0000-0000-0000394F0000}"/>
    <cellStyle name="Normal 11 3 2 3" xfId="31248" xr:uid="{00000000-0005-0000-0000-00003A4F0000}"/>
    <cellStyle name="Normal 11 3 2 3 2" xfId="31249" xr:uid="{00000000-0005-0000-0000-00003B4F0000}"/>
    <cellStyle name="Normal 11 3 2 3 3" xfId="39529" xr:uid="{00000000-0005-0000-0000-00003C4F0000}"/>
    <cellStyle name="Normal 11 3 2 4" xfId="31250" xr:uid="{00000000-0005-0000-0000-00003D4F0000}"/>
    <cellStyle name="Normal 11 3 2 4 2" xfId="39530" xr:uid="{00000000-0005-0000-0000-00003E4F0000}"/>
    <cellStyle name="Normal 11 3 2 5" xfId="31251" xr:uid="{00000000-0005-0000-0000-00003F4F0000}"/>
    <cellStyle name="Normal 11 3 2 5 2" xfId="39531" xr:uid="{00000000-0005-0000-0000-0000404F0000}"/>
    <cellStyle name="Normal 11 3 2 6" xfId="31252" xr:uid="{00000000-0005-0000-0000-0000414F0000}"/>
    <cellStyle name="Normal 11 3 2 7" xfId="39527" xr:uid="{00000000-0005-0000-0000-0000424F0000}"/>
    <cellStyle name="Normal 11 3 2 8" xfId="31245" xr:uid="{00000000-0005-0000-0000-0000434F0000}"/>
    <cellStyle name="Normal 11 3 3" xfId="4079" xr:uid="{00000000-0005-0000-0000-0000444F0000}"/>
    <cellStyle name="Normal 11 3 3 2" xfId="31254" xr:uid="{00000000-0005-0000-0000-0000454F0000}"/>
    <cellStyle name="Normal 11 3 3 3" xfId="39532" xr:uid="{00000000-0005-0000-0000-0000464F0000}"/>
    <cellStyle name="Normal 11 3 3 4" xfId="31253" xr:uid="{00000000-0005-0000-0000-0000474F0000}"/>
    <cellStyle name="Normal 11 3 4" xfId="31255" xr:uid="{00000000-0005-0000-0000-0000484F0000}"/>
    <cellStyle name="Normal 11 3 4 2" xfId="31256" xr:uid="{00000000-0005-0000-0000-0000494F0000}"/>
    <cellStyle name="Normal 11 3 4 3" xfId="39533" xr:uid="{00000000-0005-0000-0000-00004A4F0000}"/>
    <cellStyle name="Normal 11 3 5" xfId="31257" xr:uid="{00000000-0005-0000-0000-00004B4F0000}"/>
    <cellStyle name="Normal 11 3 5 2" xfId="39534" xr:uid="{00000000-0005-0000-0000-00004C4F0000}"/>
    <cellStyle name="Normal 11 3 6" xfId="31258" xr:uid="{00000000-0005-0000-0000-00004D4F0000}"/>
    <cellStyle name="Normal 11 3 7" xfId="39526" xr:uid="{00000000-0005-0000-0000-00004E4F0000}"/>
    <cellStyle name="Normal 11 3 8" xfId="31244" xr:uid="{00000000-0005-0000-0000-00004F4F0000}"/>
    <cellStyle name="Normal 11 4" xfId="4080" xr:uid="{00000000-0005-0000-0000-0000504F0000}"/>
    <cellStyle name="Normal 11 4 10" xfId="31259" xr:uid="{00000000-0005-0000-0000-0000514F0000}"/>
    <cellStyle name="Normal 11 4 2" xfId="4081" xr:uid="{00000000-0005-0000-0000-0000524F0000}"/>
    <cellStyle name="Normal 11 4 2 2" xfId="31261" xr:uid="{00000000-0005-0000-0000-0000534F0000}"/>
    <cellStyle name="Normal 11 4 2 2 2" xfId="39537" xr:uid="{00000000-0005-0000-0000-0000544F0000}"/>
    <cellStyle name="Normal 11 4 2 3" xfId="31262" xr:uid="{00000000-0005-0000-0000-0000554F0000}"/>
    <cellStyle name="Normal 11 4 2 3 2" xfId="39538" xr:uid="{00000000-0005-0000-0000-0000564F0000}"/>
    <cellStyle name="Normal 11 4 2 4" xfId="31263" xr:uid="{00000000-0005-0000-0000-0000574F0000}"/>
    <cellStyle name="Normal 11 4 2 4 2" xfId="39539" xr:uid="{00000000-0005-0000-0000-0000584F0000}"/>
    <cellStyle name="Normal 11 4 2 5" xfId="31264" xr:uid="{00000000-0005-0000-0000-0000594F0000}"/>
    <cellStyle name="Normal 11 4 2 5 2" xfId="39540" xr:uid="{00000000-0005-0000-0000-00005A4F0000}"/>
    <cellStyle name="Normal 11 4 2 6" xfId="31265" xr:uid="{00000000-0005-0000-0000-00005B4F0000}"/>
    <cellStyle name="Normal 11 4 2 6 2" xfId="39541" xr:uid="{00000000-0005-0000-0000-00005C4F0000}"/>
    <cellStyle name="Normal 11 4 2 7" xfId="39536" xr:uid="{00000000-0005-0000-0000-00005D4F0000}"/>
    <cellStyle name="Normal 11 4 2 8" xfId="31260" xr:uid="{00000000-0005-0000-0000-00005E4F0000}"/>
    <cellStyle name="Normal 11 4 3" xfId="4082" xr:uid="{00000000-0005-0000-0000-00005F4F0000}"/>
    <cellStyle name="Normal 11 4 3 2" xfId="31267" xr:uid="{00000000-0005-0000-0000-0000604F0000}"/>
    <cellStyle name="Normal 11 4 3 2 2" xfId="39543" xr:uid="{00000000-0005-0000-0000-0000614F0000}"/>
    <cellStyle name="Normal 11 4 3 3" xfId="31268" xr:uid="{00000000-0005-0000-0000-0000624F0000}"/>
    <cellStyle name="Normal 11 4 3 3 2" xfId="39544" xr:uid="{00000000-0005-0000-0000-0000634F0000}"/>
    <cellStyle name="Normal 11 4 3 4" xfId="39542" xr:uid="{00000000-0005-0000-0000-0000644F0000}"/>
    <cellStyle name="Normal 11 4 3 5" xfId="31266" xr:uid="{00000000-0005-0000-0000-0000654F0000}"/>
    <cellStyle name="Normal 11 4 4" xfId="31269" xr:uid="{00000000-0005-0000-0000-0000664F0000}"/>
    <cellStyle name="Normal 11 4 4 2" xfId="31270" xr:uid="{00000000-0005-0000-0000-0000674F0000}"/>
    <cellStyle name="Normal 11 4 4 2 2" xfId="39546" xr:uid="{00000000-0005-0000-0000-0000684F0000}"/>
    <cellStyle name="Normal 11 4 4 3" xfId="39545" xr:uid="{00000000-0005-0000-0000-0000694F0000}"/>
    <cellStyle name="Normal 11 4 5" xfId="31271" xr:uid="{00000000-0005-0000-0000-00006A4F0000}"/>
    <cellStyle name="Normal 11 4 5 2" xfId="39547" xr:uid="{00000000-0005-0000-0000-00006B4F0000}"/>
    <cellStyle name="Normal 11 4 6" xfId="31272" xr:uid="{00000000-0005-0000-0000-00006C4F0000}"/>
    <cellStyle name="Normal 11 4 6 2" xfId="39548" xr:uid="{00000000-0005-0000-0000-00006D4F0000}"/>
    <cellStyle name="Normal 11 4 7" xfId="31273" xr:uid="{00000000-0005-0000-0000-00006E4F0000}"/>
    <cellStyle name="Normal 11 4 7 2" xfId="39549" xr:uid="{00000000-0005-0000-0000-00006F4F0000}"/>
    <cellStyle name="Normal 11 4 8" xfId="31274" xr:uid="{00000000-0005-0000-0000-0000704F0000}"/>
    <cellStyle name="Normal 11 4 9" xfId="39535" xr:uid="{00000000-0005-0000-0000-0000714F0000}"/>
    <cellStyle name="Normal 11 5" xfId="4083" xr:uid="{00000000-0005-0000-0000-0000724F0000}"/>
    <cellStyle name="Normal 11 5 2" xfId="4084" xr:uid="{00000000-0005-0000-0000-0000734F0000}"/>
    <cellStyle name="Normal 11 5 2 2" xfId="31277" xr:uid="{00000000-0005-0000-0000-0000744F0000}"/>
    <cellStyle name="Normal 11 5 2 2 2" xfId="39552" xr:uid="{00000000-0005-0000-0000-0000754F0000}"/>
    <cellStyle name="Normal 11 5 2 3" xfId="31278" xr:uid="{00000000-0005-0000-0000-0000764F0000}"/>
    <cellStyle name="Normal 11 5 2 3 2" xfId="39553" xr:uid="{00000000-0005-0000-0000-0000774F0000}"/>
    <cellStyle name="Normal 11 5 2 4" xfId="31279" xr:uid="{00000000-0005-0000-0000-0000784F0000}"/>
    <cellStyle name="Normal 11 5 2 4 2" xfId="39554" xr:uid="{00000000-0005-0000-0000-0000794F0000}"/>
    <cellStyle name="Normal 11 5 2 5" xfId="31280" xr:uid="{00000000-0005-0000-0000-00007A4F0000}"/>
    <cellStyle name="Normal 11 5 2 5 2" xfId="39555" xr:uid="{00000000-0005-0000-0000-00007B4F0000}"/>
    <cellStyle name="Normal 11 5 2 6" xfId="31281" xr:uid="{00000000-0005-0000-0000-00007C4F0000}"/>
    <cellStyle name="Normal 11 5 2 6 2" xfId="39556" xr:uid="{00000000-0005-0000-0000-00007D4F0000}"/>
    <cellStyle name="Normal 11 5 2 7" xfId="39551" xr:uid="{00000000-0005-0000-0000-00007E4F0000}"/>
    <cellStyle name="Normal 11 5 2 8" xfId="31276" xr:uid="{00000000-0005-0000-0000-00007F4F0000}"/>
    <cellStyle name="Normal 11 5 3" xfId="4085" xr:uid="{00000000-0005-0000-0000-0000804F0000}"/>
    <cellStyle name="Normal 11 5 3 2" xfId="31283" xr:uid="{00000000-0005-0000-0000-0000814F0000}"/>
    <cellStyle name="Normal 11 5 3 2 2" xfId="39558" xr:uid="{00000000-0005-0000-0000-0000824F0000}"/>
    <cellStyle name="Normal 11 5 3 3" xfId="39557" xr:uid="{00000000-0005-0000-0000-0000834F0000}"/>
    <cellStyle name="Normal 11 5 3 4" xfId="31282" xr:uid="{00000000-0005-0000-0000-0000844F0000}"/>
    <cellStyle name="Normal 11 5 4" xfId="31284" xr:uid="{00000000-0005-0000-0000-0000854F0000}"/>
    <cellStyle name="Normal 11 5 4 2" xfId="31285" xr:uid="{00000000-0005-0000-0000-0000864F0000}"/>
    <cellStyle name="Normal 11 5 4 2 2" xfId="39560" xr:uid="{00000000-0005-0000-0000-0000874F0000}"/>
    <cellStyle name="Normal 11 5 4 3" xfId="39559" xr:uid="{00000000-0005-0000-0000-0000884F0000}"/>
    <cellStyle name="Normal 11 5 5" xfId="31286" xr:uid="{00000000-0005-0000-0000-0000894F0000}"/>
    <cellStyle name="Normal 11 5 5 2" xfId="39561" xr:uid="{00000000-0005-0000-0000-00008A4F0000}"/>
    <cellStyle name="Normal 11 5 6" xfId="31287" xr:uid="{00000000-0005-0000-0000-00008B4F0000}"/>
    <cellStyle name="Normal 11 5 6 2" xfId="39562" xr:uid="{00000000-0005-0000-0000-00008C4F0000}"/>
    <cellStyle name="Normal 11 5 7" xfId="31288" xr:uid="{00000000-0005-0000-0000-00008D4F0000}"/>
    <cellStyle name="Normal 11 5 8" xfId="39550" xr:uid="{00000000-0005-0000-0000-00008E4F0000}"/>
    <cellStyle name="Normal 11 5 9" xfId="31275" xr:uid="{00000000-0005-0000-0000-00008F4F0000}"/>
    <cellStyle name="Normal 11 6" xfId="4086" xr:uid="{00000000-0005-0000-0000-0000904F0000}"/>
    <cellStyle name="Normal 11 6 2" xfId="4087" xr:uid="{00000000-0005-0000-0000-0000914F0000}"/>
    <cellStyle name="Normal 11 6 2 2" xfId="31291" xr:uid="{00000000-0005-0000-0000-0000924F0000}"/>
    <cellStyle name="Normal 11 6 2 2 2" xfId="39565" xr:uid="{00000000-0005-0000-0000-0000934F0000}"/>
    <cellStyle name="Normal 11 6 2 3" xfId="39564" xr:uid="{00000000-0005-0000-0000-0000944F0000}"/>
    <cellStyle name="Normal 11 6 2 4" xfId="31290" xr:uid="{00000000-0005-0000-0000-0000954F0000}"/>
    <cellStyle name="Normal 11 6 3" xfId="4088" xr:uid="{00000000-0005-0000-0000-0000964F0000}"/>
    <cellStyle name="Normal 11 6 3 2" xfId="39566" xr:uid="{00000000-0005-0000-0000-0000974F0000}"/>
    <cellStyle name="Normal 11 6 3 3" xfId="31292" xr:uid="{00000000-0005-0000-0000-0000984F0000}"/>
    <cellStyle name="Normal 11 6 4" xfId="31293" xr:uid="{00000000-0005-0000-0000-0000994F0000}"/>
    <cellStyle name="Normal 11 6 4 2" xfId="39567" xr:uid="{00000000-0005-0000-0000-00009A4F0000}"/>
    <cellStyle name="Normal 11 6 5" xfId="31294" xr:uid="{00000000-0005-0000-0000-00009B4F0000}"/>
    <cellStyle name="Normal 11 6 5 2" xfId="39568" xr:uid="{00000000-0005-0000-0000-00009C4F0000}"/>
    <cellStyle name="Normal 11 6 6" xfId="31295" xr:uid="{00000000-0005-0000-0000-00009D4F0000}"/>
    <cellStyle name="Normal 11 6 7" xfId="39563" xr:uid="{00000000-0005-0000-0000-00009E4F0000}"/>
    <cellStyle name="Normal 11 6 8" xfId="31289" xr:uid="{00000000-0005-0000-0000-00009F4F0000}"/>
    <cellStyle name="Normal 11 7" xfId="4089" xr:uid="{00000000-0005-0000-0000-0000A04F0000}"/>
    <cellStyle name="Normal 11 7 2" xfId="4090" xr:uid="{00000000-0005-0000-0000-0000A14F0000}"/>
    <cellStyle name="Normal 11 7 2 2" xfId="39570" xr:uid="{00000000-0005-0000-0000-0000A24F0000}"/>
    <cellStyle name="Normal 11 7 2 3" xfId="31297" xr:uid="{00000000-0005-0000-0000-0000A34F0000}"/>
    <cellStyle name="Normal 11 7 3" xfId="4091" xr:uid="{00000000-0005-0000-0000-0000A44F0000}"/>
    <cellStyle name="Normal 11 7 3 2" xfId="39571" xr:uid="{00000000-0005-0000-0000-0000A54F0000}"/>
    <cellStyle name="Normal 11 7 3 3" xfId="31298" xr:uid="{00000000-0005-0000-0000-0000A64F0000}"/>
    <cellStyle name="Normal 11 7 4" xfId="31299" xr:uid="{00000000-0005-0000-0000-0000A74F0000}"/>
    <cellStyle name="Normal 11 7 4 2" xfId="39572" xr:uid="{00000000-0005-0000-0000-0000A84F0000}"/>
    <cellStyle name="Normal 11 7 5" xfId="31300" xr:uid="{00000000-0005-0000-0000-0000A94F0000}"/>
    <cellStyle name="Normal 11 7 5 2" xfId="39573" xr:uid="{00000000-0005-0000-0000-0000AA4F0000}"/>
    <cellStyle name="Normal 11 7 6" xfId="39569" xr:uid="{00000000-0005-0000-0000-0000AB4F0000}"/>
    <cellStyle name="Normal 11 7 7" xfId="31296" xr:uid="{00000000-0005-0000-0000-0000AC4F0000}"/>
    <cellStyle name="Normal 11 8" xfId="4092" xr:uid="{00000000-0005-0000-0000-0000AD4F0000}"/>
    <cellStyle name="Normal 11 8 2" xfId="10115" xr:uid="{00000000-0005-0000-0000-0000AE4F0000}"/>
    <cellStyle name="Normal 11 8 2 2" xfId="39575" xr:uid="{00000000-0005-0000-0000-0000AF4F0000}"/>
    <cellStyle name="Normal 11 8 2 3" xfId="31302" xr:uid="{00000000-0005-0000-0000-0000B04F0000}"/>
    <cellStyle name="Normal 11 8 3" xfId="31303" xr:uid="{00000000-0005-0000-0000-0000B14F0000}"/>
    <cellStyle name="Normal 11 8 3 2" xfId="39576" xr:uid="{00000000-0005-0000-0000-0000B24F0000}"/>
    <cellStyle name="Normal 11 8 4" xfId="31304" xr:uid="{00000000-0005-0000-0000-0000B34F0000}"/>
    <cellStyle name="Normal 11 8 4 2" xfId="39577" xr:uid="{00000000-0005-0000-0000-0000B44F0000}"/>
    <cellStyle name="Normal 11 8 5" xfId="31305" xr:uid="{00000000-0005-0000-0000-0000B54F0000}"/>
    <cellStyle name="Normal 11 8 5 2" xfId="39578" xr:uid="{00000000-0005-0000-0000-0000B64F0000}"/>
    <cellStyle name="Normal 11 8 6" xfId="39574" xr:uid="{00000000-0005-0000-0000-0000B74F0000}"/>
    <cellStyle name="Normal 11 8 7" xfId="31301" xr:uid="{00000000-0005-0000-0000-0000B84F0000}"/>
    <cellStyle name="Normal 11 9" xfId="4093" xr:uid="{00000000-0005-0000-0000-0000B94F0000}"/>
    <cellStyle name="Normal 11 9 2" xfId="10116" xr:uid="{00000000-0005-0000-0000-0000BA4F0000}"/>
    <cellStyle name="Normal 11 9 2 2" xfId="39580" xr:uid="{00000000-0005-0000-0000-0000BB4F0000}"/>
    <cellStyle name="Normal 11 9 2 3" xfId="31307" xr:uid="{00000000-0005-0000-0000-0000BC4F0000}"/>
    <cellStyle name="Normal 11 9 3" xfId="31308" xr:uid="{00000000-0005-0000-0000-0000BD4F0000}"/>
    <cellStyle name="Normal 11 9 3 2" xfId="39581" xr:uid="{00000000-0005-0000-0000-0000BE4F0000}"/>
    <cellStyle name="Normal 11 9 4" xfId="31309" xr:uid="{00000000-0005-0000-0000-0000BF4F0000}"/>
    <cellStyle name="Normal 11 9 4 2" xfId="39582" xr:uid="{00000000-0005-0000-0000-0000C04F0000}"/>
    <cellStyle name="Normal 11 9 5" xfId="31310" xr:uid="{00000000-0005-0000-0000-0000C14F0000}"/>
    <cellStyle name="Normal 11 9 5 2" xfId="39583" xr:uid="{00000000-0005-0000-0000-0000C24F0000}"/>
    <cellStyle name="Normal 11 9 6" xfId="39579" xr:uid="{00000000-0005-0000-0000-0000C34F0000}"/>
    <cellStyle name="Normal 11 9 7" xfId="31306" xr:uid="{00000000-0005-0000-0000-0000C44F0000}"/>
    <cellStyle name="Normal 110" xfId="4094" xr:uid="{00000000-0005-0000-0000-0000C54F0000}"/>
    <cellStyle name="Normal 110 2" xfId="8041" xr:uid="{00000000-0005-0000-0000-0000C64F0000}"/>
    <cellStyle name="Normal 110 2 2" xfId="31312" xr:uid="{00000000-0005-0000-0000-0000C74F0000}"/>
    <cellStyle name="Normal 110 3" xfId="10" xr:uid="{00000000-0005-0000-0000-0000C84F0000}"/>
    <cellStyle name="Normal 110 3 2" xfId="31313" xr:uid="{00000000-0005-0000-0000-0000C94F0000}"/>
    <cellStyle name="Normal 110 4" xfId="39584" xr:uid="{00000000-0005-0000-0000-0000CA4F0000}"/>
    <cellStyle name="Normal 110 5" xfId="31311" xr:uid="{00000000-0005-0000-0000-0000CB4F0000}"/>
    <cellStyle name="Normal 111" xfId="4095" xr:uid="{00000000-0005-0000-0000-0000CC4F0000}"/>
    <cellStyle name="Normal 111 2" xfId="19025" xr:uid="{00000000-0005-0000-0000-0000CD4F0000}"/>
    <cellStyle name="Normal 111 2 2" xfId="31315" xr:uid="{00000000-0005-0000-0000-0000CE4F0000}"/>
    <cellStyle name="Normal 111 3" xfId="17" xr:uid="{00000000-0005-0000-0000-0000CF4F0000}"/>
    <cellStyle name="Normal 111 3 2" xfId="31316" xr:uid="{00000000-0005-0000-0000-0000D04F0000}"/>
    <cellStyle name="Normal 111 4" xfId="39585" xr:uid="{00000000-0005-0000-0000-0000D14F0000}"/>
    <cellStyle name="Normal 111 5" xfId="31314" xr:uid="{00000000-0005-0000-0000-0000D24F0000}"/>
    <cellStyle name="Normal 112" xfId="4096" xr:uid="{00000000-0005-0000-0000-0000D34F0000}"/>
    <cellStyle name="Normal 112 2" xfId="19026" xr:uid="{00000000-0005-0000-0000-0000D44F0000}"/>
    <cellStyle name="Normal 112 2 2" xfId="31318" xr:uid="{00000000-0005-0000-0000-0000D54F0000}"/>
    <cellStyle name="Normal 112 3" xfId="9" xr:uid="{00000000-0005-0000-0000-0000D64F0000}"/>
    <cellStyle name="Normal 112 3 2" xfId="31319" xr:uid="{00000000-0005-0000-0000-0000D74F0000}"/>
    <cellStyle name="Normal 112 4" xfId="39586" xr:uid="{00000000-0005-0000-0000-0000D84F0000}"/>
    <cellStyle name="Normal 112 5" xfId="31317" xr:uid="{00000000-0005-0000-0000-0000D94F0000}"/>
    <cellStyle name="Normal 113" xfId="4097" xr:uid="{00000000-0005-0000-0000-0000DA4F0000}"/>
    <cellStyle name="Normal 113 2" xfId="19027" xr:uid="{00000000-0005-0000-0000-0000DB4F0000}"/>
    <cellStyle name="Normal 113 2 2" xfId="31321" xr:uid="{00000000-0005-0000-0000-0000DC4F0000}"/>
    <cellStyle name="Normal 113 3" xfId="31322" xr:uid="{00000000-0005-0000-0000-0000DD4F0000}"/>
    <cellStyle name="Normal 113 4" xfId="39587" xr:uid="{00000000-0005-0000-0000-0000DE4F0000}"/>
    <cellStyle name="Normal 113 5" xfId="31320" xr:uid="{00000000-0005-0000-0000-0000DF4F0000}"/>
    <cellStyle name="Normal 114" xfId="4098" xr:uid="{00000000-0005-0000-0000-0000E04F0000}"/>
    <cellStyle name="Normal 114 2" xfId="19028" xr:uid="{00000000-0005-0000-0000-0000E14F0000}"/>
    <cellStyle name="Normal 114 2 2" xfId="31324" xr:uid="{00000000-0005-0000-0000-0000E24F0000}"/>
    <cellStyle name="Normal 114 3" xfId="31325" xr:uid="{00000000-0005-0000-0000-0000E34F0000}"/>
    <cellStyle name="Normal 114 4" xfId="39588" xr:uid="{00000000-0005-0000-0000-0000E44F0000}"/>
    <cellStyle name="Normal 114 5" xfId="31323" xr:uid="{00000000-0005-0000-0000-0000E54F0000}"/>
    <cellStyle name="Normal 115" xfId="4099" xr:uid="{00000000-0005-0000-0000-0000E64F0000}"/>
    <cellStyle name="Normal 115 2" xfId="19029" xr:uid="{00000000-0005-0000-0000-0000E74F0000}"/>
    <cellStyle name="Normal 115 2 2" xfId="31327" xr:uid="{00000000-0005-0000-0000-0000E84F0000}"/>
    <cellStyle name="Normal 115 3" xfId="31328" xr:uid="{00000000-0005-0000-0000-0000E94F0000}"/>
    <cellStyle name="Normal 115 4" xfId="39589" xr:uid="{00000000-0005-0000-0000-0000EA4F0000}"/>
    <cellStyle name="Normal 115 5" xfId="31326" xr:uid="{00000000-0005-0000-0000-0000EB4F0000}"/>
    <cellStyle name="Normal 116" xfId="4100" xr:uid="{00000000-0005-0000-0000-0000EC4F0000}"/>
    <cellStyle name="Normal 116 2" xfId="19030" xr:uid="{00000000-0005-0000-0000-0000ED4F0000}"/>
    <cellStyle name="Normal 116 2 2" xfId="31330" xr:uid="{00000000-0005-0000-0000-0000EE4F0000}"/>
    <cellStyle name="Normal 116 3" xfId="31331" xr:uid="{00000000-0005-0000-0000-0000EF4F0000}"/>
    <cellStyle name="Normal 116 4" xfId="39590" xr:uid="{00000000-0005-0000-0000-0000F04F0000}"/>
    <cellStyle name="Normal 116 5" xfId="31329" xr:uid="{00000000-0005-0000-0000-0000F14F0000}"/>
    <cellStyle name="Normal 117" xfId="4101" xr:uid="{00000000-0005-0000-0000-0000F24F0000}"/>
    <cellStyle name="Normal 117 2" xfId="19031" xr:uid="{00000000-0005-0000-0000-0000F34F0000}"/>
    <cellStyle name="Normal 117 2 2" xfId="31333" xr:uid="{00000000-0005-0000-0000-0000F44F0000}"/>
    <cellStyle name="Normal 117 3" xfId="31334" xr:uid="{00000000-0005-0000-0000-0000F54F0000}"/>
    <cellStyle name="Normal 117 4" xfId="39591" xr:uid="{00000000-0005-0000-0000-0000F64F0000}"/>
    <cellStyle name="Normal 117 5" xfId="31332" xr:uid="{00000000-0005-0000-0000-0000F74F0000}"/>
    <cellStyle name="Normal 118" xfId="4102" xr:uid="{00000000-0005-0000-0000-0000F84F0000}"/>
    <cellStyle name="Normal 118 2" xfId="19032" xr:uid="{00000000-0005-0000-0000-0000F94F0000}"/>
    <cellStyle name="Normal 118 2 2" xfId="31336" xr:uid="{00000000-0005-0000-0000-0000FA4F0000}"/>
    <cellStyle name="Normal 118 3" xfId="31337" xr:uid="{00000000-0005-0000-0000-0000FB4F0000}"/>
    <cellStyle name="Normal 118 4" xfId="39592" xr:uid="{00000000-0005-0000-0000-0000FC4F0000}"/>
    <cellStyle name="Normal 118 5" xfId="31335" xr:uid="{00000000-0005-0000-0000-0000FD4F0000}"/>
    <cellStyle name="Normal 119" xfId="4103" xr:uid="{00000000-0005-0000-0000-0000FE4F0000}"/>
    <cellStyle name="Normal 119 2" xfId="19033" xr:uid="{00000000-0005-0000-0000-0000FF4F0000}"/>
    <cellStyle name="Normal 119 2 2" xfId="31339" xr:uid="{00000000-0005-0000-0000-000000500000}"/>
    <cellStyle name="Normal 119 3" xfId="31340" xr:uid="{00000000-0005-0000-0000-000001500000}"/>
    <cellStyle name="Normal 119 4" xfId="39593" xr:uid="{00000000-0005-0000-0000-000002500000}"/>
    <cellStyle name="Normal 119 5" xfId="31338" xr:uid="{00000000-0005-0000-0000-000003500000}"/>
    <cellStyle name="Normal 12" xfId="4104" xr:uid="{00000000-0005-0000-0000-000004500000}"/>
    <cellStyle name="Normal 12 10" xfId="31342" xr:uid="{00000000-0005-0000-0000-000005500000}"/>
    <cellStyle name="Normal 12 10 2" xfId="31343" xr:uid="{00000000-0005-0000-0000-000006500000}"/>
    <cellStyle name="Normal 12 10 2 2" xfId="39595" xr:uid="{00000000-0005-0000-0000-000007500000}"/>
    <cellStyle name="Normal 12 10 3" xfId="31344" xr:uid="{00000000-0005-0000-0000-000008500000}"/>
    <cellStyle name="Normal 12 10 3 2" xfId="39596" xr:uid="{00000000-0005-0000-0000-000009500000}"/>
    <cellStyle name="Normal 12 10 4" xfId="31345" xr:uid="{00000000-0005-0000-0000-00000A500000}"/>
    <cellStyle name="Normal 12 10 4 2" xfId="39597" xr:uid="{00000000-0005-0000-0000-00000B500000}"/>
    <cellStyle name="Normal 12 10 5" xfId="39594" xr:uid="{00000000-0005-0000-0000-00000C500000}"/>
    <cellStyle name="Normal 12 11" xfId="31346" xr:uid="{00000000-0005-0000-0000-00000D500000}"/>
    <cellStyle name="Normal 12 11 2" xfId="31347" xr:uid="{00000000-0005-0000-0000-00000E500000}"/>
    <cellStyle name="Normal 12 11 2 2" xfId="39599" xr:uid="{00000000-0005-0000-0000-00000F500000}"/>
    <cellStyle name="Normal 12 11 3" xfId="31348" xr:uid="{00000000-0005-0000-0000-000010500000}"/>
    <cellStyle name="Normal 12 11 3 2" xfId="39600" xr:uid="{00000000-0005-0000-0000-000011500000}"/>
    <cellStyle name="Normal 12 11 4" xfId="31349" xr:uid="{00000000-0005-0000-0000-000012500000}"/>
    <cellStyle name="Normal 12 11 4 2" xfId="39601" xr:uid="{00000000-0005-0000-0000-000013500000}"/>
    <cellStyle name="Normal 12 11 5" xfId="39598" xr:uid="{00000000-0005-0000-0000-000014500000}"/>
    <cellStyle name="Normal 12 12" xfId="31350" xr:uid="{00000000-0005-0000-0000-000015500000}"/>
    <cellStyle name="Normal 12 12 2" xfId="31351" xr:uid="{00000000-0005-0000-0000-000016500000}"/>
    <cellStyle name="Normal 12 12 2 2" xfId="39603" xr:uid="{00000000-0005-0000-0000-000017500000}"/>
    <cellStyle name="Normal 12 12 3" xfId="31352" xr:uid="{00000000-0005-0000-0000-000018500000}"/>
    <cellStyle name="Normal 12 12 3 2" xfId="39604" xr:uid="{00000000-0005-0000-0000-000019500000}"/>
    <cellStyle name="Normal 12 12 4" xfId="31353" xr:uid="{00000000-0005-0000-0000-00001A500000}"/>
    <cellStyle name="Normal 12 12 4 2" xfId="39605" xr:uid="{00000000-0005-0000-0000-00001B500000}"/>
    <cellStyle name="Normal 12 12 5" xfId="39602" xr:uid="{00000000-0005-0000-0000-00001C500000}"/>
    <cellStyle name="Normal 12 13" xfId="31354" xr:uid="{00000000-0005-0000-0000-00001D500000}"/>
    <cellStyle name="Normal 12 13 2" xfId="31355" xr:uid="{00000000-0005-0000-0000-00001E500000}"/>
    <cellStyle name="Normal 12 13 2 2" xfId="39607" xr:uid="{00000000-0005-0000-0000-00001F500000}"/>
    <cellStyle name="Normal 12 13 3" xfId="31356" xr:uid="{00000000-0005-0000-0000-000020500000}"/>
    <cellStyle name="Normal 12 13 3 2" xfId="39608" xr:uid="{00000000-0005-0000-0000-000021500000}"/>
    <cellStyle name="Normal 12 13 4" xfId="31357" xr:uid="{00000000-0005-0000-0000-000022500000}"/>
    <cellStyle name="Normal 12 13 4 2" xfId="39609" xr:uid="{00000000-0005-0000-0000-000023500000}"/>
    <cellStyle name="Normal 12 13 5" xfId="39606" xr:uid="{00000000-0005-0000-0000-000024500000}"/>
    <cellStyle name="Normal 12 14" xfId="31358" xr:uid="{00000000-0005-0000-0000-000025500000}"/>
    <cellStyle name="Normal 12 14 2" xfId="31359" xr:uid="{00000000-0005-0000-0000-000026500000}"/>
    <cellStyle name="Normal 12 14 2 2" xfId="39611" xr:uid="{00000000-0005-0000-0000-000027500000}"/>
    <cellStyle name="Normal 12 14 3" xfId="31360" xr:uid="{00000000-0005-0000-0000-000028500000}"/>
    <cellStyle name="Normal 12 14 3 2" xfId="39612" xr:uid="{00000000-0005-0000-0000-000029500000}"/>
    <cellStyle name="Normal 12 14 4" xfId="31361" xr:uid="{00000000-0005-0000-0000-00002A500000}"/>
    <cellStyle name="Normal 12 14 4 2" xfId="39613" xr:uid="{00000000-0005-0000-0000-00002B500000}"/>
    <cellStyle name="Normal 12 14 5" xfId="39610" xr:uid="{00000000-0005-0000-0000-00002C500000}"/>
    <cellStyle name="Normal 12 15" xfId="31362" xr:uid="{00000000-0005-0000-0000-00002D500000}"/>
    <cellStyle name="Normal 12 15 2" xfId="31363" xr:uid="{00000000-0005-0000-0000-00002E500000}"/>
    <cellStyle name="Normal 12 15 2 2" xfId="39615" xr:uid="{00000000-0005-0000-0000-00002F500000}"/>
    <cellStyle name="Normal 12 15 3" xfId="31364" xr:uid="{00000000-0005-0000-0000-000030500000}"/>
    <cellStyle name="Normal 12 15 3 2" xfId="39616" xr:uid="{00000000-0005-0000-0000-000031500000}"/>
    <cellStyle name="Normal 12 15 4" xfId="31365" xr:uid="{00000000-0005-0000-0000-000032500000}"/>
    <cellStyle name="Normal 12 15 4 2" xfId="39617" xr:uid="{00000000-0005-0000-0000-000033500000}"/>
    <cellStyle name="Normal 12 15 5" xfId="39614" xr:uid="{00000000-0005-0000-0000-000034500000}"/>
    <cellStyle name="Normal 12 16" xfId="31366" xr:uid="{00000000-0005-0000-0000-000035500000}"/>
    <cellStyle name="Normal 12 16 2" xfId="31367" xr:uid="{00000000-0005-0000-0000-000036500000}"/>
    <cellStyle name="Normal 12 16 2 2" xfId="39619" xr:uid="{00000000-0005-0000-0000-000037500000}"/>
    <cellStyle name="Normal 12 16 3" xfId="31368" xr:uid="{00000000-0005-0000-0000-000038500000}"/>
    <cellStyle name="Normal 12 16 3 2" xfId="39620" xr:uid="{00000000-0005-0000-0000-000039500000}"/>
    <cellStyle name="Normal 12 16 4" xfId="31369" xr:uid="{00000000-0005-0000-0000-00003A500000}"/>
    <cellStyle name="Normal 12 16 4 2" xfId="39621" xr:uid="{00000000-0005-0000-0000-00003B500000}"/>
    <cellStyle name="Normal 12 16 5" xfId="39618" xr:uid="{00000000-0005-0000-0000-00003C500000}"/>
    <cellStyle name="Normal 12 17" xfId="31370" xr:uid="{00000000-0005-0000-0000-00003D500000}"/>
    <cellStyle name="Normal 12 17 2" xfId="31371" xr:uid="{00000000-0005-0000-0000-00003E500000}"/>
    <cellStyle name="Normal 12 17 2 2" xfId="39623" xr:uid="{00000000-0005-0000-0000-00003F500000}"/>
    <cellStyle name="Normal 12 17 3" xfId="31372" xr:uid="{00000000-0005-0000-0000-000040500000}"/>
    <cellStyle name="Normal 12 17 3 2" xfId="39624" xr:uid="{00000000-0005-0000-0000-000041500000}"/>
    <cellStyle name="Normal 12 17 4" xfId="31373" xr:uid="{00000000-0005-0000-0000-000042500000}"/>
    <cellStyle name="Normal 12 17 4 2" xfId="39625" xr:uid="{00000000-0005-0000-0000-000043500000}"/>
    <cellStyle name="Normal 12 17 5" xfId="39622" xr:uid="{00000000-0005-0000-0000-000044500000}"/>
    <cellStyle name="Normal 12 18" xfId="31374" xr:uid="{00000000-0005-0000-0000-000045500000}"/>
    <cellStyle name="Normal 12 18 2" xfId="31375" xr:uid="{00000000-0005-0000-0000-000046500000}"/>
    <cellStyle name="Normal 12 18 2 2" xfId="31376" xr:uid="{00000000-0005-0000-0000-000047500000}"/>
    <cellStyle name="Normal 12 18 2 2 2" xfId="31377" xr:uid="{00000000-0005-0000-0000-000048500000}"/>
    <cellStyle name="Normal 12 18 2 2 2 2" xfId="39629" xr:uid="{00000000-0005-0000-0000-000049500000}"/>
    <cellStyle name="Normal 12 18 2 2 3" xfId="39628" xr:uid="{00000000-0005-0000-0000-00004A500000}"/>
    <cellStyle name="Normal 12 18 2 3" xfId="31378" xr:uid="{00000000-0005-0000-0000-00004B500000}"/>
    <cellStyle name="Normal 12 18 2 3 2" xfId="39630" xr:uid="{00000000-0005-0000-0000-00004C500000}"/>
    <cellStyle name="Normal 12 18 2 4" xfId="39627" xr:uid="{00000000-0005-0000-0000-00004D500000}"/>
    <cellStyle name="Normal 12 18 3" xfId="31379" xr:uid="{00000000-0005-0000-0000-00004E500000}"/>
    <cellStyle name="Normal 12 18 3 2" xfId="31380" xr:uid="{00000000-0005-0000-0000-00004F500000}"/>
    <cellStyle name="Normal 12 18 3 2 2" xfId="39632" xr:uid="{00000000-0005-0000-0000-000050500000}"/>
    <cellStyle name="Normal 12 18 3 3" xfId="39631" xr:uid="{00000000-0005-0000-0000-000051500000}"/>
    <cellStyle name="Normal 12 18 4" xfId="31381" xr:uid="{00000000-0005-0000-0000-000052500000}"/>
    <cellStyle name="Normal 12 18 4 2" xfId="39633" xr:uid="{00000000-0005-0000-0000-000053500000}"/>
    <cellStyle name="Normal 12 18 5" xfId="39626" xr:uid="{00000000-0005-0000-0000-000054500000}"/>
    <cellStyle name="Normal 12 19" xfId="31382" xr:uid="{00000000-0005-0000-0000-000055500000}"/>
    <cellStyle name="Normal 12 19 2" xfId="39634" xr:uid="{00000000-0005-0000-0000-000056500000}"/>
    <cellStyle name="Normal 12 2" xfId="4105" xr:uid="{00000000-0005-0000-0000-000057500000}"/>
    <cellStyle name="Normal 12 2 10" xfId="31383" xr:uid="{00000000-0005-0000-0000-000058500000}"/>
    <cellStyle name="Normal 12 2 2" xfId="4106" xr:uid="{00000000-0005-0000-0000-000059500000}"/>
    <cellStyle name="Normal 12 2 2 2" xfId="31385" xr:uid="{00000000-0005-0000-0000-00005A500000}"/>
    <cellStyle name="Normal 12 2 2 2 2" xfId="31386" xr:uid="{00000000-0005-0000-0000-00005B500000}"/>
    <cellStyle name="Normal 12 2 2 2 2 2" xfId="39638" xr:uid="{00000000-0005-0000-0000-00005C500000}"/>
    <cellStyle name="Normal 12 2 2 2 3" xfId="31387" xr:uid="{00000000-0005-0000-0000-00005D500000}"/>
    <cellStyle name="Normal 12 2 2 2 3 2" xfId="39639" xr:uid="{00000000-0005-0000-0000-00005E500000}"/>
    <cellStyle name="Normal 12 2 2 2 4" xfId="39637" xr:uid="{00000000-0005-0000-0000-00005F500000}"/>
    <cellStyle name="Normal 12 2 2 3" xfId="31388" xr:uid="{00000000-0005-0000-0000-000060500000}"/>
    <cellStyle name="Normal 12 2 2 3 2" xfId="31389" xr:uid="{00000000-0005-0000-0000-000061500000}"/>
    <cellStyle name="Normal 12 2 2 3 2 2" xfId="39641" xr:uid="{00000000-0005-0000-0000-000062500000}"/>
    <cellStyle name="Normal 12 2 2 3 3" xfId="39640" xr:uid="{00000000-0005-0000-0000-000063500000}"/>
    <cellStyle name="Normal 12 2 2 4" xfId="31390" xr:uid="{00000000-0005-0000-0000-000064500000}"/>
    <cellStyle name="Normal 12 2 2 4 2" xfId="39642" xr:uid="{00000000-0005-0000-0000-000065500000}"/>
    <cellStyle name="Normal 12 2 2 5" xfId="31391" xr:uid="{00000000-0005-0000-0000-000066500000}"/>
    <cellStyle name="Normal 12 2 2 5 2" xfId="39643" xr:uid="{00000000-0005-0000-0000-000067500000}"/>
    <cellStyle name="Normal 12 2 2 6" xfId="31392" xr:uid="{00000000-0005-0000-0000-000068500000}"/>
    <cellStyle name="Normal 12 2 2 6 2" xfId="39644" xr:uid="{00000000-0005-0000-0000-000069500000}"/>
    <cellStyle name="Normal 12 2 2 7" xfId="31393" xr:uid="{00000000-0005-0000-0000-00006A500000}"/>
    <cellStyle name="Normal 12 2 2 7 2" xfId="39645" xr:uid="{00000000-0005-0000-0000-00006B500000}"/>
    <cellStyle name="Normal 12 2 2 8" xfId="39636" xr:uid="{00000000-0005-0000-0000-00006C500000}"/>
    <cellStyle name="Normal 12 2 2 9" xfId="31384" xr:uid="{00000000-0005-0000-0000-00006D500000}"/>
    <cellStyle name="Normal 12 2 3" xfId="4107" xr:uid="{00000000-0005-0000-0000-00006E500000}"/>
    <cellStyle name="Normal 12 2 3 2" xfId="31395" xr:uid="{00000000-0005-0000-0000-00006F500000}"/>
    <cellStyle name="Normal 12 2 3 2 2" xfId="31396" xr:uid="{00000000-0005-0000-0000-000070500000}"/>
    <cellStyle name="Normal 12 2 3 2 2 2" xfId="31397" xr:uid="{00000000-0005-0000-0000-000071500000}"/>
    <cellStyle name="Normal 12 2 3 2 2 3" xfId="39648" xr:uid="{00000000-0005-0000-0000-000072500000}"/>
    <cellStyle name="Normal 12 2 3 2 3" xfId="31398" xr:uid="{00000000-0005-0000-0000-000073500000}"/>
    <cellStyle name="Normal 12 2 3 2 4" xfId="31399" xr:uid="{00000000-0005-0000-0000-000074500000}"/>
    <cellStyle name="Normal 12 2 3 2 5" xfId="39647" xr:uid="{00000000-0005-0000-0000-000075500000}"/>
    <cellStyle name="Normal 12 2 3 3" xfId="31400" xr:uid="{00000000-0005-0000-0000-000076500000}"/>
    <cellStyle name="Normal 12 2 3 3 2" xfId="31401" xr:uid="{00000000-0005-0000-0000-000077500000}"/>
    <cellStyle name="Normal 12 2 3 3 3" xfId="39649" xr:uid="{00000000-0005-0000-0000-000078500000}"/>
    <cellStyle name="Normal 12 2 3 4" xfId="31402" xr:uid="{00000000-0005-0000-0000-000079500000}"/>
    <cellStyle name="Normal 12 2 3 4 2" xfId="31403" xr:uid="{00000000-0005-0000-0000-00007A500000}"/>
    <cellStyle name="Normal 12 2 3 4 3" xfId="39650" xr:uid="{00000000-0005-0000-0000-00007B500000}"/>
    <cellStyle name="Normal 12 2 3 5" xfId="31404" xr:uid="{00000000-0005-0000-0000-00007C500000}"/>
    <cellStyle name="Normal 12 2 3 6" xfId="39646" xr:uid="{00000000-0005-0000-0000-00007D500000}"/>
    <cellStyle name="Normal 12 2 3 7" xfId="31394" xr:uid="{00000000-0005-0000-0000-00007E500000}"/>
    <cellStyle name="Normal 12 2 4" xfId="31405" xr:uid="{00000000-0005-0000-0000-00007F500000}"/>
    <cellStyle name="Normal 12 2 4 2" xfId="31406" xr:uid="{00000000-0005-0000-0000-000080500000}"/>
    <cellStyle name="Normal 12 2 4 2 2" xfId="39652" xr:uid="{00000000-0005-0000-0000-000081500000}"/>
    <cellStyle name="Normal 12 2 4 3" xfId="31407" xr:uid="{00000000-0005-0000-0000-000082500000}"/>
    <cellStyle name="Normal 12 2 4 3 2" xfId="39653" xr:uid="{00000000-0005-0000-0000-000083500000}"/>
    <cellStyle name="Normal 12 2 4 4" xfId="39651" xr:uid="{00000000-0005-0000-0000-000084500000}"/>
    <cellStyle name="Normal 12 2 5" xfId="31408" xr:uid="{00000000-0005-0000-0000-000085500000}"/>
    <cellStyle name="Normal 12 2 5 2" xfId="31409" xr:uid="{00000000-0005-0000-0000-000086500000}"/>
    <cellStyle name="Normal 12 2 5 3" xfId="39654" xr:uid="{00000000-0005-0000-0000-000087500000}"/>
    <cellStyle name="Normal 12 2 6" xfId="31410" xr:uid="{00000000-0005-0000-0000-000088500000}"/>
    <cellStyle name="Normal 12 2 6 2" xfId="31411" xr:uid="{00000000-0005-0000-0000-000089500000}"/>
    <cellStyle name="Normal 12 2 6 3" xfId="39655" xr:uid="{00000000-0005-0000-0000-00008A500000}"/>
    <cellStyle name="Normal 12 2 7" xfId="31412" xr:uid="{00000000-0005-0000-0000-00008B500000}"/>
    <cellStyle name="Normal 12 2 7 2" xfId="39656" xr:uid="{00000000-0005-0000-0000-00008C500000}"/>
    <cellStyle name="Normal 12 2 8" xfId="31413" xr:uid="{00000000-0005-0000-0000-00008D500000}"/>
    <cellStyle name="Normal 12 2 8 2" xfId="39657" xr:uid="{00000000-0005-0000-0000-00008E500000}"/>
    <cellStyle name="Normal 12 2 9" xfId="39635" xr:uid="{00000000-0005-0000-0000-00008F500000}"/>
    <cellStyle name="Normal 12 20" xfId="31414" xr:uid="{00000000-0005-0000-0000-000090500000}"/>
    <cellStyle name="Normal 12 20 2" xfId="39658" xr:uid="{00000000-0005-0000-0000-000091500000}"/>
    <cellStyle name="Normal 12 21" xfId="31415" xr:uid="{00000000-0005-0000-0000-000092500000}"/>
    <cellStyle name="Normal 12 21 2" xfId="39659" xr:uid="{00000000-0005-0000-0000-000093500000}"/>
    <cellStyle name="Normal 12 22" xfId="31341" xr:uid="{00000000-0005-0000-0000-000094500000}"/>
    <cellStyle name="Normal 12 3" xfId="4108" xr:uid="{00000000-0005-0000-0000-000095500000}"/>
    <cellStyle name="Normal 12 3 2" xfId="4109" xr:uid="{00000000-0005-0000-0000-000096500000}"/>
    <cellStyle name="Normal 12 3 2 2" xfId="31418" xr:uid="{00000000-0005-0000-0000-000097500000}"/>
    <cellStyle name="Normal 12 3 2 2 2" xfId="39662" xr:uid="{00000000-0005-0000-0000-000098500000}"/>
    <cellStyle name="Normal 12 3 2 3" xfId="31419" xr:uid="{00000000-0005-0000-0000-000099500000}"/>
    <cellStyle name="Normal 12 3 2 3 2" xfId="39663" xr:uid="{00000000-0005-0000-0000-00009A500000}"/>
    <cellStyle name="Normal 12 3 2 4" xfId="31420" xr:uid="{00000000-0005-0000-0000-00009B500000}"/>
    <cellStyle name="Normal 12 3 2 4 2" xfId="39664" xr:uid="{00000000-0005-0000-0000-00009C500000}"/>
    <cellStyle name="Normal 12 3 2 5" xfId="31421" xr:uid="{00000000-0005-0000-0000-00009D500000}"/>
    <cellStyle name="Normal 12 3 2 5 2" xfId="39665" xr:uid="{00000000-0005-0000-0000-00009E500000}"/>
    <cellStyle name="Normal 12 3 2 6" xfId="31422" xr:uid="{00000000-0005-0000-0000-00009F500000}"/>
    <cellStyle name="Normal 12 3 2 6 2" xfId="39666" xr:uid="{00000000-0005-0000-0000-0000A0500000}"/>
    <cellStyle name="Normal 12 3 2 7" xfId="39661" xr:uid="{00000000-0005-0000-0000-0000A1500000}"/>
    <cellStyle name="Normal 12 3 2 8" xfId="31417" xr:uid="{00000000-0005-0000-0000-0000A2500000}"/>
    <cellStyle name="Normal 12 3 3" xfId="4110" xr:uid="{00000000-0005-0000-0000-0000A3500000}"/>
    <cellStyle name="Normal 12 3 3 2" xfId="31424" xr:uid="{00000000-0005-0000-0000-0000A4500000}"/>
    <cellStyle name="Normal 12 3 3 2 2" xfId="39668" xr:uid="{00000000-0005-0000-0000-0000A5500000}"/>
    <cellStyle name="Normal 12 3 3 3" xfId="31425" xr:uid="{00000000-0005-0000-0000-0000A6500000}"/>
    <cellStyle name="Normal 12 3 3 3 2" xfId="39669" xr:uid="{00000000-0005-0000-0000-0000A7500000}"/>
    <cellStyle name="Normal 12 3 3 4" xfId="39667" xr:uid="{00000000-0005-0000-0000-0000A8500000}"/>
    <cellStyle name="Normal 12 3 3 5" xfId="31423" xr:uid="{00000000-0005-0000-0000-0000A9500000}"/>
    <cellStyle name="Normal 12 3 4" xfId="31426" xr:uid="{00000000-0005-0000-0000-0000AA500000}"/>
    <cellStyle name="Normal 12 3 4 2" xfId="31427" xr:uid="{00000000-0005-0000-0000-0000AB500000}"/>
    <cellStyle name="Normal 12 3 4 2 2" xfId="39671" xr:uid="{00000000-0005-0000-0000-0000AC500000}"/>
    <cellStyle name="Normal 12 3 4 3" xfId="39670" xr:uid="{00000000-0005-0000-0000-0000AD500000}"/>
    <cellStyle name="Normal 12 3 5" xfId="31428" xr:uid="{00000000-0005-0000-0000-0000AE500000}"/>
    <cellStyle name="Normal 12 3 5 2" xfId="39672" xr:uid="{00000000-0005-0000-0000-0000AF500000}"/>
    <cellStyle name="Normal 12 3 6" xfId="31429" xr:uid="{00000000-0005-0000-0000-0000B0500000}"/>
    <cellStyle name="Normal 12 3 6 2" xfId="39673" xr:uid="{00000000-0005-0000-0000-0000B1500000}"/>
    <cellStyle name="Normal 12 3 7" xfId="31430" xr:uid="{00000000-0005-0000-0000-0000B2500000}"/>
    <cellStyle name="Normal 12 3 7 2" xfId="39674" xr:uid="{00000000-0005-0000-0000-0000B3500000}"/>
    <cellStyle name="Normal 12 3 8" xfId="39660" xr:uid="{00000000-0005-0000-0000-0000B4500000}"/>
    <cellStyle name="Normal 12 3 9" xfId="31416" xr:uid="{00000000-0005-0000-0000-0000B5500000}"/>
    <cellStyle name="Normal 12 4" xfId="4111" xr:uid="{00000000-0005-0000-0000-0000B6500000}"/>
    <cellStyle name="Normal 12 4 2" xfId="4112" xr:uid="{00000000-0005-0000-0000-0000B7500000}"/>
    <cellStyle name="Normal 12 4 2 2" xfId="31433" xr:uid="{00000000-0005-0000-0000-0000B8500000}"/>
    <cellStyle name="Normal 12 4 2 2 2" xfId="31434" xr:uid="{00000000-0005-0000-0000-0000B9500000}"/>
    <cellStyle name="Normal 12 4 2 2 3" xfId="39677" xr:uid="{00000000-0005-0000-0000-0000BA500000}"/>
    <cellStyle name="Normal 12 4 2 3" xfId="31435" xr:uid="{00000000-0005-0000-0000-0000BB500000}"/>
    <cellStyle name="Normal 12 4 2 3 2" xfId="31436" xr:uid="{00000000-0005-0000-0000-0000BC500000}"/>
    <cellStyle name="Normal 12 4 2 3 3" xfId="39678" xr:uid="{00000000-0005-0000-0000-0000BD500000}"/>
    <cellStyle name="Normal 12 4 2 4" xfId="31437" xr:uid="{00000000-0005-0000-0000-0000BE500000}"/>
    <cellStyle name="Normal 12 4 2 4 2" xfId="39679" xr:uid="{00000000-0005-0000-0000-0000BF500000}"/>
    <cellStyle name="Normal 12 4 2 5" xfId="31438" xr:uid="{00000000-0005-0000-0000-0000C0500000}"/>
    <cellStyle name="Normal 12 4 2 5 2" xfId="39680" xr:uid="{00000000-0005-0000-0000-0000C1500000}"/>
    <cellStyle name="Normal 12 4 2 6" xfId="31439" xr:uid="{00000000-0005-0000-0000-0000C2500000}"/>
    <cellStyle name="Normal 12 4 2 6 2" xfId="39681" xr:uid="{00000000-0005-0000-0000-0000C3500000}"/>
    <cellStyle name="Normal 12 4 2 7" xfId="31440" xr:uid="{00000000-0005-0000-0000-0000C4500000}"/>
    <cellStyle name="Normal 12 4 2 8" xfId="39676" xr:uid="{00000000-0005-0000-0000-0000C5500000}"/>
    <cellStyle name="Normal 12 4 2 9" xfId="31432" xr:uid="{00000000-0005-0000-0000-0000C6500000}"/>
    <cellStyle name="Normal 12 4 3" xfId="4113" xr:uid="{00000000-0005-0000-0000-0000C7500000}"/>
    <cellStyle name="Normal 12 4 3 2" xfId="31442" xr:uid="{00000000-0005-0000-0000-0000C8500000}"/>
    <cellStyle name="Normal 12 4 3 2 2" xfId="39683" xr:uid="{00000000-0005-0000-0000-0000C9500000}"/>
    <cellStyle name="Normal 12 4 3 3" xfId="31443" xr:uid="{00000000-0005-0000-0000-0000CA500000}"/>
    <cellStyle name="Normal 12 4 3 4" xfId="39682" xr:uid="{00000000-0005-0000-0000-0000CB500000}"/>
    <cellStyle name="Normal 12 4 3 5" xfId="31441" xr:uid="{00000000-0005-0000-0000-0000CC500000}"/>
    <cellStyle name="Normal 12 4 4" xfId="31444" xr:uid="{00000000-0005-0000-0000-0000CD500000}"/>
    <cellStyle name="Normal 12 4 4 2" xfId="31445" xr:uid="{00000000-0005-0000-0000-0000CE500000}"/>
    <cellStyle name="Normal 12 4 4 2 2" xfId="39685" xr:uid="{00000000-0005-0000-0000-0000CF500000}"/>
    <cellStyle name="Normal 12 4 4 3" xfId="31446" xr:uid="{00000000-0005-0000-0000-0000D0500000}"/>
    <cellStyle name="Normal 12 4 4 4" xfId="39684" xr:uid="{00000000-0005-0000-0000-0000D1500000}"/>
    <cellStyle name="Normal 12 4 5" xfId="31447" xr:uid="{00000000-0005-0000-0000-0000D2500000}"/>
    <cellStyle name="Normal 12 4 5 2" xfId="39686" xr:uid="{00000000-0005-0000-0000-0000D3500000}"/>
    <cellStyle name="Normal 12 4 6" xfId="31448" xr:uid="{00000000-0005-0000-0000-0000D4500000}"/>
    <cellStyle name="Normal 12 4 6 2" xfId="39687" xr:uid="{00000000-0005-0000-0000-0000D5500000}"/>
    <cellStyle name="Normal 12 4 7" xfId="31449" xr:uid="{00000000-0005-0000-0000-0000D6500000}"/>
    <cellStyle name="Normal 12 4 8" xfId="39675" xr:uid="{00000000-0005-0000-0000-0000D7500000}"/>
    <cellStyle name="Normal 12 4 9" xfId="31431" xr:uid="{00000000-0005-0000-0000-0000D8500000}"/>
    <cellStyle name="Normal 12 5" xfId="4114" xr:uid="{00000000-0005-0000-0000-0000D9500000}"/>
    <cellStyle name="Normal 12 5 2" xfId="4115" xr:uid="{00000000-0005-0000-0000-0000DA500000}"/>
    <cellStyle name="Normal 12 5 2 2" xfId="31452" xr:uid="{00000000-0005-0000-0000-0000DB500000}"/>
    <cellStyle name="Normal 12 5 2 2 2" xfId="39690" xr:uid="{00000000-0005-0000-0000-0000DC500000}"/>
    <cellStyle name="Normal 12 5 2 3" xfId="31453" xr:uid="{00000000-0005-0000-0000-0000DD500000}"/>
    <cellStyle name="Normal 12 5 2 3 2" xfId="39691" xr:uid="{00000000-0005-0000-0000-0000DE500000}"/>
    <cellStyle name="Normal 12 5 2 4" xfId="31454" xr:uid="{00000000-0005-0000-0000-0000DF500000}"/>
    <cellStyle name="Normal 12 5 2 4 2" xfId="39692" xr:uid="{00000000-0005-0000-0000-0000E0500000}"/>
    <cellStyle name="Normal 12 5 2 5" xfId="31455" xr:uid="{00000000-0005-0000-0000-0000E1500000}"/>
    <cellStyle name="Normal 12 5 2 5 2" xfId="39693" xr:uid="{00000000-0005-0000-0000-0000E2500000}"/>
    <cellStyle name="Normal 12 5 2 6" xfId="39689" xr:uid="{00000000-0005-0000-0000-0000E3500000}"/>
    <cellStyle name="Normal 12 5 2 7" xfId="31451" xr:uid="{00000000-0005-0000-0000-0000E4500000}"/>
    <cellStyle name="Normal 12 5 3" xfId="4116" xr:uid="{00000000-0005-0000-0000-0000E5500000}"/>
    <cellStyle name="Normal 12 5 3 2" xfId="31457" xr:uid="{00000000-0005-0000-0000-0000E6500000}"/>
    <cellStyle name="Normal 12 5 3 2 2" xfId="39695" xr:uid="{00000000-0005-0000-0000-0000E7500000}"/>
    <cellStyle name="Normal 12 5 3 3" xfId="39694" xr:uid="{00000000-0005-0000-0000-0000E8500000}"/>
    <cellStyle name="Normal 12 5 3 4" xfId="31456" xr:uid="{00000000-0005-0000-0000-0000E9500000}"/>
    <cellStyle name="Normal 12 5 4" xfId="31458" xr:uid="{00000000-0005-0000-0000-0000EA500000}"/>
    <cellStyle name="Normal 12 5 4 2" xfId="31459" xr:uid="{00000000-0005-0000-0000-0000EB500000}"/>
    <cellStyle name="Normal 12 5 4 2 2" xfId="39697" xr:uid="{00000000-0005-0000-0000-0000EC500000}"/>
    <cellStyle name="Normal 12 5 4 3" xfId="39696" xr:uid="{00000000-0005-0000-0000-0000ED500000}"/>
    <cellStyle name="Normal 12 5 5" xfId="31460" xr:uid="{00000000-0005-0000-0000-0000EE500000}"/>
    <cellStyle name="Normal 12 5 5 2" xfId="39698" xr:uid="{00000000-0005-0000-0000-0000EF500000}"/>
    <cellStyle name="Normal 12 5 6" xfId="31461" xr:uid="{00000000-0005-0000-0000-0000F0500000}"/>
    <cellStyle name="Normal 12 5 6 2" xfId="39699" xr:uid="{00000000-0005-0000-0000-0000F1500000}"/>
    <cellStyle name="Normal 12 5 7" xfId="39688" xr:uid="{00000000-0005-0000-0000-0000F2500000}"/>
    <cellStyle name="Normal 12 5 8" xfId="31450" xr:uid="{00000000-0005-0000-0000-0000F3500000}"/>
    <cellStyle name="Normal 12 6" xfId="4117" xr:uid="{00000000-0005-0000-0000-0000F4500000}"/>
    <cellStyle name="Normal 12 6 2" xfId="4118" xr:uid="{00000000-0005-0000-0000-0000F5500000}"/>
    <cellStyle name="Normal 12 6 2 2" xfId="39701" xr:uid="{00000000-0005-0000-0000-0000F6500000}"/>
    <cellStyle name="Normal 12 6 2 3" xfId="31463" xr:uid="{00000000-0005-0000-0000-0000F7500000}"/>
    <cellStyle name="Normal 12 6 3" xfId="4119" xr:uid="{00000000-0005-0000-0000-0000F8500000}"/>
    <cellStyle name="Normal 12 6 3 2" xfId="39702" xr:uid="{00000000-0005-0000-0000-0000F9500000}"/>
    <cellStyle name="Normal 12 6 3 3" xfId="31464" xr:uid="{00000000-0005-0000-0000-0000FA500000}"/>
    <cellStyle name="Normal 12 6 4" xfId="31465" xr:uid="{00000000-0005-0000-0000-0000FB500000}"/>
    <cellStyle name="Normal 12 6 4 2" xfId="39703" xr:uid="{00000000-0005-0000-0000-0000FC500000}"/>
    <cellStyle name="Normal 12 6 5" xfId="31466" xr:uid="{00000000-0005-0000-0000-0000FD500000}"/>
    <cellStyle name="Normal 12 6 5 2" xfId="39704" xr:uid="{00000000-0005-0000-0000-0000FE500000}"/>
    <cellStyle name="Normal 12 6 6" xfId="31467" xr:uid="{00000000-0005-0000-0000-0000FF500000}"/>
    <cellStyle name="Normal 12 6 7" xfId="39700" xr:uid="{00000000-0005-0000-0000-000000510000}"/>
    <cellStyle name="Normal 12 6 8" xfId="31462" xr:uid="{00000000-0005-0000-0000-000001510000}"/>
    <cellStyle name="Normal 12 7" xfId="4120" xr:uid="{00000000-0005-0000-0000-000002510000}"/>
    <cellStyle name="Normal 12 7 2" xfId="4121" xr:uid="{00000000-0005-0000-0000-000003510000}"/>
    <cellStyle name="Normal 12 7 2 2" xfId="39706" xr:uid="{00000000-0005-0000-0000-000004510000}"/>
    <cellStyle name="Normal 12 7 2 3" xfId="31469" xr:uid="{00000000-0005-0000-0000-000005510000}"/>
    <cellStyle name="Normal 12 7 3" xfId="4122" xr:uid="{00000000-0005-0000-0000-000006510000}"/>
    <cellStyle name="Normal 12 7 3 2" xfId="39707" xr:uid="{00000000-0005-0000-0000-000007510000}"/>
    <cellStyle name="Normal 12 7 3 3" xfId="31470" xr:uid="{00000000-0005-0000-0000-000008510000}"/>
    <cellStyle name="Normal 12 7 4" xfId="31471" xr:uid="{00000000-0005-0000-0000-000009510000}"/>
    <cellStyle name="Normal 12 7 4 2" xfId="39708" xr:uid="{00000000-0005-0000-0000-00000A510000}"/>
    <cellStyle name="Normal 12 7 5" xfId="31472" xr:uid="{00000000-0005-0000-0000-00000B510000}"/>
    <cellStyle name="Normal 12 7 5 2" xfId="39709" xr:uid="{00000000-0005-0000-0000-00000C510000}"/>
    <cellStyle name="Normal 12 7 6" xfId="31473" xr:uid="{00000000-0005-0000-0000-00000D510000}"/>
    <cellStyle name="Normal 12 7 7" xfId="39705" xr:uid="{00000000-0005-0000-0000-00000E510000}"/>
    <cellStyle name="Normal 12 7 8" xfId="31468" xr:uid="{00000000-0005-0000-0000-00000F510000}"/>
    <cellStyle name="Normal 12 8" xfId="4123" xr:uid="{00000000-0005-0000-0000-000010510000}"/>
    <cellStyle name="Normal 12 8 2" xfId="31475" xr:uid="{00000000-0005-0000-0000-000011510000}"/>
    <cellStyle name="Normal 12 8 2 2" xfId="39711" xr:uid="{00000000-0005-0000-0000-000012510000}"/>
    <cellStyle name="Normal 12 8 3" xfId="31476" xr:uid="{00000000-0005-0000-0000-000013510000}"/>
    <cellStyle name="Normal 12 8 3 2" xfId="39712" xr:uid="{00000000-0005-0000-0000-000014510000}"/>
    <cellStyle name="Normal 12 8 4" xfId="31477" xr:uid="{00000000-0005-0000-0000-000015510000}"/>
    <cellStyle name="Normal 12 8 4 2" xfId="39713" xr:uid="{00000000-0005-0000-0000-000016510000}"/>
    <cellStyle name="Normal 12 8 5" xfId="39710" xr:uid="{00000000-0005-0000-0000-000017510000}"/>
    <cellStyle name="Normal 12 8 6" xfId="31474" xr:uid="{00000000-0005-0000-0000-000018510000}"/>
    <cellStyle name="Normal 12 9" xfId="4124" xr:uid="{00000000-0005-0000-0000-000019510000}"/>
    <cellStyle name="Normal 12 9 2" xfId="31479" xr:uid="{00000000-0005-0000-0000-00001A510000}"/>
    <cellStyle name="Normal 12 9 2 2" xfId="39715" xr:uid="{00000000-0005-0000-0000-00001B510000}"/>
    <cellStyle name="Normal 12 9 3" xfId="31480" xr:uid="{00000000-0005-0000-0000-00001C510000}"/>
    <cellStyle name="Normal 12 9 3 2" xfId="39716" xr:uid="{00000000-0005-0000-0000-00001D510000}"/>
    <cellStyle name="Normal 12 9 4" xfId="31481" xr:uid="{00000000-0005-0000-0000-00001E510000}"/>
    <cellStyle name="Normal 12 9 4 2" xfId="39717" xr:uid="{00000000-0005-0000-0000-00001F510000}"/>
    <cellStyle name="Normal 12 9 5" xfId="39714" xr:uid="{00000000-0005-0000-0000-000020510000}"/>
    <cellStyle name="Normal 12 9 6" xfId="31478" xr:uid="{00000000-0005-0000-0000-000021510000}"/>
    <cellStyle name="Normal 120" xfId="4125" xr:uid="{00000000-0005-0000-0000-000022510000}"/>
    <cellStyle name="Normal 120 2" xfId="19034" xr:uid="{00000000-0005-0000-0000-000023510000}"/>
    <cellStyle name="Normal 120 2 2" xfId="31483" xr:uid="{00000000-0005-0000-0000-000024510000}"/>
    <cellStyle name="Normal 120 3" xfId="31484" xr:uid="{00000000-0005-0000-0000-000025510000}"/>
    <cellStyle name="Normal 120 4" xfId="39718" xr:uid="{00000000-0005-0000-0000-000026510000}"/>
    <cellStyle name="Normal 120 5" xfId="31482" xr:uid="{00000000-0005-0000-0000-000027510000}"/>
    <cellStyle name="Normal 121" xfId="4126" xr:uid="{00000000-0005-0000-0000-000028510000}"/>
    <cellStyle name="Normal 121 2" xfId="19035" xr:uid="{00000000-0005-0000-0000-000029510000}"/>
    <cellStyle name="Normal 121 2 2" xfId="31486" xr:uid="{00000000-0005-0000-0000-00002A510000}"/>
    <cellStyle name="Normal 121 3" xfId="31487" xr:uid="{00000000-0005-0000-0000-00002B510000}"/>
    <cellStyle name="Normal 121 4" xfId="39719" xr:uid="{00000000-0005-0000-0000-00002C510000}"/>
    <cellStyle name="Normal 121 5" xfId="31485" xr:uid="{00000000-0005-0000-0000-00002D510000}"/>
    <cellStyle name="Normal 122" xfId="4127" xr:uid="{00000000-0005-0000-0000-00002E510000}"/>
    <cellStyle name="Normal 122 2" xfId="19036" xr:uid="{00000000-0005-0000-0000-00002F510000}"/>
    <cellStyle name="Normal 122 2 2" xfId="31489" xr:uid="{00000000-0005-0000-0000-000030510000}"/>
    <cellStyle name="Normal 122 3" xfId="31490" xr:uid="{00000000-0005-0000-0000-000031510000}"/>
    <cellStyle name="Normal 122 4" xfId="39720" xr:uid="{00000000-0005-0000-0000-000032510000}"/>
    <cellStyle name="Normal 122 5" xfId="31488" xr:uid="{00000000-0005-0000-0000-000033510000}"/>
    <cellStyle name="Normal 123" xfId="4128" xr:uid="{00000000-0005-0000-0000-000034510000}"/>
    <cellStyle name="Normal 123 2" xfId="19037" xr:uid="{00000000-0005-0000-0000-000035510000}"/>
    <cellStyle name="Normal 123 2 2" xfId="31492" xr:uid="{00000000-0005-0000-0000-000036510000}"/>
    <cellStyle name="Normal 123 3" xfId="31493" xr:uid="{00000000-0005-0000-0000-000037510000}"/>
    <cellStyle name="Normal 123 4" xfId="39721" xr:uid="{00000000-0005-0000-0000-000038510000}"/>
    <cellStyle name="Normal 123 5" xfId="31491" xr:uid="{00000000-0005-0000-0000-000039510000}"/>
    <cellStyle name="Normal 124" xfId="13" xr:uid="{00000000-0005-0000-0000-00003A510000}"/>
    <cellStyle name="Normal 124 2" xfId="31495" xr:uid="{00000000-0005-0000-0000-00003B510000}"/>
    <cellStyle name="Normal 124 3" xfId="31496" xr:uid="{00000000-0005-0000-0000-00003C510000}"/>
    <cellStyle name="Normal 124 4" xfId="39722" xr:uid="{00000000-0005-0000-0000-00003D510000}"/>
    <cellStyle name="Normal 124 5" xfId="31494" xr:uid="{00000000-0005-0000-0000-00003E510000}"/>
    <cellStyle name="Normal 125" xfId="4129" xr:uid="{00000000-0005-0000-0000-00003F510000}"/>
    <cellStyle name="Normal 125 2" xfId="19024" xr:uid="{00000000-0005-0000-0000-000040510000}"/>
    <cellStyle name="Normal 125 2 2" xfId="31498" xr:uid="{00000000-0005-0000-0000-000041510000}"/>
    <cellStyle name="Normal 125 3" xfId="31499" xr:uid="{00000000-0005-0000-0000-000042510000}"/>
    <cellStyle name="Normal 125 4" xfId="39723" xr:uid="{00000000-0005-0000-0000-000043510000}"/>
    <cellStyle name="Normal 125 5" xfId="31497" xr:uid="{00000000-0005-0000-0000-000044510000}"/>
    <cellStyle name="Normal 126" xfId="4130" xr:uid="{00000000-0005-0000-0000-000045510000}"/>
    <cellStyle name="Normal 126 2" xfId="19038" xr:uid="{00000000-0005-0000-0000-000046510000}"/>
    <cellStyle name="Normal 126 2 2" xfId="31501" xr:uid="{00000000-0005-0000-0000-000047510000}"/>
    <cellStyle name="Normal 126 3" xfId="31502" xr:uid="{00000000-0005-0000-0000-000048510000}"/>
    <cellStyle name="Normal 126 4" xfId="39724" xr:uid="{00000000-0005-0000-0000-000049510000}"/>
    <cellStyle name="Normal 126 5" xfId="31500" xr:uid="{00000000-0005-0000-0000-00004A510000}"/>
    <cellStyle name="Normal 127" xfId="4131" xr:uid="{00000000-0005-0000-0000-00004B510000}"/>
    <cellStyle name="Normal 127 2" xfId="19039" xr:uid="{00000000-0005-0000-0000-00004C510000}"/>
    <cellStyle name="Normal 127 2 2" xfId="31504" xr:uid="{00000000-0005-0000-0000-00004D510000}"/>
    <cellStyle name="Normal 127 3" xfId="31505" xr:uid="{00000000-0005-0000-0000-00004E510000}"/>
    <cellStyle name="Normal 127 4" xfId="39725" xr:uid="{00000000-0005-0000-0000-00004F510000}"/>
    <cellStyle name="Normal 127 5" xfId="31503" xr:uid="{00000000-0005-0000-0000-000050510000}"/>
    <cellStyle name="Normal 128" xfId="4132" xr:uid="{00000000-0005-0000-0000-000051510000}"/>
    <cellStyle name="Normal 128 2" xfId="19040" xr:uid="{00000000-0005-0000-0000-000052510000}"/>
    <cellStyle name="Normal 128 2 2" xfId="31507" xr:uid="{00000000-0005-0000-0000-000053510000}"/>
    <cellStyle name="Normal 128 3" xfId="31508" xr:uid="{00000000-0005-0000-0000-000054510000}"/>
    <cellStyle name="Normal 128 4" xfId="39726" xr:uid="{00000000-0005-0000-0000-000055510000}"/>
    <cellStyle name="Normal 128 5" xfId="31506" xr:uid="{00000000-0005-0000-0000-000056510000}"/>
    <cellStyle name="Normal 129" xfId="4133" xr:uid="{00000000-0005-0000-0000-000057510000}"/>
    <cellStyle name="Normal 129 2" xfId="19041" xr:uid="{00000000-0005-0000-0000-000058510000}"/>
    <cellStyle name="Normal 129 2 2" xfId="31510" xr:uid="{00000000-0005-0000-0000-000059510000}"/>
    <cellStyle name="Normal 129 3" xfId="31511" xr:uid="{00000000-0005-0000-0000-00005A510000}"/>
    <cellStyle name="Normal 129 4" xfId="39727" xr:uid="{00000000-0005-0000-0000-00005B510000}"/>
    <cellStyle name="Normal 129 5" xfId="31509" xr:uid="{00000000-0005-0000-0000-00005C510000}"/>
    <cellStyle name="Normal 13" xfId="4134" xr:uid="{00000000-0005-0000-0000-00005D510000}"/>
    <cellStyle name="Normal 13 10" xfId="4135" xr:uid="{00000000-0005-0000-0000-00005E510000}"/>
    <cellStyle name="Normal 13 10 2" xfId="31513" xr:uid="{00000000-0005-0000-0000-00005F510000}"/>
    <cellStyle name="Normal 13 10 2 2" xfId="39729" xr:uid="{00000000-0005-0000-0000-000060510000}"/>
    <cellStyle name="Normal 13 10 3" xfId="31514" xr:uid="{00000000-0005-0000-0000-000061510000}"/>
    <cellStyle name="Normal 13 10 3 2" xfId="39730" xr:uid="{00000000-0005-0000-0000-000062510000}"/>
    <cellStyle name="Normal 13 10 4" xfId="31515" xr:uid="{00000000-0005-0000-0000-000063510000}"/>
    <cellStyle name="Normal 13 10 4 2" xfId="39731" xr:uid="{00000000-0005-0000-0000-000064510000}"/>
    <cellStyle name="Normal 13 10 5" xfId="39728" xr:uid="{00000000-0005-0000-0000-000065510000}"/>
    <cellStyle name="Normal 13 10 6" xfId="31512" xr:uid="{00000000-0005-0000-0000-000066510000}"/>
    <cellStyle name="Normal 13 11" xfId="4136" xr:uid="{00000000-0005-0000-0000-000067510000}"/>
    <cellStyle name="Normal 13 11 2" xfId="31517" xr:uid="{00000000-0005-0000-0000-000068510000}"/>
    <cellStyle name="Normal 13 11 2 2" xfId="39733" xr:uid="{00000000-0005-0000-0000-000069510000}"/>
    <cellStyle name="Normal 13 11 3" xfId="31518" xr:uid="{00000000-0005-0000-0000-00006A510000}"/>
    <cellStyle name="Normal 13 11 3 2" xfId="39734" xr:uid="{00000000-0005-0000-0000-00006B510000}"/>
    <cellStyle name="Normal 13 11 4" xfId="31519" xr:uid="{00000000-0005-0000-0000-00006C510000}"/>
    <cellStyle name="Normal 13 11 4 2" xfId="39735" xr:uid="{00000000-0005-0000-0000-00006D510000}"/>
    <cellStyle name="Normal 13 11 5" xfId="39732" xr:uid="{00000000-0005-0000-0000-00006E510000}"/>
    <cellStyle name="Normal 13 11 6" xfId="31516" xr:uid="{00000000-0005-0000-0000-00006F510000}"/>
    <cellStyle name="Normal 13 12" xfId="31520" xr:uid="{00000000-0005-0000-0000-000070510000}"/>
    <cellStyle name="Normal 13 12 2" xfId="31521" xr:uid="{00000000-0005-0000-0000-000071510000}"/>
    <cellStyle name="Normal 13 12 2 2" xfId="39737" xr:uid="{00000000-0005-0000-0000-000072510000}"/>
    <cellStyle name="Normal 13 12 3" xfId="31522" xr:uid="{00000000-0005-0000-0000-000073510000}"/>
    <cellStyle name="Normal 13 12 3 2" xfId="39738" xr:uid="{00000000-0005-0000-0000-000074510000}"/>
    <cellStyle name="Normal 13 12 4" xfId="31523" xr:uid="{00000000-0005-0000-0000-000075510000}"/>
    <cellStyle name="Normal 13 12 4 2" xfId="39739" xr:uid="{00000000-0005-0000-0000-000076510000}"/>
    <cellStyle name="Normal 13 12 5" xfId="39736" xr:uid="{00000000-0005-0000-0000-000077510000}"/>
    <cellStyle name="Normal 13 13" xfId="31524" xr:uid="{00000000-0005-0000-0000-000078510000}"/>
    <cellStyle name="Normal 13 13 2" xfId="31525" xr:uid="{00000000-0005-0000-0000-000079510000}"/>
    <cellStyle name="Normal 13 13 2 2" xfId="39741" xr:uid="{00000000-0005-0000-0000-00007A510000}"/>
    <cellStyle name="Normal 13 13 3" xfId="31526" xr:uid="{00000000-0005-0000-0000-00007B510000}"/>
    <cellStyle name="Normal 13 13 3 2" xfId="39742" xr:uid="{00000000-0005-0000-0000-00007C510000}"/>
    <cellStyle name="Normal 13 13 4" xfId="31527" xr:uid="{00000000-0005-0000-0000-00007D510000}"/>
    <cellStyle name="Normal 13 13 4 2" xfId="39743" xr:uid="{00000000-0005-0000-0000-00007E510000}"/>
    <cellStyle name="Normal 13 13 5" xfId="39740" xr:uid="{00000000-0005-0000-0000-00007F510000}"/>
    <cellStyle name="Normal 13 14" xfId="31528" xr:uid="{00000000-0005-0000-0000-000080510000}"/>
    <cellStyle name="Normal 13 14 2" xfId="31529" xr:uid="{00000000-0005-0000-0000-000081510000}"/>
    <cellStyle name="Normal 13 14 2 2" xfId="39745" xr:uid="{00000000-0005-0000-0000-000082510000}"/>
    <cellStyle name="Normal 13 14 3" xfId="31530" xr:uid="{00000000-0005-0000-0000-000083510000}"/>
    <cellStyle name="Normal 13 14 3 2" xfId="39746" xr:uid="{00000000-0005-0000-0000-000084510000}"/>
    <cellStyle name="Normal 13 14 4" xfId="31531" xr:uid="{00000000-0005-0000-0000-000085510000}"/>
    <cellStyle name="Normal 13 14 4 2" xfId="39747" xr:uid="{00000000-0005-0000-0000-000086510000}"/>
    <cellStyle name="Normal 13 14 5" xfId="39744" xr:uid="{00000000-0005-0000-0000-000087510000}"/>
    <cellStyle name="Normal 13 15" xfId="31532" xr:uid="{00000000-0005-0000-0000-000088510000}"/>
    <cellStyle name="Normal 13 15 2" xfId="31533" xr:uid="{00000000-0005-0000-0000-000089510000}"/>
    <cellStyle name="Normal 13 15 2 2" xfId="39749" xr:uid="{00000000-0005-0000-0000-00008A510000}"/>
    <cellStyle name="Normal 13 15 3" xfId="31534" xr:uid="{00000000-0005-0000-0000-00008B510000}"/>
    <cellStyle name="Normal 13 15 3 2" xfId="39750" xr:uid="{00000000-0005-0000-0000-00008C510000}"/>
    <cellStyle name="Normal 13 15 4" xfId="31535" xr:uid="{00000000-0005-0000-0000-00008D510000}"/>
    <cellStyle name="Normal 13 15 4 2" xfId="39751" xr:uid="{00000000-0005-0000-0000-00008E510000}"/>
    <cellStyle name="Normal 13 15 5" xfId="39748" xr:uid="{00000000-0005-0000-0000-00008F510000}"/>
    <cellStyle name="Normal 13 16" xfId="31536" xr:uid="{00000000-0005-0000-0000-000090510000}"/>
    <cellStyle name="Normal 13 16 2" xfId="31537" xr:uid="{00000000-0005-0000-0000-000091510000}"/>
    <cellStyle name="Normal 13 16 2 2" xfId="39753" xr:uid="{00000000-0005-0000-0000-000092510000}"/>
    <cellStyle name="Normal 13 16 3" xfId="31538" xr:uid="{00000000-0005-0000-0000-000093510000}"/>
    <cellStyle name="Normal 13 16 3 2" xfId="39754" xr:uid="{00000000-0005-0000-0000-000094510000}"/>
    <cellStyle name="Normal 13 16 4" xfId="31539" xr:uid="{00000000-0005-0000-0000-000095510000}"/>
    <cellStyle name="Normal 13 16 4 2" xfId="39755" xr:uid="{00000000-0005-0000-0000-000096510000}"/>
    <cellStyle name="Normal 13 16 5" xfId="39752" xr:uid="{00000000-0005-0000-0000-000097510000}"/>
    <cellStyle name="Normal 13 17" xfId="31540" xr:uid="{00000000-0005-0000-0000-000098510000}"/>
    <cellStyle name="Normal 13 17 2" xfId="31541" xr:uid="{00000000-0005-0000-0000-000099510000}"/>
    <cellStyle name="Normal 13 17 2 2" xfId="39757" xr:uid="{00000000-0005-0000-0000-00009A510000}"/>
    <cellStyle name="Normal 13 17 3" xfId="31542" xr:uid="{00000000-0005-0000-0000-00009B510000}"/>
    <cellStyle name="Normal 13 17 3 2" xfId="39758" xr:uid="{00000000-0005-0000-0000-00009C510000}"/>
    <cellStyle name="Normal 13 17 4" xfId="31543" xr:uid="{00000000-0005-0000-0000-00009D510000}"/>
    <cellStyle name="Normal 13 17 4 2" xfId="39759" xr:uid="{00000000-0005-0000-0000-00009E510000}"/>
    <cellStyle name="Normal 13 17 5" xfId="39756" xr:uid="{00000000-0005-0000-0000-00009F510000}"/>
    <cellStyle name="Normal 13 18" xfId="31544" xr:uid="{00000000-0005-0000-0000-0000A0510000}"/>
    <cellStyle name="Normal 13 18 2" xfId="31545" xr:uid="{00000000-0005-0000-0000-0000A1510000}"/>
    <cellStyle name="Normal 13 18 2 2" xfId="31546" xr:uid="{00000000-0005-0000-0000-0000A2510000}"/>
    <cellStyle name="Normal 13 18 2 2 2" xfId="31547" xr:uid="{00000000-0005-0000-0000-0000A3510000}"/>
    <cellStyle name="Normal 13 18 2 2 2 2" xfId="39763" xr:uid="{00000000-0005-0000-0000-0000A4510000}"/>
    <cellStyle name="Normal 13 18 2 2 3" xfId="39762" xr:uid="{00000000-0005-0000-0000-0000A5510000}"/>
    <cellStyle name="Normal 13 18 2 3" xfId="31548" xr:uid="{00000000-0005-0000-0000-0000A6510000}"/>
    <cellStyle name="Normal 13 18 2 3 2" xfId="39764" xr:uid="{00000000-0005-0000-0000-0000A7510000}"/>
    <cellStyle name="Normal 13 18 2 4" xfId="39761" xr:uid="{00000000-0005-0000-0000-0000A8510000}"/>
    <cellStyle name="Normal 13 18 3" xfId="31549" xr:uid="{00000000-0005-0000-0000-0000A9510000}"/>
    <cellStyle name="Normal 13 18 3 2" xfId="31550" xr:uid="{00000000-0005-0000-0000-0000AA510000}"/>
    <cellStyle name="Normal 13 18 3 2 2" xfId="39766" xr:uid="{00000000-0005-0000-0000-0000AB510000}"/>
    <cellStyle name="Normal 13 18 3 3" xfId="39765" xr:uid="{00000000-0005-0000-0000-0000AC510000}"/>
    <cellStyle name="Normal 13 18 4" xfId="31551" xr:uid="{00000000-0005-0000-0000-0000AD510000}"/>
    <cellStyle name="Normal 13 18 4 2" xfId="39767" xr:uid="{00000000-0005-0000-0000-0000AE510000}"/>
    <cellStyle name="Normal 13 18 5" xfId="39760" xr:uid="{00000000-0005-0000-0000-0000AF510000}"/>
    <cellStyle name="Normal 13 19" xfId="31552" xr:uid="{00000000-0005-0000-0000-0000B0510000}"/>
    <cellStyle name="Normal 13 19 2" xfId="39768" xr:uid="{00000000-0005-0000-0000-0000B1510000}"/>
    <cellStyle name="Normal 13 2" xfId="4137" xr:uid="{00000000-0005-0000-0000-0000B2510000}"/>
    <cellStyle name="Normal 13 2 2" xfId="4138" xr:uid="{00000000-0005-0000-0000-0000B3510000}"/>
    <cellStyle name="Normal 13 2 2 2" xfId="31555" xr:uid="{00000000-0005-0000-0000-0000B4510000}"/>
    <cellStyle name="Normal 13 2 2 2 2" xfId="31556" xr:uid="{00000000-0005-0000-0000-0000B5510000}"/>
    <cellStyle name="Normal 13 2 2 2 2 2" xfId="39772" xr:uid="{00000000-0005-0000-0000-0000B6510000}"/>
    <cellStyle name="Normal 13 2 2 2 3" xfId="31557" xr:uid="{00000000-0005-0000-0000-0000B7510000}"/>
    <cellStyle name="Normal 13 2 2 2 3 2" xfId="39773" xr:uid="{00000000-0005-0000-0000-0000B8510000}"/>
    <cellStyle name="Normal 13 2 2 2 4" xfId="39771" xr:uid="{00000000-0005-0000-0000-0000B9510000}"/>
    <cellStyle name="Normal 13 2 2 3" xfId="31558" xr:uid="{00000000-0005-0000-0000-0000BA510000}"/>
    <cellStyle name="Normal 13 2 2 3 2" xfId="31559" xr:uid="{00000000-0005-0000-0000-0000BB510000}"/>
    <cellStyle name="Normal 13 2 2 3 2 2" xfId="39775" xr:uid="{00000000-0005-0000-0000-0000BC510000}"/>
    <cellStyle name="Normal 13 2 2 3 3" xfId="39774" xr:uid="{00000000-0005-0000-0000-0000BD510000}"/>
    <cellStyle name="Normal 13 2 2 4" xfId="31560" xr:uid="{00000000-0005-0000-0000-0000BE510000}"/>
    <cellStyle name="Normal 13 2 2 4 2" xfId="39776" xr:uid="{00000000-0005-0000-0000-0000BF510000}"/>
    <cellStyle name="Normal 13 2 2 5" xfId="31561" xr:uid="{00000000-0005-0000-0000-0000C0510000}"/>
    <cellStyle name="Normal 13 2 2 5 2" xfId="39777" xr:uid="{00000000-0005-0000-0000-0000C1510000}"/>
    <cellStyle name="Normal 13 2 2 6" xfId="39770" xr:uid="{00000000-0005-0000-0000-0000C2510000}"/>
    <cellStyle name="Normal 13 2 2 7" xfId="31554" xr:uid="{00000000-0005-0000-0000-0000C3510000}"/>
    <cellStyle name="Normal 13 2 3" xfId="4139" xr:uid="{00000000-0005-0000-0000-0000C4510000}"/>
    <cellStyle name="Normal 13 2 3 2" xfId="31563" xr:uid="{00000000-0005-0000-0000-0000C5510000}"/>
    <cellStyle name="Normal 13 2 3 2 2" xfId="31564" xr:uid="{00000000-0005-0000-0000-0000C6510000}"/>
    <cellStyle name="Normal 13 2 3 2 2 2" xfId="39780" xr:uid="{00000000-0005-0000-0000-0000C7510000}"/>
    <cellStyle name="Normal 13 2 3 2 3" xfId="39779" xr:uid="{00000000-0005-0000-0000-0000C8510000}"/>
    <cellStyle name="Normal 13 2 3 3" xfId="31565" xr:uid="{00000000-0005-0000-0000-0000C9510000}"/>
    <cellStyle name="Normal 13 2 3 3 2" xfId="39781" xr:uid="{00000000-0005-0000-0000-0000CA510000}"/>
    <cellStyle name="Normal 13 2 3 4" xfId="31566" xr:uid="{00000000-0005-0000-0000-0000CB510000}"/>
    <cellStyle name="Normal 13 2 3 4 2" xfId="39782" xr:uid="{00000000-0005-0000-0000-0000CC510000}"/>
    <cellStyle name="Normal 13 2 3 5" xfId="39778" xr:uid="{00000000-0005-0000-0000-0000CD510000}"/>
    <cellStyle name="Normal 13 2 3 6" xfId="31562" xr:uid="{00000000-0005-0000-0000-0000CE510000}"/>
    <cellStyle name="Normal 13 2 4" xfId="31567" xr:uid="{00000000-0005-0000-0000-0000CF510000}"/>
    <cellStyle name="Normal 13 2 4 2" xfId="31568" xr:uid="{00000000-0005-0000-0000-0000D0510000}"/>
    <cellStyle name="Normal 13 2 4 2 2" xfId="39784" xr:uid="{00000000-0005-0000-0000-0000D1510000}"/>
    <cellStyle name="Normal 13 2 4 3" xfId="31569" xr:uid="{00000000-0005-0000-0000-0000D2510000}"/>
    <cellStyle name="Normal 13 2 4 3 2" xfId="39785" xr:uid="{00000000-0005-0000-0000-0000D3510000}"/>
    <cellStyle name="Normal 13 2 4 4" xfId="39783" xr:uid="{00000000-0005-0000-0000-0000D4510000}"/>
    <cellStyle name="Normal 13 2 5" xfId="31570" xr:uid="{00000000-0005-0000-0000-0000D5510000}"/>
    <cellStyle name="Normal 13 2 5 2" xfId="39786" xr:uid="{00000000-0005-0000-0000-0000D6510000}"/>
    <cellStyle name="Normal 13 2 6" xfId="31571" xr:uid="{00000000-0005-0000-0000-0000D7510000}"/>
    <cellStyle name="Normal 13 2 6 2" xfId="39787" xr:uid="{00000000-0005-0000-0000-0000D8510000}"/>
    <cellStyle name="Normal 13 2 7" xfId="31572" xr:uid="{00000000-0005-0000-0000-0000D9510000}"/>
    <cellStyle name="Normal 13 2 8" xfId="39769" xr:uid="{00000000-0005-0000-0000-0000DA510000}"/>
    <cellStyle name="Normal 13 2 9" xfId="31553" xr:uid="{00000000-0005-0000-0000-0000DB510000}"/>
    <cellStyle name="Normal 13 20" xfId="31573" xr:uid="{00000000-0005-0000-0000-0000DC510000}"/>
    <cellStyle name="Normal 13 20 2" xfId="39788" xr:uid="{00000000-0005-0000-0000-0000DD510000}"/>
    <cellStyle name="Normal 13 21" xfId="31574" xr:uid="{00000000-0005-0000-0000-0000DE510000}"/>
    <cellStyle name="Normal 13 21 2" xfId="39789" xr:uid="{00000000-0005-0000-0000-0000DF510000}"/>
    <cellStyle name="Normal 13 3" xfId="4140" xr:uid="{00000000-0005-0000-0000-0000E0510000}"/>
    <cellStyle name="Normal 13 3 2" xfId="4141" xr:uid="{00000000-0005-0000-0000-0000E1510000}"/>
    <cellStyle name="Normal 13 3 2 2" xfId="31577" xr:uid="{00000000-0005-0000-0000-0000E2510000}"/>
    <cellStyle name="Normal 13 3 2 2 2" xfId="39792" xr:uid="{00000000-0005-0000-0000-0000E3510000}"/>
    <cellStyle name="Normal 13 3 2 3" xfId="31578" xr:uid="{00000000-0005-0000-0000-0000E4510000}"/>
    <cellStyle name="Normal 13 3 2 3 2" xfId="39793" xr:uid="{00000000-0005-0000-0000-0000E5510000}"/>
    <cellStyle name="Normal 13 3 2 4" xfId="31579" xr:uid="{00000000-0005-0000-0000-0000E6510000}"/>
    <cellStyle name="Normal 13 3 2 4 2" xfId="39794" xr:uid="{00000000-0005-0000-0000-0000E7510000}"/>
    <cellStyle name="Normal 13 3 2 5" xfId="31580" xr:uid="{00000000-0005-0000-0000-0000E8510000}"/>
    <cellStyle name="Normal 13 3 2 6" xfId="39791" xr:uid="{00000000-0005-0000-0000-0000E9510000}"/>
    <cellStyle name="Normal 13 3 2 7" xfId="31576" xr:uid="{00000000-0005-0000-0000-0000EA510000}"/>
    <cellStyle name="Normal 13 3 3" xfId="4142" xr:uid="{00000000-0005-0000-0000-0000EB510000}"/>
    <cellStyle name="Normal 13 3 3 2" xfId="31582" xr:uid="{00000000-0005-0000-0000-0000EC510000}"/>
    <cellStyle name="Normal 13 3 3 2 2" xfId="31583" xr:uid="{00000000-0005-0000-0000-0000ED510000}"/>
    <cellStyle name="Normal 13 3 3 2 3" xfId="39796" xr:uid="{00000000-0005-0000-0000-0000EE510000}"/>
    <cellStyle name="Normal 13 3 3 3" xfId="31584" xr:uid="{00000000-0005-0000-0000-0000EF510000}"/>
    <cellStyle name="Normal 13 3 3 3 2" xfId="31585" xr:uid="{00000000-0005-0000-0000-0000F0510000}"/>
    <cellStyle name="Normal 13 3 3 3 3" xfId="39797" xr:uid="{00000000-0005-0000-0000-0000F1510000}"/>
    <cellStyle name="Normal 13 3 3 4" xfId="31586" xr:uid="{00000000-0005-0000-0000-0000F2510000}"/>
    <cellStyle name="Normal 13 3 3 5" xfId="39795" xr:uid="{00000000-0005-0000-0000-0000F3510000}"/>
    <cellStyle name="Normal 13 3 3 6" xfId="31581" xr:uid="{00000000-0005-0000-0000-0000F4510000}"/>
    <cellStyle name="Normal 13 3 4" xfId="31587" xr:uid="{00000000-0005-0000-0000-0000F5510000}"/>
    <cellStyle name="Normal 13 3 4 2" xfId="31588" xr:uid="{00000000-0005-0000-0000-0000F6510000}"/>
    <cellStyle name="Normal 13 3 4 2 2" xfId="39799" xr:uid="{00000000-0005-0000-0000-0000F7510000}"/>
    <cellStyle name="Normal 13 3 4 3" xfId="31589" xr:uid="{00000000-0005-0000-0000-0000F8510000}"/>
    <cellStyle name="Normal 13 3 4 4" xfId="39798" xr:uid="{00000000-0005-0000-0000-0000F9510000}"/>
    <cellStyle name="Normal 13 3 5" xfId="31590" xr:uid="{00000000-0005-0000-0000-0000FA510000}"/>
    <cellStyle name="Normal 13 3 5 2" xfId="31591" xr:uid="{00000000-0005-0000-0000-0000FB510000}"/>
    <cellStyle name="Normal 13 3 5 3" xfId="39800" xr:uid="{00000000-0005-0000-0000-0000FC510000}"/>
    <cellStyle name="Normal 13 3 6" xfId="31592" xr:uid="{00000000-0005-0000-0000-0000FD510000}"/>
    <cellStyle name="Normal 13 3 7" xfId="31593" xr:uid="{00000000-0005-0000-0000-0000FE510000}"/>
    <cellStyle name="Normal 13 3 8" xfId="39790" xr:uid="{00000000-0005-0000-0000-0000FF510000}"/>
    <cellStyle name="Normal 13 3 9" xfId="31575" xr:uid="{00000000-0005-0000-0000-000000520000}"/>
    <cellStyle name="Normal 13 4" xfId="4143" xr:uid="{00000000-0005-0000-0000-000001520000}"/>
    <cellStyle name="Normal 13 4 2" xfId="4144" xr:uid="{00000000-0005-0000-0000-000002520000}"/>
    <cellStyle name="Normal 13 4 2 2" xfId="31596" xr:uid="{00000000-0005-0000-0000-000003520000}"/>
    <cellStyle name="Normal 13 4 2 2 2" xfId="39803" xr:uid="{00000000-0005-0000-0000-000004520000}"/>
    <cellStyle name="Normal 13 4 2 3" xfId="31597" xr:uid="{00000000-0005-0000-0000-000005520000}"/>
    <cellStyle name="Normal 13 4 2 3 2" xfId="39804" xr:uid="{00000000-0005-0000-0000-000006520000}"/>
    <cellStyle name="Normal 13 4 2 4" xfId="39802" xr:uid="{00000000-0005-0000-0000-000007520000}"/>
    <cellStyle name="Normal 13 4 2 5" xfId="31595" xr:uid="{00000000-0005-0000-0000-000008520000}"/>
    <cellStyle name="Normal 13 4 3" xfId="4145" xr:uid="{00000000-0005-0000-0000-000009520000}"/>
    <cellStyle name="Normal 13 4 3 2" xfId="31599" xr:uid="{00000000-0005-0000-0000-00000A520000}"/>
    <cellStyle name="Normal 13 4 3 2 2" xfId="39806" xr:uid="{00000000-0005-0000-0000-00000B520000}"/>
    <cellStyle name="Normal 13 4 3 3" xfId="39805" xr:uid="{00000000-0005-0000-0000-00000C520000}"/>
    <cellStyle name="Normal 13 4 3 4" xfId="31598" xr:uid="{00000000-0005-0000-0000-00000D520000}"/>
    <cellStyle name="Normal 13 4 4" xfId="31600" xr:uid="{00000000-0005-0000-0000-00000E520000}"/>
    <cellStyle name="Normal 13 4 4 2" xfId="39807" xr:uid="{00000000-0005-0000-0000-00000F520000}"/>
    <cellStyle name="Normal 13 4 5" xfId="31601" xr:uid="{00000000-0005-0000-0000-000010520000}"/>
    <cellStyle name="Normal 13 4 5 2" xfId="39808" xr:uid="{00000000-0005-0000-0000-000011520000}"/>
    <cellStyle name="Normal 13 4 6" xfId="31602" xr:uid="{00000000-0005-0000-0000-000012520000}"/>
    <cellStyle name="Normal 13 4 7" xfId="39801" xr:uid="{00000000-0005-0000-0000-000013520000}"/>
    <cellStyle name="Normal 13 4 8" xfId="31594" xr:uid="{00000000-0005-0000-0000-000014520000}"/>
    <cellStyle name="Normal 13 5" xfId="4146" xr:uid="{00000000-0005-0000-0000-000015520000}"/>
    <cellStyle name="Normal 13 5 2" xfId="4147" xr:uid="{00000000-0005-0000-0000-000016520000}"/>
    <cellStyle name="Normal 13 5 2 2" xfId="31605" xr:uid="{00000000-0005-0000-0000-000017520000}"/>
    <cellStyle name="Normal 13 5 2 2 2" xfId="39811" xr:uid="{00000000-0005-0000-0000-000018520000}"/>
    <cellStyle name="Normal 13 5 2 3" xfId="31606" xr:uid="{00000000-0005-0000-0000-000019520000}"/>
    <cellStyle name="Normal 13 5 2 4" xfId="39810" xr:uid="{00000000-0005-0000-0000-00001A520000}"/>
    <cellStyle name="Normal 13 5 2 5" xfId="31604" xr:uid="{00000000-0005-0000-0000-00001B520000}"/>
    <cellStyle name="Normal 13 5 3" xfId="4148" xr:uid="{00000000-0005-0000-0000-00001C520000}"/>
    <cellStyle name="Normal 13 5 3 2" xfId="39812" xr:uid="{00000000-0005-0000-0000-00001D520000}"/>
    <cellStyle name="Normal 13 5 3 3" xfId="31607" xr:uid="{00000000-0005-0000-0000-00001E520000}"/>
    <cellStyle name="Normal 13 5 4" xfId="31608" xr:uid="{00000000-0005-0000-0000-00001F520000}"/>
    <cellStyle name="Normal 13 5 4 2" xfId="39813" xr:uid="{00000000-0005-0000-0000-000020520000}"/>
    <cellStyle name="Normal 13 5 5" xfId="31609" xr:uid="{00000000-0005-0000-0000-000021520000}"/>
    <cellStyle name="Normal 13 5 5 2" xfId="39814" xr:uid="{00000000-0005-0000-0000-000022520000}"/>
    <cellStyle name="Normal 13 5 6" xfId="31610" xr:uid="{00000000-0005-0000-0000-000023520000}"/>
    <cellStyle name="Normal 13 5 7" xfId="39809" xr:uid="{00000000-0005-0000-0000-000024520000}"/>
    <cellStyle name="Normal 13 5 8" xfId="31603" xr:uid="{00000000-0005-0000-0000-000025520000}"/>
    <cellStyle name="Normal 13 6" xfId="4149" xr:uid="{00000000-0005-0000-0000-000026520000}"/>
    <cellStyle name="Normal 13 6 2" xfId="4150" xr:uid="{00000000-0005-0000-0000-000027520000}"/>
    <cellStyle name="Normal 13 6 2 2" xfId="39816" xr:uid="{00000000-0005-0000-0000-000028520000}"/>
    <cellStyle name="Normal 13 6 2 3" xfId="31612" xr:uid="{00000000-0005-0000-0000-000029520000}"/>
    <cellStyle name="Normal 13 6 3" xfId="4151" xr:uid="{00000000-0005-0000-0000-00002A520000}"/>
    <cellStyle name="Normal 13 6 3 2" xfId="39817" xr:uid="{00000000-0005-0000-0000-00002B520000}"/>
    <cellStyle name="Normal 13 6 3 3" xfId="31613" xr:uid="{00000000-0005-0000-0000-00002C520000}"/>
    <cellStyle name="Normal 13 6 4" xfId="31614" xr:uid="{00000000-0005-0000-0000-00002D520000}"/>
    <cellStyle name="Normal 13 6 4 2" xfId="39818" xr:uid="{00000000-0005-0000-0000-00002E520000}"/>
    <cellStyle name="Normal 13 6 5" xfId="31615" xr:uid="{00000000-0005-0000-0000-00002F520000}"/>
    <cellStyle name="Normal 13 6 5 2" xfId="39819" xr:uid="{00000000-0005-0000-0000-000030520000}"/>
    <cellStyle name="Normal 13 6 6" xfId="31616" xr:uid="{00000000-0005-0000-0000-000031520000}"/>
    <cellStyle name="Normal 13 6 7" xfId="39815" xr:uid="{00000000-0005-0000-0000-000032520000}"/>
    <cellStyle name="Normal 13 6 8" xfId="31611" xr:uid="{00000000-0005-0000-0000-000033520000}"/>
    <cellStyle name="Normal 13 7" xfId="4152" xr:uid="{00000000-0005-0000-0000-000034520000}"/>
    <cellStyle name="Normal 13 7 2" xfId="4153" xr:uid="{00000000-0005-0000-0000-000035520000}"/>
    <cellStyle name="Normal 13 7 2 2" xfId="39821" xr:uid="{00000000-0005-0000-0000-000036520000}"/>
    <cellStyle name="Normal 13 7 2 3" xfId="31618" xr:uid="{00000000-0005-0000-0000-000037520000}"/>
    <cellStyle name="Normal 13 7 3" xfId="4154" xr:uid="{00000000-0005-0000-0000-000038520000}"/>
    <cellStyle name="Normal 13 7 3 2" xfId="39822" xr:uid="{00000000-0005-0000-0000-000039520000}"/>
    <cellStyle name="Normal 13 7 3 3" xfId="31619" xr:uid="{00000000-0005-0000-0000-00003A520000}"/>
    <cellStyle name="Normal 13 7 4" xfId="31620" xr:uid="{00000000-0005-0000-0000-00003B520000}"/>
    <cellStyle name="Normal 13 7 4 2" xfId="39823" xr:uid="{00000000-0005-0000-0000-00003C520000}"/>
    <cellStyle name="Normal 13 7 5" xfId="31621" xr:uid="{00000000-0005-0000-0000-00003D520000}"/>
    <cellStyle name="Normal 13 7 5 2" xfId="39824" xr:uid="{00000000-0005-0000-0000-00003E520000}"/>
    <cellStyle name="Normal 13 7 6" xfId="31622" xr:uid="{00000000-0005-0000-0000-00003F520000}"/>
    <cellStyle name="Normal 13 7 7" xfId="39820" xr:uid="{00000000-0005-0000-0000-000040520000}"/>
    <cellStyle name="Normal 13 7 8" xfId="31617" xr:uid="{00000000-0005-0000-0000-000041520000}"/>
    <cellStyle name="Normal 13 8" xfId="4155" xr:uid="{00000000-0005-0000-0000-000042520000}"/>
    <cellStyle name="Normal 13 8 2" xfId="10117" xr:uid="{00000000-0005-0000-0000-000043520000}"/>
    <cellStyle name="Normal 13 8 2 2" xfId="39826" xr:uid="{00000000-0005-0000-0000-000044520000}"/>
    <cellStyle name="Normal 13 8 2 3" xfId="31624" xr:uid="{00000000-0005-0000-0000-000045520000}"/>
    <cellStyle name="Normal 13 8 3" xfId="31625" xr:uid="{00000000-0005-0000-0000-000046520000}"/>
    <cellStyle name="Normal 13 8 3 2" xfId="39827" xr:uid="{00000000-0005-0000-0000-000047520000}"/>
    <cellStyle name="Normal 13 8 4" xfId="31626" xr:uid="{00000000-0005-0000-0000-000048520000}"/>
    <cellStyle name="Normal 13 8 4 2" xfId="39828" xr:uid="{00000000-0005-0000-0000-000049520000}"/>
    <cellStyle name="Normal 13 8 5" xfId="31627" xr:uid="{00000000-0005-0000-0000-00004A520000}"/>
    <cellStyle name="Normal 13 8 6" xfId="39825" xr:uid="{00000000-0005-0000-0000-00004B520000}"/>
    <cellStyle name="Normal 13 8 7" xfId="31623" xr:uid="{00000000-0005-0000-0000-00004C520000}"/>
    <cellStyle name="Normal 13 9" xfId="4156" xr:uid="{00000000-0005-0000-0000-00004D520000}"/>
    <cellStyle name="Normal 13 9 2" xfId="10118" xr:uid="{00000000-0005-0000-0000-00004E520000}"/>
    <cellStyle name="Normal 13 9 2 2" xfId="39830" xr:uid="{00000000-0005-0000-0000-00004F520000}"/>
    <cellStyle name="Normal 13 9 2 3" xfId="31629" xr:uid="{00000000-0005-0000-0000-000050520000}"/>
    <cellStyle name="Normal 13 9 3" xfId="31630" xr:uid="{00000000-0005-0000-0000-000051520000}"/>
    <cellStyle name="Normal 13 9 3 2" xfId="39831" xr:uid="{00000000-0005-0000-0000-000052520000}"/>
    <cellStyle name="Normal 13 9 4" xfId="31631" xr:uid="{00000000-0005-0000-0000-000053520000}"/>
    <cellStyle name="Normal 13 9 4 2" xfId="39832" xr:uid="{00000000-0005-0000-0000-000054520000}"/>
    <cellStyle name="Normal 13 9 5" xfId="39829" xr:uid="{00000000-0005-0000-0000-000055520000}"/>
    <cellStyle name="Normal 13 9 6" xfId="31628" xr:uid="{00000000-0005-0000-0000-000056520000}"/>
    <cellStyle name="Normal 130" xfId="4157" xr:uid="{00000000-0005-0000-0000-000057520000}"/>
    <cellStyle name="Normal 130 2" xfId="19042" xr:uid="{00000000-0005-0000-0000-000058520000}"/>
    <cellStyle name="Normal 130 2 2" xfId="31633" xr:uid="{00000000-0005-0000-0000-000059520000}"/>
    <cellStyle name="Normal 130 3" xfId="31634" xr:uid="{00000000-0005-0000-0000-00005A520000}"/>
    <cellStyle name="Normal 130 4" xfId="39833" xr:uid="{00000000-0005-0000-0000-00005B520000}"/>
    <cellStyle name="Normal 130 5" xfId="31632" xr:uid="{00000000-0005-0000-0000-00005C520000}"/>
    <cellStyle name="Normal 131" xfId="4158" xr:uid="{00000000-0005-0000-0000-00005D520000}"/>
    <cellStyle name="Normal 131 2" xfId="19043" xr:uid="{00000000-0005-0000-0000-00005E520000}"/>
    <cellStyle name="Normal 131 2 2" xfId="31636" xr:uid="{00000000-0005-0000-0000-00005F520000}"/>
    <cellStyle name="Normal 131 3" xfId="31637" xr:uid="{00000000-0005-0000-0000-000060520000}"/>
    <cellStyle name="Normal 131 4" xfId="39834" xr:uid="{00000000-0005-0000-0000-000061520000}"/>
    <cellStyle name="Normal 131 5" xfId="31635" xr:uid="{00000000-0005-0000-0000-000062520000}"/>
    <cellStyle name="Normal 132" xfId="4159" xr:uid="{00000000-0005-0000-0000-000063520000}"/>
    <cellStyle name="Normal 132 2" xfId="19044" xr:uid="{00000000-0005-0000-0000-000064520000}"/>
    <cellStyle name="Normal 132 2 2" xfId="31639" xr:uid="{00000000-0005-0000-0000-000065520000}"/>
    <cellStyle name="Normal 132 3" xfId="31640" xr:uid="{00000000-0005-0000-0000-000066520000}"/>
    <cellStyle name="Normal 132 4" xfId="39835" xr:uid="{00000000-0005-0000-0000-000067520000}"/>
    <cellStyle name="Normal 132 5" xfId="31638" xr:uid="{00000000-0005-0000-0000-000068520000}"/>
    <cellStyle name="Normal 133" xfId="4160" xr:uid="{00000000-0005-0000-0000-000069520000}"/>
    <cellStyle name="Normal 133 2" xfId="19045" xr:uid="{00000000-0005-0000-0000-00006A520000}"/>
    <cellStyle name="Normal 133 2 2" xfId="31642" xr:uid="{00000000-0005-0000-0000-00006B520000}"/>
    <cellStyle name="Normal 133 3" xfId="31643" xr:uid="{00000000-0005-0000-0000-00006C520000}"/>
    <cellStyle name="Normal 133 4" xfId="39836" xr:uid="{00000000-0005-0000-0000-00006D520000}"/>
    <cellStyle name="Normal 133 5" xfId="31641" xr:uid="{00000000-0005-0000-0000-00006E520000}"/>
    <cellStyle name="Normal 134" xfId="4161" xr:uid="{00000000-0005-0000-0000-00006F520000}"/>
    <cellStyle name="Normal 134 2" xfId="19046" xr:uid="{00000000-0005-0000-0000-000070520000}"/>
    <cellStyle name="Normal 134 2 2" xfId="31645" xr:uid="{00000000-0005-0000-0000-000071520000}"/>
    <cellStyle name="Normal 134 3" xfId="31646" xr:uid="{00000000-0005-0000-0000-000072520000}"/>
    <cellStyle name="Normal 134 4" xfId="39837" xr:uid="{00000000-0005-0000-0000-000073520000}"/>
    <cellStyle name="Normal 134 5" xfId="31644" xr:uid="{00000000-0005-0000-0000-000074520000}"/>
    <cellStyle name="Normal 135" xfId="4162" xr:uid="{00000000-0005-0000-0000-000075520000}"/>
    <cellStyle name="Normal 135 2" xfId="19047" xr:uid="{00000000-0005-0000-0000-000076520000}"/>
    <cellStyle name="Normal 135 2 2" xfId="31648" xr:uid="{00000000-0005-0000-0000-000077520000}"/>
    <cellStyle name="Normal 135 3" xfId="31649" xr:uid="{00000000-0005-0000-0000-000078520000}"/>
    <cellStyle name="Normal 135 4" xfId="39838" xr:uid="{00000000-0005-0000-0000-000079520000}"/>
    <cellStyle name="Normal 135 5" xfId="31647" xr:uid="{00000000-0005-0000-0000-00007A520000}"/>
    <cellStyle name="Normal 136" xfId="4163" xr:uid="{00000000-0005-0000-0000-00007B520000}"/>
    <cellStyle name="Normal 136 2" xfId="19048" xr:uid="{00000000-0005-0000-0000-00007C520000}"/>
    <cellStyle name="Normal 136 2 2" xfId="31651" xr:uid="{00000000-0005-0000-0000-00007D520000}"/>
    <cellStyle name="Normal 136 3" xfId="31652" xr:uid="{00000000-0005-0000-0000-00007E520000}"/>
    <cellStyle name="Normal 136 4" xfId="39839" xr:uid="{00000000-0005-0000-0000-00007F520000}"/>
    <cellStyle name="Normal 136 5" xfId="31650" xr:uid="{00000000-0005-0000-0000-000080520000}"/>
    <cellStyle name="Normal 137" xfId="4164" xr:uid="{00000000-0005-0000-0000-000081520000}"/>
    <cellStyle name="Normal 137 2" xfId="19049" xr:uid="{00000000-0005-0000-0000-000082520000}"/>
    <cellStyle name="Normal 137 2 2" xfId="31654" xr:uid="{00000000-0005-0000-0000-000083520000}"/>
    <cellStyle name="Normal 137 3" xfId="31655" xr:uid="{00000000-0005-0000-0000-000084520000}"/>
    <cellStyle name="Normal 137 4" xfId="39840" xr:uid="{00000000-0005-0000-0000-000085520000}"/>
    <cellStyle name="Normal 137 5" xfId="31653" xr:uid="{00000000-0005-0000-0000-000086520000}"/>
    <cellStyle name="Normal 138" xfId="4165" xr:uid="{00000000-0005-0000-0000-000087520000}"/>
    <cellStyle name="Normal 138 2" xfId="19050" xr:uid="{00000000-0005-0000-0000-000088520000}"/>
    <cellStyle name="Normal 138 2 2" xfId="31657" xr:uid="{00000000-0005-0000-0000-000089520000}"/>
    <cellStyle name="Normal 138 3" xfId="31658" xr:uid="{00000000-0005-0000-0000-00008A520000}"/>
    <cellStyle name="Normal 138 4" xfId="39841" xr:uid="{00000000-0005-0000-0000-00008B520000}"/>
    <cellStyle name="Normal 138 5" xfId="31656" xr:uid="{00000000-0005-0000-0000-00008C520000}"/>
    <cellStyle name="Normal 139" xfId="4166" xr:uid="{00000000-0005-0000-0000-00008D520000}"/>
    <cellStyle name="Normal 139 2" xfId="19051" xr:uid="{00000000-0005-0000-0000-00008E520000}"/>
    <cellStyle name="Normal 139 2 2" xfId="31660" xr:uid="{00000000-0005-0000-0000-00008F520000}"/>
    <cellStyle name="Normal 139 3" xfId="31661" xr:uid="{00000000-0005-0000-0000-000090520000}"/>
    <cellStyle name="Normal 139 4" xfId="39842" xr:uid="{00000000-0005-0000-0000-000091520000}"/>
    <cellStyle name="Normal 139 5" xfId="31659" xr:uid="{00000000-0005-0000-0000-000092520000}"/>
    <cellStyle name="Normal 14" xfId="4167" xr:uid="{00000000-0005-0000-0000-000093520000}"/>
    <cellStyle name="Normal 14 10" xfId="4168" xr:uid="{00000000-0005-0000-0000-000094520000}"/>
    <cellStyle name="Normal 14 10 2" xfId="31663" xr:uid="{00000000-0005-0000-0000-000095520000}"/>
    <cellStyle name="Normal 14 10 2 2" xfId="39844" xr:uid="{00000000-0005-0000-0000-000096520000}"/>
    <cellStyle name="Normal 14 10 3" xfId="31664" xr:uid="{00000000-0005-0000-0000-000097520000}"/>
    <cellStyle name="Normal 14 10 3 2" xfId="39845" xr:uid="{00000000-0005-0000-0000-000098520000}"/>
    <cellStyle name="Normal 14 10 4" xfId="31665" xr:uid="{00000000-0005-0000-0000-000099520000}"/>
    <cellStyle name="Normal 14 10 4 2" xfId="39846" xr:uid="{00000000-0005-0000-0000-00009A520000}"/>
    <cellStyle name="Normal 14 10 5" xfId="39843" xr:uid="{00000000-0005-0000-0000-00009B520000}"/>
    <cellStyle name="Normal 14 10 6" xfId="31662" xr:uid="{00000000-0005-0000-0000-00009C520000}"/>
    <cellStyle name="Normal 14 11" xfId="4169" xr:uid="{00000000-0005-0000-0000-00009D520000}"/>
    <cellStyle name="Normal 14 11 2" xfId="31667" xr:uid="{00000000-0005-0000-0000-00009E520000}"/>
    <cellStyle name="Normal 14 11 2 2" xfId="39848" xr:uid="{00000000-0005-0000-0000-00009F520000}"/>
    <cellStyle name="Normal 14 11 3" xfId="31668" xr:uid="{00000000-0005-0000-0000-0000A0520000}"/>
    <cellStyle name="Normal 14 11 3 2" xfId="39849" xr:uid="{00000000-0005-0000-0000-0000A1520000}"/>
    <cellStyle name="Normal 14 11 4" xfId="31669" xr:uid="{00000000-0005-0000-0000-0000A2520000}"/>
    <cellStyle name="Normal 14 11 4 2" xfId="39850" xr:uid="{00000000-0005-0000-0000-0000A3520000}"/>
    <cellStyle name="Normal 14 11 5" xfId="39847" xr:uid="{00000000-0005-0000-0000-0000A4520000}"/>
    <cellStyle name="Normal 14 11 6" xfId="31666" xr:uid="{00000000-0005-0000-0000-0000A5520000}"/>
    <cellStyle name="Normal 14 12" xfId="31670" xr:uid="{00000000-0005-0000-0000-0000A6520000}"/>
    <cellStyle name="Normal 14 12 2" xfId="31671" xr:uid="{00000000-0005-0000-0000-0000A7520000}"/>
    <cellStyle name="Normal 14 12 2 2" xfId="39852" xr:uid="{00000000-0005-0000-0000-0000A8520000}"/>
    <cellStyle name="Normal 14 12 3" xfId="31672" xr:uid="{00000000-0005-0000-0000-0000A9520000}"/>
    <cellStyle name="Normal 14 12 3 2" xfId="39853" xr:uid="{00000000-0005-0000-0000-0000AA520000}"/>
    <cellStyle name="Normal 14 12 4" xfId="31673" xr:uid="{00000000-0005-0000-0000-0000AB520000}"/>
    <cellStyle name="Normal 14 12 4 2" xfId="39854" xr:uid="{00000000-0005-0000-0000-0000AC520000}"/>
    <cellStyle name="Normal 14 12 5" xfId="39851" xr:uid="{00000000-0005-0000-0000-0000AD520000}"/>
    <cellStyle name="Normal 14 13" xfId="31674" xr:uid="{00000000-0005-0000-0000-0000AE520000}"/>
    <cellStyle name="Normal 14 13 2" xfId="31675" xr:uid="{00000000-0005-0000-0000-0000AF520000}"/>
    <cellStyle name="Normal 14 13 2 2" xfId="39856" xr:uid="{00000000-0005-0000-0000-0000B0520000}"/>
    <cellStyle name="Normal 14 13 3" xfId="31676" xr:uid="{00000000-0005-0000-0000-0000B1520000}"/>
    <cellStyle name="Normal 14 13 3 2" xfId="39857" xr:uid="{00000000-0005-0000-0000-0000B2520000}"/>
    <cellStyle name="Normal 14 13 4" xfId="31677" xr:uid="{00000000-0005-0000-0000-0000B3520000}"/>
    <cellStyle name="Normal 14 13 4 2" xfId="39858" xr:uid="{00000000-0005-0000-0000-0000B4520000}"/>
    <cellStyle name="Normal 14 13 5" xfId="39855" xr:uid="{00000000-0005-0000-0000-0000B5520000}"/>
    <cellStyle name="Normal 14 14" xfId="31678" xr:uid="{00000000-0005-0000-0000-0000B6520000}"/>
    <cellStyle name="Normal 14 14 2" xfId="31679" xr:uid="{00000000-0005-0000-0000-0000B7520000}"/>
    <cellStyle name="Normal 14 14 2 2" xfId="39860" xr:uid="{00000000-0005-0000-0000-0000B8520000}"/>
    <cellStyle name="Normal 14 14 3" xfId="31680" xr:uid="{00000000-0005-0000-0000-0000B9520000}"/>
    <cellStyle name="Normal 14 14 3 2" xfId="39861" xr:uid="{00000000-0005-0000-0000-0000BA520000}"/>
    <cellStyle name="Normal 14 14 4" xfId="31681" xr:uid="{00000000-0005-0000-0000-0000BB520000}"/>
    <cellStyle name="Normal 14 14 4 2" xfId="39862" xr:uid="{00000000-0005-0000-0000-0000BC520000}"/>
    <cellStyle name="Normal 14 14 5" xfId="39859" xr:uid="{00000000-0005-0000-0000-0000BD520000}"/>
    <cellStyle name="Normal 14 15" xfId="31682" xr:uid="{00000000-0005-0000-0000-0000BE520000}"/>
    <cellStyle name="Normal 14 15 2" xfId="31683" xr:uid="{00000000-0005-0000-0000-0000BF520000}"/>
    <cellStyle name="Normal 14 15 2 2" xfId="39864" xr:uid="{00000000-0005-0000-0000-0000C0520000}"/>
    <cellStyle name="Normal 14 15 3" xfId="31684" xr:uid="{00000000-0005-0000-0000-0000C1520000}"/>
    <cellStyle name="Normal 14 15 3 2" xfId="39865" xr:uid="{00000000-0005-0000-0000-0000C2520000}"/>
    <cellStyle name="Normal 14 15 4" xfId="31685" xr:uid="{00000000-0005-0000-0000-0000C3520000}"/>
    <cellStyle name="Normal 14 15 4 2" xfId="39866" xr:uid="{00000000-0005-0000-0000-0000C4520000}"/>
    <cellStyle name="Normal 14 15 5" xfId="39863" xr:uid="{00000000-0005-0000-0000-0000C5520000}"/>
    <cellStyle name="Normal 14 16" xfId="31686" xr:uid="{00000000-0005-0000-0000-0000C6520000}"/>
    <cellStyle name="Normal 14 16 2" xfId="31687" xr:uid="{00000000-0005-0000-0000-0000C7520000}"/>
    <cellStyle name="Normal 14 16 2 2" xfId="39868" xr:uid="{00000000-0005-0000-0000-0000C8520000}"/>
    <cellStyle name="Normal 14 16 3" xfId="31688" xr:uid="{00000000-0005-0000-0000-0000C9520000}"/>
    <cellStyle name="Normal 14 16 3 2" xfId="39869" xr:uid="{00000000-0005-0000-0000-0000CA520000}"/>
    <cellStyle name="Normal 14 16 4" xfId="31689" xr:uid="{00000000-0005-0000-0000-0000CB520000}"/>
    <cellStyle name="Normal 14 16 4 2" xfId="39870" xr:uid="{00000000-0005-0000-0000-0000CC520000}"/>
    <cellStyle name="Normal 14 16 5" xfId="39867" xr:uid="{00000000-0005-0000-0000-0000CD520000}"/>
    <cellStyle name="Normal 14 17" xfId="31690" xr:uid="{00000000-0005-0000-0000-0000CE520000}"/>
    <cellStyle name="Normal 14 17 2" xfId="31691" xr:uid="{00000000-0005-0000-0000-0000CF520000}"/>
    <cellStyle name="Normal 14 17 2 2" xfId="39872" xr:uid="{00000000-0005-0000-0000-0000D0520000}"/>
    <cellStyle name="Normal 14 17 3" xfId="31692" xr:uid="{00000000-0005-0000-0000-0000D1520000}"/>
    <cellStyle name="Normal 14 17 3 2" xfId="39873" xr:uid="{00000000-0005-0000-0000-0000D2520000}"/>
    <cellStyle name="Normal 14 17 4" xfId="31693" xr:uid="{00000000-0005-0000-0000-0000D3520000}"/>
    <cellStyle name="Normal 14 17 4 2" xfId="39874" xr:uid="{00000000-0005-0000-0000-0000D4520000}"/>
    <cellStyle name="Normal 14 17 5" xfId="39871" xr:uid="{00000000-0005-0000-0000-0000D5520000}"/>
    <cellStyle name="Normal 14 18" xfId="31694" xr:uid="{00000000-0005-0000-0000-0000D6520000}"/>
    <cellStyle name="Normal 14 18 2" xfId="31695" xr:uid="{00000000-0005-0000-0000-0000D7520000}"/>
    <cellStyle name="Normal 14 18 2 2" xfId="31696" xr:uid="{00000000-0005-0000-0000-0000D8520000}"/>
    <cellStyle name="Normal 14 18 2 2 2" xfId="31697" xr:uid="{00000000-0005-0000-0000-0000D9520000}"/>
    <cellStyle name="Normal 14 18 2 2 2 2" xfId="39878" xr:uid="{00000000-0005-0000-0000-0000DA520000}"/>
    <cellStyle name="Normal 14 18 2 2 3" xfId="39877" xr:uid="{00000000-0005-0000-0000-0000DB520000}"/>
    <cellStyle name="Normal 14 18 2 3" xfId="31698" xr:uid="{00000000-0005-0000-0000-0000DC520000}"/>
    <cellStyle name="Normal 14 18 2 3 2" xfId="39879" xr:uid="{00000000-0005-0000-0000-0000DD520000}"/>
    <cellStyle name="Normal 14 18 2 4" xfId="39876" xr:uid="{00000000-0005-0000-0000-0000DE520000}"/>
    <cellStyle name="Normal 14 18 3" xfId="31699" xr:uid="{00000000-0005-0000-0000-0000DF520000}"/>
    <cellStyle name="Normal 14 18 3 2" xfId="31700" xr:uid="{00000000-0005-0000-0000-0000E0520000}"/>
    <cellStyle name="Normal 14 18 3 2 2" xfId="39881" xr:uid="{00000000-0005-0000-0000-0000E1520000}"/>
    <cellStyle name="Normal 14 18 3 3" xfId="39880" xr:uid="{00000000-0005-0000-0000-0000E2520000}"/>
    <cellStyle name="Normal 14 18 4" xfId="31701" xr:uid="{00000000-0005-0000-0000-0000E3520000}"/>
    <cellStyle name="Normal 14 18 4 2" xfId="39882" xr:uid="{00000000-0005-0000-0000-0000E4520000}"/>
    <cellStyle name="Normal 14 18 5" xfId="39875" xr:uid="{00000000-0005-0000-0000-0000E5520000}"/>
    <cellStyle name="Normal 14 19" xfId="31702" xr:uid="{00000000-0005-0000-0000-0000E6520000}"/>
    <cellStyle name="Normal 14 19 2" xfId="39883" xr:uid="{00000000-0005-0000-0000-0000E7520000}"/>
    <cellStyle name="Normal 14 2" xfId="4170" xr:uid="{00000000-0005-0000-0000-0000E8520000}"/>
    <cellStyle name="Normal 14 2 10" xfId="31703" xr:uid="{00000000-0005-0000-0000-0000E9520000}"/>
    <cellStyle name="Normal 14 2 2" xfId="4171" xr:uid="{00000000-0005-0000-0000-0000EA520000}"/>
    <cellStyle name="Normal 14 2 2 2" xfId="31705" xr:uid="{00000000-0005-0000-0000-0000EB520000}"/>
    <cellStyle name="Normal 14 2 2 2 2" xfId="31706" xr:uid="{00000000-0005-0000-0000-0000EC520000}"/>
    <cellStyle name="Normal 14 2 2 2 2 2" xfId="39887" xr:uid="{00000000-0005-0000-0000-0000ED520000}"/>
    <cellStyle name="Normal 14 2 2 2 3" xfId="31707" xr:uid="{00000000-0005-0000-0000-0000EE520000}"/>
    <cellStyle name="Normal 14 2 2 2 3 2" xfId="39888" xr:uid="{00000000-0005-0000-0000-0000EF520000}"/>
    <cellStyle name="Normal 14 2 2 2 4" xfId="39886" xr:uid="{00000000-0005-0000-0000-0000F0520000}"/>
    <cellStyle name="Normal 14 2 2 3" xfId="31708" xr:uid="{00000000-0005-0000-0000-0000F1520000}"/>
    <cellStyle name="Normal 14 2 2 3 2" xfId="31709" xr:uid="{00000000-0005-0000-0000-0000F2520000}"/>
    <cellStyle name="Normal 14 2 2 3 2 2" xfId="39890" xr:uid="{00000000-0005-0000-0000-0000F3520000}"/>
    <cellStyle name="Normal 14 2 2 3 3" xfId="39889" xr:uid="{00000000-0005-0000-0000-0000F4520000}"/>
    <cellStyle name="Normal 14 2 2 4" xfId="31710" xr:uid="{00000000-0005-0000-0000-0000F5520000}"/>
    <cellStyle name="Normal 14 2 2 4 2" xfId="39891" xr:uid="{00000000-0005-0000-0000-0000F6520000}"/>
    <cellStyle name="Normal 14 2 2 5" xfId="31711" xr:uid="{00000000-0005-0000-0000-0000F7520000}"/>
    <cellStyle name="Normal 14 2 2 5 2" xfId="39892" xr:uid="{00000000-0005-0000-0000-0000F8520000}"/>
    <cellStyle name="Normal 14 2 2 6" xfId="31712" xr:uid="{00000000-0005-0000-0000-0000F9520000}"/>
    <cellStyle name="Normal 14 2 2 6 2" xfId="39893" xr:uid="{00000000-0005-0000-0000-0000FA520000}"/>
    <cellStyle name="Normal 14 2 2 7" xfId="31713" xr:uid="{00000000-0005-0000-0000-0000FB520000}"/>
    <cellStyle name="Normal 14 2 2 7 2" xfId="39894" xr:uid="{00000000-0005-0000-0000-0000FC520000}"/>
    <cellStyle name="Normal 14 2 2 8" xfId="39885" xr:uid="{00000000-0005-0000-0000-0000FD520000}"/>
    <cellStyle name="Normal 14 2 2 9" xfId="31704" xr:uid="{00000000-0005-0000-0000-0000FE520000}"/>
    <cellStyle name="Normal 14 2 3" xfId="4172" xr:uid="{00000000-0005-0000-0000-0000FF520000}"/>
    <cellStyle name="Normal 14 2 3 2" xfId="31715" xr:uid="{00000000-0005-0000-0000-000000530000}"/>
    <cellStyle name="Normal 14 2 3 2 2" xfId="31716" xr:uid="{00000000-0005-0000-0000-000001530000}"/>
    <cellStyle name="Normal 14 2 3 2 2 2" xfId="39897" xr:uid="{00000000-0005-0000-0000-000002530000}"/>
    <cellStyle name="Normal 14 2 3 2 3" xfId="39896" xr:uid="{00000000-0005-0000-0000-000003530000}"/>
    <cellStyle name="Normal 14 2 3 3" xfId="31717" xr:uid="{00000000-0005-0000-0000-000004530000}"/>
    <cellStyle name="Normal 14 2 3 3 2" xfId="39898" xr:uid="{00000000-0005-0000-0000-000005530000}"/>
    <cellStyle name="Normal 14 2 3 4" xfId="31718" xr:uid="{00000000-0005-0000-0000-000006530000}"/>
    <cellStyle name="Normal 14 2 3 4 2" xfId="39899" xr:uid="{00000000-0005-0000-0000-000007530000}"/>
    <cellStyle name="Normal 14 2 3 5" xfId="39895" xr:uid="{00000000-0005-0000-0000-000008530000}"/>
    <cellStyle name="Normal 14 2 3 6" xfId="31714" xr:uid="{00000000-0005-0000-0000-000009530000}"/>
    <cellStyle name="Normal 14 2 4" xfId="31719" xr:uid="{00000000-0005-0000-0000-00000A530000}"/>
    <cellStyle name="Normal 14 2 4 2" xfId="31720" xr:uid="{00000000-0005-0000-0000-00000B530000}"/>
    <cellStyle name="Normal 14 2 4 2 2" xfId="39901" xr:uid="{00000000-0005-0000-0000-00000C530000}"/>
    <cellStyle name="Normal 14 2 4 3" xfId="31721" xr:uid="{00000000-0005-0000-0000-00000D530000}"/>
    <cellStyle name="Normal 14 2 4 3 2" xfId="39902" xr:uid="{00000000-0005-0000-0000-00000E530000}"/>
    <cellStyle name="Normal 14 2 4 4" xfId="39900" xr:uid="{00000000-0005-0000-0000-00000F530000}"/>
    <cellStyle name="Normal 14 2 5" xfId="31722" xr:uid="{00000000-0005-0000-0000-000010530000}"/>
    <cellStyle name="Normal 14 2 5 2" xfId="39903" xr:uid="{00000000-0005-0000-0000-000011530000}"/>
    <cellStyle name="Normal 14 2 6" xfId="31723" xr:uid="{00000000-0005-0000-0000-000012530000}"/>
    <cellStyle name="Normal 14 2 6 2" xfId="39904" xr:uid="{00000000-0005-0000-0000-000013530000}"/>
    <cellStyle name="Normal 14 2 7" xfId="31724" xr:uid="{00000000-0005-0000-0000-000014530000}"/>
    <cellStyle name="Normal 14 2 7 2" xfId="39905" xr:uid="{00000000-0005-0000-0000-000015530000}"/>
    <cellStyle name="Normal 14 2 8" xfId="31725" xr:uid="{00000000-0005-0000-0000-000016530000}"/>
    <cellStyle name="Normal 14 2 8 2" xfId="39906" xr:uid="{00000000-0005-0000-0000-000017530000}"/>
    <cellStyle name="Normal 14 2 9" xfId="39884" xr:uid="{00000000-0005-0000-0000-000018530000}"/>
    <cellStyle name="Normal 14 20" xfId="31726" xr:uid="{00000000-0005-0000-0000-000019530000}"/>
    <cellStyle name="Normal 14 20 2" xfId="39907" xr:uid="{00000000-0005-0000-0000-00001A530000}"/>
    <cellStyle name="Normal 14 21" xfId="31727" xr:uid="{00000000-0005-0000-0000-00001B530000}"/>
    <cellStyle name="Normal 14 21 2" xfId="39908" xr:uid="{00000000-0005-0000-0000-00001C530000}"/>
    <cellStyle name="Normal 14 3" xfId="4173" xr:uid="{00000000-0005-0000-0000-00001D530000}"/>
    <cellStyle name="Normal 14 3 2" xfId="4174" xr:uid="{00000000-0005-0000-0000-00001E530000}"/>
    <cellStyle name="Normal 14 3 2 2" xfId="31730" xr:uid="{00000000-0005-0000-0000-00001F530000}"/>
    <cellStyle name="Normal 14 3 2 2 2" xfId="39911" xr:uid="{00000000-0005-0000-0000-000020530000}"/>
    <cellStyle name="Normal 14 3 2 3" xfId="31731" xr:uid="{00000000-0005-0000-0000-000021530000}"/>
    <cellStyle name="Normal 14 3 2 3 2" xfId="39912" xr:uid="{00000000-0005-0000-0000-000022530000}"/>
    <cellStyle name="Normal 14 3 2 4" xfId="31732" xr:uid="{00000000-0005-0000-0000-000023530000}"/>
    <cellStyle name="Normal 14 3 2 4 2" xfId="39913" xr:uid="{00000000-0005-0000-0000-000024530000}"/>
    <cellStyle name="Normal 14 3 2 5" xfId="31733" xr:uid="{00000000-0005-0000-0000-000025530000}"/>
    <cellStyle name="Normal 14 3 2 5 2" xfId="39914" xr:uid="{00000000-0005-0000-0000-000026530000}"/>
    <cellStyle name="Normal 14 3 2 6" xfId="31734" xr:uid="{00000000-0005-0000-0000-000027530000}"/>
    <cellStyle name="Normal 14 3 2 6 2" xfId="39915" xr:uid="{00000000-0005-0000-0000-000028530000}"/>
    <cellStyle name="Normal 14 3 2 7" xfId="39910" xr:uid="{00000000-0005-0000-0000-000029530000}"/>
    <cellStyle name="Normal 14 3 2 8" xfId="31729" xr:uid="{00000000-0005-0000-0000-00002A530000}"/>
    <cellStyle name="Normal 14 3 3" xfId="4175" xr:uid="{00000000-0005-0000-0000-00002B530000}"/>
    <cellStyle name="Normal 14 3 3 2" xfId="31736" xr:uid="{00000000-0005-0000-0000-00002C530000}"/>
    <cellStyle name="Normal 14 3 3 2 2" xfId="39917" xr:uid="{00000000-0005-0000-0000-00002D530000}"/>
    <cellStyle name="Normal 14 3 3 3" xfId="31737" xr:uid="{00000000-0005-0000-0000-00002E530000}"/>
    <cellStyle name="Normal 14 3 3 3 2" xfId="39918" xr:uid="{00000000-0005-0000-0000-00002F530000}"/>
    <cellStyle name="Normal 14 3 3 4" xfId="39916" xr:uid="{00000000-0005-0000-0000-000030530000}"/>
    <cellStyle name="Normal 14 3 3 5" xfId="31735" xr:uid="{00000000-0005-0000-0000-000031530000}"/>
    <cellStyle name="Normal 14 3 4" xfId="31738" xr:uid="{00000000-0005-0000-0000-000032530000}"/>
    <cellStyle name="Normal 14 3 4 2" xfId="31739" xr:uid="{00000000-0005-0000-0000-000033530000}"/>
    <cellStyle name="Normal 14 3 4 2 2" xfId="39920" xr:uid="{00000000-0005-0000-0000-000034530000}"/>
    <cellStyle name="Normal 14 3 4 3" xfId="39919" xr:uid="{00000000-0005-0000-0000-000035530000}"/>
    <cellStyle name="Normal 14 3 5" xfId="31740" xr:uid="{00000000-0005-0000-0000-000036530000}"/>
    <cellStyle name="Normal 14 3 5 2" xfId="39921" xr:uid="{00000000-0005-0000-0000-000037530000}"/>
    <cellStyle name="Normal 14 3 6" xfId="31741" xr:uid="{00000000-0005-0000-0000-000038530000}"/>
    <cellStyle name="Normal 14 3 6 2" xfId="39922" xr:uid="{00000000-0005-0000-0000-000039530000}"/>
    <cellStyle name="Normal 14 3 7" xfId="31742" xr:uid="{00000000-0005-0000-0000-00003A530000}"/>
    <cellStyle name="Normal 14 3 7 2" xfId="39923" xr:uid="{00000000-0005-0000-0000-00003B530000}"/>
    <cellStyle name="Normal 14 3 8" xfId="39909" xr:uid="{00000000-0005-0000-0000-00003C530000}"/>
    <cellStyle name="Normal 14 3 9" xfId="31728" xr:uid="{00000000-0005-0000-0000-00003D530000}"/>
    <cellStyle name="Normal 14 4" xfId="4176" xr:uid="{00000000-0005-0000-0000-00003E530000}"/>
    <cellStyle name="Normal 14 4 2" xfId="4177" xr:uid="{00000000-0005-0000-0000-00003F530000}"/>
    <cellStyle name="Normal 14 4 2 2" xfId="31745" xr:uid="{00000000-0005-0000-0000-000040530000}"/>
    <cellStyle name="Normal 14 4 2 2 2" xfId="39926" xr:uid="{00000000-0005-0000-0000-000041530000}"/>
    <cellStyle name="Normal 14 4 2 3" xfId="31746" xr:uid="{00000000-0005-0000-0000-000042530000}"/>
    <cellStyle name="Normal 14 4 2 3 2" xfId="39927" xr:uid="{00000000-0005-0000-0000-000043530000}"/>
    <cellStyle name="Normal 14 4 2 4" xfId="31747" xr:uid="{00000000-0005-0000-0000-000044530000}"/>
    <cellStyle name="Normal 14 4 2 4 2" xfId="39928" xr:uid="{00000000-0005-0000-0000-000045530000}"/>
    <cellStyle name="Normal 14 4 2 5" xfId="31748" xr:uid="{00000000-0005-0000-0000-000046530000}"/>
    <cellStyle name="Normal 14 4 2 5 2" xfId="39929" xr:uid="{00000000-0005-0000-0000-000047530000}"/>
    <cellStyle name="Normal 14 4 2 6" xfId="31749" xr:uid="{00000000-0005-0000-0000-000048530000}"/>
    <cellStyle name="Normal 14 4 2 6 2" xfId="39930" xr:uid="{00000000-0005-0000-0000-000049530000}"/>
    <cellStyle name="Normal 14 4 2 7" xfId="39925" xr:uid="{00000000-0005-0000-0000-00004A530000}"/>
    <cellStyle name="Normal 14 4 2 8" xfId="31744" xr:uid="{00000000-0005-0000-0000-00004B530000}"/>
    <cellStyle name="Normal 14 4 3" xfId="4178" xr:uid="{00000000-0005-0000-0000-00004C530000}"/>
    <cellStyle name="Normal 14 4 3 2" xfId="31751" xr:uid="{00000000-0005-0000-0000-00004D530000}"/>
    <cellStyle name="Normal 14 4 3 2 2" xfId="39932" xr:uid="{00000000-0005-0000-0000-00004E530000}"/>
    <cellStyle name="Normal 14 4 3 3" xfId="39931" xr:uid="{00000000-0005-0000-0000-00004F530000}"/>
    <cellStyle name="Normal 14 4 3 4" xfId="31750" xr:uid="{00000000-0005-0000-0000-000050530000}"/>
    <cellStyle name="Normal 14 4 4" xfId="31752" xr:uid="{00000000-0005-0000-0000-000051530000}"/>
    <cellStyle name="Normal 14 4 4 2" xfId="31753" xr:uid="{00000000-0005-0000-0000-000052530000}"/>
    <cellStyle name="Normal 14 4 4 2 2" xfId="39934" xr:uid="{00000000-0005-0000-0000-000053530000}"/>
    <cellStyle name="Normal 14 4 4 3" xfId="39933" xr:uid="{00000000-0005-0000-0000-000054530000}"/>
    <cellStyle name="Normal 14 4 5" xfId="31754" xr:uid="{00000000-0005-0000-0000-000055530000}"/>
    <cellStyle name="Normal 14 4 5 2" xfId="39935" xr:uid="{00000000-0005-0000-0000-000056530000}"/>
    <cellStyle name="Normal 14 4 6" xfId="31755" xr:uid="{00000000-0005-0000-0000-000057530000}"/>
    <cellStyle name="Normal 14 4 6 2" xfId="39936" xr:uid="{00000000-0005-0000-0000-000058530000}"/>
    <cellStyle name="Normal 14 4 7" xfId="31756" xr:uid="{00000000-0005-0000-0000-000059530000}"/>
    <cellStyle name="Normal 14 4 8" xfId="39924" xr:uid="{00000000-0005-0000-0000-00005A530000}"/>
    <cellStyle name="Normal 14 4 9" xfId="31743" xr:uid="{00000000-0005-0000-0000-00005B530000}"/>
    <cellStyle name="Normal 14 5" xfId="4179" xr:uid="{00000000-0005-0000-0000-00005C530000}"/>
    <cellStyle name="Normal 14 5 2" xfId="4180" xr:uid="{00000000-0005-0000-0000-00005D530000}"/>
    <cellStyle name="Normal 14 5 2 2" xfId="31759" xr:uid="{00000000-0005-0000-0000-00005E530000}"/>
    <cellStyle name="Normal 14 5 2 2 2" xfId="39939" xr:uid="{00000000-0005-0000-0000-00005F530000}"/>
    <cellStyle name="Normal 14 5 2 3" xfId="31760" xr:uid="{00000000-0005-0000-0000-000060530000}"/>
    <cellStyle name="Normal 14 5 2 3 2" xfId="39940" xr:uid="{00000000-0005-0000-0000-000061530000}"/>
    <cellStyle name="Normal 14 5 2 4" xfId="31761" xr:uid="{00000000-0005-0000-0000-000062530000}"/>
    <cellStyle name="Normal 14 5 2 4 2" xfId="39941" xr:uid="{00000000-0005-0000-0000-000063530000}"/>
    <cellStyle name="Normal 14 5 2 5" xfId="31762" xr:uid="{00000000-0005-0000-0000-000064530000}"/>
    <cellStyle name="Normal 14 5 2 5 2" xfId="39942" xr:uid="{00000000-0005-0000-0000-000065530000}"/>
    <cellStyle name="Normal 14 5 2 6" xfId="39938" xr:uid="{00000000-0005-0000-0000-000066530000}"/>
    <cellStyle name="Normal 14 5 2 7" xfId="31758" xr:uid="{00000000-0005-0000-0000-000067530000}"/>
    <cellStyle name="Normal 14 5 3" xfId="4181" xr:uid="{00000000-0005-0000-0000-000068530000}"/>
    <cellStyle name="Normal 14 5 3 2" xfId="31764" xr:uid="{00000000-0005-0000-0000-000069530000}"/>
    <cellStyle name="Normal 14 5 3 2 2" xfId="39944" xr:uid="{00000000-0005-0000-0000-00006A530000}"/>
    <cellStyle name="Normal 14 5 3 3" xfId="39943" xr:uid="{00000000-0005-0000-0000-00006B530000}"/>
    <cellStyle name="Normal 14 5 3 4" xfId="31763" xr:uid="{00000000-0005-0000-0000-00006C530000}"/>
    <cellStyle name="Normal 14 5 4" xfId="31765" xr:uid="{00000000-0005-0000-0000-00006D530000}"/>
    <cellStyle name="Normal 14 5 4 2" xfId="31766" xr:uid="{00000000-0005-0000-0000-00006E530000}"/>
    <cellStyle name="Normal 14 5 4 2 2" xfId="39946" xr:uid="{00000000-0005-0000-0000-00006F530000}"/>
    <cellStyle name="Normal 14 5 4 3" xfId="39945" xr:uid="{00000000-0005-0000-0000-000070530000}"/>
    <cellStyle name="Normal 14 5 5" xfId="31767" xr:uid="{00000000-0005-0000-0000-000071530000}"/>
    <cellStyle name="Normal 14 5 5 2" xfId="39947" xr:uid="{00000000-0005-0000-0000-000072530000}"/>
    <cellStyle name="Normal 14 5 6" xfId="31768" xr:uid="{00000000-0005-0000-0000-000073530000}"/>
    <cellStyle name="Normal 14 5 6 2" xfId="39948" xr:uid="{00000000-0005-0000-0000-000074530000}"/>
    <cellStyle name="Normal 14 5 7" xfId="31769" xr:uid="{00000000-0005-0000-0000-000075530000}"/>
    <cellStyle name="Normal 14 5 8" xfId="39937" xr:uid="{00000000-0005-0000-0000-000076530000}"/>
    <cellStyle name="Normal 14 5 9" xfId="31757" xr:uid="{00000000-0005-0000-0000-000077530000}"/>
    <cellStyle name="Normal 14 6" xfId="4182" xr:uid="{00000000-0005-0000-0000-000078530000}"/>
    <cellStyle name="Normal 14 6 2" xfId="4183" xr:uid="{00000000-0005-0000-0000-000079530000}"/>
    <cellStyle name="Normal 14 6 2 2" xfId="39950" xr:uid="{00000000-0005-0000-0000-00007A530000}"/>
    <cellStyle name="Normal 14 6 2 3" xfId="31771" xr:uid="{00000000-0005-0000-0000-00007B530000}"/>
    <cellStyle name="Normal 14 6 3" xfId="4184" xr:uid="{00000000-0005-0000-0000-00007C530000}"/>
    <cellStyle name="Normal 14 6 3 2" xfId="39951" xr:uid="{00000000-0005-0000-0000-00007D530000}"/>
    <cellStyle name="Normal 14 6 3 3" xfId="31772" xr:uid="{00000000-0005-0000-0000-00007E530000}"/>
    <cellStyle name="Normal 14 6 4" xfId="31773" xr:uid="{00000000-0005-0000-0000-00007F530000}"/>
    <cellStyle name="Normal 14 6 4 2" xfId="39952" xr:uid="{00000000-0005-0000-0000-000080530000}"/>
    <cellStyle name="Normal 14 6 5" xfId="31774" xr:uid="{00000000-0005-0000-0000-000081530000}"/>
    <cellStyle name="Normal 14 6 5 2" xfId="39953" xr:uid="{00000000-0005-0000-0000-000082530000}"/>
    <cellStyle name="Normal 14 6 6" xfId="39949" xr:uid="{00000000-0005-0000-0000-000083530000}"/>
    <cellStyle name="Normal 14 6 7" xfId="31770" xr:uid="{00000000-0005-0000-0000-000084530000}"/>
    <cellStyle name="Normal 14 7" xfId="4185" xr:uid="{00000000-0005-0000-0000-000085530000}"/>
    <cellStyle name="Normal 14 7 2" xfId="4186" xr:uid="{00000000-0005-0000-0000-000086530000}"/>
    <cellStyle name="Normal 14 7 2 2" xfId="39955" xr:uid="{00000000-0005-0000-0000-000087530000}"/>
    <cellStyle name="Normal 14 7 2 3" xfId="31776" xr:uid="{00000000-0005-0000-0000-000088530000}"/>
    <cellStyle name="Normal 14 7 3" xfId="4187" xr:uid="{00000000-0005-0000-0000-000089530000}"/>
    <cellStyle name="Normal 14 7 3 2" xfId="39956" xr:uid="{00000000-0005-0000-0000-00008A530000}"/>
    <cellStyle name="Normal 14 7 3 3" xfId="31777" xr:uid="{00000000-0005-0000-0000-00008B530000}"/>
    <cellStyle name="Normal 14 7 4" xfId="31778" xr:uid="{00000000-0005-0000-0000-00008C530000}"/>
    <cellStyle name="Normal 14 7 4 2" xfId="39957" xr:uid="{00000000-0005-0000-0000-00008D530000}"/>
    <cellStyle name="Normal 14 7 5" xfId="39954" xr:uid="{00000000-0005-0000-0000-00008E530000}"/>
    <cellStyle name="Normal 14 7 6" xfId="31775" xr:uid="{00000000-0005-0000-0000-00008F530000}"/>
    <cellStyle name="Normal 14 8" xfId="4188" xr:uid="{00000000-0005-0000-0000-000090530000}"/>
    <cellStyle name="Normal 14 8 2" xfId="10119" xr:uid="{00000000-0005-0000-0000-000091530000}"/>
    <cellStyle name="Normal 14 8 2 2" xfId="39959" xr:uid="{00000000-0005-0000-0000-000092530000}"/>
    <cellStyle name="Normal 14 8 2 3" xfId="31780" xr:uid="{00000000-0005-0000-0000-000093530000}"/>
    <cellStyle name="Normal 14 8 3" xfId="31781" xr:uid="{00000000-0005-0000-0000-000094530000}"/>
    <cellStyle name="Normal 14 8 3 2" xfId="39960" xr:uid="{00000000-0005-0000-0000-000095530000}"/>
    <cellStyle name="Normal 14 8 4" xfId="31782" xr:uid="{00000000-0005-0000-0000-000096530000}"/>
    <cellStyle name="Normal 14 8 4 2" xfId="39961" xr:uid="{00000000-0005-0000-0000-000097530000}"/>
    <cellStyle name="Normal 14 8 5" xfId="39958" xr:uid="{00000000-0005-0000-0000-000098530000}"/>
    <cellStyle name="Normal 14 8 6" xfId="31779" xr:uid="{00000000-0005-0000-0000-000099530000}"/>
    <cellStyle name="Normal 14 9" xfId="4189" xr:uid="{00000000-0005-0000-0000-00009A530000}"/>
    <cellStyle name="Normal 14 9 2" xfId="10120" xr:uid="{00000000-0005-0000-0000-00009B530000}"/>
    <cellStyle name="Normal 14 9 2 2" xfId="39963" xr:uid="{00000000-0005-0000-0000-00009C530000}"/>
    <cellStyle name="Normal 14 9 2 3" xfId="31784" xr:uid="{00000000-0005-0000-0000-00009D530000}"/>
    <cellStyle name="Normal 14 9 3" xfId="31785" xr:uid="{00000000-0005-0000-0000-00009E530000}"/>
    <cellStyle name="Normal 14 9 3 2" xfId="39964" xr:uid="{00000000-0005-0000-0000-00009F530000}"/>
    <cellStyle name="Normal 14 9 4" xfId="31786" xr:uid="{00000000-0005-0000-0000-0000A0530000}"/>
    <cellStyle name="Normal 14 9 4 2" xfId="39965" xr:uid="{00000000-0005-0000-0000-0000A1530000}"/>
    <cellStyle name="Normal 14 9 5" xfId="39962" xr:uid="{00000000-0005-0000-0000-0000A2530000}"/>
    <cellStyle name="Normal 14 9 6" xfId="31783" xr:uid="{00000000-0005-0000-0000-0000A3530000}"/>
    <cellStyle name="Normal 140" xfId="11" xr:uid="{00000000-0005-0000-0000-0000A4530000}"/>
    <cellStyle name="Normal 140 2" xfId="31788" xr:uid="{00000000-0005-0000-0000-0000A5530000}"/>
    <cellStyle name="Normal 140 3" xfId="31789" xr:uid="{00000000-0005-0000-0000-0000A6530000}"/>
    <cellStyle name="Normal 140 4" xfId="39966" xr:uid="{00000000-0005-0000-0000-0000A7530000}"/>
    <cellStyle name="Normal 140 5" xfId="31787" xr:uid="{00000000-0005-0000-0000-0000A8530000}"/>
    <cellStyle name="Normal 141" xfId="15283" xr:uid="{00000000-0005-0000-0000-0000A9530000}"/>
    <cellStyle name="Normal 141 2" xfId="31791" xr:uid="{00000000-0005-0000-0000-0000AA530000}"/>
    <cellStyle name="Normal 141 3" xfId="31792" xr:uid="{00000000-0005-0000-0000-0000AB530000}"/>
    <cellStyle name="Normal 141 4" xfId="39967" xr:uid="{00000000-0005-0000-0000-0000AC530000}"/>
    <cellStyle name="Normal 141 5" xfId="31790" xr:uid="{00000000-0005-0000-0000-0000AD530000}"/>
    <cellStyle name="Normal 142" xfId="16" xr:uid="{00000000-0005-0000-0000-0000AE530000}"/>
    <cellStyle name="Normal 142 2" xfId="31794" xr:uid="{00000000-0005-0000-0000-0000AF530000}"/>
    <cellStyle name="Normal 142 3" xfId="31795" xr:uid="{00000000-0005-0000-0000-0000B0530000}"/>
    <cellStyle name="Normal 142 4" xfId="39968" xr:uid="{00000000-0005-0000-0000-0000B1530000}"/>
    <cellStyle name="Normal 142 5" xfId="31793" xr:uid="{00000000-0005-0000-0000-0000B2530000}"/>
    <cellStyle name="Normal 143" xfId="19260" xr:uid="{00000000-0005-0000-0000-0000B3530000}"/>
    <cellStyle name="Normal 143 2" xfId="42" xr:uid="{00000000-0005-0000-0000-0000B4530000}"/>
    <cellStyle name="Normal 143 2 2" xfId="31797" xr:uid="{00000000-0005-0000-0000-0000B5530000}"/>
    <cellStyle name="Normal 143 3" xfId="31798" xr:uid="{00000000-0005-0000-0000-0000B6530000}"/>
    <cellStyle name="Normal 143 4" xfId="39969" xr:uid="{00000000-0005-0000-0000-0000B7530000}"/>
    <cellStyle name="Normal 143 5" xfId="31796" xr:uid="{00000000-0005-0000-0000-0000B8530000}"/>
    <cellStyle name="Normal 144" xfId="19261" xr:uid="{00000000-0005-0000-0000-0000B9530000}"/>
    <cellStyle name="Normal 144 2" xfId="31799" xr:uid="{00000000-0005-0000-0000-0000BA530000}"/>
    <cellStyle name="Normal 144 3" xfId="31800" xr:uid="{00000000-0005-0000-0000-0000BB530000}"/>
    <cellStyle name="Normal 144 4" xfId="39970" xr:uid="{00000000-0005-0000-0000-0000BC530000}"/>
    <cellStyle name="Normal 145" xfId="43" xr:uid="{00000000-0005-0000-0000-0000BD530000}"/>
    <cellStyle name="Normal 145 2" xfId="31801" xr:uid="{00000000-0005-0000-0000-0000BE530000}"/>
    <cellStyle name="Normal 145 3" xfId="31802" xr:uid="{00000000-0005-0000-0000-0000BF530000}"/>
    <cellStyle name="Normal 145 4" xfId="39971" xr:uid="{00000000-0005-0000-0000-0000C0530000}"/>
    <cellStyle name="Normal 146" xfId="19262" xr:uid="{00000000-0005-0000-0000-0000C1530000}"/>
    <cellStyle name="Normal 146 2" xfId="31803" xr:uid="{00000000-0005-0000-0000-0000C2530000}"/>
    <cellStyle name="Normal 146 3" xfId="31804" xr:uid="{00000000-0005-0000-0000-0000C3530000}"/>
    <cellStyle name="Normal 146 4" xfId="39972" xr:uid="{00000000-0005-0000-0000-0000C4530000}"/>
    <cellStyle name="Normal 147" xfId="19263" xr:uid="{00000000-0005-0000-0000-0000C5530000}"/>
    <cellStyle name="Normal 147 2" xfId="31805" xr:uid="{00000000-0005-0000-0000-0000C6530000}"/>
    <cellStyle name="Normal 147 3" xfId="31806" xr:uid="{00000000-0005-0000-0000-0000C7530000}"/>
    <cellStyle name="Normal 147 4" xfId="39973" xr:uid="{00000000-0005-0000-0000-0000C8530000}"/>
    <cellStyle name="Normal 148" xfId="19264" xr:uid="{00000000-0005-0000-0000-0000C9530000}"/>
    <cellStyle name="Normal 148 2" xfId="31807" xr:uid="{00000000-0005-0000-0000-0000CA530000}"/>
    <cellStyle name="Normal 148 3" xfId="31808" xr:uid="{00000000-0005-0000-0000-0000CB530000}"/>
    <cellStyle name="Normal 148 4" xfId="39974" xr:uid="{00000000-0005-0000-0000-0000CC530000}"/>
    <cellStyle name="Normal 149" xfId="19265" xr:uid="{00000000-0005-0000-0000-0000CD530000}"/>
    <cellStyle name="Normal 149 2" xfId="31809" xr:uid="{00000000-0005-0000-0000-0000CE530000}"/>
    <cellStyle name="Normal 149 3" xfId="31810" xr:uid="{00000000-0005-0000-0000-0000CF530000}"/>
    <cellStyle name="Normal 149 4" xfId="39975" xr:uid="{00000000-0005-0000-0000-0000D0530000}"/>
    <cellStyle name="Normal 15" xfId="4190" xr:uid="{00000000-0005-0000-0000-0000D1530000}"/>
    <cellStyle name="Normal 15 10" xfId="31812" xr:uid="{00000000-0005-0000-0000-0000D2530000}"/>
    <cellStyle name="Normal 15 10 2" xfId="39976" xr:uid="{00000000-0005-0000-0000-0000D3530000}"/>
    <cellStyle name="Normal 15 11" xfId="31811" xr:uid="{00000000-0005-0000-0000-0000D4530000}"/>
    <cellStyle name="Normal 15 2" xfId="4191" xr:uid="{00000000-0005-0000-0000-0000D5530000}"/>
    <cellStyle name="Normal 15 2 2" xfId="4192" xr:uid="{00000000-0005-0000-0000-0000D6530000}"/>
    <cellStyle name="Normal 15 2 2 2" xfId="31815" xr:uid="{00000000-0005-0000-0000-0000D7530000}"/>
    <cellStyle name="Normal 15 2 2 2 2" xfId="31816" xr:uid="{00000000-0005-0000-0000-0000D8530000}"/>
    <cellStyle name="Normal 15 2 2 2 2 2" xfId="39980" xr:uid="{00000000-0005-0000-0000-0000D9530000}"/>
    <cellStyle name="Normal 15 2 2 2 3" xfId="39979" xr:uid="{00000000-0005-0000-0000-0000DA530000}"/>
    <cellStyle name="Normal 15 2 2 3" xfId="31817" xr:uid="{00000000-0005-0000-0000-0000DB530000}"/>
    <cellStyle name="Normal 15 2 2 3 2" xfId="39981" xr:uid="{00000000-0005-0000-0000-0000DC530000}"/>
    <cellStyle name="Normal 15 2 2 4" xfId="31818" xr:uid="{00000000-0005-0000-0000-0000DD530000}"/>
    <cellStyle name="Normal 15 2 2 4 2" xfId="39982" xr:uid="{00000000-0005-0000-0000-0000DE530000}"/>
    <cellStyle name="Normal 15 2 2 5" xfId="39978" xr:uid="{00000000-0005-0000-0000-0000DF530000}"/>
    <cellStyle name="Normal 15 2 2 6" xfId="31814" xr:uid="{00000000-0005-0000-0000-0000E0530000}"/>
    <cellStyle name="Normal 15 2 3" xfId="4193" xr:uid="{00000000-0005-0000-0000-0000E1530000}"/>
    <cellStyle name="Normal 15 2 3 2" xfId="31820" xr:uid="{00000000-0005-0000-0000-0000E2530000}"/>
    <cellStyle name="Normal 15 2 3 2 2" xfId="39984" xr:uid="{00000000-0005-0000-0000-0000E3530000}"/>
    <cellStyle name="Normal 15 2 3 3" xfId="39983" xr:uid="{00000000-0005-0000-0000-0000E4530000}"/>
    <cellStyle name="Normal 15 2 3 4" xfId="31819" xr:uid="{00000000-0005-0000-0000-0000E5530000}"/>
    <cellStyle name="Normal 15 2 4" xfId="31821" xr:uid="{00000000-0005-0000-0000-0000E6530000}"/>
    <cellStyle name="Normal 15 2 4 2" xfId="39985" xr:uid="{00000000-0005-0000-0000-0000E7530000}"/>
    <cellStyle name="Normal 15 2 5" xfId="31822" xr:uid="{00000000-0005-0000-0000-0000E8530000}"/>
    <cellStyle name="Normal 15 2 5 2" xfId="39986" xr:uid="{00000000-0005-0000-0000-0000E9530000}"/>
    <cellStyle name="Normal 15 2 6" xfId="39977" xr:uid="{00000000-0005-0000-0000-0000EA530000}"/>
    <cellStyle name="Normal 15 2 7" xfId="31813" xr:uid="{00000000-0005-0000-0000-0000EB530000}"/>
    <cellStyle name="Normal 15 3" xfId="4194" xr:uid="{00000000-0005-0000-0000-0000EC530000}"/>
    <cellStyle name="Normal 15 3 2" xfId="4195" xr:uid="{00000000-0005-0000-0000-0000ED530000}"/>
    <cellStyle name="Normal 15 3 2 2" xfId="31825" xr:uid="{00000000-0005-0000-0000-0000EE530000}"/>
    <cellStyle name="Normal 15 3 2 2 2" xfId="31826" xr:uid="{00000000-0005-0000-0000-0000EF530000}"/>
    <cellStyle name="Normal 15 3 2 2 2 2" xfId="39990" xr:uid="{00000000-0005-0000-0000-0000F0530000}"/>
    <cellStyle name="Normal 15 3 2 2 3" xfId="39989" xr:uid="{00000000-0005-0000-0000-0000F1530000}"/>
    <cellStyle name="Normal 15 3 2 3" xfId="31827" xr:uid="{00000000-0005-0000-0000-0000F2530000}"/>
    <cellStyle name="Normal 15 3 2 3 2" xfId="39991" xr:uid="{00000000-0005-0000-0000-0000F3530000}"/>
    <cellStyle name="Normal 15 3 2 4" xfId="31828" xr:uid="{00000000-0005-0000-0000-0000F4530000}"/>
    <cellStyle name="Normal 15 3 2 4 2" xfId="39992" xr:uid="{00000000-0005-0000-0000-0000F5530000}"/>
    <cellStyle name="Normal 15 3 2 5" xfId="39988" xr:uid="{00000000-0005-0000-0000-0000F6530000}"/>
    <cellStyle name="Normal 15 3 2 6" xfId="31824" xr:uid="{00000000-0005-0000-0000-0000F7530000}"/>
    <cellStyle name="Normal 15 3 3" xfId="4196" xr:uid="{00000000-0005-0000-0000-0000F8530000}"/>
    <cellStyle name="Normal 15 3 3 2" xfId="31830" xr:uid="{00000000-0005-0000-0000-0000F9530000}"/>
    <cellStyle name="Normal 15 3 3 2 2" xfId="39994" xr:uid="{00000000-0005-0000-0000-0000FA530000}"/>
    <cellStyle name="Normal 15 3 3 3" xfId="39993" xr:uid="{00000000-0005-0000-0000-0000FB530000}"/>
    <cellStyle name="Normal 15 3 3 4" xfId="31829" xr:uid="{00000000-0005-0000-0000-0000FC530000}"/>
    <cellStyle name="Normal 15 3 4" xfId="31831" xr:uid="{00000000-0005-0000-0000-0000FD530000}"/>
    <cellStyle name="Normal 15 3 4 2" xfId="39995" xr:uid="{00000000-0005-0000-0000-0000FE530000}"/>
    <cellStyle name="Normal 15 3 5" xfId="31832" xr:uid="{00000000-0005-0000-0000-0000FF530000}"/>
    <cellStyle name="Normal 15 3 5 2" xfId="39996" xr:uid="{00000000-0005-0000-0000-000000540000}"/>
    <cellStyle name="Normal 15 3 6" xfId="39987" xr:uid="{00000000-0005-0000-0000-000001540000}"/>
    <cellStyle name="Normal 15 3 7" xfId="31823" xr:uid="{00000000-0005-0000-0000-000002540000}"/>
    <cellStyle name="Normal 15 4" xfId="4197" xr:uid="{00000000-0005-0000-0000-000003540000}"/>
    <cellStyle name="Normal 15 4 2" xfId="4198" xr:uid="{00000000-0005-0000-0000-000004540000}"/>
    <cellStyle name="Normal 15 4 2 2" xfId="31835" xr:uid="{00000000-0005-0000-0000-000005540000}"/>
    <cellStyle name="Normal 15 4 2 2 2" xfId="31836" xr:uid="{00000000-0005-0000-0000-000006540000}"/>
    <cellStyle name="Normal 15 4 2 2 2 2" xfId="40000" xr:uid="{00000000-0005-0000-0000-000007540000}"/>
    <cellStyle name="Normal 15 4 2 2 3" xfId="39999" xr:uid="{00000000-0005-0000-0000-000008540000}"/>
    <cellStyle name="Normal 15 4 2 3" xfId="31837" xr:uid="{00000000-0005-0000-0000-000009540000}"/>
    <cellStyle name="Normal 15 4 2 3 2" xfId="40001" xr:uid="{00000000-0005-0000-0000-00000A540000}"/>
    <cellStyle name="Normal 15 4 2 4" xfId="31838" xr:uid="{00000000-0005-0000-0000-00000B540000}"/>
    <cellStyle name="Normal 15 4 2 4 2" xfId="40002" xr:uid="{00000000-0005-0000-0000-00000C540000}"/>
    <cellStyle name="Normal 15 4 2 5" xfId="39998" xr:uid="{00000000-0005-0000-0000-00000D540000}"/>
    <cellStyle name="Normal 15 4 2 6" xfId="31834" xr:uid="{00000000-0005-0000-0000-00000E540000}"/>
    <cellStyle name="Normal 15 4 3" xfId="4199" xr:uid="{00000000-0005-0000-0000-00000F540000}"/>
    <cellStyle name="Normal 15 4 3 2" xfId="31840" xr:uid="{00000000-0005-0000-0000-000010540000}"/>
    <cellStyle name="Normal 15 4 3 2 2" xfId="40004" xr:uid="{00000000-0005-0000-0000-000011540000}"/>
    <cellStyle name="Normal 15 4 3 3" xfId="40003" xr:uid="{00000000-0005-0000-0000-000012540000}"/>
    <cellStyle name="Normal 15 4 3 4" xfId="31839" xr:uid="{00000000-0005-0000-0000-000013540000}"/>
    <cellStyle name="Normal 15 4 4" xfId="31841" xr:uid="{00000000-0005-0000-0000-000014540000}"/>
    <cellStyle name="Normal 15 4 4 2" xfId="40005" xr:uid="{00000000-0005-0000-0000-000015540000}"/>
    <cellStyle name="Normal 15 4 5" xfId="31842" xr:uid="{00000000-0005-0000-0000-000016540000}"/>
    <cellStyle name="Normal 15 4 5 2" xfId="40006" xr:uid="{00000000-0005-0000-0000-000017540000}"/>
    <cellStyle name="Normal 15 4 6" xfId="31843" xr:uid="{00000000-0005-0000-0000-000018540000}"/>
    <cellStyle name="Normal 15 4 7" xfId="39997" xr:uid="{00000000-0005-0000-0000-000019540000}"/>
    <cellStyle name="Normal 15 4 8" xfId="31833" xr:uid="{00000000-0005-0000-0000-00001A540000}"/>
    <cellStyle name="Normal 15 5" xfId="4200" xr:uid="{00000000-0005-0000-0000-00001B540000}"/>
    <cellStyle name="Normal 15 5 2" xfId="4201" xr:uid="{00000000-0005-0000-0000-00001C540000}"/>
    <cellStyle name="Normal 15 5 2 2" xfId="31846" xr:uid="{00000000-0005-0000-0000-00001D540000}"/>
    <cellStyle name="Normal 15 5 2 2 2" xfId="40009" xr:uid="{00000000-0005-0000-0000-00001E540000}"/>
    <cellStyle name="Normal 15 5 2 3" xfId="31847" xr:uid="{00000000-0005-0000-0000-00001F540000}"/>
    <cellStyle name="Normal 15 5 2 3 2" xfId="40010" xr:uid="{00000000-0005-0000-0000-000020540000}"/>
    <cellStyle name="Normal 15 5 2 4" xfId="40008" xr:uid="{00000000-0005-0000-0000-000021540000}"/>
    <cellStyle name="Normal 15 5 2 5" xfId="31845" xr:uid="{00000000-0005-0000-0000-000022540000}"/>
    <cellStyle name="Normal 15 5 3" xfId="4202" xr:uid="{00000000-0005-0000-0000-000023540000}"/>
    <cellStyle name="Normal 15 5 3 2" xfId="40011" xr:uid="{00000000-0005-0000-0000-000024540000}"/>
    <cellStyle name="Normal 15 5 3 3" xfId="31848" xr:uid="{00000000-0005-0000-0000-000025540000}"/>
    <cellStyle name="Normal 15 5 4" xfId="31849" xr:uid="{00000000-0005-0000-0000-000026540000}"/>
    <cellStyle name="Normal 15 5 4 2" xfId="40012" xr:uid="{00000000-0005-0000-0000-000027540000}"/>
    <cellStyle name="Normal 15 5 5" xfId="31850" xr:uid="{00000000-0005-0000-0000-000028540000}"/>
    <cellStyle name="Normal 15 5 6" xfId="40007" xr:uid="{00000000-0005-0000-0000-000029540000}"/>
    <cellStyle name="Normal 15 5 7" xfId="31844" xr:uid="{00000000-0005-0000-0000-00002A540000}"/>
    <cellStyle name="Normal 15 6" xfId="4203" xr:uid="{00000000-0005-0000-0000-00002B540000}"/>
    <cellStyle name="Normal 15 6 2" xfId="4204" xr:uid="{00000000-0005-0000-0000-00002C540000}"/>
    <cellStyle name="Normal 15 6 2 2" xfId="40014" xr:uid="{00000000-0005-0000-0000-00002D540000}"/>
    <cellStyle name="Normal 15 6 2 3" xfId="31852" xr:uid="{00000000-0005-0000-0000-00002E540000}"/>
    <cellStyle name="Normal 15 6 3" xfId="4205" xr:uid="{00000000-0005-0000-0000-00002F540000}"/>
    <cellStyle name="Normal 15 6 3 2" xfId="40013" xr:uid="{00000000-0005-0000-0000-000030540000}"/>
    <cellStyle name="Normal 15 6 4" xfId="31851" xr:uid="{00000000-0005-0000-0000-000031540000}"/>
    <cellStyle name="Normal 15 7" xfId="4206" xr:uid="{00000000-0005-0000-0000-000032540000}"/>
    <cellStyle name="Normal 15 7 2" xfId="4207" xr:uid="{00000000-0005-0000-0000-000033540000}"/>
    <cellStyle name="Normal 15 7 2 2" xfId="40015" xr:uid="{00000000-0005-0000-0000-000034540000}"/>
    <cellStyle name="Normal 15 7 3" xfId="4208" xr:uid="{00000000-0005-0000-0000-000035540000}"/>
    <cellStyle name="Normal 15 7 4" xfId="31853" xr:uid="{00000000-0005-0000-0000-000036540000}"/>
    <cellStyle name="Normal 15 8" xfId="4209" xr:uid="{00000000-0005-0000-0000-000037540000}"/>
    <cellStyle name="Normal 15 8 2" xfId="40016" xr:uid="{00000000-0005-0000-0000-000038540000}"/>
    <cellStyle name="Normal 15 8 3" xfId="31854" xr:uid="{00000000-0005-0000-0000-000039540000}"/>
    <cellStyle name="Normal 15 9" xfId="4210" xr:uid="{00000000-0005-0000-0000-00003A540000}"/>
    <cellStyle name="Normal 15 9 2" xfId="40017" xr:uid="{00000000-0005-0000-0000-00003B540000}"/>
    <cellStyle name="Normal 15 9 3" xfId="31855" xr:uid="{00000000-0005-0000-0000-00003C540000}"/>
    <cellStyle name="Normal 150" xfId="19266" xr:uid="{00000000-0005-0000-0000-00003D540000}"/>
    <cellStyle name="Normal 150 2" xfId="31856" xr:uid="{00000000-0005-0000-0000-00003E540000}"/>
    <cellStyle name="Normal 150 3" xfId="31857" xr:uid="{00000000-0005-0000-0000-00003F540000}"/>
    <cellStyle name="Normal 150 4" xfId="40018" xr:uid="{00000000-0005-0000-0000-000040540000}"/>
    <cellStyle name="Normal 151" xfId="19267" xr:uid="{00000000-0005-0000-0000-000041540000}"/>
    <cellStyle name="Normal 151 2" xfId="31858" xr:uid="{00000000-0005-0000-0000-000042540000}"/>
    <cellStyle name="Normal 151 3" xfId="31859" xr:uid="{00000000-0005-0000-0000-000043540000}"/>
    <cellStyle name="Normal 151 4" xfId="40019" xr:uid="{00000000-0005-0000-0000-000044540000}"/>
    <cellStyle name="Normal 152" xfId="19268" xr:uid="{00000000-0005-0000-0000-000045540000}"/>
    <cellStyle name="Normal 152 2" xfId="31860" xr:uid="{00000000-0005-0000-0000-000046540000}"/>
    <cellStyle name="Normal 152 3" xfId="31861" xr:uid="{00000000-0005-0000-0000-000047540000}"/>
    <cellStyle name="Normal 152 4" xfId="40020" xr:uid="{00000000-0005-0000-0000-000048540000}"/>
    <cellStyle name="Normal 153" xfId="19269" xr:uid="{00000000-0005-0000-0000-000049540000}"/>
    <cellStyle name="Normal 153 2" xfId="31862" xr:uid="{00000000-0005-0000-0000-00004A540000}"/>
    <cellStyle name="Normal 153 3" xfId="31863" xr:uid="{00000000-0005-0000-0000-00004B540000}"/>
    <cellStyle name="Normal 153 4" xfId="40021" xr:uid="{00000000-0005-0000-0000-00004C540000}"/>
    <cellStyle name="Normal 154" xfId="19270" xr:uid="{00000000-0005-0000-0000-00004D540000}"/>
    <cellStyle name="Normal 154 2" xfId="31864" xr:uid="{00000000-0005-0000-0000-00004E540000}"/>
    <cellStyle name="Normal 154 3" xfId="31865" xr:uid="{00000000-0005-0000-0000-00004F540000}"/>
    <cellStyle name="Normal 154 4" xfId="40022" xr:uid="{00000000-0005-0000-0000-000050540000}"/>
    <cellStyle name="Normal 155" xfId="19271" xr:uid="{00000000-0005-0000-0000-000051540000}"/>
    <cellStyle name="Normal 155 2" xfId="31866" xr:uid="{00000000-0005-0000-0000-000052540000}"/>
    <cellStyle name="Normal 155 3" xfId="31867" xr:uid="{00000000-0005-0000-0000-000053540000}"/>
    <cellStyle name="Normal 155 4" xfId="40023" xr:uid="{00000000-0005-0000-0000-000054540000}"/>
    <cellStyle name="Normal 156" xfId="31868" xr:uid="{00000000-0005-0000-0000-000055540000}"/>
    <cellStyle name="Normal 156 2" xfId="31869" xr:uid="{00000000-0005-0000-0000-000056540000}"/>
    <cellStyle name="Normal 156 3" xfId="31870" xr:uid="{00000000-0005-0000-0000-000057540000}"/>
    <cellStyle name="Normal 156 4" xfId="40024" xr:uid="{00000000-0005-0000-0000-000058540000}"/>
    <cellStyle name="Normal 157" xfId="31871" xr:uid="{00000000-0005-0000-0000-000059540000}"/>
    <cellStyle name="Normal 157 2" xfId="31872" xr:uid="{00000000-0005-0000-0000-00005A540000}"/>
    <cellStyle name="Normal 157 3" xfId="31873" xr:uid="{00000000-0005-0000-0000-00005B540000}"/>
    <cellStyle name="Normal 157 4" xfId="40025" xr:uid="{00000000-0005-0000-0000-00005C540000}"/>
    <cellStyle name="Normal 158" xfId="31874" xr:uid="{00000000-0005-0000-0000-00005D540000}"/>
    <cellStyle name="Normal 158 2" xfId="31875" xr:uid="{00000000-0005-0000-0000-00005E540000}"/>
    <cellStyle name="Normal 158 3" xfId="31876" xr:uid="{00000000-0005-0000-0000-00005F540000}"/>
    <cellStyle name="Normal 158 4" xfId="40026" xr:uid="{00000000-0005-0000-0000-000060540000}"/>
    <cellStyle name="Normal 159" xfId="31877" xr:uid="{00000000-0005-0000-0000-000061540000}"/>
    <cellStyle name="Normal 159 2" xfId="31878" xr:uid="{00000000-0005-0000-0000-000062540000}"/>
    <cellStyle name="Normal 159 3" xfId="31879" xr:uid="{00000000-0005-0000-0000-000063540000}"/>
    <cellStyle name="Normal 159 4" xfId="40027" xr:uid="{00000000-0005-0000-0000-000064540000}"/>
    <cellStyle name="Normal 16" xfId="4211" xr:uid="{00000000-0005-0000-0000-000065540000}"/>
    <cellStyle name="Normal 16 2" xfId="4212" xr:uid="{00000000-0005-0000-0000-000066540000}"/>
    <cellStyle name="Normal 16 2 2" xfId="10121" xr:uid="{00000000-0005-0000-0000-000067540000}"/>
    <cellStyle name="Normal 16 2 2 2" xfId="31882" xr:uid="{00000000-0005-0000-0000-000068540000}"/>
    <cellStyle name="Normal 16 2 2 2 2" xfId="31883" xr:uid="{00000000-0005-0000-0000-000069540000}"/>
    <cellStyle name="Normal 16 2 2 2 2 2" xfId="40031" xr:uid="{00000000-0005-0000-0000-00006A540000}"/>
    <cellStyle name="Normal 16 2 2 2 3" xfId="40030" xr:uid="{00000000-0005-0000-0000-00006B540000}"/>
    <cellStyle name="Normal 16 2 2 3" xfId="31884" xr:uid="{00000000-0005-0000-0000-00006C540000}"/>
    <cellStyle name="Normal 16 2 2 3 2" xfId="40032" xr:uid="{00000000-0005-0000-0000-00006D540000}"/>
    <cellStyle name="Normal 16 2 2 4" xfId="40029" xr:uid="{00000000-0005-0000-0000-00006E540000}"/>
    <cellStyle name="Normal 16 2 2 5" xfId="31881" xr:uid="{00000000-0005-0000-0000-00006F540000}"/>
    <cellStyle name="Normal 16 2 3" xfId="31885" xr:uid="{00000000-0005-0000-0000-000070540000}"/>
    <cellStyle name="Normal 16 2 3 2" xfId="31886" xr:uid="{00000000-0005-0000-0000-000071540000}"/>
    <cellStyle name="Normal 16 2 3 2 2" xfId="40034" xr:uid="{00000000-0005-0000-0000-000072540000}"/>
    <cellStyle name="Normal 16 2 3 3" xfId="40033" xr:uid="{00000000-0005-0000-0000-000073540000}"/>
    <cellStyle name="Normal 16 2 4" xfId="31887" xr:uid="{00000000-0005-0000-0000-000074540000}"/>
    <cellStyle name="Normal 16 2 4 2" xfId="40035" xr:uid="{00000000-0005-0000-0000-000075540000}"/>
    <cellStyle name="Normal 16 2 5" xfId="31888" xr:uid="{00000000-0005-0000-0000-000076540000}"/>
    <cellStyle name="Normal 16 2 5 2" xfId="40036" xr:uid="{00000000-0005-0000-0000-000077540000}"/>
    <cellStyle name="Normal 16 2 6" xfId="40028" xr:uid="{00000000-0005-0000-0000-000078540000}"/>
    <cellStyle name="Normal 16 2 7" xfId="31880" xr:uid="{00000000-0005-0000-0000-000079540000}"/>
    <cellStyle name="Normal 16 3" xfId="4213" xr:uid="{00000000-0005-0000-0000-00007A540000}"/>
    <cellStyle name="Normal 16 3 2" xfId="10122" xr:uid="{00000000-0005-0000-0000-00007B540000}"/>
    <cellStyle name="Normal 16 3 2 2" xfId="40037" xr:uid="{00000000-0005-0000-0000-00007C540000}"/>
    <cellStyle name="Normal 16 3 3" xfId="31889" xr:uid="{00000000-0005-0000-0000-00007D540000}"/>
    <cellStyle name="Normal 16 4" xfId="4214" xr:uid="{00000000-0005-0000-0000-00007E540000}"/>
    <cellStyle name="Normal 16 4 2" xfId="40038" xr:uid="{00000000-0005-0000-0000-00007F540000}"/>
    <cellStyle name="Normal 16 4 3" xfId="31890" xr:uid="{00000000-0005-0000-0000-000080540000}"/>
    <cellStyle name="Normal 16 5" xfId="4215" xr:uid="{00000000-0005-0000-0000-000081540000}"/>
    <cellStyle name="Normal 16 5 2" xfId="40039" xr:uid="{00000000-0005-0000-0000-000082540000}"/>
    <cellStyle name="Normal 16 5 3" xfId="31891" xr:uid="{00000000-0005-0000-0000-000083540000}"/>
    <cellStyle name="Normal 16 6" xfId="31892" xr:uid="{00000000-0005-0000-0000-000084540000}"/>
    <cellStyle name="Normal 16 6 2" xfId="40040" xr:uid="{00000000-0005-0000-0000-000085540000}"/>
    <cellStyle name="Normal 16 7" xfId="31893" xr:uid="{00000000-0005-0000-0000-000086540000}"/>
    <cellStyle name="Normal 16 7 2" xfId="40041" xr:uid="{00000000-0005-0000-0000-000087540000}"/>
    <cellStyle name="Normal 16 8" xfId="31894" xr:uid="{00000000-0005-0000-0000-000088540000}"/>
    <cellStyle name="Normal 16 8 2" xfId="40042" xr:uid="{00000000-0005-0000-0000-000089540000}"/>
    <cellStyle name="Normal 160" xfId="31895" xr:uid="{00000000-0005-0000-0000-00008A540000}"/>
    <cellStyle name="Normal 160 2" xfId="31896" xr:uid="{00000000-0005-0000-0000-00008B540000}"/>
    <cellStyle name="Normal 160 3" xfId="31897" xr:uid="{00000000-0005-0000-0000-00008C540000}"/>
    <cellStyle name="Normal 161" xfId="31898" xr:uid="{00000000-0005-0000-0000-00008D540000}"/>
    <cellStyle name="Normal 161 2" xfId="31899" xr:uid="{00000000-0005-0000-0000-00008E540000}"/>
    <cellStyle name="Normal 161 3" xfId="31900" xr:uid="{00000000-0005-0000-0000-00008F540000}"/>
    <cellStyle name="Normal 162" xfId="31901" xr:uid="{00000000-0005-0000-0000-000090540000}"/>
    <cellStyle name="Normal 162 2" xfId="31902" xr:uid="{00000000-0005-0000-0000-000091540000}"/>
    <cellStyle name="Normal 162 3" xfId="31903" xr:uid="{00000000-0005-0000-0000-000092540000}"/>
    <cellStyle name="Normal 163" xfId="31904" xr:uid="{00000000-0005-0000-0000-000093540000}"/>
    <cellStyle name="Normal 163 2" xfId="31905" xr:uid="{00000000-0005-0000-0000-000094540000}"/>
    <cellStyle name="Normal 163 3" xfId="31906" xr:uid="{00000000-0005-0000-0000-000095540000}"/>
    <cellStyle name="Normal 164" xfId="31907" xr:uid="{00000000-0005-0000-0000-000096540000}"/>
    <cellStyle name="Normal 164 2" xfId="31908" xr:uid="{00000000-0005-0000-0000-000097540000}"/>
    <cellStyle name="Normal 164 3" xfId="31909" xr:uid="{00000000-0005-0000-0000-000098540000}"/>
    <cellStyle name="Normal 164 4" xfId="31910" xr:uid="{00000000-0005-0000-0000-000099540000}"/>
    <cellStyle name="Normal 164 4 2" xfId="40043" xr:uid="{00000000-0005-0000-0000-00009A540000}"/>
    <cellStyle name="Normal 165" xfId="31911" xr:uid="{00000000-0005-0000-0000-00009B540000}"/>
    <cellStyle name="Normal 165 2" xfId="31912" xr:uid="{00000000-0005-0000-0000-00009C540000}"/>
    <cellStyle name="Normal 165 3" xfId="31913" xr:uid="{00000000-0005-0000-0000-00009D540000}"/>
    <cellStyle name="Normal 166" xfId="31914" xr:uid="{00000000-0005-0000-0000-00009E540000}"/>
    <cellStyle name="Normal 166 2" xfId="31915" xr:uid="{00000000-0005-0000-0000-00009F540000}"/>
    <cellStyle name="Normal 166 3" xfId="31916" xr:uid="{00000000-0005-0000-0000-0000A0540000}"/>
    <cellStyle name="Normal 167" xfId="31917" xr:uid="{00000000-0005-0000-0000-0000A1540000}"/>
    <cellStyle name="Normal 167 2" xfId="31918" xr:uid="{00000000-0005-0000-0000-0000A2540000}"/>
    <cellStyle name="Normal 167 3" xfId="31919" xr:uid="{00000000-0005-0000-0000-0000A3540000}"/>
    <cellStyle name="Normal 168" xfId="31920" xr:uid="{00000000-0005-0000-0000-0000A4540000}"/>
    <cellStyle name="Normal 168 2" xfId="31921" xr:uid="{00000000-0005-0000-0000-0000A5540000}"/>
    <cellStyle name="Normal 168 3" xfId="31922" xr:uid="{00000000-0005-0000-0000-0000A6540000}"/>
    <cellStyle name="Normal 169" xfId="31923" xr:uid="{00000000-0005-0000-0000-0000A7540000}"/>
    <cellStyle name="Normal 169 2" xfId="31924" xr:uid="{00000000-0005-0000-0000-0000A8540000}"/>
    <cellStyle name="Normal 169 3" xfId="31925" xr:uid="{00000000-0005-0000-0000-0000A9540000}"/>
    <cellStyle name="Normal 17" xfId="4216" xr:uid="{00000000-0005-0000-0000-0000AA540000}"/>
    <cellStyle name="Normal 17 2" xfId="4217" xr:uid="{00000000-0005-0000-0000-0000AB540000}"/>
    <cellStyle name="Normal 17 2 2" xfId="10123" xr:uid="{00000000-0005-0000-0000-0000AC540000}"/>
    <cellStyle name="Normal 17 2 2 2" xfId="31928" xr:uid="{00000000-0005-0000-0000-0000AD540000}"/>
    <cellStyle name="Normal 17 2 2 2 2" xfId="31929" xr:uid="{00000000-0005-0000-0000-0000AE540000}"/>
    <cellStyle name="Normal 17 2 2 2 2 2" xfId="40047" xr:uid="{00000000-0005-0000-0000-0000AF540000}"/>
    <cellStyle name="Normal 17 2 2 2 3" xfId="40046" xr:uid="{00000000-0005-0000-0000-0000B0540000}"/>
    <cellStyle name="Normal 17 2 2 3" xfId="31930" xr:uid="{00000000-0005-0000-0000-0000B1540000}"/>
    <cellStyle name="Normal 17 2 2 3 2" xfId="40048" xr:uid="{00000000-0005-0000-0000-0000B2540000}"/>
    <cellStyle name="Normal 17 2 2 4" xfId="40045" xr:uid="{00000000-0005-0000-0000-0000B3540000}"/>
    <cellStyle name="Normal 17 2 2 5" xfId="31927" xr:uid="{00000000-0005-0000-0000-0000B4540000}"/>
    <cellStyle name="Normal 17 2 3" xfId="31931" xr:uid="{00000000-0005-0000-0000-0000B5540000}"/>
    <cellStyle name="Normal 17 2 3 2" xfId="31932" xr:uid="{00000000-0005-0000-0000-0000B6540000}"/>
    <cellStyle name="Normal 17 2 3 2 2" xfId="40050" xr:uid="{00000000-0005-0000-0000-0000B7540000}"/>
    <cellStyle name="Normal 17 2 3 3" xfId="40049" xr:uid="{00000000-0005-0000-0000-0000B8540000}"/>
    <cellStyle name="Normal 17 2 4" xfId="31933" xr:uid="{00000000-0005-0000-0000-0000B9540000}"/>
    <cellStyle name="Normal 17 2 4 2" xfId="40051" xr:uid="{00000000-0005-0000-0000-0000BA540000}"/>
    <cellStyle name="Normal 17 2 5" xfId="31934" xr:uid="{00000000-0005-0000-0000-0000BB540000}"/>
    <cellStyle name="Normal 17 2 5 2" xfId="40052" xr:uid="{00000000-0005-0000-0000-0000BC540000}"/>
    <cellStyle name="Normal 17 2 6" xfId="31935" xr:uid="{00000000-0005-0000-0000-0000BD540000}"/>
    <cellStyle name="Normal 17 2 7" xfId="40044" xr:uid="{00000000-0005-0000-0000-0000BE540000}"/>
    <cellStyle name="Normal 17 2 8" xfId="31926" xr:uid="{00000000-0005-0000-0000-0000BF540000}"/>
    <cellStyle name="Normal 17 3" xfId="4218" xr:uid="{00000000-0005-0000-0000-0000C0540000}"/>
    <cellStyle name="Normal 17 3 2" xfId="10124" xr:uid="{00000000-0005-0000-0000-0000C1540000}"/>
    <cellStyle name="Normal 17 3 2 2" xfId="40053" xr:uid="{00000000-0005-0000-0000-0000C2540000}"/>
    <cellStyle name="Normal 17 3 3" xfId="31936" xr:uid="{00000000-0005-0000-0000-0000C3540000}"/>
    <cellStyle name="Normal 17 4" xfId="4219" xr:uid="{00000000-0005-0000-0000-0000C4540000}"/>
    <cellStyle name="Normal 17 4 2" xfId="40054" xr:uid="{00000000-0005-0000-0000-0000C5540000}"/>
    <cellStyle name="Normal 17 4 3" xfId="31937" xr:uid="{00000000-0005-0000-0000-0000C6540000}"/>
    <cellStyle name="Normal 17 5" xfId="4220" xr:uid="{00000000-0005-0000-0000-0000C7540000}"/>
    <cellStyle name="Normal 17 5 2" xfId="40055" xr:uid="{00000000-0005-0000-0000-0000C8540000}"/>
    <cellStyle name="Normal 17 5 3" xfId="31938" xr:uid="{00000000-0005-0000-0000-0000C9540000}"/>
    <cellStyle name="Normal 17 6" xfId="31939" xr:uid="{00000000-0005-0000-0000-0000CA540000}"/>
    <cellStyle name="Normal 17 6 2" xfId="40056" xr:uid="{00000000-0005-0000-0000-0000CB540000}"/>
    <cellStyle name="Normal 17 7" xfId="31940" xr:uid="{00000000-0005-0000-0000-0000CC540000}"/>
    <cellStyle name="Normal 17 7 2" xfId="40057" xr:uid="{00000000-0005-0000-0000-0000CD540000}"/>
    <cellStyle name="Normal 17 8" xfId="31941" xr:uid="{00000000-0005-0000-0000-0000CE540000}"/>
    <cellStyle name="Normal 17 8 2" xfId="40058" xr:uid="{00000000-0005-0000-0000-0000CF540000}"/>
    <cellStyle name="Normal 17 9" xfId="31942" xr:uid="{00000000-0005-0000-0000-0000D0540000}"/>
    <cellStyle name="Normal 17 9 2" xfId="40059" xr:uid="{00000000-0005-0000-0000-0000D1540000}"/>
    <cellStyle name="Normal 170" xfId="31943" xr:uid="{00000000-0005-0000-0000-0000D2540000}"/>
    <cellStyle name="Normal 170 2" xfId="31944" xr:uid="{00000000-0005-0000-0000-0000D3540000}"/>
    <cellStyle name="Normal 170 3" xfId="31945" xr:uid="{00000000-0005-0000-0000-0000D4540000}"/>
    <cellStyle name="Normal 171" xfId="31946" xr:uid="{00000000-0005-0000-0000-0000D5540000}"/>
    <cellStyle name="Normal 171 2" xfId="31947" xr:uid="{00000000-0005-0000-0000-0000D6540000}"/>
    <cellStyle name="Normal 171 3" xfId="31948" xr:uid="{00000000-0005-0000-0000-0000D7540000}"/>
    <cellStyle name="Normal 172" xfId="31949" xr:uid="{00000000-0005-0000-0000-0000D8540000}"/>
    <cellStyle name="Normal 172 2" xfId="31950" xr:uid="{00000000-0005-0000-0000-0000D9540000}"/>
    <cellStyle name="Normal 172 3" xfId="31951" xr:uid="{00000000-0005-0000-0000-0000DA540000}"/>
    <cellStyle name="Normal 173" xfId="31952" xr:uid="{00000000-0005-0000-0000-0000DB540000}"/>
    <cellStyle name="Normal 173 2" xfId="31953" xr:uid="{00000000-0005-0000-0000-0000DC540000}"/>
    <cellStyle name="Normal 173 2 2" xfId="40060" xr:uid="{00000000-0005-0000-0000-0000DD540000}"/>
    <cellStyle name="Normal 173 3" xfId="31954" xr:uid="{00000000-0005-0000-0000-0000DE540000}"/>
    <cellStyle name="Normal 173 4" xfId="31955" xr:uid="{00000000-0005-0000-0000-0000DF540000}"/>
    <cellStyle name="Normal 173 5" xfId="31956" xr:uid="{00000000-0005-0000-0000-0000E0540000}"/>
    <cellStyle name="Normal 174" xfId="31957" xr:uid="{00000000-0005-0000-0000-0000E1540000}"/>
    <cellStyle name="Normal 174 2" xfId="31958" xr:uid="{00000000-0005-0000-0000-0000E2540000}"/>
    <cellStyle name="Normal 174 3" xfId="31959" xr:uid="{00000000-0005-0000-0000-0000E3540000}"/>
    <cellStyle name="Normal 174 4" xfId="31960" xr:uid="{00000000-0005-0000-0000-0000E4540000}"/>
    <cellStyle name="Normal 174 5" xfId="31961" xr:uid="{00000000-0005-0000-0000-0000E5540000}"/>
    <cellStyle name="Normal 175" xfId="31962" xr:uid="{00000000-0005-0000-0000-0000E6540000}"/>
    <cellStyle name="Normal 175 2" xfId="31963" xr:uid="{00000000-0005-0000-0000-0000E7540000}"/>
    <cellStyle name="Normal 175 3" xfId="31964" xr:uid="{00000000-0005-0000-0000-0000E8540000}"/>
    <cellStyle name="Normal 175 4" xfId="31965" xr:uid="{00000000-0005-0000-0000-0000E9540000}"/>
    <cellStyle name="Normal 175 5" xfId="31966" xr:uid="{00000000-0005-0000-0000-0000EA540000}"/>
    <cellStyle name="Normal 176" xfId="31967" xr:uid="{00000000-0005-0000-0000-0000EB540000}"/>
    <cellStyle name="Normal 176 2" xfId="31968" xr:uid="{00000000-0005-0000-0000-0000EC540000}"/>
    <cellStyle name="Normal 176 3" xfId="31969" xr:uid="{00000000-0005-0000-0000-0000ED540000}"/>
    <cellStyle name="Normal 176 4" xfId="31970" xr:uid="{00000000-0005-0000-0000-0000EE540000}"/>
    <cellStyle name="Normal 176 5" xfId="31971" xr:uid="{00000000-0005-0000-0000-0000EF540000}"/>
    <cellStyle name="Normal 177" xfId="31972" xr:uid="{00000000-0005-0000-0000-0000F0540000}"/>
    <cellStyle name="Normal 177 2" xfId="31973" xr:uid="{00000000-0005-0000-0000-0000F1540000}"/>
    <cellStyle name="Normal 177 3" xfId="31974" xr:uid="{00000000-0005-0000-0000-0000F2540000}"/>
    <cellStyle name="Normal 177 4" xfId="31975" xr:uid="{00000000-0005-0000-0000-0000F3540000}"/>
    <cellStyle name="Normal 177 5" xfId="31976" xr:uid="{00000000-0005-0000-0000-0000F4540000}"/>
    <cellStyle name="Normal 178" xfId="31977" xr:uid="{00000000-0005-0000-0000-0000F5540000}"/>
    <cellStyle name="Normal 178 2" xfId="31978" xr:uid="{00000000-0005-0000-0000-0000F6540000}"/>
    <cellStyle name="Normal 178 3" xfId="31979" xr:uid="{00000000-0005-0000-0000-0000F7540000}"/>
    <cellStyle name="Normal 178 4" xfId="31980" xr:uid="{00000000-0005-0000-0000-0000F8540000}"/>
    <cellStyle name="Normal 179" xfId="31981" xr:uid="{00000000-0005-0000-0000-0000F9540000}"/>
    <cellStyle name="Normal 179 2" xfId="31982" xr:uid="{00000000-0005-0000-0000-0000FA540000}"/>
    <cellStyle name="Normal 179 3" xfId="31983" xr:uid="{00000000-0005-0000-0000-0000FB540000}"/>
    <cellStyle name="Normal 179 4" xfId="31984" xr:uid="{00000000-0005-0000-0000-0000FC540000}"/>
    <cellStyle name="Normal 18" xfId="4221" xr:uid="{00000000-0005-0000-0000-0000FD540000}"/>
    <cellStyle name="Normal 18 10" xfId="4222" xr:uid="{00000000-0005-0000-0000-0000FE540000}"/>
    <cellStyle name="Normal 18 11" xfId="4223" xr:uid="{00000000-0005-0000-0000-0000FF540000}"/>
    <cellStyle name="Normal 18 2" xfId="4224" xr:uid="{00000000-0005-0000-0000-000000550000}"/>
    <cellStyle name="Normal 18 2 2" xfId="4225" xr:uid="{00000000-0005-0000-0000-000001550000}"/>
    <cellStyle name="Normal 18 2 2 2" xfId="40061" xr:uid="{00000000-0005-0000-0000-000002550000}"/>
    <cellStyle name="Normal 18 2 3" xfId="4226" xr:uid="{00000000-0005-0000-0000-000003550000}"/>
    <cellStyle name="Normal 18 2 4" xfId="31985" xr:uid="{00000000-0005-0000-0000-000004550000}"/>
    <cellStyle name="Normal 18 3" xfId="4227" xr:uid="{00000000-0005-0000-0000-000005550000}"/>
    <cellStyle name="Normal 18 3 2" xfId="4228" xr:uid="{00000000-0005-0000-0000-000006550000}"/>
    <cellStyle name="Normal 18 3 2 2" xfId="40062" xr:uid="{00000000-0005-0000-0000-000007550000}"/>
    <cellStyle name="Normal 18 3 3" xfId="4229" xr:uid="{00000000-0005-0000-0000-000008550000}"/>
    <cellStyle name="Normal 18 3 4" xfId="31986" xr:uid="{00000000-0005-0000-0000-000009550000}"/>
    <cellStyle name="Normal 18 4" xfId="4230" xr:uid="{00000000-0005-0000-0000-00000A550000}"/>
    <cellStyle name="Normal 18 4 2" xfId="4231" xr:uid="{00000000-0005-0000-0000-00000B550000}"/>
    <cellStyle name="Normal 18 4 2 2" xfId="40063" xr:uid="{00000000-0005-0000-0000-00000C550000}"/>
    <cellStyle name="Normal 18 4 3" xfId="4232" xr:uid="{00000000-0005-0000-0000-00000D550000}"/>
    <cellStyle name="Normal 18 4 4" xfId="31987" xr:uid="{00000000-0005-0000-0000-00000E550000}"/>
    <cellStyle name="Normal 18 5" xfId="4233" xr:uid="{00000000-0005-0000-0000-00000F550000}"/>
    <cellStyle name="Normal 18 5 2" xfId="4234" xr:uid="{00000000-0005-0000-0000-000010550000}"/>
    <cellStyle name="Normal 18 5 2 2" xfId="40064" xr:uid="{00000000-0005-0000-0000-000011550000}"/>
    <cellStyle name="Normal 18 5 3" xfId="4235" xr:uid="{00000000-0005-0000-0000-000012550000}"/>
    <cellStyle name="Normal 18 5 4" xfId="31988" xr:uid="{00000000-0005-0000-0000-000013550000}"/>
    <cellStyle name="Normal 18 6" xfId="4236" xr:uid="{00000000-0005-0000-0000-000014550000}"/>
    <cellStyle name="Normal 18 6 2" xfId="4237" xr:uid="{00000000-0005-0000-0000-000015550000}"/>
    <cellStyle name="Normal 18 6 2 2" xfId="40065" xr:uid="{00000000-0005-0000-0000-000016550000}"/>
    <cellStyle name="Normal 18 6 3" xfId="4238" xr:uid="{00000000-0005-0000-0000-000017550000}"/>
    <cellStyle name="Normal 18 6 4" xfId="31989" xr:uid="{00000000-0005-0000-0000-000018550000}"/>
    <cellStyle name="Normal 18 7" xfId="4239" xr:uid="{00000000-0005-0000-0000-000019550000}"/>
    <cellStyle name="Normal 18 7 2" xfId="4240" xr:uid="{00000000-0005-0000-0000-00001A550000}"/>
    <cellStyle name="Normal 18 7 2 2" xfId="40066" xr:uid="{00000000-0005-0000-0000-00001B550000}"/>
    <cellStyle name="Normal 18 7 3" xfId="4241" xr:uid="{00000000-0005-0000-0000-00001C550000}"/>
    <cellStyle name="Normal 18 7 4" xfId="31990" xr:uid="{00000000-0005-0000-0000-00001D550000}"/>
    <cellStyle name="Normal 18 8" xfId="4242" xr:uid="{00000000-0005-0000-0000-00001E550000}"/>
    <cellStyle name="Normal 18 8 2" xfId="10125" xr:uid="{00000000-0005-0000-0000-00001F550000}"/>
    <cellStyle name="Normal 18 8 2 2" xfId="40067" xr:uid="{00000000-0005-0000-0000-000020550000}"/>
    <cellStyle name="Normal 18 8 3" xfId="31991" xr:uid="{00000000-0005-0000-0000-000021550000}"/>
    <cellStyle name="Normal 18 9" xfId="4243" xr:uid="{00000000-0005-0000-0000-000022550000}"/>
    <cellStyle name="Normal 18 9 2" xfId="10126" xr:uid="{00000000-0005-0000-0000-000023550000}"/>
    <cellStyle name="Normal 18 9 2 2" xfId="40068" xr:uid="{00000000-0005-0000-0000-000024550000}"/>
    <cellStyle name="Normal 18 9 3" xfId="31992" xr:uid="{00000000-0005-0000-0000-000025550000}"/>
    <cellStyle name="Normal 180" xfId="31993" xr:uid="{00000000-0005-0000-0000-000026550000}"/>
    <cellStyle name="Normal 180 2" xfId="31994" xr:uid="{00000000-0005-0000-0000-000027550000}"/>
    <cellStyle name="Normal 180 3" xfId="31995" xr:uid="{00000000-0005-0000-0000-000028550000}"/>
    <cellStyle name="Normal 180 4" xfId="31996" xr:uid="{00000000-0005-0000-0000-000029550000}"/>
    <cellStyle name="Normal 181" xfId="31997" xr:uid="{00000000-0005-0000-0000-00002A550000}"/>
    <cellStyle name="Normal 181 2" xfId="31998" xr:uid="{00000000-0005-0000-0000-00002B550000}"/>
    <cellStyle name="Normal 181 3" xfId="31999" xr:uid="{00000000-0005-0000-0000-00002C550000}"/>
    <cellStyle name="Normal 181 4" xfId="32000" xr:uid="{00000000-0005-0000-0000-00002D550000}"/>
    <cellStyle name="Normal 182" xfId="32001" xr:uid="{00000000-0005-0000-0000-00002E550000}"/>
    <cellStyle name="Normal 182 2" xfId="32002" xr:uid="{00000000-0005-0000-0000-00002F550000}"/>
    <cellStyle name="Normal 182 3" xfId="32003" xr:uid="{00000000-0005-0000-0000-000030550000}"/>
    <cellStyle name="Normal 182 4" xfId="32004" xr:uid="{00000000-0005-0000-0000-000031550000}"/>
    <cellStyle name="Normal 183" xfId="32005" xr:uid="{00000000-0005-0000-0000-000032550000}"/>
    <cellStyle name="Normal 183 2" xfId="32006" xr:uid="{00000000-0005-0000-0000-000033550000}"/>
    <cellStyle name="Normal 183 3" xfId="32007" xr:uid="{00000000-0005-0000-0000-000034550000}"/>
    <cellStyle name="Normal 183 4" xfId="32008" xr:uid="{00000000-0005-0000-0000-000035550000}"/>
    <cellStyle name="Normal 183 5" xfId="32009" xr:uid="{00000000-0005-0000-0000-000036550000}"/>
    <cellStyle name="Normal 184" xfId="32010" xr:uid="{00000000-0005-0000-0000-000037550000}"/>
    <cellStyle name="Normal 184 2" xfId="32011" xr:uid="{00000000-0005-0000-0000-000038550000}"/>
    <cellStyle name="Normal 184 3" xfId="32012" xr:uid="{00000000-0005-0000-0000-000039550000}"/>
    <cellStyle name="Normal 184 4" xfId="32013" xr:uid="{00000000-0005-0000-0000-00003A550000}"/>
    <cellStyle name="Normal 184 5" xfId="32014" xr:uid="{00000000-0005-0000-0000-00003B550000}"/>
    <cellStyle name="Normal 185" xfId="32015" xr:uid="{00000000-0005-0000-0000-00003C550000}"/>
    <cellStyle name="Normal 185 2" xfId="32016" xr:uid="{00000000-0005-0000-0000-00003D550000}"/>
    <cellStyle name="Normal 185 3" xfId="32017" xr:uid="{00000000-0005-0000-0000-00003E550000}"/>
    <cellStyle name="Normal 185 4" xfId="32018" xr:uid="{00000000-0005-0000-0000-00003F550000}"/>
    <cellStyle name="Normal 185 5" xfId="32019" xr:uid="{00000000-0005-0000-0000-000040550000}"/>
    <cellStyle name="Normal 186" xfId="32020" xr:uid="{00000000-0005-0000-0000-000041550000}"/>
    <cellStyle name="Normal 186 2" xfId="32021" xr:uid="{00000000-0005-0000-0000-000042550000}"/>
    <cellStyle name="Normal 186 3" xfId="32022" xr:uid="{00000000-0005-0000-0000-000043550000}"/>
    <cellStyle name="Normal 186 4" xfId="32023" xr:uid="{00000000-0005-0000-0000-000044550000}"/>
    <cellStyle name="Normal 186 5" xfId="32024" xr:uid="{00000000-0005-0000-0000-000045550000}"/>
    <cellStyle name="Normal 187" xfId="53" xr:uid="{00000000-0005-0000-0000-000046550000}"/>
    <cellStyle name="Normal 187 2" xfId="19259" xr:uid="{00000000-0005-0000-0000-000047550000}"/>
    <cellStyle name="Normal 187 2 2" xfId="32026" xr:uid="{00000000-0005-0000-0000-000048550000}"/>
    <cellStyle name="Normal 187 3" xfId="32027" xr:uid="{00000000-0005-0000-0000-000049550000}"/>
    <cellStyle name="Normal 187 4" xfId="32028" xr:uid="{00000000-0005-0000-0000-00004A550000}"/>
    <cellStyle name="Normal 187 5" xfId="32029" xr:uid="{00000000-0005-0000-0000-00004B550000}"/>
    <cellStyle name="Normal 187 6" xfId="32025" xr:uid="{00000000-0005-0000-0000-00004C550000}"/>
    <cellStyle name="Normal 188" xfId="32030" xr:uid="{00000000-0005-0000-0000-00004D550000}"/>
    <cellStyle name="Normal 188 2" xfId="32031" xr:uid="{00000000-0005-0000-0000-00004E550000}"/>
    <cellStyle name="Normal 188 3" xfId="32032" xr:uid="{00000000-0005-0000-0000-00004F550000}"/>
    <cellStyle name="Normal 188 4" xfId="32033" xr:uid="{00000000-0005-0000-0000-000050550000}"/>
    <cellStyle name="Normal 188 5" xfId="32034" xr:uid="{00000000-0005-0000-0000-000051550000}"/>
    <cellStyle name="Normal 189" xfId="32035" xr:uid="{00000000-0005-0000-0000-000052550000}"/>
    <cellStyle name="Normal 189 2" xfId="32036" xr:uid="{00000000-0005-0000-0000-000053550000}"/>
    <cellStyle name="Normal 189 3" xfId="32037" xr:uid="{00000000-0005-0000-0000-000054550000}"/>
    <cellStyle name="Normal 189 4" xfId="32038" xr:uid="{00000000-0005-0000-0000-000055550000}"/>
    <cellStyle name="Normal 19" xfId="4244" xr:uid="{00000000-0005-0000-0000-000056550000}"/>
    <cellStyle name="Normal 19 10" xfId="32039" xr:uid="{00000000-0005-0000-0000-000057550000}"/>
    <cellStyle name="Normal 19 2" xfId="4245" xr:uid="{00000000-0005-0000-0000-000058550000}"/>
    <cellStyle name="Normal 19 2 2" xfId="10127" xr:uid="{00000000-0005-0000-0000-000059550000}"/>
    <cellStyle name="Normal 19 2 2 2" xfId="32042" xr:uid="{00000000-0005-0000-0000-00005A550000}"/>
    <cellStyle name="Normal 19 2 2 2 2" xfId="32043" xr:uid="{00000000-0005-0000-0000-00005B550000}"/>
    <cellStyle name="Normal 19 2 2 2 2 2" xfId="40072" xr:uid="{00000000-0005-0000-0000-00005C550000}"/>
    <cellStyle name="Normal 19 2 2 2 3" xfId="32044" xr:uid="{00000000-0005-0000-0000-00005D550000}"/>
    <cellStyle name="Normal 19 2 2 2 4" xfId="40071" xr:uid="{00000000-0005-0000-0000-00005E550000}"/>
    <cellStyle name="Normal 19 2 2 3" xfId="32045" xr:uid="{00000000-0005-0000-0000-00005F550000}"/>
    <cellStyle name="Normal 19 2 2 3 2" xfId="32046" xr:uid="{00000000-0005-0000-0000-000060550000}"/>
    <cellStyle name="Normal 19 2 2 3 3" xfId="40073" xr:uid="{00000000-0005-0000-0000-000061550000}"/>
    <cellStyle name="Normal 19 2 2 4" xfId="32047" xr:uid="{00000000-0005-0000-0000-000062550000}"/>
    <cellStyle name="Normal 19 2 2 5" xfId="40070" xr:uid="{00000000-0005-0000-0000-000063550000}"/>
    <cellStyle name="Normal 19 2 2 6" xfId="32041" xr:uid="{00000000-0005-0000-0000-000064550000}"/>
    <cellStyle name="Normal 19 2 3" xfId="32048" xr:uid="{00000000-0005-0000-0000-000065550000}"/>
    <cellStyle name="Normal 19 2 3 2" xfId="32049" xr:uid="{00000000-0005-0000-0000-000066550000}"/>
    <cellStyle name="Normal 19 2 3 2 2" xfId="40075" xr:uid="{00000000-0005-0000-0000-000067550000}"/>
    <cellStyle name="Normal 19 2 3 3" xfId="32050" xr:uid="{00000000-0005-0000-0000-000068550000}"/>
    <cellStyle name="Normal 19 2 3 4" xfId="40074" xr:uid="{00000000-0005-0000-0000-000069550000}"/>
    <cellStyle name="Normal 19 2 4" xfId="32051" xr:uid="{00000000-0005-0000-0000-00006A550000}"/>
    <cellStyle name="Normal 19 2 4 2" xfId="32052" xr:uid="{00000000-0005-0000-0000-00006B550000}"/>
    <cellStyle name="Normal 19 2 4 3" xfId="40076" xr:uid="{00000000-0005-0000-0000-00006C550000}"/>
    <cellStyle name="Normal 19 2 5" xfId="32053" xr:uid="{00000000-0005-0000-0000-00006D550000}"/>
    <cellStyle name="Normal 19 2 5 2" xfId="32054" xr:uid="{00000000-0005-0000-0000-00006E550000}"/>
    <cellStyle name="Normal 19 2 5 3" xfId="40077" xr:uid="{00000000-0005-0000-0000-00006F550000}"/>
    <cellStyle name="Normal 19 2 6" xfId="32055" xr:uid="{00000000-0005-0000-0000-000070550000}"/>
    <cellStyle name="Normal 19 2 7" xfId="32056" xr:uid="{00000000-0005-0000-0000-000071550000}"/>
    <cellStyle name="Normal 19 2 8" xfId="40069" xr:uid="{00000000-0005-0000-0000-000072550000}"/>
    <cellStyle name="Normal 19 2 9" xfId="32040" xr:uid="{00000000-0005-0000-0000-000073550000}"/>
    <cellStyle name="Normal 19 3" xfId="4246" xr:uid="{00000000-0005-0000-0000-000074550000}"/>
    <cellStyle name="Normal 19 3 2" xfId="10128" xr:uid="{00000000-0005-0000-0000-000075550000}"/>
    <cellStyle name="Normal 19 3 2 2" xfId="32059" xr:uid="{00000000-0005-0000-0000-000076550000}"/>
    <cellStyle name="Normal 19 3 2 2 2" xfId="32060" xr:uid="{00000000-0005-0000-0000-000077550000}"/>
    <cellStyle name="Normal 19 3 2 2 2 2" xfId="40081" xr:uid="{00000000-0005-0000-0000-000078550000}"/>
    <cellStyle name="Normal 19 3 2 2 3" xfId="32061" xr:uid="{00000000-0005-0000-0000-000079550000}"/>
    <cellStyle name="Normal 19 3 2 2 4" xfId="40080" xr:uid="{00000000-0005-0000-0000-00007A550000}"/>
    <cellStyle name="Normal 19 3 2 3" xfId="32062" xr:uid="{00000000-0005-0000-0000-00007B550000}"/>
    <cellStyle name="Normal 19 3 2 3 2" xfId="32063" xr:uid="{00000000-0005-0000-0000-00007C550000}"/>
    <cellStyle name="Normal 19 3 2 3 3" xfId="40082" xr:uid="{00000000-0005-0000-0000-00007D550000}"/>
    <cellStyle name="Normal 19 3 2 4" xfId="32064" xr:uid="{00000000-0005-0000-0000-00007E550000}"/>
    <cellStyle name="Normal 19 3 2 5" xfId="40079" xr:uid="{00000000-0005-0000-0000-00007F550000}"/>
    <cellStyle name="Normal 19 3 2 6" xfId="32058" xr:uid="{00000000-0005-0000-0000-000080550000}"/>
    <cellStyle name="Normal 19 3 3" xfId="32065" xr:uid="{00000000-0005-0000-0000-000081550000}"/>
    <cellStyle name="Normal 19 3 3 2" xfId="32066" xr:uid="{00000000-0005-0000-0000-000082550000}"/>
    <cellStyle name="Normal 19 3 3 2 2" xfId="40084" xr:uid="{00000000-0005-0000-0000-000083550000}"/>
    <cellStyle name="Normal 19 3 3 3" xfId="32067" xr:uid="{00000000-0005-0000-0000-000084550000}"/>
    <cellStyle name="Normal 19 3 3 4" xfId="40083" xr:uid="{00000000-0005-0000-0000-000085550000}"/>
    <cellStyle name="Normal 19 3 4" xfId="32068" xr:uid="{00000000-0005-0000-0000-000086550000}"/>
    <cellStyle name="Normal 19 3 4 2" xfId="32069" xr:uid="{00000000-0005-0000-0000-000087550000}"/>
    <cellStyle name="Normal 19 3 4 3" xfId="40085" xr:uid="{00000000-0005-0000-0000-000088550000}"/>
    <cellStyle name="Normal 19 3 5" xfId="32070" xr:uid="{00000000-0005-0000-0000-000089550000}"/>
    <cellStyle name="Normal 19 3 5 2" xfId="40086" xr:uid="{00000000-0005-0000-0000-00008A550000}"/>
    <cellStyle name="Normal 19 3 6" xfId="32071" xr:uid="{00000000-0005-0000-0000-00008B550000}"/>
    <cellStyle name="Normal 19 3 7" xfId="40078" xr:uid="{00000000-0005-0000-0000-00008C550000}"/>
    <cellStyle name="Normal 19 3 8" xfId="32057" xr:uid="{00000000-0005-0000-0000-00008D550000}"/>
    <cellStyle name="Normal 19 4" xfId="4247" xr:uid="{00000000-0005-0000-0000-00008E550000}"/>
    <cellStyle name="Normal 19 4 2" xfId="32073" xr:uid="{00000000-0005-0000-0000-00008F550000}"/>
    <cellStyle name="Normal 19 4 2 2" xfId="32074" xr:uid="{00000000-0005-0000-0000-000090550000}"/>
    <cellStyle name="Normal 19 4 2 2 2" xfId="32075" xr:uid="{00000000-0005-0000-0000-000091550000}"/>
    <cellStyle name="Normal 19 4 2 2 2 2" xfId="40090" xr:uid="{00000000-0005-0000-0000-000092550000}"/>
    <cellStyle name="Normal 19 4 2 2 3" xfId="40089" xr:uid="{00000000-0005-0000-0000-000093550000}"/>
    <cellStyle name="Normal 19 4 2 3" xfId="32076" xr:uid="{00000000-0005-0000-0000-000094550000}"/>
    <cellStyle name="Normal 19 4 2 3 2" xfId="40091" xr:uid="{00000000-0005-0000-0000-000095550000}"/>
    <cellStyle name="Normal 19 4 2 4" xfId="40088" xr:uid="{00000000-0005-0000-0000-000096550000}"/>
    <cellStyle name="Normal 19 4 3" xfId="32077" xr:uid="{00000000-0005-0000-0000-000097550000}"/>
    <cellStyle name="Normal 19 4 3 2" xfId="32078" xr:uid="{00000000-0005-0000-0000-000098550000}"/>
    <cellStyle name="Normal 19 4 3 2 2" xfId="40093" xr:uid="{00000000-0005-0000-0000-000099550000}"/>
    <cellStyle name="Normal 19 4 3 3" xfId="40092" xr:uid="{00000000-0005-0000-0000-00009A550000}"/>
    <cellStyle name="Normal 19 4 4" xfId="32079" xr:uid="{00000000-0005-0000-0000-00009B550000}"/>
    <cellStyle name="Normal 19 4 4 2" xfId="40094" xr:uid="{00000000-0005-0000-0000-00009C550000}"/>
    <cellStyle name="Normal 19 4 5" xfId="32080" xr:uid="{00000000-0005-0000-0000-00009D550000}"/>
    <cellStyle name="Normal 19 4 5 2" xfId="40095" xr:uid="{00000000-0005-0000-0000-00009E550000}"/>
    <cellStyle name="Normal 19 4 6" xfId="32081" xr:uid="{00000000-0005-0000-0000-00009F550000}"/>
    <cellStyle name="Normal 19 4 7" xfId="40087" xr:uid="{00000000-0005-0000-0000-0000A0550000}"/>
    <cellStyle name="Normal 19 4 8" xfId="32072" xr:uid="{00000000-0005-0000-0000-0000A1550000}"/>
    <cellStyle name="Normal 19 5" xfId="4248" xr:uid="{00000000-0005-0000-0000-0000A2550000}"/>
    <cellStyle name="Normal 19 5 2" xfId="32083" xr:uid="{00000000-0005-0000-0000-0000A3550000}"/>
    <cellStyle name="Normal 19 5 2 2" xfId="32084" xr:uid="{00000000-0005-0000-0000-0000A4550000}"/>
    <cellStyle name="Normal 19 5 2 2 2" xfId="40098" xr:uid="{00000000-0005-0000-0000-0000A5550000}"/>
    <cellStyle name="Normal 19 5 2 3" xfId="40097" xr:uid="{00000000-0005-0000-0000-0000A6550000}"/>
    <cellStyle name="Normal 19 5 3" xfId="32085" xr:uid="{00000000-0005-0000-0000-0000A7550000}"/>
    <cellStyle name="Normal 19 5 3 2" xfId="40099" xr:uid="{00000000-0005-0000-0000-0000A8550000}"/>
    <cellStyle name="Normal 19 5 4" xfId="32086" xr:uid="{00000000-0005-0000-0000-0000A9550000}"/>
    <cellStyle name="Normal 19 5 4 2" xfId="40100" xr:uid="{00000000-0005-0000-0000-0000AA550000}"/>
    <cellStyle name="Normal 19 5 5" xfId="32087" xr:uid="{00000000-0005-0000-0000-0000AB550000}"/>
    <cellStyle name="Normal 19 5 6" xfId="40096" xr:uid="{00000000-0005-0000-0000-0000AC550000}"/>
    <cellStyle name="Normal 19 5 7" xfId="32082" xr:uid="{00000000-0005-0000-0000-0000AD550000}"/>
    <cellStyle name="Normal 19 6" xfId="32088" xr:uid="{00000000-0005-0000-0000-0000AE550000}"/>
    <cellStyle name="Normal 19 6 2" xfId="32089" xr:uid="{00000000-0005-0000-0000-0000AF550000}"/>
    <cellStyle name="Normal 19 6 2 2" xfId="40102" xr:uid="{00000000-0005-0000-0000-0000B0550000}"/>
    <cellStyle name="Normal 19 6 3" xfId="32090" xr:uid="{00000000-0005-0000-0000-0000B1550000}"/>
    <cellStyle name="Normal 19 6 3 2" xfId="40103" xr:uid="{00000000-0005-0000-0000-0000B2550000}"/>
    <cellStyle name="Normal 19 6 4" xfId="32091" xr:uid="{00000000-0005-0000-0000-0000B3550000}"/>
    <cellStyle name="Normal 19 6 5" xfId="40101" xr:uid="{00000000-0005-0000-0000-0000B4550000}"/>
    <cellStyle name="Normal 19 7" xfId="32092" xr:uid="{00000000-0005-0000-0000-0000B5550000}"/>
    <cellStyle name="Normal 19 7 2" xfId="40104" xr:uid="{00000000-0005-0000-0000-0000B6550000}"/>
    <cellStyle name="Normal 19 8" xfId="32093" xr:uid="{00000000-0005-0000-0000-0000B7550000}"/>
    <cellStyle name="Normal 19 8 2" xfId="40105" xr:uid="{00000000-0005-0000-0000-0000B8550000}"/>
    <cellStyle name="Normal 19 9" xfId="32094" xr:uid="{00000000-0005-0000-0000-0000B9550000}"/>
    <cellStyle name="Normal 19 9 2" xfId="40106" xr:uid="{00000000-0005-0000-0000-0000BA550000}"/>
    <cellStyle name="Normal 190" xfId="32095" xr:uid="{00000000-0005-0000-0000-0000BB550000}"/>
    <cellStyle name="Normal 190 2" xfId="32096" xr:uid="{00000000-0005-0000-0000-0000BC550000}"/>
    <cellStyle name="Normal 190 3" xfId="32097" xr:uid="{00000000-0005-0000-0000-0000BD550000}"/>
    <cellStyle name="Normal 191" xfId="32098" xr:uid="{00000000-0005-0000-0000-0000BE550000}"/>
    <cellStyle name="Normal 191 2" xfId="32099" xr:uid="{00000000-0005-0000-0000-0000BF550000}"/>
    <cellStyle name="Normal 191 3" xfId="32100" xr:uid="{00000000-0005-0000-0000-0000C0550000}"/>
    <cellStyle name="Normal 192" xfId="32101" xr:uid="{00000000-0005-0000-0000-0000C1550000}"/>
    <cellStyle name="Normal 192 2" xfId="32102" xr:uid="{00000000-0005-0000-0000-0000C2550000}"/>
    <cellStyle name="Normal 192 3" xfId="32103" xr:uid="{00000000-0005-0000-0000-0000C3550000}"/>
    <cellStyle name="Normal 193" xfId="32104" xr:uid="{00000000-0005-0000-0000-0000C4550000}"/>
    <cellStyle name="Normal 193 2" xfId="32105" xr:uid="{00000000-0005-0000-0000-0000C5550000}"/>
    <cellStyle name="Normal 193 3" xfId="32106" xr:uid="{00000000-0005-0000-0000-0000C6550000}"/>
    <cellStyle name="Normal 194" xfId="32107" xr:uid="{00000000-0005-0000-0000-0000C7550000}"/>
    <cellStyle name="Normal 194 2" xfId="32108" xr:uid="{00000000-0005-0000-0000-0000C8550000}"/>
    <cellStyle name="Normal 194 3" xfId="32109" xr:uid="{00000000-0005-0000-0000-0000C9550000}"/>
    <cellStyle name="Normal 194 4" xfId="32110" xr:uid="{00000000-0005-0000-0000-0000CA550000}"/>
    <cellStyle name="Normal 195" xfId="32111" xr:uid="{00000000-0005-0000-0000-0000CB550000}"/>
    <cellStyle name="Normal 195 2" xfId="32112" xr:uid="{00000000-0005-0000-0000-0000CC550000}"/>
    <cellStyle name="Normal 195 3" xfId="32113" xr:uid="{00000000-0005-0000-0000-0000CD550000}"/>
    <cellStyle name="Normal 196" xfId="32114" xr:uid="{00000000-0005-0000-0000-0000CE550000}"/>
    <cellStyle name="Normal 196 2" xfId="32115" xr:uid="{00000000-0005-0000-0000-0000CF550000}"/>
    <cellStyle name="Normal 196 3" xfId="32116" xr:uid="{00000000-0005-0000-0000-0000D0550000}"/>
    <cellStyle name="Normal 197" xfId="32117" xr:uid="{00000000-0005-0000-0000-0000D1550000}"/>
    <cellStyle name="Normal 197 2" xfId="32118" xr:uid="{00000000-0005-0000-0000-0000D2550000}"/>
    <cellStyle name="Normal 197 3" xfId="32119" xr:uid="{00000000-0005-0000-0000-0000D3550000}"/>
    <cellStyle name="Normal 197 4" xfId="32120" xr:uid="{00000000-0005-0000-0000-0000D4550000}"/>
    <cellStyle name="Normal 198" xfId="32121" xr:uid="{00000000-0005-0000-0000-0000D5550000}"/>
    <cellStyle name="Normal 198 2" xfId="32122" xr:uid="{00000000-0005-0000-0000-0000D6550000}"/>
    <cellStyle name="Normal 198 3" xfId="32123" xr:uid="{00000000-0005-0000-0000-0000D7550000}"/>
    <cellStyle name="Normal 198 4" xfId="32124" xr:uid="{00000000-0005-0000-0000-0000D8550000}"/>
    <cellStyle name="Normal 199" xfId="32125" xr:uid="{00000000-0005-0000-0000-0000D9550000}"/>
    <cellStyle name="Normal 199 2" xfId="32126" xr:uid="{00000000-0005-0000-0000-0000DA550000}"/>
    <cellStyle name="Normal 199 3" xfId="32127" xr:uid="{00000000-0005-0000-0000-0000DB550000}"/>
    <cellStyle name="Normal 199 4" xfId="32128" xr:uid="{00000000-0005-0000-0000-0000DC550000}"/>
    <cellStyle name="Normal 2" xfId="2" xr:uid="{00000000-0005-0000-0000-0000DD550000}"/>
    <cellStyle name="Normal 2 10" xfId="29" xr:uid="{00000000-0005-0000-0000-0000DE550000}"/>
    <cellStyle name="Normal 2 10 10" xfId="32129" xr:uid="{00000000-0005-0000-0000-0000DF550000}"/>
    <cellStyle name="Normal 2 10 10 2" xfId="40107" xr:uid="{00000000-0005-0000-0000-0000E0550000}"/>
    <cellStyle name="Normal 2 10 11" xfId="32130" xr:uid="{00000000-0005-0000-0000-0000E1550000}"/>
    <cellStyle name="Normal 2 10 11 2" xfId="40108" xr:uid="{00000000-0005-0000-0000-0000E2550000}"/>
    <cellStyle name="Normal 2 10 12" xfId="32131" xr:uid="{00000000-0005-0000-0000-0000E3550000}"/>
    <cellStyle name="Normal 2 10 2" xfId="4249" xr:uid="{00000000-0005-0000-0000-0000E4550000}"/>
    <cellStyle name="Normal 2 10 2 2" xfId="4250" xr:uid="{00000000-0005-0000-0000-0000E5550000}"/>
    <cellStyle name="Normal 2 10 2 2 2" xfId="10129" xr:uid="{00000000-0005-0000-0000-0000E6550000}"/>
    <cellStyle name="Normal 2 10 2 2 2 2" xfId="40111" xr:uid="{00000000-0005-0000-0000-0000E7550000}"/>
    <cellStyle name="Normal 2 10 2 2 2 3" xfId="32134" xr:uid="{00000000-0005-0000-0000-0000E8550000}"/>
    <cellStyle name="Normal 2 10 2 2 3" xfId="40110" xr:uid="{00000000-0005-0000-0000-0000E9550000}"/>
    <cellStyle name="Normal 2 10 2 2 4" xfId="32133" xr:uid="{00000000-0005-0000-0000-0000EA550000}"/>
    <cellStyle name="Normal 2 10 2 3" xfId="10130" xr:uid="{00000000-0005-0000-0000-0000EB550000}"/>
    <cellStyle name="Normal 2 10 2 3 2" xfId="40112" xr:uid="{00000000-0005-0000-0000-0000EC550000}"/>
    <cellStyle name="Normal 2 10 2 3 3" xfId="32135" xr:uid="{00000000-0005-0000-0000-0000ED550000}"/>
    <cellStyle name="Normal 2 10 2 4" xfId="32136" xr:uid="{00000000-0005-0000-0000-0000EE550000}"/>
    <cellStyle name="Normal 2 10 2 4 2" xfId="40113" xr:uid="{00000000-0005-0000-0000-0000EF550000}"/>
    <cellStyle name="Normal 2 10 2 5" xfId="32137" xr:uid="{00000000-0005-0000-0000-0000F0550000}"/>
    <cellStyle name="Normal 2 10 2 5 2" xfId="40114" xr:uid="{00000000-0005-0000-0000-0000F1550000}"/>
    <cellStyle name="Normal 2 10 2 6" xfId="40109" xr:uid="{00000000-0005-0000-0000-0000F2550000}"/>
    <cellStyle name="Normal 2 10 2 7" xfId="32132" xr:uid="{00000000-0005-0000-0000-0000F3550000}"/>
    <cellStyle name="Normal 2 10 3" xfId="4251" xr:uid="{00000000-0005-0000-0000-0000F4550000}"/>
    <cellStyle name="Normal 2 10 3 2" xfId="4252" xr:uid="{00000000-0005-0000-0000-0000F5550000}"/>
    <cellStyle name="Normal 2 10 3 2 2" xfId="10131" xr:uid="{00000000-0005-0000-0000-0000F6550000}"/>
    <cellStyle name="Normal 2 10 3 2 2 2" xfId="40116" xr:uid="{00000000-0005-0000-0000-0000F7550000}"/>
    <cellStyle name="Normal 2 10 3 2 3" xfId="32139" xr:uid="{00000000-0005-0000-0000-0000F8550000}"/>
    <cellStyle name="Normal 2 10 3 3" xfId="10132" xr:uid="{00000000-0005-0000-0000-0000F9550000}"/>
    <cellStyle name="Normal 2 10 3 3 2" xfId="40115" xr:uid="{00000000-0005-0000-0000-0000FA550000}"/>
    <cellStyle name="Normal 2 10 3 4" xfId="32138" xr:uid="{00000000-0005-0000-0000-0000FB550000}"/>
    <cellStyle name="Normal 2 10 4" xfId="4253" xr:uid="{00000000-0005-0000-0000-0000FC550000}"/>
    <cellStyle name="Normal 2 10 4 2" xfId="4254" xr:uid="{00000000-0005-0000-0000-0000FD550000}"/>
    <cellStyle name="Normal 2 10 4 2 2" xfId="10133" xr:uid="{00000000-0005-0000-0000-0000FE550000}"/>
    <cellStyle name="Normal 2 10 4 2 2 2" xfId="40118" xr:uid="{00000000-0005-0000-0000-0000FF550000}"/>
    <cellStyle name="Normal 2 10 4 2 3" xfId="32141" xr:uid="{00000000-0005-0000-0000-000000560000}"/>
    <cellStyle name="Normal 2 10 4 3" xfId="10134" xr:uid="{00000000-0005-0000-0000-000001560000}"/>
    <cellStyle name="Normal 2 10 4 3 2" xfId="40117" xr:uid="{00000000-0005-0000-0000-000002560000}"/>
    <cellStyle name="Normal 2 10 4 4" xfId="32140" xr:uid="{00000000-0005-0000-0000-000003560000}"/>
    <cellStyle name="Normal 2 10 5" xfId="4255" xr:uid="{00000000-0005-0000-0000-000004560000}"/>
    <cellStyle name="Normal 2 10 5 2" xfId="4256" xr:uid="{00000000-0005-0000-0000-000005560000}"/>
    <cellStyle name="Normal 2 10 5 2 2" xfId="10135" xr:uid="{00000000-0005-0000-0000-000006560000}"/>
    <cellStyle name="Normal 2 10 5 2 3" xfId="40119" xr:uid="{00000000-0005-0000-0000-000007560000}"/>
    <cellStyle name="Normal 2 10 5 3" xfId="10136" xr:uid="{00000000-0005-0000-0000-000008560000}"/>
    <cellStyle name="Normal 2 10 5 4" xfId="32142" xr:uid="{00000000-0005-0000-0000-000009560000}"/>
    <cellStyle name="Normal 2 10 6" xfId="4257" xr:uid="{00000000-0005-0000-0000-00000A560000}"/>
    <cellStyle name="Normal 2 10 6 2" xfId="4258" xr:uid="{00000000-0005-0000-0000-00000B560000}"/>
    <cellStyle name="Normal 2 10 6 2 2" xfId="10137" xr:uid="{00000000-0005-0000-0000-00000C560000}"/>
    <cellStyle name="Normal 2 10 6 2 3" xfId="40120" xr:uid="{00000000-0005-0000-0000-00000D560000}"/>
    <cellStyle name="Normal 2 10 6 3" xfId="10138" xr:uid="{00000000-0005-0000-0000-00000E560000}"/>
    <cellStyle name="Normal 2 10 6 4" xfId="32143" xr:uid="{00000000-0005-0000-0000-00000F560000}"/>
    <cellStyle name="Normal 2 10 7" xfId="4259" xr:uid="{00000000-0005-0000-0000-000010560000}"/>
    <cellStyle name="Normal 2 10 7 2" xfId="4260" xr:uid="{00000000-0005-0000-0000-000011560000}"/>
    <cellStyle name="Normal 2 10 7 2 2" xfId="10139" xr:uid="{00000000-0005-0000-0000-000012560000}"/>
    <cellStyle name="Normal 2 10 7 2 3" xfId="40121" xr:uid="{00000000-0005-0000-0000-000013560000}"/>
    <cellStyle name="Normal 2 10 7 3" xfId="10140" xr:uid="{00000000-0005-0000-0000-000014560000}"/>
    <cellStyle name="Normal 2 10 7 4" xfId="32144" xr:uid="{00000000-0005-0000-0000-000015560000}"/>
    <cellStyle name="Normal 2 10 8" xfId="4261" xr:uid="{00000000-0005-0000-0000-000016560000}"/>
    <cellStyle name="Normal 2 10 8 2" xfId="10141" xr:uid="{00000000-0005-0000-0000-000017560000}"/>
    <cellStyle name="Normal 2 10 8 2 2" xfId="40122" xr:uid="{00000000-0005-0000-0000-000018560000}"/>
    <cellStyle name="Normal 2 10 8 3" xfId="32145" xr:uid="{00000000-0005-0000-0000-000019560000}"/>
    <cellStyle name="Normal 2 10 9" xfId="10142" xr:uid="{00000000-0005-0000-0000-00001A560000}"/>
    <cellStyle name="Normal 2 10 9 2" xfId="40123" xr:uid="{00000000-0005-0000-0000-00001B560000}"/>
    <cellStyle name="Normal 2 10 9 3" xfId="32146" xr:uid="{00000000-0005-0000-0000-00001C560000}"/>
    <cellStyle name="Normal 2 11" xfId="4262" xr:uid="{00000000-0005-0000-0000-00001D560000}"/>
    <cellStyle name="Normal 2 11 2" xfId="4263" xr:uid="{00000000-0005-0000-0000-00001E560000}"/>
    <cellStyle name="Normal 2 11 2 2" xfId="4264" xr:uid="{00000000-0005-0000-0000-00001F560000}"/>
    <cellStyle name="Normal 2 11 2 2 2" xfId="10143" xr:uid="{00000000-0005-0000-0000-000020560000}"/>
    <cellStyle name="Normal 2 11 2 2 2 2" xfId="40125" xr:uid="{00000000-0005-0000-0000-000021560000}"/>
    <cellStyle name="Normal 2 11 2 2 3" xfId="32148" xr:uid="{00000000-0005-0000-0000-000022560000}"/>
    <cellStyle name="Normal 2 11 2 3" xfId="10144" xr:uid="{00000000-0005-0000-0000-000023560000}"/>
    <cellStyle name="Normal 2 11 2 3 2" xfId="40126" xr:uid="{00000000-0005-0000-0000-000024560000}"/>
    <cellStyle name="Normal 2 11 2 3 3" xfId="32149" xr:uid="{00000000-0005-0000-0000-000025560000}"/>
    <cellStyle name="Normal 2 11 2 4" xfId="40124" xr:uid="{00000000-0005-0000-0000-000026560000}"/>
    <cellStyle name="Normal 2 11 2 5" xfId="32147" xr:uid="{00000000-0005-0000-0000-000027560000}"/>
    <cellStyle name="Normal 2 11 3" xfId="4265" xr:uid="{00000000-0005-0000-0000-000028560000}"/>
    <cellStyle name="Normal 2 11 3 2" xfId="4266" xr:uid="{00000000-0005-0000-0000-000029560000}"/>
    <cellStyle name="Normal 2 11 3 2 2" xfId="10145" xr:uid="{00000000-0005-0000-0000-00002A560000}"/>
    <cellStyle name="Normal 2 11 3 2 2 2" xfId="40128" xr:uid="{00000000-0005-0000-0000-00002B560000}"/>
    <cellStyle name="Normal 2 11 3 2 3" xfId="32151" xr:uid="{00000000-0005-0000-0000-00002C560000}"/>
    <cellStyle name="Normal 2 11 3 3" xfId="10146" xr:uid="{00000000-0005-0000-0000-00002D560000}"/>
    <cellStyle name="Normal 2 11 3 3 2" xfId="40127" xr:uid="{00000000-0005-0000-0000-00002E560000}"/>
    <cellStyle name="Normal 2 11 3 4" xfId="32150" xr:uid="{00000000-0005-0000-0000-00002F560000}"/>
    <cellStyle name="Normal 2 11 4" xfId="4267" xr:uid="{00000000-0005-0000-0000-000030560000}"/>
    <cellStyle name="Normal 2 11 4 2" xfId="4268" xr:uid="{00000000-0005-0000-0000-000031560000}"/>
    <cellStyle name="Normal 2 11 4 2 2" xfId="10147" xr:uid="{00000000-0005-0000-0000-000032560000}"/>
    <cellStyle name="Normal 2 11 4 2 2 2" xfId="40130" xr:uid="{00000000-0005-0000-0000-000033560000}"/>
    <cellStyle name="Normal 2 11 4 2 3" xfId="32153" xr:uid="{00000000-0005-0000-0000-000034560000}"/>
    <cellStyle name="Normal 2 11 4 3" xfId="10148" xr:uid="{00000000-0005-0000-0000-000035560000}"/>
    <cellStyle name="Normal 2 11 4 3 2" xfId="40129" xr:uid="{00000000-0005-0000-0000-000036560000}"/>
    <cellStyle name="Normal 2 11 4 4" xfId="32152" xr:uid="{00000000-0005-0000-0000-000037560000}"/>
    <cellStyle name="Normal 2 11 5" xfId="4269" xr:uid="{00000000-0005-0000-0000-000038560000}"/>
    <cellStyle name="Normal 2 11 5 2" xfId="4270" xr:uid="{00000000-0005-0000-0000-000039560000}"/>
    <cellStyle name="Normal 2 11 5 2 2" xfId="10149" xr:uid="{00000000-0005-0000-0000-00003A560000}"/>
    <cellStyle name="Normal 2 11 5 2 3" xfId="40131" xr:uid="{00000000-0005-0000-0000-00003B560000}"/>
    <cellStyle name="Normal 2 11 5 3" xfId="10150" xr:uid="{00000000-0005-0000-0000-00003C560000}"/>
    <cellStyle name="Normal 2 11 5 4" xfId="32154" xr:uid="{00000000-0005-0000-0000-00003D560000}"/>
    <cellStyle name="Normal 2 11 6" xfId="4271" xr:uid="{00000000-0005-0000-0000-00003E560000}"/>
    <cellStyle name="Normal 2 11 6 2" xfId="4272" xr:uid="{00000000-0005-0000-0000-00003F560000}"/>
    <cellStyle name="Normal 2 11 6 2 2" xfId="10151" xr:uid="{00000000-0005-0000-0000-000040560000}"/>
    <cellStyle name="Normal 2 11 6 2 3" xfId="40132" xr:uid="{00000000-0005-0000-0000-000041560000}"/>
    <cellStyle name="Normal 2 11 6 3" xfId="10152" xr:uid="{00000000-0005-0000-0000-000042560000}"/>
    <cellStyle name="Normal 2 11 6 4" xfId="32155" xr:uid="{00000000-0005-0000-0000-000043560000}"/>
    <cellStyle name="Normal 2 11 7" xfId="4273" xr:uid="{00000000-0005-0000-0000-000044560000}"/>
    <cellStyle name="Normal 2 11 7 2" xfId="4274" xr:uid="{00000000-0005-0000-0000-000045560000}"/>
    <cellStyle name="Normal 2 11 7 2 2" xfId="10153" xr:uid="{00000000-0005-0000-0000-000046560000}"/>
    <cellStyle name="Normal 2 11 7 2 3" xfId="40133" xr:uid="{00000000-0005-0000-0000-000047560000}"/>
    <cellStyle name="Normal 2 11 7 3" xfId="10154" xr:uid="{00000000-0005-0000-0000-000048560000}"/>
    <cellStyle name="Normal 2 11 7 4" xfId="32156" xr:uid="{00000000-0005-0000-0000-000049560000}"/>
    <cellStyle name="Normal 2 11 8" xfId="4275" xr:uid="{00000000-0005-0000-0000-00004A560000}"/>
    <cellStyle name="Normal 2 11 8 2" xfId="10155" xr:uid="{00000000-0005-0000-0000-00004B560000}"/>
    <cellStyle name="Normal 2 11 8 3" xfId="32157" xr:uid="{00000000-0005-0000-0000-00004C560000}"/>
    <cellStyle name="Normal 2 11 9" xfId="10156" xr:uid="{00000000-0005-0000-0000-00004D560000}"/>
    <cellStyle name="Normal 2 12" xfId="4276" xr:uid="{00000000-0005-0000-0000-00004E560000}"/>
    <cellStyle name="Normal 2 12 2" xfId="4277" xr:uid="{00000000-0005-0000-0000-00004F560000}"/>
    <cellStyle name="Normal 2 12 2 2" xfId="4278" xr:uid="{00000000-0005-0000-0000-000050560000}"/>
    <cellStyle name="Normal 2 12 2 2 2" xfId="10157" xr:uid="{00000000-0005-0000-0000-000051560000}"/>
    <cellStyle name="Normal 2 12 2 2 2 2" xfId="40135" xr:uid="{00000000-0005-0000-0000-000052560000}"/>
    <cellStyle name="Normal 2 12 2 2 3" xfId="32159" xr:uid="{00000000-0005-0000-0000-000053560000}"/>
    <cellStyle name="Normal 2 12 2 3" xfId="10158" xr:uid="{00000000-0005-0000-0000-000054560000}"/>
    <cellStyle name="Normal 2 12 2 3 2" xfId="40134" xr:uid="{00000000-0005-0000-0000-000055560000}"/>
    <cellStyle name="Normal 2 12 2 4" xfId="32158" xr:uid="{00000000-0005-0000-0000-000056560000}"/>
    <cellStyle name="Normal 2 12 3" xfId="4279" xr:uid="{00000000-0005-0000-0000-000057560000}"/>
    <cellStyle name="Normal 2 12 3 2" xfId="4280" xr:uid="{00000000-0005-0000-0000-000058560000}"/>
    <cellStyle name="Normal 2 12 3 2 2" xfId="10159" xr:uid="{00000000-0005-0000-0000-000059560000}"/>
    <cellStyle name="Normal 2 12 3 2 2 2" xfId="40137" xr:uid="{00000000-0005-0000-0000-00005A560000}"/>
    <cellStyle name="Normal 2 12 3 2 3" xfId="32161" xr:uid="{00000000-0005-0000-0000-00005B560000}"/>
    <cellStyle name="Normal 2 12 3 3" xfId="10160" xr:uid="{00000000-0005-0000-0000-00005C560000}"/>
    <cellStyle name="Normal 2 12 3 3 2" xfId="40136" xr:uid="{00000000-0005-0000-0000-00005D560000}"/>
    <cellStyle name="Normal 2 12 3 4" xfId="32160" xr:uid="{00000000-0005-0000-0000-00005E560000}"/>
    <cellStyle name="Normal 2 12 4" xfId="4281" xr:uid="{00000000-0005-0000-0000-00005F560000}"/>
    <cellStyle name="Normal 2 12 4 2" xfId="4282" xr:uid="{00000000-0005-0000-0000-000060560000}"/>
    <cellStyle name="Normal 2 12 4 2 2" xfId="10161" xr:uid="{00000000-0005-0000-0000-000061560000}"/>
    <cellStyle name="Normal 2 12 4 2 2 2" xfId="40139" xr:uid="{00000000-0005-0000-0000-000062560000}"/>
    <cellStyle name="Normal 2 12 4 2 3" xfId="32163" xr:uid="{00000000-0005-0000-0000-000063560000}"/>
    <cellStyle name="Normal 2 12 4 3" xfId="10162" xr:uid="{00000000-0005-0000-0000-000064560000}"/>
    <cellStyle name="Normal 2 12 4 3 2" xfId="40138" xr:uid="{00000000-0005-0000-0000-000065560000}"/>
    <cellStyle name="Normal 2 12 4 4" xfId="32162" xr:uid="{00000000-0005-0000-0000-000066560000}"/>
    <cellStyle name="Normal 2 12 5" xfId="4283" xr:uid="{00000000-0005-0000-0000-000067560000}"/>
    <cellStyle name="Normal 2 12 5 2" xfId="4284" xr:uid="{00000000-0005-0000-0000-000068560000}"/>
    <cellStyle name="Normal 2 12 5 2 2" xfId="10163" xr:uid="{00000000-0005-0000-0000-000069560000}"/>
    <cellStyle name="Normal 2 12 5 2 3" xfId="40140" xr:uid="{00000000-0005-0000-0000-00006A560000}"/>
    <cellStyle name="Normal 2 12 5 3" xfId="10164" xr:uid="{00000000-0005-0000-0000-00006B560000}"/>
    <cellStyle name="Normal 2 12 5 4" xfId="32164" xr:uid="{00000000-0005-0000-0000-00006C560000}"/>
    <cellStyle name="Normal 2 12 6" xfId="4285" xr:uid="{00000000-0005-0000-0000-00006D560000}"/>
    <cellStyle name="Normal 2 12 6 2" xfId="4286" xr:uid="{00000000-0005-0000-0000-00006E560000}"/>
    <cellStyle name="Normal 2 12 6 2 2" xfId="10165" xr:uid="{00000000-0005-0000-0000-00006F560000}"/>
    <cellStyle name="Normal 2 12 6 2 3" xfId="40141" xr:uid="{00000000-0005-0000-0000-000070560000}"/>
    <cellStyle name="Normal 2 12 6 3" xfId="10166" xr:uid="{00000000-0005-0000-0000-000071560000}"/>
    <cellStyle name="Normal 2 12 6 4" xfId="32165" xr:uid="{00000000-0005-0000-0000-000072560000}"/>
    <cellStyle name="Normal 2 12 7" xfId="4287" xr:uid="{00000000-0005-0000-0000-000073560000}"/>
    <cellStyle name="Normal 2 12 7 2" xfId="4288" xr:uid="{00000000-0005-0000-0000-000074560000}"/>
    <cellStyle name="Normal 2 12 7 2 2" xfId="10167" xr:uid="{00000000-0005-0000-0000-000075560000}"/>
    <cellStyle name="Normal 2 12 7 2 3" xfId="40142" xr:uid="{00000000-0005-0000-0000-000076560000}"/>
    <cellStyle name="Normal 2 12 7 3" xfId="10168" xr:uid="{00000000-0005-0000-0000-000077560000}"/>
    <cellStyle name="Normal 2 12 7 4" xfId="32166" xr:uid="{00000000-0005-0000-0000-000078560000}"/>
    <cellStyle name="Normal 2 12 8" xfId="4289" xr:uid="{00000000-0005-0000-0000-000079560000}"/>
    <cellStyle name="Normal 2 12 8 2" xfId="10169" xr:uid="{00000000-0005-0000-0000-00007A560000}"/>
    <cellStyle name="Normal 2 12 8 2 2" xfId="40143" xr:uid="{00000000-0005-0000-0000-00007B560000}"/>
    <cellStyle name="Normal 2 12 8 3" xfId="32167" xr:uid="{00000000-0005-0000-0000-00007C560000}"/>
    <cellStyle name="Normal 2 12 9" xfId="10170" xr:uid="{00000000-0005-0000-0000-00007D560000}"/>
    <cellStyle name="Normal 2 13" xfId="4290" xr:uid="{00000000-0005-0000-0000-00007E560000}"/>
    <cellStyle name="Normal 2 13 2" xfId="4291" xr:uid="{00000000-0005-0000-0000-00007F560000}"/>
    <cellStyle name="Normal 2 13 2 2" xfId="4292" xr:uid="{00000000-0005-0000-0000-000080560000}"/>
    <cellStyle name="Normal 2 13 2 2 2" xfId="10171" xr:uid="{00000000-0005-0000-0000-000081560000}"/>
    <cellStyle name="Normal 2 13 2 2 3" xfId="40144" xr:uid="{00000000-0005-0000-0000-000082560000}"/>
    <cellStyle name="Normal 2 13 2 3" xfId="10172" xr:uid="{00000000-0005-0000-0000-000083560000}"/>
    <cellStyle name="Normal 2 13 2 4" xfId="32168" xr:uid="{00000000-0005-0000-0000-000084560000}"/>
    <cellStyle name="Normal 2 13 3" xfId="4293" xr:uid="{00000000-0005-0000-0000-000085560000}"/>
    <cellStyle name="Normal 2 13 3 2" xfId="4294" xr:uid="{00000000-0005-0000-0000-000086560000}"/>
    <cellStyle name="Normal 2 13 3 2 2" xfId="10173" xr:uid="{00000000-0005-0000-0000-000087560000}"/>
    <cellStyle name="Normal 2 13 3 2 3" xfId="40145" xr:uid="{00000000-0005-0000-0000-000088560000}"/>
    <cellStyle name="Normal 2 13 3 3" xfId="10174" xr:uid="{00000000-0005-0000-0000-000089560000}"/>
    <cellStyle name="Normal 2 13 3 4" xfId="32169" xr:uid="{00000000-0005-0000-0000-00008A560000}"/>
    <cellStyle name="Normal 2 13 4" xfId="4295" xr:uid="{00000000-0005-0000-0000-00008B560000}"/>
    <cellStyle name="Normal 2 13 4 2" xfId="4296" xr:uid="{00000000-0005-0000-0000-00008C560000}"/>
    <cellStyle name="Normal 2 13 4 2 2" xfId="10175" xr:uid="{00000000-0005-0000-0000-00008D560000}"/>
    <cellStyle name="Normal 2 13 4 2 3" xfId="40146" xr:uid="{00000000-0005-0000-0000-00008E560000}"/>
    <cellStyle name="Normal 2 13 4 3" xfId="10176" xr:uid="{00000000-0005-0000-0000-00008F560000}"/>
    <cellStyle name="Normal 2 13 4 4" xfId="32170" xr:uid="{00000000-0005-0000-0000-000090560000}"/>
    <cellStyle name="Normal 2 13 5" xfId="4297" xr:uid="{00000000-0005-0000-0000-000091560000}"/>
    <cellStyle name="Normal 2 13 5 2" xfId="4298" xr:uid="{00000000-0005-0000-0000-000092560000}"/>
    <cellStyle name="Normal 2 13 5 2 2" xfId="10177" xr:uid="{00000000-0005-0000-0000-000093560000}"/>
    <cellStyle name="Normal 2 13 5 2 3" xfId="40147" xr:uid="{00000000-0005-0000-0000-000094560000}"/>
    <cellStyle name="Normal 2 13 5 3" xfId="10178" xr:uid="{00000000-0005-0000-0000-000095560000}"/>
    <cellStyle name="Normal 2 13 5 4" xfId="32171" xr:uid="{00000000-0005-0000-0000-000096560000}"/>
    <cellStyle name="Normal 2 13 6" xfId="4299" xr:uid="{00000000-0005-0000-0000-000097560000}"/>
    <cellStyle name="Normal 2 13 6 2" xfId="4300" xr:uid="{00000000-0005-0000-0000-000098560000}"/>
    <cellStyle name="Normal 2 13 6 2 2" xfId="10179" xr:uid="{00000000-0005-0000-0000-000099560000}"/>
    <cellStyle name="Normal 2 13 6 2 3" xfId="40148" xr:uid="{00000000-0005-0000-0000-00009A560000}"/>
    <cellStyle name="Normal 2 13 6 3" xfId="10180" xr:uid="{00000000-0005-0000-0000-00009B560000}"/>
    <cellStyle name="Normal 2 13 6 4" xfId="32172" xr:uid="{00000000-0005-0000-0000-00009C560000}"/>
    <cellStyle name="Normal 2 13 7" xfId="4301" xr:uid="{00000000-0005-0000-0000-00009D560000}"/>
    <cellStyle name="Normal 2 13 7 2" xfId="4302" xr:uid="{00000000-0005-0000-0000-00009E560000}"/>
    <cellStyle name="Normal 2 13 7 2 2" xfId="10181" xr:uid="{00000000-0005-0000-0000-00009F560000}"/>
    <cellStyle name="Normal 2 13 7 2 3" xfId="40149" xr:uid="{00000000-0005-0000-0000-0000A0560000}"/>
    <cellStyle name="Normal 2 13 7 3" xfId="10182" xr:uid="{00000000-0005-0000-0000-0000A1560000}"/>
    <cellStyle name="Normal 2 13 7 4" xfId="32173" xr:uid="{00000000-0005-0000-0000-0000A2560000}"/>
    <cellStyle name="Normal 2 13 8" xfId="4303" xr:uid="{00000000-0005-0000-0000-0000A3560000}"/>
    <cellStyle name="Normal 2 13 8 2" xfId="10183" xr:uid="{00000000-0005-0000-0000-0000A4560000}"/>
    <cellStyle name="Normal 2 13 9" xfId="10184" xr:uid="{00000000-0005-0000-0000-0000A5560000}"/>
    <cellStyle name="Normal 2 14" xfId="4304" xr:uid="{00000000-0005-0000-0000-0000A6560000}"/>
    <cellStyle name="Normal 2 14 2" xfId="4305" xr:uid="{00000000-0005-0000-0000-0000A7560000}"/>
    <cellStyle name="Normal 2 14 2 2" xfId="10185" xr:uid="{00000000-0005-0000-0000-0000A8560000}"/>
    <cellStyle name="Normal 2 14 2 2 2" xfId="40150" xr:uid="{00000000-0005-0000-0000-0000A9560000}"/>
    <cellStyle name="Normal 2 14 2 3" xfId="32174" xr:uid="{00000000-0005-0000-0000-0000AA560000}"/>
    <cellStyle name="Normal 2 14 3" xfId="10186" xr:uid="{00000000-0005-0000-0000-0000AB560000}"/>
    <cellStyle name="Normal 2 14 3 2" xfId="40151" xr:uid="{00000000-0005-0000-0000-0000AC560000}"/>
    <cellStyle name="Normal 2 14 3 3" xfId="32175" xr:uid="{00000000-0005-0000-0000-0000AD560000}"/>
    <cellStyle name="Normal 2 14 4" xfId="32176" xr:uid="{00000000-0005-0000-0000-0000AE560000}"/>
    <cellStyle name="Normal 2 14 4 2" xfId="40152" xr:uid="{00000000-0005-0000-0000-0000AF560000}"/>
    <cellStyle name="Normal 2 14 5" xfId="32177" xr:uid="{00000000-0005-0000-0000-0000B0560000}"/>
    <cellStyle name="Normal 2 14 5 2" xfId="40153" xr:uid="{00000000-0005-0000-0000-0000B1560000}"/>
    <cellStyle name="Normal 2 14 6" xfId="32178" xr:uid="{00000000-0005-0000-0000-0000B2560000}"/>
    <cellStyle name="Normal 2 14 6 2" xfId="40154" xr:uid="{00000000-0005-0000-0000-0000B3560000}"/>
    <cellStyle name="Normal 2 14 7" xfId="32179" xr:uid="{00000000-0005-0000-0000-0000B4560000}"/>
    <cellStyle name="Normal 2 14 7 2" xfId="40155" xr:uid="{00000000-0005-0000-0000-0000B5560000}"/>
    <cellStyle name="Normal 2 15" xfId="4306" xr:uid="{00000000-0005-0000-0000-0000B6560000}"/>
    <cellStyle name="Normal 2 15 2" xfId="4307" xr:uid="{00000000-0005-0000-0000-0000B7560000}"/>
    <cellStyle name="Normal 2 15 2 2" xfId="10187" xr:uid="{00000000-0005-0000-0000-0000B8560000}"/>
    <cellStyle name="Normal 2 15 2 2 2" xfId="40156" xr:uid="{00000000-0005-0000-0000-0000B9560000}"/>
    <cellStyle name="Normal 2 15 2 3" xfId="32180" xr:uid="{00000000-0005-0000-0000-0000BA560000}"/>
    <cellStyle name="Normal 2 15 3" xfId="10188" xr:uid="{00000000-0005-0000-0000-0000BB560000}"/>
    <cellStyle name="Normal 2 15 3 2" xfId="40157" xr:uid="{00000000-0005-0000-0000-0000BC560000}"/>
    <cellStyle name="Normal 2 15 3 3" xfId="32181" xr:uid="{00000000-0005-0000-0000-0000BD560000}"/>
    <cellStyle name="Normal 2 15 4" xfId="32182" xr:uid="{00000000-0005-0000-0000-0000BE560000}"/>
    <cellStyle name="Normal 2 15 4 2" xfId="40158" xr:uid="{00000000-0005-0000-0000-0000BF560000}"/>
    <cellStyle name="Normal 2 15 5" xfId="32183" xr:uid="{00000000-0005-0000-0000-0000C0560000}"/>
    <cellStyle name="Normal 2 15 5 2" xfId="40159" xr:uid="{00000000-0005-0000-0000-0000C1560000}"/>
    <cellStyle name="Normal 2 15 6" xfId="32184" xr:uid="{00000000-0005-0000-0000-0000C2560000}"/>
    <cellStyle name="Normal 2 15 6 2" xfId="40160" xr:uid="{00000000-0005-0000-0000-0000C3560000}"/>
    <cellStyle name="Normal 2 15 7" xfId="32185" xr:uid="{00000000-0005-0000-0000-0000C4560000}"/>
    <cellStyle name="Normal 2 15 7 2" xfId="40161" xr:uid="{00000000-0005-0000-0000-0000C5560000}"/>
    <cellStyle name="Normal 2 16" xfId="4308" xr:uid="{00000000-0005-0000-0000-0000C6560000}"/>
    <cellStyle name="Normal 2 16 2" xfId="4309" xr:uid="{00000000-0005-0000-0000-0000C7560000}"/>
    <cellStyle name="Normal 2 16 2 2" xfId="10189" xr:uid="{00000000-0005-0000-0000-0000C8560000}"/>
    <cellStyle name="Normal 2 16 2 2 2" xfId="40162" xr:uid="{00000000-0005-0000-0000-0000C9560000}"/>
    <cellStyle name="Normal 2 16 2 3" xfId="32186" xr:uid="{00000000-0005-0000-0000-0000CA560000}"/>
    <cellStyle name="Normal 2 16 3" xfId="10190" xr:uid="{00000000-0005-0000-0000-0000CB560000}"/>
    <cellStyle name="Normal 2 16 3 2" xfId="40163" xr:uid="{00000000-0005-0000-0000-0000CC560000}"/>
    <cellStyle name="Normal 2 16 3 3" xfId="32187" xr:uid="{00000000-0005-0000-0000-0000CD560000}"/>
    <cellStyle name="Normal 2 16 4" xfId="32188" xr:uid="{00000000-0005-0000-0000-0000CE560000}"/>
    <cellStyle name="Normal 2 16 4 2" xfId="40164" xr:uid="{00000000-0005-0000-0000-0000CF560000}"/>
    <cellStyle name="Normal 2 16 5" xfId="32189" xr:uid="{00000000-0005-0000-0000-0000D0560000}"/>
    <cellStyle name="Normal 2 16 5 2" xfId="40165" xr:uid="{00000000-0005-0000-0000-0000D1560000}"/>
    <cellStyle name="Normal 2 16 6" xfId="32190" xr:uid="{00000000-0005-0000-0000-0000D2560000}"/>
    <cellStyle name="Normal 2 16 6 2" xfId="40166" xr:uid="{00000000-0005-0000-0000-0000D3560000}"/>
    <cellStyle name="Normal 2 16 7" xfId="32191" xr:uid="{00000000-0005-0000-0000-0000D4560000}"/>
    <cellStyle name="Normal 2 16 7 2" xfId="40167" xr:uid="{00000000-0005-0000-0000-0000D5560000}"/>
    <cellStyle name="Normal 2 17" xfId="4310" xr:uid="{00000000-0005-0000-0000-0000D6560000}"/>
    <cellStyle name="Normal 2 17 2" xfId="4311" xr:uid="{00000000-0005-0000-0000-0000D7560000}"/>
    <cellStyle name="Normal 2 17 2 2" xfId="10191" xr:uid="{00000000-0005-0000-0000-0000D8560000}"/>
    <cellStyle name="Normal 2 17 2 2 2" xfId="40168" xr:uid="{00000000-0005-0000-0000-0000D9560000}"/>
    <cellStyle name="Normal 2 17 2 3" xfId="32192" xr:uid="{00000000-0005-0000-0000-0000DA560000}"/>
    <cellStyle name="Normal 2 17 3" xfId="10192" xr:uid="{00000000-0005-0000-0000-0000DB560000}"/>
    <cellStyle name="Normal 2 17 3 2" xfId="40169" xr:uid="{00000000-0005-0000-0000-0000DC560000}"/>
    <cellStyle name="Normal 2 17 3 3" xfId="32193" xr:uid="{00000000-0005-0000-0000-0000DD560000}"/>
    <cellStyle name="Normal 2 17 4" xfId="32194" xr:uid="{00000000-0005-0000-0000-0000DE560000}"/>
    <cellStyle name="Normal 2 17 4 2" xfId="40170" xr:uid="{00000000-0005-0000-0000-0000DF560000}"/>
    <cellStyle name="Normal 2 17 5" xfId="32195" xr:uid="{00000000-0005-0000-0000-0000E0560000}"/>
    <cellStyle name="Normal 2 17 5 2" xfId="40171" xr:uid="{00000000-0005-0000-0000-0000E1560000}"/>
    <cellStyle name="Normal 2 17 6" xfId="32196" xr:uid="{00000000-0005-0000-0000-0000E2560000}"/>
    <cellStyle name="Normal 2 17 6 2" xfId="40172" xr:uid="{00000000-0005-0000-0000-0000E3560000}"/>
    <cellStyle name="Normal 2 17 7" xfId="32197" xr:uid="{00000000-0005-0000-0000-0000E4560000}"/>
    <cellStyle name="Normal 2 17 7 2" xfId="40173" xr:uid="{00000000-0005-0000-0000-0000E5560000}"/>
    <cellStyle name="Normal 2 18" xfId="4312" xr:uid="{00000000-0005-0000-0000-0000E6560000}"/>
    <cellStyle name="Normal 2 18 2" xfId="4313" xr:uid="{00000000-0005-0000-0000-0000E7560000}"/>
    <cellStyle name="Normal 2 18 2 2" xfId="32200" xr:uid="{00000000-0005-0000-0000-0000E8560000}"/>
    <cellStyle name="Normal 2 18 2 2 2" xfId="40175" xr:uid="{00000000-0005-0000-0000-0000E9560000}"/>
    <cellStyle name="Normal 2 18 2 3" xfId="40174" xr:uid="{00000000-0005-0000-0000-0000EA560000}"/>
    <cellStyle name="Normal 2 18 2 4" xfId="32199" xr:uid="{00000000-0005-0000-0000-0000EB560000}"/>
    <cellStyle name="Normal 2 18 3" xfId="4314" xr:uid="{00000000-0005-0000-0000-0000EC560000}"/>
    <cellStyle name="Normal 2 18 3 2" xfId="40176" xr:uid="{00000000-0005-0000-0000-0000ED560000}"/>
    <cellStyle name="Normal 2 18 3 3" xfId="32201" xr:uid="{00000000-0005-0000-0000-0000EE560000}"/>
    <cellStyle name="Normal 2 18 4" xfId="32202" xr:uid="{00000000-0005-0000-0000-0000EF560000}"/>
    <cellStyle name="Normal 2 18 4 2" xfId="40177" xr:uid="{00000000-0005-0000-0000-0000F0560000}"/>
    <cellStyle name="Normal 2 18 5" xfId="32203" xr:uid="{00000000-0005-0000-0000-0000F1560000}"/>
    <cellStyle name="Normal 2 18 5 2" xfId="40178" xr:uid="{00000000-0005-0000-0000-0000F2560000}"/>
    <cellStyle name="Normal 2 18 6" xfId="32204" xr:uid="{00000000-0005-0000-0000-0000F3560000}"/>
    <cellStyle name="Normal 2 18 6 2" xfId="40179" xr:uid="{00000000-0005-0000-0000-0000F4560000}"/>
    <cellStyle name="Normal 2 18 7" xfId="32205" xr:uid="{00000000-0005-0000-0000-0000F5560000}"/>
    <cellStyle name="Normal 2 18 7 2" xfId="40180" xr:uid="{00000000-0005-0000-0000-0000F6560000}"/>
    <cellStyle name="Normal 2 18 8" xfId="32198" xr:uid="{00000000-0005-0000-0000-0000F7560000}"/>
    <cellStyle name="Normal 2 19" xfId="4315" xr:uid="{00000000-0005-0000-0000-0000F8560000}"/>
    <cellStyle name="Normal 2 19 2" xfId="4316" xr:uid="{00000000-0005-0000-0000-0000F9560000}"/>
    <cellStyle name="Normal 2 19 2 2" xfId="32208" xr:uid="{00000000-0005-0000-0000-0000FA560000}"/>
    <cellStyle name="Normal 2 19 2 2 2" xfId="40182" xr:uid="{00000000-0005-0000-0000-0000FB560000}"/>
    <cellStyle name="Normal 2 19 2 3" xfId="40181" xr:uid="{00000000-0005-0000-0000-0000FC560000}"/>
    <cellStyle name="Normal 2 19 2 4" xfId="32207" xr:uid="{00000000-0005-0000-0000-0000FD560000}"/>
    <cellStyle name="Normal 2 19 3" xfId="4317" xr:uid="{00000000-0005-0000-0000-0000FE560000}"/>
    <cellStyle name="Normal 2 19 3 2" xfId="32210" xr:uid="{00000000-0005-0000-0000-0000FF560000}"/>
    <cellStyle name="Normal 2 19 3 2 2" xfId="40184" xr:uid="{00000000-0005-0000-0000-000000570000}"/>
    <cellStyle name="Normal 2 19 3 3" xfId="32211" xr:uid="{00000000-0005-0000-0000-000001570000}"/>
    <cellStyle name="Normal 2 19 3 3 2" xfId="40185" xr:uid="{00000000-0005-0000-0000-000002570000}"/>
    <cellStyle name="Normal 2 19 3 4" xfId="40183" xr:uid="{00000000-0005-0000-0000-000003570000}"/>
    <cellStyle name="Normal 2 19 3 5" xfId="32209" xr:uid="{00000000-0005-0000-0000-000004570000}"/>
    <cellStyle name="Normal 2 19 4" xfId="32212" xr:uid="{00000000-0005-0000-0000-000005570000}"/>
    <cellStyle name="Normal 2 19 4 2" xfId="40186" xr:uid="{00000000-0005-0000-0000-000006570000}"/>
    <cellStyle name="Normal 2 19 5" xfId="32213" xr:uid="{00000000-0005-0000-0000-000007570000}"/>
    <cellStyle name="Normal 2 19 5 2" xfId="40187" xr:uid="{00000000-0005-0000-0000-000008570000}"/>
    <cellStyle name="Normal 2 19 6" xfId="32214" xr:uid="{00000000-0005-0000-0000-000009570000}"/>
    <cellStyle name="Normal 2 19 6 2" xfId="40188" xr:uid="{00000000-0005-0000-0000-00000A570000}"/>
    <cellStyle name="Normal 2 19 7" xfId="32215" xr:uid="{00000000-0005-0000-0000-00000B570000}"/>
    <cellStyle name="Normal 2 19 7 2" xfId="40189" xr:uid="{00000000-0005-0000-0000-00000C570000}"/>
    <cellStyle name="Normal 2 19 8" xfId="32206" xr:uid="{00000000-0005-0000-0000-00000D570000}"/>
    <cellStyle name="Normal 2 2" xfId="5" xr:uid="{00000000-0005-0000-0000-00000E570000}"/>
    <cellStyle name="Normal 2 2 10" xfId="55" xr:uid="{00000000-0005-0000-0000-00000F570000}"/>
    <cellStyle name="Normal 2 2 10 2" xfId="10193" xr:uid="{00000000-0005-0000-0000-000010570000}"/>
    <cellStyle name="Normal 2 2 10 2 2" xfId="40190" xr:uid="{00000000-0005-0000-0000-000011570000}"/>
    <cellStyle name="Normal 2 2 10 3" xfId="32216" xr:uid="{00000000-0005-0000-0000-000012570000}"/>
    <cellStyle name="Normal 2 2 11" xfId="4319" xr:uid="{00000000-0005-0000-0000-000013570000}"/>
    <cellStyle name="Normal 2 2 11 2" xfId="10194" xr:uid="{00000000-0005-0000-0000-000014570000}"/>
    <cellStyle name="Normal 2 2 11 2 2" xfId="40191" xr:uid="{00000000-0005-0000-0000-000015570000}"/>
    <cellStyle name="Normal 2 2 11 3" xfId="32217" xr:uid="{00000000-0005-0000-0000-000016570000}"/>
    <cellStyle name="Normal 2 2 12" xfId="4320" xr:uid="{00000000-0005-0000-0000-000017570000}"/>
    <cellStyle name="Normal 2 2 12 2" xfId="10195" xr:uid="{00000000-0005-0000-0000-000018570000}"/>
    <cellStyle name="Normal 2 2 12 2 2" xfId="40192" xr:uid="{00000000-0005-0000-0000-000019570000}"/>
    <cellStyle name="Normal 2 2 12 3" xfId="32218" xr:uid="{00000000-0005-0000-0000-00001A570000}"/>
    <cellStyle name="Normal 2 2 13" xfId="40" xr:uid="{00000000-0005-0000-0000-00001B570000}"/>
    <cellStyle name="Normal 2 2 13 2" xfId="10196" xr:uid="{00000000-0005-0000-0000-00001C570000}"/>
    <cellStyle name="Normal 2 2 13 2 2" xfId="40193" xr:uid="{00000000-0005-0000-0000-00001D570000}"/>
    <cellStyle name="Normal 2 2 13 3" xfId="32219" xr:uid="{00000000-0005-0000-0000-00001E570000}"/>
    <cellStyle name="Normal 2 2 13 4" xfId="4321" xr:uid="{00000000-0005-0000-0000-00001F570000}"/>
    <cellStyle name="Normal 2 2 14" xfId="4322" xr:uid="{00000000-0005-0000-0000-000020570000}"/>
    <cellStyle name="Normal 2 2 14 2" xfId="10197" xr:uid="{00000000-0005-0000-0000-000021570000}"/>
    <cellStyle name="Normal 2 2 14 2 2" xfId="40194" xr:uid="{00000000-0005-0000-0000-000022570000}"/>
    <cellStyle name="Normal 2 2 14 3" xfId="32220" xr:uid="{00000000-0005-0000-0000-000023570000}"/>
    <cellStyle name="Normal 2 2 15" xfId="4323" xr:uid="{00000000-0005-0000-0000-000024570000}"/>
    <cellStyle name="Normal 2 2 15 2" xfId="10198" xr:uid="{00000000-0005-0000-0000-000025570000}"/>
    <cellStyle name="Normal 2 2 15 2 2" xfId="40195" xr:uid="{00000000-0005-0000-0000-000026570000}"/>
    <cellStyle name="Normal 2 2 15 3" xfId="32221" xr:uid="{00000000-0005-0000-0000-000027570000}"/>
    <cellStyle name="Normal 2 2 16" xfId="4324" xr:uid="{00000000-0005-0000-0000-000028570000}"/>
    <cellStyle name="Normal 2 2 16 2" xfId="10199" xr:uid="{00000000-0005-0000-0000-000029570000}"/>
    <cellStyle name="Normal 2 2 16 2 2" xfId="40196" xr:uid="{00000000-0005-0000-0000-00002A570000}"/>
    <cellStyle name="Normal 2 2 16 3" xfId="32222" xr:uid="{00000000-0005-0000-0000-00002B570000}"/>
    <cellStyle name="Normal 2 2 17" xfId="4325" xr:uid="{00000000-0005-0000-0000-00002C570000}"/>
    <cellStyle name="Normal 2 2 17 2" xfId="10200" xr:uid="{00000000-0005-0000-0000-00002D570000}"/>
    <cellStyle name="Normal 2 2 17 2 2" xfId="40197" xr:uid="{00000000-0005-0000-0000-00002E570000}"/>
    <cellStyle name="Normal 2 2 17 3" xfId="32223" xr:uid="{00000000-0005-0000-0000-00002F570000}"/>
    <cellStyle name="Normal 2 2 18" xfId="4326" xr:uid="{00000000-0005-0000-0000-000030570000}"/>
    <cellStyle name="Normal 2 2 18 2" xfId="10201" xr:uid="{00000000-0005-0000-0000-000031570000}"/>
    <cellStyle name="Normal 2 2 18 3" xfId="32224" xr:uid="{00000000-0005-0000-0000-000032570000}"/>
    <cellStyle name="Normal 2 2 19" xfId="4327" xr:uid="{00000000-0005-0000-0000-000033570000}"/>
    <cellStyle name="Normal 2 2 19 2" xfId="10202" xr:uid="{00000000-0005-0000-0000-000034570000}"/>
    <cellStyle name="Normal 2 2 2" xfId="4328" xr:uid="{00000000-0005-0000-0000-000035570000}"/>
    <cellStyle name="Normal 2 2 2 10" xfId="4329" xr:uid="{00000000-0005-0000-0000-000036570000}"/>
    <cellStyle name="Normal 2 2 2 10 2" xfId="4330" xr:uid="{00000000-0005-0000-0000-000037570000}"/>
    <cellStyle name="Normal 2 2 2 10 2 2" xfId="40198" xr:uid="{00000000-0005-0000-0000-000038570000}"/>
    <cellStyle name="Normal 2 2 2 10 3" xfId="4331" xr:uid="{00000000-0005-0000-0000-000039570000}"/>
    <cellStyle name="Normal 2 2 2 10 4" xfId="32225" xr:uid="{00000000-0005-0000-0000-00003A570000}"/>
    <cellStyle name="Normal 2 2 2 11" xfId="4332" xr:uid="{00000000-0005-0000-0000-00003B570000}"/>
    <cellStyle name="Normal 2 2 2 11 2" xfId="4333" xr:uid="{00000000-0005-0000-0000-00003C570000}"/>
    <cellStyle name="Normal 2 2 2 11 3" xfId="4334" xr:uid="{00000000-0005-0000-0000-00003D570000}"/>
    <cellStyle name="Normal 2 2 2 11 4" xfId="32226" xr:uid="{00000000-0005-0000-0000-00003E570000}"/>
    <cellStyle name="Normal 2 2 2 12" xfId="4335" xr:uid="{00000000-0005-0000-0000-00003F570000}"/>
    <cellStyle name="Normal 2 2 2 12 2" xfId="4336" xr:uid="{00000000-0005-0000-0000-000040570000}"/>
    <cellStyle name="Normal 2 2 2 12 3" xfId="4337" xr:uid="{00000000-0005-0000-0000-000041570000}"/>
    <cellStyle name="Normal 2 2 2 13" xfId="4338" xr:uid="{00000000-0005-0000-0000-000042570000}"/>
    <cellStyle name="Normal 2 2 2 13 2" xfId="4339" xr:uid="{00000000-0005-0000-0000-000043570000}"/>
    <cellStyle name="Normal 2 2 2 13 3" xfId="4340" xr:uid="{00000000-0005-0000-0000-000044570000}"/>
    <cellStyle name="Normal 2 2 2 14" xfId="4341" xr:uid="{00000000-0005-0000-0000-000045570000}"/>
    <cellStyle name="Normal 2 2 2 14 2" xfId="4342" xr:uid="{00000000-0005-0000-0000-000046570000}"/>
    <cellStyle name="Normal 2 2 2 14 3" xfId="4343" xr:uid="{00000000-0005-0000-0000-000047570000}"/>
    <cellStyle name="Normal 2 2 2 15" xfId="4344" xr:uid="{00000000-0005-0000-0000-000048570000}"/>
    <cellStyle name="Normal 2 2 2 15 2" xfId="4345" xr:uid="{00000000-0005-0000-0000-000049570000}"/>
    <cellStyle name="Normal 2 2 2 15 3" xfId="4346" xr:uid="{00000000-0005-0000-0000-00004A570000}"/>
    <cellStyle name="Normal 2 2 2 16" xfId="4347" xr:uid="{00000000-0005-0000-0000-00004B570000}"/>
    <cellStyle name="Normal 2 2 2 16 2" xfId="4348" xr:uid="{00000000-0005-0000-0000-00004C570000}"/>
    <cellStyle name="Normal 2 2 2 16 3" xfId="4349" xr:uid="{00000000-0005-0000-0000-00004D570000}"/>
    <cellStyle name="Normal 2 2 2 17" xfId="4350" xr:uid="{00000000-0005-0000-0000-00004E570000}"/>
    <cellStyle name="Normal 2 2 2 17 2" xfId="4351" xr:uid="{00000000-0005-0000-0000-00004F570000}"/>
    <cellStyle name="Normal 2 2 2 17 3" xfId="4352" xr:uid="{00000000-0005-0000-0000-000050570000}"/>
    <cellStyle name="Normal 2 2 2 18" xfId="4353" xr:uid="{00000000-0005-0000-0000-000051570000}"/>
    <cellStyle name="Normal 2 2 2 18 2" xfId="4354" xr:uid="{00000000-0005-0000-0000-000052570000}"/>
    <cellStyle name="Normal 2 2 2 18 3" xfId="4355" xr:uid="{00000000-0005-0000-0000-000053570000}"/>
    <cellStyle name="Normal 2 2 2 19" xfId="4356" xr:uid="{00000000-0005-0000-0000-000054570000}"/>
    <cellStyle name="Normal 2 2 2 19 2" xfId="4357" xr:uid="{00000000-0005-0000-0000-000055570000}"/>
    <cellStyle name="Normal 2 2 2 19 3" xfId="4358" xr:uid="{00000000-0005-0000-0000-000056570000}"/>
    <cellStyle name="Normal 2 2 2 2" xfId="4359" xr:uid="{00000000-0005-0000-0000-000057570000}"/>
    <cellStyle name="Normal 2 2 2 2 10" xfId="4360" xr:uid="{00000000-0005-0000-0000-000058570000}"/>
    <cellStyle name="Normal 2 2 2 2 10 2" xfId="10203" xr:uid="{00000000-0005-0000-0000-000059570000}"/>
    <cellStyle name="Normal 2 2 2 2 11" xfId="4361" xr:uid="{00000000-0005-0000-0000-00005A570000}"/>
    <cellStyle name="Normal 2 2 2 2 11 2" xfId="10204" xr:uid="{00000000-0005-0000-0000-00005B570000}"/>
    <cellStyle name="Normal 2 2 2 2 12" xfId="4362" xr:uid="{00000000-0005-0000-0000-00005C570000}"/>
    <cellStyle name="Normal 2 2 2 2 12 2" xfId="10205" xr:uid="{00000000-0005-0000-0000-00005D570000}"/>
    <cellStyle name="Normal 2 2 2 2 13" xfId="4363" xr:uid="{00000000-0005-0000-0000-00005E570000}"/>
    <cellStyle name="Normal 2 2 2 2 13 2" xfId="10206" xr:uid="{00000000-0005-0000-0000-00005F570000}"/>
    <cellStyle name="Normal 2 2 2 2 14" xfId="4364" xr:uid="{00000000-0005-0000-0000-000060570000}"/>
    <cellStyle name="Normal 2 2 2 2 14 2" xfId="10207" xr:uid="{00000000-0005-0000-0000-000061570000}"/>
    <cellStyle name="Normal 2 2 2 2 15" xfId="4365" xr:uid="{00000000-0005-0000-0000-000062570000}"/>
    <cellStyle name="Normal 2 2 2 2 15 2" xfId="4366" xr:uid="{00000000-0005-0000-0000-000063570000}"/>
    <cellStyle name="Normal 2 2 2 2 15 2 2" xfId="4367" xr:uid="{00000000-0005-0000-0000-000064570000}"/>
    <cellStyle name="Normal 2 2 2 2 15 2 3" xfId="4368" xr:uid="{00000000-0005-0000-0000-000065570000}"/>
    <cellStyle name="Normal 2 2 2 2 15 3" xfId="4369" xr:uid="{00000000-0005-0000-0000-000066570000}"/>
    <cellStyle name="Normal 2 2 2 2 15 3 2" xfId="4370" xr:uid="{00000000-0005-0000-0000-000067570000}"/>
    <cellStyle name="Normal 2 2 2 2 15 3 3" xfId="4371" xr:uid="{00000000-0005-0000-0000-000068570000}"/>
    <cellStyle name="Normal 2 2 2 2 15 4" xfId="10208" xr:uid="{00000000-0005-0000-0000-000069570000}"/>
    <cellStyle name="Normal 2 2 2 2 16" xfId="4372" xr:uid="{00000000-0005-0000-0000-00006A570000}"/>
    <cellStyle name="Normal 2 2 2 2 16 2" xfId="4373" xr:uid="{00000000-0005-0000-0000-00006B570000}"/>
    <cellStyle name="Normal 2 2 2 2 16 3" xfId="4374" xr:uid="{00000000-0005-0000-0000-00006C570000}"/>
    <cellStyle name="Normal 2 2 2 2 17" xfId="4375" xr:uid="{00000000-0005-0000-0000-00006D570000}"/>
    <cellStyle name="Normal 2 2 2 2 17 2" xfId="4376" xr:uid="{00000000-0005-0000-0000-00006E570000}"/>
    <cellStyle name="Normal 2 2 2 2 17 3" xfId="4377" xr:uid="{00000000-0005-0000-0000-00006F570000}"/>
    <cellStyle name="Normal 2 2 2 2 18" xfId="4378" xr:uid="{00000000-0005-0000-0000-000070570000}"/>
    <cellStyle name="Normal 2 2 2 2 18 2" xfId="4379" xr:uid="{00000000-0005-0000-0000-000071570000}"/>
    <cellStyle name="Normal 2 2 2 2 18 2 2" xfId="4380" xr:uid="{00000000-0005-0000-0000-000072570000}"/>
    <cellStyle name="Normal 2 2 2 2 18 2 3" xfId="4381" xr:uid="{00000000-0005-0000-0000-000073570000}"/>
    <cellStyle name="Normal 2 2 2 2 18 3" xfId="4382" xr:uid="{00000000-0005-0000-0000-000074570000}"/>
    <cellStyle name="Normal 2 2 2 2 18 3 2" xfId="4383" xr:uid="{00000000-0005-0000-0000-000075570000}"/>
    <cellStyle name="Normal 2 2 2 2 18 3 3" xfId="4384" xr:uid="{00000000-0005-0000-0000-000076570000}"/>
    <cellStyle name="Normal 2 2 2 2 18 4" xfId="10209" xr:uid="{00000000-0005-0000-0000-000077570000}"/>
    <cellStyle name="Normal 2 2 2 2 19" xfId="4385" xr:uid="{00000000-0005-0000-0000-000078570000}"/>
    <cellStyle name="Normal 2 2 2 2 19 2" xfId="4386" xr:uid="{00000000-0005-0000-0000-000079570000}"/>
    <cellStyle name="Normal 2 2 2 2 19 2 2" xfId="4387" xr:uid="{00000000-0005-0000-0000-00007A570000}"/>
    <cellStyle name="Normal 2 2 2 2 19 2 3" xfId="4388" xr:uid="{00000000-0005-0000-0000-00007B570000}"/>
    <cellStyle name="Normal 2 2 2 2 19 3" xfId="4389" xr:uid="{00000000-0005-0000-0000-00007C570000}"/>
    <cellStyle name="Normal 2 2 2 2 19 3 2" xfId="4390" xr:uid="{00000000-0005-0000-0000-00007D570000}"/>
    <cellStyle name="Normal 2 2 2 2 19 3 3" xfId="4391" xr:uid="{00000000-0005-0000-0000-00007E570000}"/>
    <cellStyle name="Normal 2 2 2 2 19 4" xfId="10210" xr:uid="{00000000-0005-0000-0000-00007F570000}"/>
    <cellStyle name="Normal 2 2 2 2 2" xfId="4392" xr:uid="{00000000-0005-0000-0000-000080570000}"/>
    <cellStyle name="Normal 2 2 2 2 2 10" xfId="4393" xr:uid="{00000000-0005-0000-0000-000081570000}"/>
    <cellStyle name="Normal 2 2 2 2 2 10 2" xfId="4394" xr:uid="{00000000-0005-0000-0000-000082570000}"/>
    <cellStyle name="Normal 2 2 2 2 2 10 3" xfId="4395" xr:uid="{00000000-0005-0000-0000-000083570000}"/>
    <cellStyle name="Normal 2 2 2 2 2 11" xfId="4396" xr:uid="{00000000-0005-0000-0000-000084570000}"/>
    <cellStyle name="Normal 2 2 2 2 2 11 2" xfId="4397" xr:uid="{00000000-0005-0000-0000-000085570000}"/>
    <cellStyle name="Normal 2 2 2 2 2 11 3" xfId="4398" xr:uid="{00000000-0005-0000-0000-000086570000}"/>
    <cellStyle name="Normal 2 2 2 2 2 12" xfId="10211" xr:uid="{00000000-0005-0000-0000-000087570000}"/>
    <cellStyle name="Normal 2 2 2 2 2 13" xfId="32228" xr:uid="{00000000-0005-0000-0000-000088570000}"/>
    <cellStyle name="Normal 2 2 2 2 2 2" xfId="4399" xr:uid="{00000000-0005-0000-0000-000089570000}"/>
    <cellStyle name="Normal 2 2 2 2 2 2 10" xfId="4400" xr:uid="{00000000-0005-0000-0000-00008A570000}"/>
    <cellStyle name="Normal 2 2 2 2 2 2 11" xfId="4401" xr:uid="{00000000-0005-0000-0000-00008B570000}"/>
    <cellStyle name="Normal 2 2 2 2 2 2 12" xfId="32229" xr:uid="{00000000-0005-0000-0000-00008C570000}"/>
    <cellStyle name="Normal 2 2 2 2 2 2 2" xfId="4402" xr:uid="{00000000-0005-0000-0000-00008D570000}"/>
    <cellStyle name="Normal 2 2 2 2 2 2 2 2" xfId="10212" xr:uid="{00000000-0005-0000-0000-00008E570000}"/>
    <cellStyle name="Normal 2 2 2 2 2 2 2 3" xfId="40200" xr:uid="{00000000-0005-0000-0000-00008F570000}"/>
    <cellStyle name="Normal 2 2 2 2 2 2 3" xfId="4403" xr:uid="{00000000-0005-0000-0000-000090570000}"/>
    <cellStyle name="Normal 2 2 2 2 2 2 3 2" xfId="10213" xr:uid="{00000000-0005-0000-0000-000091570000}"/>
    <cellStyle name="Normal 2 2 2 2 2 2 4" xfId="4404" xr:uid="{00000000-0005-0000-0000-000092570000}"/>
    <cellStyle name="Normal 2 2 2 2 2 2 4 2" xfId="10214" xr:uid="{00000000-0005-0000-0000-000093570000}"/>
    <cellStyle name="Normal 2 2 2 2 2 2 5" xfId="4405" xr:uid="{00000000-0005-0000-0000-000094570000}"/>
    <cellStyle name="Normal 2 2 2 2 2 2 5 2" xfId="10215" xr:uid="{00000000-0005-0000-0000-000095570000}"/>
    <cellStyle name="Normal 2 2 2 2 2 2 6" xfId="4406" xr:uid="{00000000-0005-0000-0000-000096570000}"/>
    <cellStyle name="Normal 2 2 2 2 2 2 6 2" xfId="10216" xr:uid="{00000000-0005-0000-0000-000097570000}"/>
    <cellStyle name="Normal 2 2 2 2 2 2 7" xfId="4407" xr:uid="{00000000-0005-0000-0000-000098570000}"/>
    <cellStyle name="Normal 2 2 2 2 2 2 7 2" xfId="10217" xr:uid="{00000000-0005-0000-0000-000099570000}"/>
    <cellStyle name="Normal 2 2 2 2 2 2 8" xfId="4408" xr:uid="{00000000-0005-0000-0000-00009A570000}"/>
    <cellStyle name="Normal 2 2 2 2 2 2 8 2" xfId="10218" xr:uid="{00000000-0005-0000-0000-00009B570000}"/>
    <cellStyle name="Normal 2 2 2 2 2 2 9" xfId="4409" xr:uid="{00000000-0005-0000-0000-00009C570000}"/>
    <cellStyle name="Normal 2 2 2 2 2 2 9 2" xfId="10219" xr:uid="{00000000-0005-0000-0000-00009D570000}"/>
    <cellStyle name="Normal 2 2 2 2 2 3" xfId="4410" xr:uid="{00000000-0005-0000-0000-00009E570000}"/>
    <cellStyle name="Normal 2 2 2 2 2 3 2" xfId="10220" xr:uid="{00000000-0005-0000-0000-00009F570000}"/>
    <cellStyle name="Normal 2 2 2 2 2 3 2 2" xfId="40201" xr:uid="{00000000-0005-0000-0000-0000A0570000}"/>
    <cellStyle name="Normal 2 2 2 2 2 3 3" xfId="32230" xr:uid="{00000000-0005-0000-0000-0000A1570000}"/>
    <cellStyle name="Normal 2 2 2 2 2 4" xfId="4411" xr:uid="{00000000-0005-0000-0000-0000A2570000}"/>
    <cellStyle name="Normal 2 2 2 2 2 4 2" xfId="10221" xr:uid="{00000000-0005-0000-0000-0000A3570000}"/>
    <cellStyle name="Normal 2 2 2 2 2 4 3" xfId="40199" xr:uid="{00000000-0005-0000-0000-0000A4570000}"/>
    <cellStyle name="Normal 2 2 2 2 2 5" xfId="4412" xr:uid="{00000000-0005-0000-0000-0000A5570000}"/>
    <cellStyle name="Normal 2 2 2 2 2 5 2" xfId="4413" xr:uid="{00000000-0005-0000-0000-0000A6570000}"/>
    <cellStyle name="Normal 2 2 2 2 2 5 2 2" xfId="10222" xr:uid="{00000000-0005-0000-0000-0000A7570000}"/>
    <cellStyle name="Normal 2 2 2 2 2 5 3" xfId="4414" xr:uid="{00000000-0005-0000-0000-0000A8570000}"/>
    <cellStyle name="Normal 2 2 2 2 2 5 3 2" xfId="10223" xr:uid="{00000000-0005-0000-0000-0000A9570000}"/>
    <cellStyle name="Normal 2 2 2 2 2 5 4" xfId="4415" xr:uid="{00000000-0005-0000-0000-0000AA570000}"/>
    <cellStyle name="Normal 2 2 2 2 2 5 5" xfId="4416" xr:uid="{00000000-0005-0000-0000-0000AB570000}"/>
    <cellStyle name="Normal 2 2 2 2 2 6" xfId="4417" xr:uid="{00000000-0005-0000-0000-0000AC570000}"/>
    <cellStyle name="Normal 2 2 2 2 2 6 2" xfId="4418" xr:uid="{00000000-0005-0000-0000-0000AD570000}"/>
    <cellStyle name="Normal 2 2 2 2 2 6 2 2" xfId="10224" xr:uid="{00000000-0005-0000-0000-0000AE570000}"/>
    <cellStyle name="Normal 2 2 2 2 2 6 3" xfId="4419" xr:uid="{00000000-0005-0000-0000-0000AF570000}"/>
    <cellStyle name="Normal 2 2 2 2 2 6 3 2" xfId="10225" xr:uid="{00000000-0005-0000-0000-0000B0570000}"/>
    <cellStyle name="Normal 2 2 2 2 2 6 4" xfId="4420" xr:uid="{00000000-0005-0000-0000-0000B1570000}"/>
    <cellStyle name="Normal 2 2 2 2 2 6 5" xfId="4421" xr:uid="{00000000-0005-0000-0000-0000B2570000}"/>
    <cellStyle name="Normal 2 2 2 2 2 7" xfId="4422" xr:uid="{00000000-0005-0000-0000-0000B3570000}"/>
    <cellStyle name="Normal 2 2 2 2 2 7 2" xfId="4423" xr:uid="{00000000-0005-0000-0000-0000B4570000}"/>
    <cellStyle name="Normal 2 2 2 2 2 7 2 2" xfId="10226" xr:uid="{00000000-0005-0000-0000-0000B5570000}"/>
    <cellStyle name="Normal 2 2 2 2 2 7 3" xfId="4424" xr:uid="{00000000-0005-0000-0000-0000B6570000}"/>
    <cellStyle name="Normal 2 2 2 2 2 7 3 2" xfId="10227" xr:uid="{00000000-0005-0000-0000-0000B7570000}"/>
    <cellStyle name="Normal 2 2 2 2 2 7 4" xfId="4425" xr:uid="{00000000-0005-0000-0000-0000B8570000}"/>
    <cellStyle name="Normal 2 2 2 2 2 7 5" xfId="4426" xr:uid="{00000000-0005-0000-0000-0000B9570000}"/>
    <cellStyle name="Normal 2 2 2 2 2 8" xfId="4427" xr:uid="{00000000-0005-0000-0000-0000BA570000}"/>
    <cellStyle name="Normal 2 2 2 2 2 8 2" xfId="4428" xr:uid="{00000000-0005-0000-0000-0000BB570000}"/>
    <cellStyle name="Normal 2 2 2 2 2 8 2 2" xfId="10228" xr:uid="{00000000-0005-0000-0000-0000BC570000}"/>
    <cellStyle name="Normal 2 2 2 2 2 8 3" xfId="4429" xr:uid="{00000000-0005-0000-0000-0000BD570000}"/>
    <cellStyle name="Normal 2 2 2 2 2 8 3 2" xfId="10229" xr:uid="{00000000-0005-0000-0000-0000BE570000}"/>
    <cellStyle name="Normal 2 2 2 2 2 8 4" xfId="4430" xr:uid="{00000000-0005-0000-0000-0000BF570000}"/>
    <cellStyle name="Normal 2 2 2 2 2 8 5" xfId="4431" xr:uid="{00000000-0005-0000-0000-0000C0570000}"/>
    <cellStyle name="Normal 2 2 2 2 2 9" xfId="4432" xr:uid="{00000000-0005-0000-0000-0000C1570000}"/>
    <cellStyle name="Normal 2 2 2 2 2 9 2" xfId="4433" xr:uid="{00000000-0005-0000-0000-0000C2570000}"/>
    <cellStyle name="Normal 2 2 2 2 2 9 2 2" xfId="10230" xr:uid="{00000000-0005-0000-0000-0000C3570000}"/>
    <cellStyle name="Normal 2 2 2 2 2 9 3" xfId="4434" xr:uid="{00000000-0005-0000-0000-0000C4570000}"/>
    <cellStyle name="Normal 2 2 2 2 2 9 3 2" xfId="10231" xr:uid="{00000000-0005-0000-0000-0000C5570000}"/>
    <cellStyle name="Normal 2 2 2 2 2 9 4" xfId="4435" xr:uid="{00000000-0005-0000-0000-0000C6570000}"/>
    <cellStyle name="Normal 2 2 2 2 2 9 5" xfId="4436" xr:uid="{00000000-0005-0000-0000-0000C7570000}"/>
    <cellStyle name="Normal 2 2 2 2 20" xfId="4437" xr:uid="{00000000-0005-0000-0000-0000C8570000}"/>
    <cellStyle name="Normal 2 2 2 2 20 2" xfId="4438" xr:uid="{00000000-0005-0000-0000-0000C9570000}"/>
    <cellStyle name="Normal 2 2 2 2 20 2 2" xfId="4439" xr:uid="{00000000-0005-0000-0000-0000CA570000}"/>
    <cellStyle name="Normal 2 2 2 2 20 2 3" xfId="4440" xr:uid="{00000000-0005-0000-0000-0000CB570000}"/>
    <cellStyle name="Normal 2 2 2 2 20 3" xfId="4441" xr:uid="{00000000-0005-0000-0000-0000CC570000}"/>
    <cellStyle name="Normal 2 2 2 2 20 3 2" xfId="4442" xr:uid="{00000000-0005-0000-0000-0000CD570000}"/>
    <cellStyle name="Normal 2 2 2 2 20 3 3" xfId="4443" xr:uid="{00000000-0005-0000-0000-0000CE570000}"/>
    <cellStyle name="Normal 2 2 2 2 20 4" xfId="10232" xr:uid="{00000000-0005-0000-0000-0000CF570000}"/>
    <cellStyle name="Normal 2 2 2 2 21" xfId="4444" xr:uid="{00000000-0005-0000-0000-0000D0570000}"/>
    <cellStyle name="Normal 2 2 2 2 21 2" xfId="4445" xr:uid="{00000000-0005-0000-0000-0000D1570000}"/>
    <cellStyle name="Normal 2 2 2 2 21 2 2" xfId="4446" xr:uid="{00000000-0005-0000-0000-0000D2570000}"/>
    <cellStyle name="Normal 2 2 2 2 21 2 3" xfId="4447" xr:uid="{00000000-0005-0000-0000-0000D3570000}"/>
    <cellStyle name="Normal 2 2 2 2 21 3" xfId="4448" xr:uid="{00000000-0005-0000-0000-0000D4570000}"/>
    <cellStyle name="Normal 2 2 2 2 21 3 2" xfId="4449" xr:uid="{00000000-0005-0000-0000-0000D5570000}"/>
    <cellStyle name="Normal 2 2 2 2 21 3 3" xfId="4450" xr:uid="{00000000-0005-0000-0000-0000D6570000}"/>
    <cellStyle name="Normal 2 2 2 2 21 4" xfId="10233" xr:uid="{00000000-0005-0000-0000-0000D7570000}"/>
    <cellStyle name="Normal 2 2 2 2 22" xfId="4451" xr:uid="{00000000-0005-0000-0000-0000D8570000}"/>
    <cellStyle name="Normal 2 2 2 2 22 2" xfId="10234" xr:uid="{00000000-0005-0000-0000-0000D9570000}"/>
    <cellStyle name="Normal 2 2 2 2 23" xfId="4452" xr:uid="{00000000-0005-0000-0000-0000DA570000}"/>
    <cellStyle name="Normal 2 2 2 2 23 2" xfId="10235" xr:uid="{00000000-0005-0000-0000-0000DB570000}"/>
    <cellStyle name="Normal 2 2 2 2 24" xfId="4453" xr:uid="{00000000-0005-0000-0000-0000DC570000}"/>
    <cellStyle name="Normal 2 2 2 2 24 2" xfId="10236" xr:uid="{00000000-0005-0000-0000-0000DD570000}"/>
    <cellStyle name="Normal 2 2 2 2 25" xfId="4454" xr:uid="{00000000-0005-0000-0000-0000DE570000}"/>
    <cellStyle name="Normal 2 2 2 2 26" xfId="4455" xr:uid="{00000000-0005-0000-0000-0000DF570000}"/>
    <cellStyle name="Normal 2 2 2 2 27" xfId="32227" xr:uid="{00000000-0005-0000-0000-0000E0570000}"/>
    <cellStyle name="Normal 2 2 2 2 3" xfId="4456" xr:uid="{00000000-0005-0000-0000-0000E1570000}"/>
    <cellStyle name="Normal 2 2 2 2 3 2" xfId="10237" xr:uid="{00000000-0005-0000-0000-0000E2570000}"/>
    <cellStyle name="Normal 2 2 2 2 3 2 2" xfId="40203" xr:uid="{00000000-0005-0000-0000-0000E3570000}"/>
    <cellStyle name="Normal 2 2 2 2 3 2 3" xfId="32232" xr:uid="{00000000-0005-0000-0000-0000E4570000}"/>
    <cellStyle name="Normal 2 2 2 2 3 3" xfId="40202" xr:uid="{00000000-0005-0000-0000-0000E5570000}"/>
    <cellStyle name="Normal 2 2 2 2 3 4" xfId="32231" xr:uid="{00000000-0005-0000-0000-0000E6570000}"/>
    <cellStyle name="Normal 2 2 2 2 4" xfId="4457" xr:uid="{00000000-0005-0000-0000-0000E7570000}"/>
    <cellStyle name="Normal 2 2 2 2 4 2" xfId="10238" xr:uid="{00000000-0005-0000-0000-0000E8570000}"/>
    <cellStyle name="Normal 2 2 2 2 4 2 2" xfId="40204" xr:uid="{00000000-0005-0000-0000-0000E9570000}"/>
    <cellStyle name="Normal 2 2 2 2 4 3" xfId="32233" xr:uid="{00000000-0005-0000-0000-0000EA570000}"/>
    <cellStyle name="Normal 2 2 2 2 5" xfId="4458" xr:uid="{00000000-0005-0000-0000-0000EB570000}"/>
    <cellStyle name="Normal 2 2 2 2 5 2" xfId="10239" xr:uid="{00000000-0005-0000-0000-0000EC570000}"/>
    <cellStyle name="Normal 2 2 2 2 5 2 2" xfId="40205" xr:uid="{00000000-0005-0000-0000-0000ED570000}"/>
    <cellStyle name="Normal 2 2 2 2 5 3" xfId="32234" xr:uid="{00000000-0005-0000-0000-0000EE570000}"/>
    <cellStyle name="Normal 2 2 2 2 6" xfId="4459" xr:uid="{00000000-0005-0000-0000-0000EF570000}"/>
    <cellStyle name="Normal 2 2 2 2 6 2" xfId="10240" xr:uid="{00000000-0005-0000-0000-0000F0570000}"/>
    <cellStyle name="Normal 2 2 2 2 6 2 2" xfId="40206" xr:uid="{00000000-0005-0000-0000-0000F1570000}"/>
    <cellStyle name="Normal 2 2 2 2 6 3" xfId="32235" xr:uid="{00000000-0005-0000-0000-0000F2570000}"/>
    <cellStyle name="Normal 2 2 2 2 7" xfId="4460" xr:uid="{00000000-0005-0000-0000-0000F3570000}"/>
    <cellStyle name="Normal 2 2 2 2 7 2" xfId="10241" xr:uid="{00000000-0005-0000-0000-0000F4570000}"/>
    <cellStyle name="Normal 2 2 2 2 8" xfId="4461" xr:uid="{00000000-0005-0000-0000-0000F5570000}"/>
    <cellStyle name="Normal 2 2 2 2 8 2" xfId="10242" xr:uid="{00000000-0005-0000-0000-0000F6570000}"/>
    <cellStyle name="Normal 2 2 2 2 9" xfId="4462" xr:uid="{00000000-0005-0000-0000-0000F7570000}"/>
    <cellStyle name="Normal 2 2 2 2 9 2" xfId="10243" xr:uid="{00000000-0005-0000-0000-0000F8570000}"/>
    <cellStyle name="Normal 2 2 2 20" xfId="4463" xr:uid="{00000000-0005-0000-0000-0000F9570000}"/>
    <cellStyle name="Normal 2 2 2 20 2" xfId="4464" xr:uid="{00000000-0005-0000-0000-0000FA570000}"/>
    <cellStyle name="Normal 2 2 2 20 2 2" xfId="10244" xr:uid="{00000000-0005-0000-0000-0000FB570000}"/>
    <cellStyle name="Normal 2 2 2 20 3" xfId="4465" xr:uid="{00000000-0005-0000-0000-0000FC570000}"/>
    <cellStyle name="Normal 2 2 2 20 3 2" xfId="10245" xr:uid="{00000000-0005-0000-0000-0000FD570000}"/>
    <cellStyle name="Normal 2 2 2 20 4" xfId="4466" xr:uid="{00000000-0005-0000-0000-0000FE570000}"/>
    <cellStyle name="Normal 2 2 2 20 5" xfId="4467" xr:uid="{00000000-0005-0000-0000-0000FF570000}"/>
    <cellStyle name="Normal 2 2 2 21" xfId="4468" xr:uid="{00000000-0005-0000-0000-000000580000}"/>
    <cellStyle name="Normal 2 2 2 21 2" xfId="10246" xr:uid="{00000000-0005-0000-0000-000001580000}"/>
    <cellStyle name="Normal 2 2 2 22" xfId="4469" xr:uid="{00000000-0005-0000-0000-000002580000}"/>
    <cellStyle name="Normal 2 2 2 22 2" xfId="10247" xr:uid="{00000000-0005-0000-0000-000003580000}"/>
    <cellStyle name="Normal 2 2 2 23" xfId="4470" xr:uid="{00000000-0005-0000-0000-000004580000}"/>
    <cellStyle name="Normal 2 2 2 23 2" xfId="4471" xr:uid="{00000000-0005-0000-0000-000005580000}"/>
    <cellStyle name="Normal 2 2 2 23 2 2" xfId="10248" xr:uid="{00000000-0005-0000-0000-000006580000}"/>
    <cellStyle name="Normal 2 2 2 23 3" xfId="4472" xr:uid="{00000000-0005-0000-0000-000007580000}"/>
    <cellStyle name="Normal 2 2 2 23 3 2" xfId="10249" xr:uid="{00000000-0005-0000-0000-000008580000}"/>
    <cellStyle name="Normal 2 2 2 23 4" xfId="4473" xr:uid="{00000000-0005-0000-0000-000009580000}"/>
    <cellStyle name="Normal 2 2 2 23 5" xfId="4474" xr:uid="{00000000-0005-0000-0000-00000A580000}"/>
    <cellStyle name="Normal 2 2 2 24" xfId="4475" xr:uid="{00000000-0005-0000-0000-00000B580000}"/>
    <cellStyle name="Normal 2 2 2 24 2" xfId="4476" xr:uid="{00000000-0005-0000-0000-00000C580000}"/>
    <cellStyle name="Normal 2 2 2 24 2 2" xfId="10250" xr:uid="{00000000-0005-0000-0000-00000D580000}"/>
    <cellStyle name="Normal 2 2 2 24 3" xfId="4477" xr:uid="{00000000-0005-0000-0000-00000E580000}"/>
    <cellStyle name="Normal 2 2 2 24 3 2" xfId="10251" xr:uid="{00000000-0005-0000-0000-00000F580000}"/>
    <cellStyle name="Normal 2 2 2 24 4" xfId="4478" xr:uid="{00000000-0005-0000-0000-000010580000}"/>
    <cellStyle name="Normal 2 2 2 24 5" xfId="4479" xr:uid="{00000000-0005-0000-0000-000011580000}"/>
    <cellStyle name="Normal 2 2 2 25" xfId="4480" xr:uid="{00000000-0005-0000-0000-000012580000}"/>
    <cellStyle name="Normal 2 2 2 25 2" xfId="4481" xr:uid="{00000000-0005-0000-0000-000013580000}"/>
    <cellStyle name="Normal 2 2 2 25 2 2" xfId="10252" xr:uid="{00000000-0005-0000-0000-000014580000}"/>
    <cellStyle name="Normal 2 2 2 25 3" xfId="4482" xr:uid="{00000000-0005-0000-0000-000015580000}"/>
    <cellStyle name="Normal 2 2 2 25 3 2" xfId="10253" xr:uid="{00000000-0005-0000-0000-000016580000}"/>
    <cellStyle name="Normal 2 2 2 25 4" xfId="4483" xr:uid="{00000000-0005-0000-0000-000017580000}"/>
    <cellStyle name="Normal 2 2 2 25 5" xfId="4484" xr:uid="{00000000-0005-0000-0000-000018580000}"/>
    <cellStyle name="Normal 2 2 2 26" xfId="4485" xr:uid="{00000000-0005-0000-0000-000019580000}"/>
    <cellStyle name="Normal 2 2 2 26 2" xfId="4486" xr:uid="{00000000-0005-0000-0000-00001A580000}"/>
    <cellStyle name="Normal 2 2 2 26 2 2" xfId="10254" xr:uid="{00000000-0005-0000-0000-00001B580000}"/>
    <cellStyle name="Normal 2 2 2 26 3" xfId="4487" xr:uid="{00000000-0005-0000-0000-00001C580000}"/>
    <cellStyle name="Normal 2 2 2 26 3 2" xfId="10255" xr:uid="{00000000-0005-0000-0000-00001D580000}"/>
    <cellStyle name="Normal 2 2 2 26 4" xfId="4488" xr:uid="{00000000-0005-0000-0000-00001E580000}"/>
    <cellStyle name="Normal 2 2 2 26 5" xfId="4489" xr:uid="{00000000-0005-0000-0000-00001F580000}"/>
    <cellStyle name="Normal 2 2 2 27" xfId="4490" xr:uid="{00000000-0005-0000-0000-000020580000}"/>
    <cellStyle name="Normal 2 2 2 27 2" xfId="4491" xr:uid="{00000000-0005-0000-0000-000021580000}"/>
    <cellStyle name="Normal 2 2 2 27 3" xfId="4492" xr:uid="{00000000-0005-0000-0000-000022580000}"/>
    <cellStyle name="Normal 2 2 2 28" xfId="4493" xr:uid="{00000000-0005-0000-0000-000023580000}"/>
    <cellStyle name="Normal 2 2 2 28 2" xfId="4494" xr:uid="{00000000-0005-0000-0000-000024580000}"/>
    <cellStyle name="Normal 2 2 2 28 3" xfId="4495" xr:uid="{00000000-0005-0000-0000-000025580000}"/>
    <cellStyle name="Normal 2 2 2 29" xfId="4496" xr:uid="{00000000-0005-0000-0000-000026580000}"/>
    <cellStyle name="Normal 2 2 2 29 2" xfId="4497" xr:uid="{00000000-0005-0000-0000-000027580000}"/>
    <cellStyle name="Normal 2 2 2 29 3" xfId="4498" xr:uid="{00000000-0005-0000-0000-000028580000}"/>
    <cellStyle name="Normal 2 2 2 3" xfId="4499" xr:uid="{00000000-0005-0000-0000-000029580000}"/>
    <cellStyle name="Normal 2 2 2 3 2" xfId="4500" xr:uid="{00000000-0005-0000-0000-00002A580000}"/>
    <cellStyle name="Normal 2 2 2 3 2 2" xfId="10256" xr:uid="{00000000-0005-0000-0000-00002B580000}"/>
    <cellStyle name="Normal 2 2 2 3 2 2 2" xfId="40209" xr:uid="{00000000-0005-0000-0000-00002C580000}"/>
    <cellStyle name="Normal 2 2 2 3 2 2 3" xfId="32238" xr:uid="{00000000-0005-0000-0000-00002D580000}"/>
    <cellStyle name="Normal 2 2 2 3 2 3" xfId="40208" xr:uid="{00000000-0005-0000-0000-00002E580000}"/>
    <cellStyle name="Normal 2 2 2 3 2 4" xfId="32237" xr:uid="{00000000-0005-0000-0000-00002F580000}"/>
    <cellStyle name="Normal 2 2 2 3 3" xfId="10257" xr:uid="{00000000-0005-0000-0000-000030580000}"/>
    <cellStyle name="Normal 2 2 2 3 3 2" xfId="40210" xr:uid="{00000000-0005-0000-0000-000031580000}"/>
    <cellStyle name="Normal 2 2 2 3 3 3" xfId="32239" xr:uid="{00000000-0005-0000-0000-000032580000}"/>
    <cellStyle name="Normal 2 2 2 3 4" xfId="32240" xr:uid="{00000000-0005-0000-0000-000033580000}"/>
    <cellStyle name="Normal 2 2 2 3 5" xfId="40207" xr:uid="{00000000-0005-0000-0000-000034580000}"/>
    <cellStyle name="Normal 2 2 2 3 6" xfId="32236" xr:uid="{00000000-0005-0000-0000-000035580000}"/>
    <cellStyle name="Normal 2 2 2 30" xfId="10258" xr:uid="{00000000-0005-0000-0000-000036580000}"/>
    <cellStyle name="Normal 2 2 2 4" xfId="4501" xr:uid="{00000000-0005-0000-0000-000037580000}"/>
    <cellStyle name="Normal 2 2 2 4 2" xfId="4502" xr:uid="{00000000-0005-0000-0000-000038580000}"/>
    <cellStyle name="Normal 2 2 2 4 2 2" xfId="10259" xr:uid="{00000000-0005-0000-0000-000039580000}"/>
    <cellStyle name="Normal 2 2 2 4 2 2 2" xfId="40212" xr:uid="{00000000-0005-0000-0000-00003A580000}"/>
    <cellStyle name="Normal 2 2 2 4 2 3" xfId="32242" xr:uid="{00000000-0005-0000-0000-00003B580000}"/>
    <cellStyle name="Normal 2 2 2 4 3" xfId="10260" xr:uid="{00000000-0005-0000-0000-00003C580000}"/>
    <cellStyle name="Normal 2 2 2 4 3 2" xfId="32243" xr:uid="{00000000-0005-0000-0000-00003D580000}"/>
    <cellStyle name="Normal 2 2 2 4 4" xfId="40211" xr:uid="{00000000-0005-0000-0000-00003E580000}"/>
    <cellStyle name="Normal 2 2 2 4 5" xfId="32241" xr:uid="{00000000-0005-0000-0000-00003F580000}"/>
    <cellStyle name="Normal 2 2 2 5" xfId="4503" xr:uid="{00000000-0005-0000-0000-000040580000}"/>
    <cellStyle name="Normal 2 2 2 5 2" xfId="4504" xr:uid="{00000000-0005-0000-0000-000041580000}"/>
    <cellStyle name="Normal 2 2 2 5 2 2" xfId="10261" xr:uid="{00000000-0005-0000-0000-000042580000}"/>
    <cellStyle name="Normal 2 2 2 5 2 3" xfId="32245" xr:uid="{00000000-0005-0000-0000-000043580000}"/>
    <cellStyle name="Normal 2 2 2 5 3" xfId="10262" xr:uid="{00000000-0005-0000-0000-000044580000}"/>
    <cellStyle name="Normal 2 2 2 5 3 2" xfId="40213" xr:uid="{00000000-0005-0000-0000-000045580000}"/>
    <cellStyle name="Normal 2 2 2 5 4" xfId="32244" xr:uid="{00000000-0005-0000-0000-000046580000}"/>
    <cellStyle name="Normal 2 2 2 6" xfId="4505" xr:uid="{00000000-0005-0000-0000-000047580000}"/>
    <cellStyle name="Normal 2 2 2 6 2" xfId="4506" xr:uid="{00000000-0005-0000-0000-000048580000}"/>
    <cellStyle name="Normal 2 2 2 6 2 2" xfId="10263" xr:uid="{00000000-0005-0000-0000-000049580000}"/>
    <cellStyle name="Normal 2 2 2 6 2 3" xfId="40214" xr:uid="{00000000-0005-0000-0000-00004A580000}"/>
    <cellStyle name="Normal 2 2 2 6 3" xfId="10264" xr:uid="{00000000-0005-0000-0000-00004B580000}"/>
    <cellStyle name="Normal 2 2 2 6 4" xfId="32246" xr:uid="{00000000-0005-0000-0000-00004C580000}"/>
    <cellStyle name="Normal 2 2 2 7" xfId="4507" xr:uid="{00000000-0005-0000-0000-00004D580000}"/>
    <cellStyle name="Normal 2 2 2 7 2" xfId="4508" xr:uid="{00000000-0005-0000-0000-00004E580000}"/>
    <cellStyle name="Normal 2 2 2 7 2 2" xfId="10265" xr:uid="{00000000-0005-0000-0000-00004F580000}"/>
    <cellStyle name="Normal 2 2 2 7 2 3" xfId="40215" xr:uid="{00000000-0005-0000-0000-000050580000}"/>
    <cellStyle name="Normal 2 2 2 7 3" xfId="10266" xr:uid="{00000000-0005-0000-0000-000051580000}"/>
    <cellStyle name="Normal 2 2 2 7 4" xfId="32247" xr:uid="{00000000-0005-0000-0000-000052580000}"/>
    <cellStyle name="Normal 2 2 2 8" xfId="4509" xr:uid="{00000000-0005-0000-0000-000053580000}"/>
    <cellStyle name="Normal 2 2 2 8 10" xfId="4510" xr:uid="{00000000-0005-0000-0000-000054580000}"/>
    <cellStyle name="Normal 2 2 2 8 10 2" xfId="10267" xr:uid="{00000000-0005-0000-0000-000055580000}"/>
    <cellStyle name="Normal 2 2 2 8 11" xfId="4511" xr:uid="{00000000-0005-0000-0000-000056580000}"/>
    <cellStyle name="Normal 2 2 2 8 11 2" xfId="10268" xr:uid="{00000000-0005-0000-0000-000057580000}"/>
    <cellStyle name="Normal 2 2 2 8 12" xfId="4512" xr:uid="{00000000-0005-0000-0000-000058580000}"/>
    <cellStyle name="Normal 2 2 2 8 13" xfId="4513" xr:uid="{00000000-0005-0000-0000-000059580000}"/>
    <cellStyle name="Normal 2 2 2 8 14" xfId="32248" xr:uid="{00000000-0005-0000-0000-00005A580000}"/>
    <cellStyle name="Normal 2 2 2 8 2" xfId="4514" xr:uid="{00000000-0005-0000-0000-00005B580000}"/>
    <cellStyle name="Normal 2 2 2 8 2 10" xfId="10269" xr:uid="{00000000-0005-0000-0000-00005C580000}"/>
    <cellStyle name="Normal 2 2 2 8 2 11" xfId="40216" xr:uid="{00000000-0005-0000-0000-00005D580000}"/>
    <cellStyle name="Normal 2 2 2 8 2 2" xfId="4515" xr:uid="{00000000-0005-0000-0000-00005E580000}"/>
    <cellStyle name="Normal 2 2 2 8 2 2 2" xfId="4516" xr:uid="{00000000-0005-0000-0000-00005F580000}"/>
    <cellStyle name="Normal 2 2 2 8 2 2 3" xfId="4517" xr:uid="{00000000-0005-0000-0000-000060580000}"/>
    <cellStyle name="Normal 2 2 2 8 2 3" xfId="4518" xr:uid="{00000000-0005-0000-0000-000061580000}"/>
    <cellStyle name="Normal 2 2 2 8 2 3 2" xfId="4519" xr:uid="{00000000-0005-0000-0000-000062580000}"/>
    <cellStyle name="Normal 2 2 2 8 2 3 3" xfId="4520" xr:uid="{00000000-0005-0000-0000-000063580000}"/>
    <cellStyle name="Normal 2 2 2 8 2 4" xfId="4521" xr:uid="{00000000-0005-0000-0000-000064580000}"/>
    <cellStyle name="Normal 2 2 2 8 2 4 2" xfId="4522" xr:uid="{00000000-0005-0000-0000-000065580000}"/>
    <cellStyle name="Normal 2 2 2 8 2 4 3" xfId="4523" xr:uid="{00000000-0005-0000-0000-000066580000}"/>
    <cellStyle name="Normal 2 2 2 8 2 5" xfId="4524" xr:uid="{00000000-0005-0000-0000-000067580000}"/>
    <cellStyle name="Normal 2 2 2 8 2 5 2" xfId="4525" xr:uid="{00000000-0005-0000-0000-000068580000}"/>
    <cellStyle name="Normal 2 2 2 8 2 5 3" xfId="4526" xr:uid="{00000000-0005-0000-0000-000069580000}"/>
    <cellStyle name="Normal 2 2 2 8 2 6" xfId="4527" xr:uid="{00000000-0005-0000-0000-00006A580000}"/>
    <cellStyle name="Normal 2 2 2 8 2 6 2" xfId="4528" xr:uid="{00000000-0005-0000-0000-00006B580000}"/>
    <cellStyle name="Normal 2 2 2 8 2 6 3" xfId="4529" xr:uid="{00000000-0005-0000-0000-00006C580000}"/>
    <cellStyle name="Normal 2 2 2 8 2 7" xfId="4530" xr:uid="{00000000-0005-0000-0000-00006D580000}"/>
    <cellStyle name="Normal 2 2 2 8 2 7 2" xfId="4531" xr:uid="{00000000-0005-0000-0000-00006E580000}"/>
    <cellStyle name="Normal 2 2 2 8 2 7 3" xfId="4532" xr:uid="{00000000-0005-0000-0000-00006F580000}"/>
    <cellStyle name="Normal 2 2 2 8 2 8" xfId="4533" xr:uid="{00000000-0005-0000-0000-000070580000}"/>
    <cellStyle name="Normal 2 2 2 8 2 8 2" xfId="4534" xr:uid="{00000000-0005-0000-0000-000071580000}"/>
    <cellStyle name="Normal 2 2 2 8 2 8 3" xfId="4535" xr:uid="{00000000-0005-0000-0000-000072580000}"/>
    <cellStyle name="Normal 2 2 2 8 2 9" xfId="4536" xr:uid="{00000000-0005-0000-0000-000073580000}"/>
    <cellStyle name="Normal 2 2 2 8 2 9 2" xfId="4537" xr:uid="{00000000-0005-0000-0000-000074580000}"/>
    <cellStyle name="Normal 2 2 2 8 2 9 3" xfId="4538" xr:uid="{00000000-0005-0000-0000-000075580000}"/>
    <cellStyle name="Normal 2 2 2 8 3" xfId="4539" xr:uid="{00000000-0005-0000-0000-000076580000}"/>
    <cellStyle name="Normal 2 2 2 8 3 2" xfId="4540" xr:uid="{00000000-0005-0000-0000-000077580000}"/>
    <cellStyle name="Normal 2 2 2 8 3 3" xfId="4541" xr:uid="{00000000-0005-0000-0000-000078580000}"/>
    <cellStyle name="Normal 2 2 2 8 4" xfId="4542" xr:uid="{00000000-0005-0000-0000-000079580000}"/>
    <cellStyle name="Normal 2 2 2 8 4 2" xfId="4543" xr:uid="{00000000-0005-0000-0000-00007A580000}"/>
    <cellStyle name="Normal 2 2 2 8 4 3" xfId="4544" xr:uid="{00000000-0005-0000-0000-00007B580000}"/>
    <cellStyle name="Normal 2 2 2 8 5" xfId="4545" xr:uid="{00000000-0005-0000-0000-00007C580000}"/>
    <cellStyle name="Normal 2 2 2 8 5 2" xfId="4546" xr:uid="{00000000-0005-0000-0000-00007D580000}"/>
    <cellStyle name="Normal 2 2 2 8 5 2 2" xfId="4547" xr:uid="{00000000-0005-0000-0000-00007E580000}"/>
    <cellStyle name="Normal 2 2 2 8 5 2 3" xfId="4548" xr:uid="{00000000-0005-0000-0000-00007F580000}"/>
    <cellStyle name="Normal 2 2 2 8 5 3" xfId="4549" xr:uid="{00000000-0005-0000-0000-000080580000}"/>
    <cellStyle name="Normal 2 2 2 8 5 3 2" xfId="4550" xr:uid="{00000000-0005-0000-0000-000081580000}"/>
    <cellStyle name="Normal 2 2 2 8 5 3 3" xfId="4551" xr:uid="{00000000-0005-0000-0000-000082580000}"/>
    <cellStyle name="Normal 2 2 2 8 5 4" xfId="10270" xr:uid="{00000000-0005-0000-0000-000083580000}"/>
    <cellStyle name="Normal 2 2 2 8 6" xfId="4552" xr:uid="{00000000-0005-0000-0000-000084580000}"/>
    <cellStyle name="Normal 2 2 2 8 6 2" xfId="4553" xr:uid="{00000000-0005-0000-0000-000085580000}"/>
    <cellStyle name="Normal 2 2 2 8 6 2 2" xfId="4554" xr:uid="{00000000-0005-0000-0000-000086580000}"/>
    <cellStyle name="Normal 2 2 2 8 6 2 3" xfId="4555" xr:uid="{00000000-0005-0000-0000-000087580000}"/>
    <cellStyle name="Normal 2 2 2 8 6 3" xfId="4556" xr:uid="{00000000-0005-0000-0000-000088580000}"/>
    <cellStyle name="Normal 2 2 2 8 6 3 2" xfId="4557" xr:uid="{00000000-0005-0000-0000-000089580000}"/>
    <cellStyle name="Normal 2 2 2 8 6 3 3" xfId="4558" xr:uid="{00000000-0005-0000-0000-00008A580000}"/>
    <cellStyle name="Normal 2 2 2 8 6 4" xfId="10271" xr:uid="{00000000-0005-0000-0000-00008B580000}"/>
    <cellStyle name="Normal 2 2 2 8 7" xfId="4559" xr:uid="{00000000-0005-0000-0000-00008C580000}"/>
    <cellStyle name="Normal 2 2 2 8 7 2" xfId="4560" xr:uid="{00000000-0005-0000-0000-00008D580000}"/>
    <cellStyle name="Normal 2 2 2 8 7 2 2" xfId="4561" xr:uid="{00000000-0005-0000-0000-00008E580000}"/>
    <cellStyle name="Normal 2 2 2 8 7 2 3" xfId="4562" xr:uid="{00000000-0005-0000-0000-00008F580000}"/>
    <cellStyle name="Normal 2 2 2 8 7 3" xfId="4563" xr:uid="{00000000-0005-0000-0000-000090580000}"/>
    <cellStyle name="Normal 2 2 2 8 7 3 2" xfId="4564" xr:uid="{00000000-0005-0000-0000-000091580000}"/>
    <cellStyle name="Normal 2 2 2 8 7 3 3" xfId="4565" xr:uid="{00000000-0005-0000-0000-000092580000}"/>
    <cellStyle name="Normal 2 2 2 8 7 4" xfId="10272" xr:uid="{00000000-0005-0000-0000-000093580000}"/>
    <cellStyle name="Normal 2 2 2 8 8" xfId="4566" xr:uid="{00000000-0005-0000-0000-000094580000}"/>
    <cellStyle name="Normal 2 2 2 8 8 2" xfId="4567" xr:uid="{00000000-0005-0000-0000-000095580000}"/>
    <cellStyle name="Normal 2 2 2 8 8 2 2" xfId="4568" xr:uid="{00000000-0005-0000-0000-000096580000}"/>
    <cellStyle name="Normal 2 2 2 8 8 2 3" xfId="4569" xr:uid="{00000000-0005-0000-0000-000097580000}"/>
    <cellStyle name="Normal 2 2 2 8 8 3" xfId="4570" xr:uid="{00000000-0005-0000-0000-000098580000}"/>
    <cellStyle name="Normal 2 2 2 8 8 3 2" xfId="4571" xr:uid="{00000000-0005-0000-0000-000099580000}"/>
    <cellStyle name="Normal 2 2 2 8 8 3 3" xfId="4572" xr:uid="{00000000-0005-0000-0000-00009A580000}"/>
    <cellStyle name="Normal 2 2 2 8 8 4" xfId="10273" xr:uid="{00000000-0005-0000-0000-00009B580000}"/>
    <cellStyle name="Normal 2 2 2 8 9" xfId="4573" xr:uid="{00000000-0005-0000-0000-00009C580000}"/>
    <cellStyle name="Normal 2 2 2 8 9 2" xfId="4574" xr:uid="{00000000-0005-0000-0000-00009D580000}"/>
    <cellStyle name="Normal 2 2 2 8 9 2 2" xfId="4575" xr:uid="{00000000-0005-0000-0000-00009E580000}"/>
    <cellStyle name="Normal 2 2 2 8 9 2 3" xfId="4576" xr:uid="{00000000-0005-0000-0000-00009F580000}"/>
    <cellStyle name="Normal 2 2 2 8 9 3" xfId="4577" xr:uid="{00000000-0005-0000-0000-0000A0580000}"/>
    <cellStyle name="Normal 2 2 2 8 9 3 2" xfId="4578" xr:uid="{00000000-0005-0000-0000-0000A1580000}"/>
    <cellStyle name="Normal 2 2 2 8 9 3 3" xfId="4579" xr:uid="{00000000-0005-0000-0000-0000A2580000}"/>
    <cellStyle name="Normal 2 2 2 8 9 4" xfId="10274" xr:uid="{00000000-0005-0000-0000-0000A3580000}"/>
    <cellStyle name="Normal 2 2 2 9" xfId="4580" xr:uid="{00000000-0005-0000-0000-0000A4580000}"/>
    <cellStyle name="Normal 2 2 2 9 2" xfId="4581" xr:uid="{00000000-0005-0000-0000-0000A5580000}"/>
    <cellStyle name="Normal 2 2 2 9 2 2" xfId="40217" xr:uid="{00000000-0005-0000-0000-0000A6580000}"/>
    <cellStyle name="Normal 2 2 2 9 3" xfId="4582" xr:uid="{00000000-0005-0000-0000-0000A7580000}"/>
    <cellStyle name="Normal 2 2 2 9 4" xfId="32249" xr:uid="{00000000-0005-0000-0000-0000A8580000}"/>
    <cellStyle name="Normal 2 2 20" xfId="4583" xr:uid="{00000000-0005-0000-0000-0000A9580000}"/>
    <cellStyle name="Normal 2 2 20 2" xfId="4584" xr:uid="{00000000-0005-0000-0000-0000AA580000}"/>
    <cellStyle name="Normal 2 2 20 2 2" xfId="4585" xr:uid="{00000000-0005-0000-0000-0000AB580000}"/>
    <cellStyle name="Normal 2 2 20 2 3" xfId="4586" xr:uid="{00000000-0005-0000-0000-0000AC580000}"/>
    <cellStyle name="Normal 2 2 20 3" xfId="4587" xr:uid="{00000000-0005-0000-0000-0000AD580000}"/>
    <cellStyle name="Normal 2 2 20 3 2" xfId="4588" xr:uid="{00000000-0005-0000-0000-0000AE580000}"/>
    <cellStyle name="Normal 2 2 20 3 3" xfId="4589" xr:uid="{00000000-0005-0000-0000-0000AF580000}"/>
    <cellStyle name="Normal 2 2 20 4" xfId="10275" xr:uid="{00000000-0005-0000-0000-0000B0580000}"/>
    <cellStyle name="Normal 2 2 21" xfId="4590" xr:uid="{00000000-0005-0000-0000-0000B1580000}"/>
    <cellStyle name="Normal 2 2 21 2" xfId="4591" xr:uid="{00000000-0005-0000-0000-0000B2580000}"/>
    <cellStyle name="Normal 2 2 21 3" xfId="4592" xr:uid="{00000000-0005-0000-0000-0000B3580000}"/>
    <cellStyle name="Normal 2 2 22" xfId="4593" xr:uid="{00000000-0005-0000-0000-0000B4580000}"/>
    <cellStyle name="Normal 2 2 22 2" xfId="4594" xr:uid="{00000000-0005-0000-0000-0000B5580000}"/>
    <cellStyle name="Normal 2 2 22 3" xfId="4595" xr:uid="{00000000-0005-0000-0000-0000B6580000}"/>
    <cellStyle name="Normal 2 2 23" xfId="4596" xr:uid="{00000000-0005-0000-0000-0000B7580000}"/>
    <cellStyle name="Normal 2 2 23 2" xfId="4597" xr:uid="{00000000-0005-0000-0000-0000B8580000}"/>
    <cellStyle name="Normal 2 2 23 2 2" xfId="4598" xr:uid="{00000000-0005-0000-0000-0000B9580000}"/>
    <cellStyle name="Normal 2 2 23 2 3" xfId="4599" xr:uid="{00000000-0005-0000-0000-0000BA580000}"/>
    <cellStyle name="Normal 2 2 23 3" xfId="4600" xr:uid="{00000000-0005-0000-0000-0000BB580000}"/>
    <cellStyle name="Normal 2 2 23 3 2" xfId="4601" xr:uid="{00000000-0005-0000-0000-0000BC580000}"/>
    <cellStyle name="Normal 2 2 23 3 3" xfId="4602" xr:uid="{00000000-0005-0000-0000-0000BD580000}"/>
    <cellStyle name="Normal 2 2 23 4" xfId="10276" xr:uid="{00000000-0005-0000-0000-0000BE580000}"/>
    <cellStyle name="Normal 2 2 24" xfId="4603" xr:uid="{00000000-0005-0000-0000-0000BF580000}"/>
    <cellStyle name="Normal 2 2 24 2" xfId="4604" xr:uid="{00000000-0005-0000-0000-0000C0580000}"/>
    <cellStyle name="Normal 2 2 24 2 2" xfId="4605" xr:uid="{00000000-0005-0000-0000-0000C1580000}"/>
    <cellStyle name="Normal 2 2 24 2 3" xfId="4606" xr:uid="{00000000-0005-0000-0000-0000C2580000}"/>
    <cellStyle name="Normal 2 2 24 3" xfId="4607" xr:uid="{00000000-0005-0000-0000-0000C3580000}"/>
    <cellStyle name="Normal 2 2 24 3 2" xfId="4608" xr:uid="{00000000-0005-0000-0000-0000C4580000}"/>
    <cellStyle name="Normal 2 2 24 3 3" xfId="4609" xr:uid="{00000000-0005-0000-0000-0000C5580000}"/>
    <cellStyle name="Normal 2 2 24 4" xfId="10277" xr:uid="{00000000-0005-0000-0000-0000C6580000}"/>
    <cellStyle name="Normal 2 2 25" xfId="4610" xr:uid="{00000000-0005-0000-0000-0000C7580000}"/>
    <cellStyle name="Normal 2 2 25 2" xfId="4611" xr:uid="{00000000-0005-0000-0000-0000C8580000}"/>
    <cellStyle name="Normal 2 2 25 2 2" xfId="4612" xr:uid="{00000000-0005-0000-0000-0000C9580000}"/>
    <cellStyle name="Normal 2 2 25 2 3" xfId="4613" xr:uid="{00000000-0005-0000-0000-0000CA580000}"/>
    <cellStyle name="Normal 2 2 25 3" xfId="4614" xr:uid="{00000000-0005-0000-0000-0000CB580000}"/>
    <cellStyle name="Normal 2 2 25 3 2" xfId="4615" xr:uid="{00000000-0005-0000-0000-0000CC580000}"/>
    <cellStyle name="Normal 2 2 25 3 3" xfId="4616" xr:uid="{00000000-0005-0000-0000-0000CD580000}"/>
    <cellStyle name="Normal 2 2 25 4" xfId="10278" xr:uid="{00000000-0005-0000-0000-0000CE580000}"/>
    <cellStyle name="Normal 2 2 26" xfId="4617" xr:uid="{00000000-0005-0000-0000-0000CF580000}"/>
    <cellStyle name="Normal 2 2 26 2" xfId="4618" xr:uid="{00000000-0005-0000-0000-0000D0580000}"/>
    <cellStyle name="Normal 2 2 26 2 2" xfId="4619" xr:uid="{00000000-0005-0000-0000-0000D1580000}"/>
    <cellStyle name="Normal 2 2 26 2 3" xfId="4620" xr:uid="{00000000-0005-0000-0000-0000D2580000}"/>
    <cellStyle name="Normal 2 2 26 3" xfId="4621" xr:uid="{00000000-0005-0000-0000-0000D3580000}"/>
    <cellStyle name="Normal 2 2 26 3 2" xfId="4622" xr:uid="{00000000-0005-0000-0000-0000D4580000}"/>
    <cellStyle name="Normal 2 2 26 3 3" xfId="4623" xr:uid="{00000000-0005-0000-0000-0000D5580000}"/>
    <cellStyle name="Normal 2 2 26 4" xfId="10279" xr:uid="{00000000-0005-0000-0000-0000D6580000}"/>
    <cellStyle name="Normal 2 2 27" xfId="4624" xr:uid="{00000000-0005-0000-0000-0000D7580000}"/>
    <cellStyle name="Normal 2 2 27 2" xfId="10280" xr:uid="{00000000-0005-0000-0000-0000D8580000}"/>
    <cellStyle name="Normal 2 2 28" xfId="4625" xr:uid="{00000000-0005-0000-0000-0000D9580000}"/>
    <cellStyle name="Normal 2 2 28 2" xfId="10281" xr:uid="{00000000-0005-0000-0000-0000DA580000}"/>
    <cellStyle name="Normal 2 2 29" xfId="4626" xr:uid="{00000000-0005-0000-0000-0000DB580000}"/>
    <cellStyle name="Normal 2 2 29 2" xfId="10282" xr:uid="{00000000-0005-0000-0000-0000DC580000}"/>
    <cellStyle name="Normal 2 2 3" xfId="4627" xr:uid="{00000000-0005-0000-0000-0000DD580000}"/>
    <cellStyle name="Normal 2 2 3 2" xfId="4628" xr:uid="{00000000-0005-0000-0000-0000DE580000}"/>
    <cellStyle name="Normal 2 2 3 2 2" xfId="40218" xr:uid="{00000000-0005-0000-0000-0000DF580000}"/>
    <cellStyle name="Normal 2 2 3 2 3" xfId="32251" xr:uid="{00000000-0005-0000-0000-0000E0580000}"/>
    <cellStyle name="Normal 2 2 3 3" xfId="4629" xr:uid="{00000000-0005-0000-0000-0000E1580000}"/>
    <cellStyle name="Normal 2 2 3 3 2" xfId="32253" xr:uid="{00000000-0005-0000-0000-0000E2580000}"/>
    <cellStyle name="Normal 2 2 3 3 2 2" xfId="40220" xr:uid="{00000000-0005-0000-0000-0000E3580000}"/>
    <cellStyle name="Normal 2 2 3 3 3" xfId="32254" xr:uid="{00000000-0005-0000-0000-0000E4580000}"/>
    <cellStyle name="Normal 2 2 3 3 3 2" xfId="40221" xr:uid="{00000000-0005-0000-0000-0000E5580000}"/>
    <cellStyle name="Normal 2 2 3 3 4" xfId="40219" xr:uid="{00000000-0005-0000-0000-0000E6580000}"/>
    <cellStyle name="Normal 2 2 3 3 5" xfId="32252" xr:uid="{00000000-0005-0000-0000-0000E7580000}"/>
    <cellStyle name="Normal 2 2 3 4" xfId="32255" xr:uid="{00000000-0005-0000-0000-0000E8580000}"/>
    <cellStyle name="Normal 2 2 3 4 2" xfId="32256" xr:uid="{00000000-0005-0000-0000-0000E9580000}"/>
    <cellStyle name="Normal 2 2 3 4 2 2" xfId="40223" xr:uid="{00000000-0005-0000-0000-0000EA580000}"/>
    <cellStyle name="Normal 2 2 3 4 3" xfId="40222" xr:uid="{00000000-0005-0000-0000-0000EB580000}"/>
    <cellStyle name="Normal 2 2 3 5" xfId="32257" xr:uid="{00000000-0005-0000-0000-0000EC580000}"/>
    <cellStyle name="Normal 2 2 3 5 2" xfId="40224" xr:uid="{00000000-0005-0000-0000-0000ED580000}"/>
    <cellStyle name="Normal 2 2 3 6" xfId="32258" xr:uid="{00000000-0005-0000-0000-0000EE580000}"/>
    <cellStyle name="Normal 2 2 3 6 2" xfId="40225" xr:uid="{00000000-0005-0000-0000-0000EF580000}"/>
    <cellStyle name="Normal 2 2 3 7" xfId="32259" xr:uid="{00000000-0005-0000-0000-0000F0580000}"/>
    <cellStyle name="Normal 2 2 3 7 2" xfId="40226" xr:uid="{00000000-0005-0000-0000-0000F1580000}"/>
    <cellStyle name="Normal 2 2 3 8" xfId="32260" xr:uid="{00000000-0005-0000-0000-0000F2580000}"/>
    <cellStyle name="Normal 2 2 3 8 2" xfId="40227" xr:uid="{00000000-0005-0000-0000-0000F3580000}"/>
    <cellStyle name="Normal 2 2 3 9" xfId="32250" xr:uid="{00000000-0005-0000-0000-0000F4580000}"/>
    <cellStyle name="Normal 2 2 30" xfId="4630" xr:uid="{00000000-0005-0000-0000-0000F5580000}"/>
    <cellStyle name="Normal 2 2 31" xfId="4631" xr:uid="{00000000-0005-0000-0000-0000F6580000}"/>
    <cellStyle name="Normal 2 2 32" xfId="7" xr:uid="{00000000-0005-0000-0000-0000F7580000}"/>
    <cellStyle name="Normal 2 2 33" xfId="4318" xr:uid="{00000000-0005-0000-0000-0000F8580000}"/>
    <cellStyle name="Normal 2 2 4" xfId="4632" xr:uid="{00000000-0005-0000-0000-0000F9580000}"/>
    <cellStyle name="Normal 2 2 4 2" xfId="4633" xr:uid="{00000000-0005-0000-0000-0000FA580000}"/>
    <cellStyle name="Normal 2 2 4 2 2" xfId="32263" xr:uid="{00000000-0005-0000-0000-0000FB580000}"/>
    <cellStyle name="Normal 2 2 4 2 2 2" xfId="40229" xr:uid="{00000000-0005-0000-0000-0000FC580000}"/>
    <cellStyle name="Normal 2 2 4 2 3" xfId="32264" xr:uid="{00000000-0005-0000-0000-0000FD580000}"/>
    <cellStyle name="Normal 2 2 4 2 3 2" xfId="40230" xr:uid="{00000000-0005-0000-0000-0000FE580000}"/>
    <cellStyle name="Normal 2 2 4 2 4" xfId="40228" xr:uid="{00000000-0005-0000-0000-0000FF580000}"/>
    <cellStyle name="Normal 2 2 4 2 5" xfId="32262" xr:uid="{00000000-0005-0000-0000-000000590000}"/>
    <cellStyle name="Normal 2 2 4 3" xfId="4634" xr:uid="{00000000-0005-0000-0000-000001590000}"/>
    <cellStyle name="Normal 2 2 4 3 2" xfId="40231" xr:uid="{00000000-0005-0000-0000-000002590000}"/>
    <cellStyle name="Normal 2 2 4 3 3" xfId="32265" xr:uid="{00000000-0005-0000-0000-000003590000}"/>
    <cellStyle name="Normal 2 2 4 4" xfId="32266" xr:uid="{00000000-0005-0000-0000-000004590000}"/>
    <cellStyle name="Normal 2 2 4 4 2" xfId="40232" xr:uid="{00000000-0005-0000-0000-000005590000}"/>
    <cellStyle name="Normal 2 2 4 5" xfId="32267" xr:uid="{00000000-0005-0000-0000-000006590000}"/>
    <cellStyle name="Normal 2 2 4 5 2" xfId="40233" xr:uid="{00000000-0005-0000-0000-000007590000}"/>
    <cellStyle name="Normal 2 2 4 6" xfId="32268" xr:uid="{00000000-0005-0000-0000-000008590000}"/>
    <cellStyle name="Normal 2 2 4 6 2" xfId="40234" xr:uid="{00000000-0005-0000-0000-000009590000}"/>
    <cellStyle name="Normal 2 2 4 7" xfId="32269" xr:uid="{00000000-0005-0000-0000-00000A590000}"/>
    <cellStyle name="Normal 2 2 4 7 2" xfId="40235" xr:uid="{00000000-0005-0000-0000-00000B590000}"/>
    <cellStyle name="Normal 2 2 4 8" xfId="32270" xr:uid="{00000000-0005-0000-0000-00000C590000}"/>
    <cellStyle name="Normal 2 2 4 9" xfId="32261" xr:uid="{00000000-0005-0000-0000-00000D590000}"/>
    <cellStyle name="Normal 2 2 5" xfId="4635" xr:uid="{00000000-0005-0000-0000-00000E590000}"/>
    <cellStyle name="Normal 2 2 5 2" xfId="4636" xr:uid="{00000000-0005-0000-0000-00000F590000}"/>
    <cellStyle name="Normal 2 2 5 2 2" xfId="40237" xr:uid="{00000000-0005-0000-0000-000010590000}"/>
    <cellStyle name="Normal 2 2 5 2 3" xfId="32272" xr:uid="{00000000-0005-0000-0000-000011590000}"/>
    <cellStyle name="Normal 2 2 5 3" xfId="4637" xr:uid="{00000000-0005-0000-0000-000012590000}"/>
    <cellStyle name="Normal 2 2 5 3 2" xfId="40238" xr:uid="{00000000-0005-0000-0000-000013590000}"/>
    <cellStyle name="Normal 2 2 5 3 3" xfId="32273" xr:uid="{00000000-0005-0000-0000-000014590000}"/>
    <cellStyle name="Normal 2 2 5 4" xfId="32274" xr:uid="{00000000-0005-0000-0000-000015590000}"/>
    <cellStyle name="Normal 2 2 5 5" xfId="40236" xr:uid="{00000000-0005-0000-0000-000016590000}"/>
    <cellStyle name="Normal 2 2 5 6" xfId="32271" xr:uid="{00000000-0005-0000-0000-000017590000}"/>
    <cellStyle name="Normal 2 2 6" xfId="4638" xr:uid="{00000000-0005-0000-0000-000018590000}"/>
    <cellStyle name="Normal 2 2 6 2" xfId="4639" xr:uid="{00000000-0005-0000-0000-000019590000}"/>
    <cellStyle name="Normal 2 2 6 2 2" xfId="40240" xr:uid="{00000000-0005-0000-0000-00001A590000}"/>
    <cellStyle name="Normal 2 2 6 2 3" xfId="32276" xr:uid="{00000000-0005-0000-0000-00001B590000}"/>
    <cellStyle name="Normal 2 2 6 3" xfId="4640" xr:uid="{00000000-0005-0000-0000-00001C590000}"/>
    <cellStyle name="Normal 2 2 6 3 2" xfId="32277" xr:uid="{00000000-0005-0000-0000-00001D590000}"/>
    <cellStyle name="Normal 2 2 6 4" xfId="40239" xr:uid="{00000000-0005-0000-0000-00001E590000}"/>
    <cellStyle name="Normal 2 2 6 5" xfId="32275" xr:uid="{00000000-0005-0000-0000-00001F590000}"/>
    <cellStyle name="Normal 2 2 7" xfId="4641" xr:uid="{00000000-0005-0000-0000-000020590000}"/>
    <cellStyle name="Normal 2 2 7 2" xfId="4642" xr:uid="{00000000-0005-0000-0000-000021590000}"/>
    <cellStyle name="Normal 2 2 7 2 2" xfId="40241" xr:uid="{00000000-0005-0000-0000-000022590000}"/>
    <cellStyle name="Normal 2 2 7 3" xfId="4643" xr:uid="{00000000-0005-0000-0000-000023590000}"/>
    <cellStyle name="Normal 2 2 7 4" xfId="32278" xr:uid="{00000000-0005-0000-0000-000024590000}"/>
    <cellStyle name="Normal 2 2 8" xfId="4644" xr:uid="{00000000-0005-0000-0000-000025590000}"/>
    <cellStyle name="Normal 2 2 8 10" xfId="4645" xr:uid="{00000000-0005-0000-0000-000026590000}"/>
    <cellStyle name="Normal 2 2 8 10 2" xfId="4646" xr:uid="{00000000-0005-0000-0000-000027590000}"/>
    <cellStyle name="Normal 2 2 8 10 3" xfId="4647" xr:uid="{00000000-0005-0000-0000-000028590000}"/>
    <cellStyle name="Normal 2 2 8 11" xfId="4648" xr:uid="{00000000-0005-0000-0000-000029590000}"/>
    <cellStyle name="Normal 2 2 8 11 2" xfId="4649" xr:uid="{00000000-0005-0000-0000-00002A590000}"/>
    <cellStyle name="Normal 2 2 8 11 3" xfId="4650" xr:uid="{00000000-0005-0000-0000-00002B590000}"/>
    <cellStyle name="Normal 2 2 8 12" xfId="10283" xr:uid="{00000000-0005-0000-0000-00002C590000}"/>
    <cellStyle name="Normal 2 2 8 13" xfId="32279" xr:uid="{00000000-0005-0000-0000-00002D590000}"/>
    <cellStyle name="Normal 2 2 8 2" xfId="4651" xr:uid="{00000000-0005-0000-0000-00002E590000}"/>
    <cellStyle name="Normal 2 2 8 2 10" xfId="4652" xr:uid="{00000000-0005-0000-0000-00002F590000}"/>
    <cellStyle name="Normal 2 2 8 2 11" xfId="4653" xr:uid="{00000000-0005-0000-0000-000030590000}"/>
    <cellStyle name="Normal 2 2 8 2 12" xfId="40242" xr:uid="{00000000-0005-0000-0000-000031590000}"/>
    <cellStyle name="Normal 2 2 8 2 2" xfId="4654" xr:uid="{00000000-0005-0000-0000-000032590000}"/>
    <cellStyle name="Normal 2 2 8 2 2 2" xfId="10284" xr:uid="{00000000-0005-0000-0000-000033590000}"/>
    <cellStyle name="Normal 2 2 8 2 3" xfId="4655" xr:uid="{00000000-0005-0000-0000-000034590000}"/>
    <cellStyle name="Normal 2 2 8 2 3 2" xfId="10285" xr:uid="{00000000-0005-0000-0000-000035590000}"/>
    <cellStyle name="Normal 2 2 8 2 4" xfId="4656" xr:uid="{00000000-0005-0000-0000-000036590000}"/>
    <cellStyle name="Normal 2 2 8 2 4 2" xfId="10286" xr:uid="{00000000-0005-0000-0000-000037590000}"/>
    <cellStyle name="Normal 2 2 8 2 5" xfId="4657" xr:uid="{00000000-0005-0000-0000-000038590000}"/>
    <cellStyle name="Normal 2 2 8 2 5 2" xfId="10287" xr:uid="{00000000-0005-0000-0000-000039590000}"/>
    <cellStyle name="Normal 2 2 8 2 6" xfId="4658" xr:uid="{00000000-0005-0000-0000-00003A590000}"/>
    <cellStyle name="Normal 2 2 8 2 6 2" xfId="10288" xr:uid="{00000000-0005-0000-0000-00003B590000}"/>
    <cellStyle name="Normal 2 2 8 2 7" xfId="4659" xr:uid="{00000000-0005-0000-0000-00003C590000}"/>
    <cellStyle name="Normal 2 2 8 2 7 2" xfId="10289" xr:uid="{00000000-0005-0000-0000-00003D590000}"/>
    <cellStyle name="Normal 2 2 8 2 8" xfId="4660" xr:uid="{00000000-0005-0000-0000-00003E590000}"/>
    <cellStyle name="Normal 2 2 8 2 8 2" xfId="10290" xr:uid="{00000000-0005-0000-0000-00003F590000}"/>
    <cellStyle name="Normal 2 2 8 2 9" xfId="4661" xr:uid="{00000000-0005-0000-0000-000040590000}"/>
    <cellStyle name="Normal 2 2 8 2 9 2" xfId="10291" xr:uid="{00000000-0005-0000-0000-000041590000}"/>
    <cellStyle name="Normal 2 2 8 3" xfId="4662" xr:uid="{00000000-0005-0000-0000-000042590000}"/>
    <cellStyle name="Normal 2 2 8 3 2" xfId="10292" xr:uid="{00000000-0005-0000-0000-000043590000}"/>
    <cellStyle name="Normal 2 2 8 4" xfId="4663" xr:uid="{00000000-0005-0000-0000-000044590000}"/>
    <cellStyle name="Normal 2 2 8 4 2" xfId="10293" xr:uid="{00000000-0005-0000-0000-000045590000}"/>
    <cellStyle name="Normal 2 2 8 5" xfId="4664" xr:uid="{00000000-0005-0000-0000-000046590000}"/>
    <cellStyle name="Normal 2 2 8 5 2" xfId="4665" xr:uid="{00000000-0005-0000-0000-000047590000}"/>
    <cellStyle name="Normal 2 2 8 5 2 2" xfId="10294" xr:uid="{00000000-0005-0000-0000-000048590000}"/>
    <cellStyle name="Normal 2 2 8 5 3" xfId="4666" xr:uid="{00000000-0005-0000-0000-000049590000}"/>
    <cellStyle name="Normal 2 2 8 5 3 2" xfId="10295" xr:uid="{00000000-0005-0000-0000-00004A590000}"/>
    <cellStyle name="Normal 2 2 8 5 4" xfId="4667" xr:uid="{00000000-0005-0000-0000-00004B590000}"/>
    <cellStyle name="Normal 2 2 8 5 5" xfId="4668" xr:uid="{00000000-0005-0000-0000-00004C590000}"/>
    <cellStyle name="Normal 2 2 8 6" xfId="4669" xr:uid="{00000000-0005-0000-0000-00004D590000}"/>
    <cellStyle name="Normal 2 2 8 6 2" xfId="4670" xr:uid="{00000000-0005-0000-0000-00004E590000}"/>
    <cellStyle name="Normal 2 2 8 6 2 2" xfId="10296" xr:uid="{00000000-0005-0000-0000-00004F590000}"/>
    <cellStyle name="Normal 2 2 8 6 3" xfId="4671" xr:uid="{00000000-0005-0000-0000-000050590000}"/>
    <cellStyle name="Normal 2 2 8 6 3 2" xfId="10297" xr:uid="{00000000-0005-0000-0000-000051590000}"/>
    <cellStyle name="Normal 2 2 8 6 4" xfId="4672" xr:uid="{00000000-0005-0000-0000-000052590000}"/>
    <cellStyle name="Normal 2 2 8 6 5" xfId="4673" xr:uid="{00000000-0005-0000-0000-000053590000}"/>
    <cellStyle name="Normal 2 2 8 7" xfId="4674" xr:uid="{00000000-0005-0000-0000-000054590000}"/>
    <cellStyle name="Normal 2 2 8 7 2" xfId="4675" xr:uid="{00000000-0005-0000-0000-000055590000}"/>
    <cellStyle name="Normal 2 2 8 7 2 2" xfId="10298" xr:uid="{00000000-0005-0000-0000-000056590000}"/>
    <cellStyle name="Normal 2 2 8 7 3" xfId="4676" xr:uid="{00000000-0005-0000-0000-000057590000}"/>
    <cellStyle name="Normal 2 2 8 7 3 2" xfId="10299" xr:uid="{00000000-0005-0000-0000-000058590000}"/>
    <cellStyle name="Normal 2 2 8 7 4" xfId="4677" xr:uid="{00000000-0005-0000-0000-000059590000}"/>
    <cellStyle name="Normal 2 2 8 7 5" xfId="4678" xr:uid="{00000000-0005-0000-0000-00005A590000}"/>
    <cellStyle name="Normal 2 2 8 8" xfId="4679" xr:uid="{00000000-0005-0000-0000-00005B590000}"/>
    <cellStyle name="Normal 2 2 8 8 2" xfId="4680" xr:uid="{00000000-0005-0000-0000-00005C590000}"/>
    <cellStyle name="Normal 2 2 8 8 2 2" xfId="10300" xr:uid="{00000000-0005-0000-0000-00005D590000}"/>
    <cellStyle name="Normal 2 2 8 8 3" xfId="4681" xr:uid="{00000000-0005-0000-0000-00005E590000}"/>
    <cellStyle name="Normal 2 2 8 8 3 2" xfId="10301" xr:uid="{00000000-0005-0000-0000-00005F590000}"/>
    <cellStyle name="Normal 2 2 8 8 4" xfId="4682" xr:uid="{00000000-0005-0000-0000-000060590000}"/>
    <cellStyle name="Normal 2 2 8 8 5" xfId="4683" xr:uid="{00000000-0005-0000-0000-000061590000}"/>
    <cellStyle name="Normal 2 2 8 9" xfId="4684" xr:uid="{00000000-0005-0000-0000-000062590000}"/>
    <cellStyle name="Normal 2 2 8 9 2" xfId="4685" xr:uid="{00000000-0005-0000-0000-000063590000}"/>
    <cellStyle name="Normal 2 2 8 9 2 2" xfId="10302" xr:uid="{00000000-0005-0000-0000-000064590000}"/>
    <cellStyle name="Normal 2 2 8 9 3" xfId="4686" xr:uid="{00000000-0005-0000-0000-000065590000}"/>
    <cellStyle name="Normal 2 2 8 9 3 2" xfId="10303" xr:uid="{00000000-0005-0000-0000-000066590000}"/>
    <cellStyle name="Normal 2 2 8 9 4" xfId="4687" xr:uid="{00000000-0005-0000-0000-000067590000}"/>
    <cellStyle name="Normal 2 2 8 9 5" xfId="4688" xr:uid="{00000000-0005-0000-0000-000068590000}"/>
    <cellStyle name="Normal 2 2 9" xfId="4689" xr:uid="{00000000-0005-0000-0000-000069590000}"/>
    <cellStyle name="Normal 2 2 9 2" xfId="10304" xr:uid="{00000000-0005-0000-0000-00006A590000}"/>
    <cellStyle name="Normal 2 2 9 2 2" xfId="40243" xr:uid="{00000000-0005-0000-0000-00006B590000}"/>
    <cellStyle name="Normal 2 2 9 3" xfId="32280" xr:uid="{00000000-0005-0000-0000-00006C590000}"/>
    <cellStyle name="Normal 2 2_Residential Inputs Inland" xfId="4690" xr:uid="{00000000-0005-0000-0000-00006D590000}"/>
    <cellStyle name="Normal 2 20" xfId="4691" xr:uid="{00000000-0005-0000-0000-00006E590000}"/>
    <cellStyle name="Normal 2 20 2" xfId="4692" xr:uid="{00000000-0005-0000-0000-00006F590000}"/>
    <cellStyle name="Normal 2 20 2 2" xfId="32283" xr:uid="{00000000-0005-0000-0000-000070590000}"/>
    <cellStyle name="Normal 2 20 2 2 2" xfId="40245" xr:uid="{00000000-0005-0000-0000-000071590000}"/>
    <cellStyle name="Normal 2 20 2 3" xfId="40244" xr:uid="{00000000-0005-0000-0000-000072590000}"/>
    <cellStyle name="Normal 2 20 2 4" xfId="32282" xr:uid="{00000000-0005-0000-0000-000073590000}"/>
    <cellStyle name="Normal 2 20 3" xfId="4693" xr:uid="{00000000-0005-0000-0000-000074590000}"/>
    <cellStyle name="Normal 2 20 3 2" xfId="40246" xr:uid="{00000000-0005-0000-0000-000075590000}"/>
    <cellStyle name="Normal 2 20 3 3" xfId="32284" xr:uid="{00000000-0005-0000-0000-000076590000}"/>
    <cellStyle name="Normal 2 20 4" xfId="32285" xr:uid="{00000000-0005-0000-0000-000077590000}"/>
    <cellStyle name="Normal 2 20 4 2" xfId="40247" xr:uid="{00000000-0005-0000-0000-000078590000}"/>
    <cellStyle name="Normal 2 20 5" xfId="32286" xr:uid="{00000000-0005-0000-0000-000079590000}"/>
    <cellStyle name="Normal 2 20 5 2" xfId="40248" xr:uid="{00000000-0005-0000-0000-00007A590000}"/>
    <cellStyle name="Normal 2 20 6" xfId="32281" xr:uid="{00000000-0005-0000-0000-00007B590000}"/>
    <cellStyle name="Normal 2 21" xfId="4694" xr:uid="{00000000-0005-0000-0000-00007C590000}"/>
    <cellStyle name="Normal 2 21 2" xfId="4695" xr:uid="{00000000-0005-0000-0000-00007D590000}"/>
    <cellStyle name="Normal 2 21 2 2" xfId="32289" xr:uid="{00000000-0005-0000-0000-00007E590000}"/>
    <cellStyle name="Normal 2 21 2 2 2" xfId="32290" xr:uid="{00000000-0005-0000-0000-00007F590000}"/>
    <cellStyle name="Normal 2 21 2 2 2 2" xfId="40251" xr:uid="{00000000-0005-0000-0000-000080590000}"/>
    <cellStyle name="Normal 2 21 2 2 3" xfId="40250" xr:uid="{00000000-0005-0000-0000-000081590000}"/>
    <cellStyle name="Normal 2 21 2 3" xfId="32291" xr:uid="{00000000-0005-0000-0000-000082590000}"/>
    <cellStyle name="Normal 2 21 2 3 2" xfId="40252" xr:uid="{00000000-0005-0000-0000-000083590000}"/>
    <cellStyle name="Normal 2 21 2 4" xfId="40249" xr:uid="{00000000-0005-0000-0000-000084590000}"/>
    <cellStyle name="Normal 2 21 2 5" xfId="32288" xr:uid="{00000000-0005-0000-0000-000085590000}"/>
    <cellStyle name="Normal 2 21 3" xfId="4696" xr:uid="{00000000-0005-0000-0000-000086590000}"/>
    <cellStyle name="Normal 2 21 3 2" xfId="32293" xr:uid="{00000000-0005-0000-0000-000087590000}"/>
    <cellStyle name="Normal 2 21 3 2 2" xfId="40254" xr:uid="{00000000-0005-0000-0000-000088590000}"/>
    <cellStyle name="Normal 2 21 3 3" xfId="40253" xr:uid="{00000000-0005-0000-0000-000089590000}"/>
    <cellStyle name="Normal 2 21 3 4" xfId="32292" xr:uid="{00000000-0005-0000-0000-00008A590000}"/>
    <cellStyle name="Normal 2 21 4" xfId="32294" xr:uid="{00000000-0005-0000-0000-00008B590000}"/>
    <cellStyle name="Normal 2 21 4 2" xfId="40255" xr:uid="{00000000-0005-0000-0000-00008C590000}"/>
    <cellStyle name="Normal 2 21 5" xfId="32295" xr:uid="{00000000-0005-0000-0000-00008D590000}"/>
    <cellStyle name="Normal 2 21 5 2" xfId="40256" xr:uid="{00000000-0005-0000-0000-00008E590000}"/>
    <cellStyle name="Normal 2 21 6" xfId="32296" xr:uid="{00000000-0005-0000-0000-00008F590000}"/>
    <cellStyle name="Normal 2 21 6 2" xfId="40257" xr:uid="{00000000-0005-0000-0000-000090590000}"/>
    <cellStyle name="Normal 2 21 7" xfId="32297" xr:uid="{00000000-0005-0000-0000-000091590000}"/>
    <cellStyle name="Normal 2 21 7 2" xfId="40258" xr:uid="{00000000-0005-0000-0000-000092590000}"/>
    <cellStyle name="Normal 2 21 8" xfId="32287" xr:uid="{00000000-0005-0000-0000-000093590000}"/>
    <cellStyle name="Normal 2 22" xfId="4697" xr:uid="{00000000-0005-0000-0000-000094590000}"/>
    <cellStyle name="Normal 2 22 2" xfId="4698" xr:uid="{00000000-0005-0000-0000-000095590000}"/>
    <cellStyle name="Normal 2 22 2 2" xfId="32300" xr:uid="{00000000-0005-0000-0000-000096590000}"/>
    <cellStyle name="Normal 2 22 2 2 2" xfId="32301" xr:uid="{00000000-0005-0000-0000-000097590000}"/>
    <cellStyle name="Normal 2 22 2 2 2 2" xfId="40261" xr:uid="{00000000-0005-0000-0000-000098590000}"/>
    <cellStyle name="Normal 2 22 2 2 3" xfId="40260" xr:uid="{00000000-0005-0000-0000-000099590000}"/>
    <cellStyle name="Normal 2 22 2 3" xfId="32302" xr:uid="{00000000-0005-0000-0000-00009A590000}"/>
    <cellStyle name="Normal 2 22 2 3 2" xfId="40262" xr:uid="{00000000-0005-0000-0000-00009B590000}"/>
    <cellStyle name="Normal 2 22 2 4" xfId="40259" xr:uid="{00000000-0005-0000-0000-00009C590000}"/>
    <cellStyle name="Normal 2 22 2 5" xfId="32299" xr:uid="{00000000-0005-0000-0000-00009D590000}"/>
    <cellStyle name="Normal 2 22 3" xfId="4699" xr:uid="{00000000-0005-0000-0000-00009E590000}"/>
    <cellStyle name="Normal 2 22 3 2" xfId="32304" xr:uid="{00000000-0005-0000-0000-00009F590000}"/>
    <cellStyle name="Normal 2 22 3 2 2" xfId="40264" xr:uid="{00000000-0005-0000-0000-0000A0590000}"/>
    <cellStyle name="Normal 2 22 3 3" xfId="40263" xr:uid="{00000000-0005-0000-0000-0000A1590000}"/>
    <cellStyle name="Normal 2 22 3 4" xfId="32303" xr:uid="{00000000-0005-0000-0000-0000A2590000}"/>
    <cellStyle name="Normal 2 22 4" xfId="32305" xr:uid="{00000000-0005-0000-0000-0000A3590000}"/>
    <cellStyle name="Normal 2 22 4 2" xfId="40265" xr:uid="{00000000-0005-0000-0000-0000A4590000}"/>
    <cellStyle name="Normal 2 22 5" xfId="32306" xr:uid="{00000000-0005-0000-0000-0000A5590000}"/>
    <cellStyle name="Normal 2 22 5 2" xfId="40266" xr:uid="{00000000-0005-0000-0000-0000A6590000}"/>
    <cellStyle name="Normal 2 22 6" xfId="32307" xr:uid="{00000000-0005-0000-0000-0000A7590000}"/>
    <cellStyle name="Normal 2 22 6 2" xfId="40267" xr:uid="{00000000-0005-0000-0000-0000A8590000}"/>
    <cellStyle name="Normal 2 22 7" xfId="32308" xr:uid="{00000000-0005-0000-0000-0000A9590000}"/>
    <cellStyle name="Normal 2 22 7 2" xfId="40268" xr:uid="{00000000-0005-0000-0000-0000AA590000}"/>
    <cellStyle name="Normal 2 22 8" xfId="32298" xr:uid="{00000000-0005-0000-0000-0000AB590000}"/>
    <cellStyle name="Normal 2 23" xfId="4700" xr:uid="{00000000-0005-0000-0000-0000AC590000}"/>
    <cellStyle name="Normal 2 23 2" xfId="4701" xr:uid="{00000000-0005-0000-0000-0000AD590000}"/>
    <cellStyle name="Normal 2 23 2 2" xfId="32311" xr:uid="{00000000-0005-0000-0000-0000AE590000}"/>
    <cellStyle name="Normal 2 23 2 2 2" xfId="32312" xr:uid="{00000000-0005-0000-0000-0000AF590000}"/>
    <cellStyle name="Normal 2 23 2 2 2 2" xfId="40271" xr:uid="{00000000-0005-0000-0000-0000B0590000}"/>
    <cellStyle name="Normal 2 23 2 2 3" xfId="40270" xr:uid="{00000000-0005-0000-0000-0000B1590000}"/>
    <cellStyle name="Normal 2 23 2 3" xfId="32313" xr:uid="{00000000-0005-0000-0000-0000B2590000}"/>
    <cellStyle name="Normal 2 23 2 3 2" xfId="40272" xr:uid="{00000000-0005-0000-0000-0000B3590000}"/>
    <cellStyle name="Normal 2 23 2 4" xfId="40269" xr:uid="{00000000-0005-0000-0000-0000B4590000}"/>
    <cellStyle name="Normal 2 23 2 5" xfId="32310" xr:uid="{00000000-0005-0000-0000-0000B5590000}"/>
    <cellStyle name="Normal 2 23 3" xfId="4702" xr:uid="{00000000-0005-0000-0000-0000B6590000}"/>
    <cellStyle name="Normal 2 23 3 2" xfId="32315" xr:uid="{00000000-0005-0000-0000-0000B7590000}"/>
    <cellStyle name="Normal 2 23 3 2 2" xfId="40274" xr:uid="{00000000-0005-0000-0000-0000B8590000}"/>
    <cellStyle name="Normal 2 23 3 3" xfId="40273" xr:uid="{00000000-0005-0000-0000-0000B9590000}"/>
    <cellStyle name="Normal 2 23 3 4" xfId="32314" xr:uid="{00000000-0005-0000-0000-0000BA590000}"/>
    <cellStyle name="Normal 2 23 4" xfId="32316" xr:uid="{00000000-0005-0000-0000-0000BB590000}"/>
    <cellStyle name="Normal 2 23 4 2" xfId="40275" xr:uid="{00000000-0005-0000-0000-0000BC590000}"/>
    <cellStyle name="Normal 2 23 5" xfId="32317" xr:uid="{00000000-0005-0000-0000-0000BD590000}"/>
    <cellStyle name="Normal 2 23 5 2" xfId="40276" xr:uid="{00000000-0005-0000-0000-0000BE590000}"/>
    <cellStyle name="Normal 2 23 6" xfId="32318" xr:uid="{00000000-0005-0000-0000-0000BF590000}"/>
    <cellStyle name="Normal 2 23 6 2" xfId="40277" xr:uid="{00000000-0005-0000-0000-0000C0590000}"/>
    <cellStyle name="Normal 2 23 7" xfId="32309" xr:uid="{00000000-0005-0000-0000-0000C1590000}"/>
    <cellStyle name="Normal 2 24" xfId="4703" xr:uid="{00000000-0005-0000-0000-0000C2590000}"/>
    <cellStyle name="Normal 2 24 2" xfId="4704" xr:uid="{00000000-0005-0000-0000-0000C3590000}"/>
    <cellStyle name="Normal 2 24 2 2" xfId="40278" xr:uid="{00000000-0005-0000-0000-0000C4590000}"/>
    <cellStyle name="Normal 2 24 2 3" xfId="32320" xr:uid="{00000000-0005-0000-0000-0000C5590000}"/>
    <cellStyle name="Normal 2 24 3" xfId="4705" xr:uid="{00000000-0005-0000-0000-0000C6590000}"/>
    <cellStyle name="Normal 2 24 3 2" xfId="40279" xr:uid="{00000000-0005-0000-0000-0000C7590000}"/>
    <cellStyle name="Normal 2 24 3 3" xfId="32321" xr:uid="{00000000-0005-0000-0000-0000C8590000}"/>
    <cellStyle name="Normal 2 24 4" xfId="32319" xr:uid="{00000000-0005-0000-0000-0000C9590000}"/>
    <cellStyle name="Normal 2 25" xfId="4706" xr:uid="{00000000-0005-0000-0000-0000CA590000}"/>
    <cellStyle name="Normal 2 25 2" xfId="4707" xr:uid="{00000000-0005-0000-0000-0000CB590000}"/>
    <cellStyle name="Normal 2 25 2 2" xfId="40280" xr:uid="{00000000-0005-0000-0000-0000CC590000}"/>
    <cellStyle name="Normal 2 25 2 3" xfId="32323" xr:uid="{00000000-0005-0000-0000-0000CD590000}"/>
    <cellStyle name="Normal 2 25 3" xfId="4708" xr:uid="{00000000-0005-0000-0000-0000CE590000}"/>
    <cellStyle name="Normal 2 25 3 2" xfId="40281" xr:uid="{00000000-0005-0000-0000-0000CF590000}"/>
    <cellStyle name="Normal 2 25 3 3" xfId="32324" xr:uid="{00000000-0005-0000-0000-0000D0590000}"/>
    <cellStyle name="Normal 2 25 4" xfId="32322" xr:uid="{00000000-0005-0000-0000-0000D1590000}"/>
    <cellStyle name="Normal 2 26" xfId="4709" xr:uid="{00000000-0005-0000-0000-0000D2590000}"/>
    <cellStyle name="Normal 2 26 2" xfId="4710" xr:uid="{00000000-0005-0000-0000-0000D3590000}"/>
    <cellStyle name="Normal 2 26 2 2" xfId="40282" xr:uid="{00000000-0005-0000-0000-0000D4590000}"/>
    <cellStyle name="Normal 2 26 2 3" xfId="32326" xr:uid="{00000000-0005-0000-0000-0000D5590000}"/>
    <cellStyle name="Normal 2 26 3" xfId="4711" xr:uid="{00000000-0005-0000-0000-0000D6590000}"/>
    <cellStyle name="Normal 2 26 3 2" xfId="40283" xr:uid="{00000000-0005-0000-0000-0000D7590000}"/>
    <cellStyle name="Normal 2 26 3 3" xfId="32327" xr:uid="{00000000-0005-0000-0000-0000D8590000}"/>
    <cellStyle name="Normal 2 26 4" xfId="32325" xr:uid="{00000000-0005-0000-0000-0000D9590000}"/>
    <cellStyle name="Normal 2 27" xfId="4712" xr:uid="{00000000-0005-0000-0000-0000DA590000}"/>
    <cellStyle name="Normal 2 27 2" xfId="4713" xr:uid="{00000000-0005-0000-0000-0000DB590000}"/>
    <cellStyle name="Normal 2 27 2 2" xfId="32330" xr:uid="{00000000-0005-0000-0000-0000DC590000}"/>
    <cellStyle name="Normal 2 27 2 2 2" xfId="32331" xr:uid="{00000000-0005-0000-0000-0000DD590000}"/>
    <cellStyle name="Normal 2 27 2 2 2 2" xfId="40286" xr:uid="{00000000-0005-0000-0000-0000DE590000}"/>
    <cellStyle name="Normal 2 27 2 2 3" xfId="40285" xr:uid="{00000000-0005-0000-0000-0000DF590000}"/>
    <cellStyle name="Normal 2 27 2 3" xfId="32332" xr:uid="{00000000-0005-0000-0000-0000E0590000}"/>
    <cellStyle name="Normal 2 27 2 3 2" xfId="40287" xr:uid="{00000000-0005-0000-0000-0000E1590000}"/>
    <cellStyle name="Normal 2 27 2 4" xfId="40284" xr:uid="{00000000-0005-0000-0000-0000E2590000}"/>
    <cellStyle name="Normal 2 27 2 5" xfId="32329" xr:uid="{00000000-0005-0000-0000-0000E3590000}"/>
    <cellStyle name="Normal 2 27 3" xfId="4714" xr:uid="{00000000-0005-0000-0000-0000E4590000}"/>
    <cellStyle name="Normal 2 27 3 2" xfId="32334" xr:uid="{00000000-0005-0000-0000-0000E5590000}"/>
    <cellStyle name="Normal 2 27 3 2 2" xfId="40289" xr:uid="{00000000-0005-0000-0000-0000E6590000}"/>
    <cellStyle name="Normal 2 27 3 3" xfId="40288" xr:uid="{00000000-0005-0000-0000-0000E7590000}"/>
    <cellStyle name="Normal 2 27 3 4" xfId="32333" xr:uid="{00000000-0005-0000-0000-0000E8590000}"/>
    <cellStyle name="Normal 2 27 4" xfId="32335" xr:uid="{00000000-0005-0000-0000-0000E9590000}"/>
    <cellStyle name="Normal 2 27 4 2" xfId="40290" xr:uid="{00000000-0005-0000-0000-0000EA590000}"/>
    <cellStyle name="Normal 2 27 5" xfId="32336" xr:uid="{00000000-0005-0000-0000-0000EB590000}"/>
    <cellStyle name="Normal 2 27 5 2" xfId="40291" xr:uid="{00000000-0005-0000-0000-0000EC590000}"/>
    <cellStyle name="Normal 2 27 6" xfId="32337" xr:uid="{00000000-0005-0000-0000-0000ED590000}"/>
    <cellStyle name="Normal 2 27 6 2" xfId="40292" xr:uid="{00000000-0005-0000-0000-0000EE590000}"/>
    <cellStyle name="Normal 2 27 7" xfId="32328" xr:uid="{00000000-0005-0000-0000-0000EF590000}"/>
    <cellStyle name="Normal 2 28" xfId="4715" xr:uid="{00000000-0005-0000-0000-0000F0590000}"/>
    <cellStyle name="Normal 2 28 2" xfId="4716" xr:uid="{00000000-0005-0000-0000-0000F1590000}"/>
    <cellStyle name="Normal 2 28 2 2" xfId="40293" xr:uid="{00000000-0005-0000-0000-0000F2590000}"/>
    <cellStyle name="Normal 2 28 2 3" xfId="32339" xr:uid="{00000000-0005-0000-0000-0000F3590000}"/>
    <cellStyle name="Normal 2 28 3" xfId="4717" xr:uid="{00000000-0005-0000-0000-0000F4590000}"/>
    <cellStyle name="Normal 2 28 3 2" xfId="40294" xr:uid="{00000000-0005-0000-0000-0000F5590000}"/>
    <cellStyle name="Normal 2 28 3 3" xfId="32340" xr:uid="{00000000-0005-0000-0000-0000F6590000}"/>
    <cellStyle name="Normal 2 28 4" xfId="32338" xr:uid="{00000000-0005-0000-0000-0000F7590000}"/>
    <cellStyle name="Normal 2 29" xfId="4718" xr:uid="{00000000-0005-0000-0000-0000F8590000}"/>
    <cellStyle name="Normal 2 29 2" xfId="4719" xr:uid="{00000000-0005-0000-0000-0000F9590000}"/>
    <cellStyle name="Normal 2 29 2 2" xfId="40295" xr:uid="{00000000-0005-0000-0000-0000FA590000}"/>
    <cellStyle name="Normal 2 29 2 3" xfId="32342" xr:uid="{00000000-0005-0000-0000-0000FB590000}"/>
    <cellStyle name="Normal 2 29 3" xfId="4720" xr:uid="{00000000-0005-0000-0000-0000FC590000}"/>
    <cellStyle name="Normal 2 29 3 2" xfId="40296" xr:uid="{00000000-0005-0000-0000-0000FD590000}"/>
    <cellStyle name="Normal 2 29 3 3" xfId="32343" xr:uid="{00000000-0005-0000-0000-0000FE590000}"/>
    <cellStyle name="Normal 2 29 4" xfId="32341" xr:uid="{00000000-0005-0000-0000-0000FF590000}"/>
    <cellStyle name="Normal 2 3" xfId="4721" xr:uid="{00000000-0005-0000-0000-0000005A0000}"/>
    <cellStyle name="Normal 2 3 10" xfId="32344" xr:uid="{00000000-0005-0000-0000-0000015A0000}"/>
    <cellStyle name="Normal 2 3 10 2" xfId="40297" xr:uid="{00000000-0005-0000-0000-0000025A0000}"/>
    <cellStyle name="Normal 2 3 11" xfId="44417" xr:uid="{210B9988-5328-4976-AF60-4344CD21BB24}"/>
    <cellStyle name="Normal 2 3 2" xfId="4722" xr:uid="{00000000-0005-0000-0000-0000035A0000}"/>
    <cellStyle name="Normal 2 3 2 10" xfId="32345" xr:uid="{00000000-0005-0000-0000-0000045A0000}"/>
    <cellStyle name="Normal 2 3 2 2" xfId="4723" xr:uid="{00000000-0005-0000-0000-0000055A0000}"/>
    <cellStyle name="Normal 2 3 2 2 2" xfId="4724" xr:uid="{00000000-0005-0000-0000-0000065A0000}"/>
    <cellStyle name="Normal 2 3 2 2 2 2" xfId="10305" xr:uid="{00000000-0005-0000-0000-0000075A0000}"/>
    <cellStyle name="Normal 2 3 2 2 2 2 2" xfId="40301" xr:uid="{00000000-0005-0000-0000-0000085A0000}"/>
    <cellStyle name="Normal 2 3 2 2 2 2 3" xfId="32348" xr:uid="{00000000-0005-0000-0000-0000095A0000}"/>
    <cellStyle name="Normal 2 3 2 2 2 3" xfId="32349" xr:uid="{00000000-0005-0000-0000-00000A5A0000}"/>
    <cellStyle name="Normal 2 3 2 2 2 3 2" xfId="40302" xr:uid="{00000000-0005-0000-0000-00000B5A0000}"/>
    <cellStyle name="Normal 2 3 2 2 2 4" xfId="32350" xr:uid="{00000000-0005-0000-0000-00000C5A0000}"/>
    <cellStyle name="Normal 2 3 2 2 2 5" xfId="32351" xr:uid="{00000000-0005-0000-0000-00000D5A0000}"/>
    <cellStyle name="Normal 2 3 2 2 2 6" xfId="40300" xr:uid="{00000000-0005-0000-0000-00000E5A0000}"/>
    <cellStyle name="Normal 2 3 2 2 2 7" xfId="32347" xr:uid="{00000000-0005-0000-0000-00000F5A0000}"/>
    <cellStyle name="Normal 2 3 2 2 3" xfId="10306" xr:uid="{00000000-0005-0000-0000-0000105A0000}"/>
    <cellStyle name="Normal 2 3 2 2 3 2" xfId="40303" xr:uid="{00000000-0005-0000-0000-0000115A0000}"/>
    <cellStyle name="Normal 2 3 2 2 3 3" xfId="32352" xr:uid="{00000000-0005-0000-0000-0000125A0000}"/>
    <cellStyle name="Normal 2 3 2 2 4" xfId="32353" xr:uid="{00000000-0005-0000-0000-0000135A0000}"/>
    <cellStyle name="Normal 2 3 2 2 4 2" xfId="40304" xr:uid="{00000000-0005-0000-0000-0000145A0000}"/>
    <cellStyle name="Normal 2 3 2 2 5" xfId="32354" xr:uid="{00000000-0005-0000-0000-0000155A0000}"/>
    <cellStyle name="Normal 2 3 2 2 6" xfId="32355" xr:uid="{00000000-0005-0000-0000-0000165A0000}"/>
    <cellStyle name="Normal 2 3 2 2 7" xfId="40299" xr:uid="{00000000-0005-0000-0000-0000175A0000}"/>
    <cellStyle name="Normal 2 3 2 2 8" xfId="32346" xr:uid="{00000000-0005-0000-0000-0000185A0000}"/>
    <cellStyle name="Normal 2 3 2 3" xfId="4725" xr:uid="{00000000-0005-0000-0000-0000195A0000}"/>
    <cellStyle name="Normal 2 3 2 3 2" xfId="4726" xr:uid="{00000000-0005-0000-0000-00001A5A0000}"/>
    <cellStyle name="Normal 2 3 2 3 2 2" xfId="10307" xr:uid="{00000000-0005-0000-0000-00001B5A0000}"/>
    <cellStyle name="Normal 2 3 2 3 2 2 2" xfId="40306" xr:uid="{00000000-0005-0000-0000-00001C5A0000}"/>
    <cellStyle name="Normal 2 3 2 3 2 3" xfId="32357" xr:uid="{00000000-0005-0000-0000-00001D5A0000}"/>
    <cellStyle name="Normal 2 3 2 3 3" xfId="10308" xr:uid="{00000000-0005-0000-0000-00001E5A0000}"/>
    <cellStyle name="Normal 2 3 2 3 3 2" xfId="40307" xr:uid="{00000000-0005-0000-0000-00001F5A0000}"/>
    <cellStyle name="Normal 2 3 2 3 3 3" xfId="32358" xr:uid="{00000000-0005-0000-0000-0000205A0000}"/>
    <cellStyle name="Normal 2 3 2 3 4" xfId="32359" xr:uid="{00000000-0005-0000-0000-0000215A0000}"/>
    <cellStyle name="Normal 2 3 2 3 5" xfId="32360" xr:uid="{00000000-0005-0000-0000-0000225A0000}"/>
    <cellStyle name="Normal 2 3 2 3 6" xfId="40305" xr:uid="{00000000-0005-0000-0000-0000235A0000}"/>
    <cellStyle name="Normal 2 3 2 3 7" xfId="32356" xr:uid="{00000000-0005-0000-0000-0000245A0000}"/>
    <cellStyle name="Normal 2 3 2 4" xfId="4727" xr:uid="{00000000-0005-0000-0000-0000255A0000}"/>
    <cellStyle name="Normal 2 3 2 4 2" xfId="4728" xr:uid="{00000000-0005-0000-0000-0000265A0000}"/>
    <cellStyle name="Normal 2 3 2 4 2 2" xfId="10309" xr:uid="{00000000-0005-0000-0000-0000275A0000}"/>
    <cellStyle name="Normal 2 3 2 4 2 3" xfId="40308" xr:uid="{00000000-0005-0000-0000-0000285A0000}"/>
    <cellStyle name="Normal 2 3 2 4 3" xfId="10310" xr:uid="{00000000-0005-0000-0000-0000295A0000}"/>
    <cellStyle name="Normal 2 3 2 4 4" xfId="32361" xr:uid="{00000000-0005-0000-0000-00002A5A0000}"/>
    <cellStyle name="Normal 2 3 2 5" xfId="4729" xr:uid="{00000000-0005-0000-0000-00002B5A0000}"/>
    <cellStyle name="Normal 2 3 2 5 2" xfId="4730" xr:uid="{00000000-0005-0000-0000-00002C5A0000}"/>
    <cellStyle name="Normal 2 3 2 5 2 2" xfId="10311" xr:uid="{00000000-0005-0000-0000-00002D5A0000}"/>
    <cellStyle name="Normal 2 3 2 5 2 3" xfId="40309" xr:uid="{00000000-0005-0000-0000-00002E5A0000}"/>
    <cellStyle name="Normal 2 3 2 5 3" xfId="10312" xr:uid="{00000000-0005-0000-0000-00002F5A0000}"/>
    <cellStyle name="Normal 2 3 2 5 4" xfId="32362" xr:uid="{00000000-0005-0000-0000-0000305A0000}"/>
    <cellStyle name="Normal 2 3 2 6" xfId="4731" xr:uid="{00000000-0005-0000-0000-0000315A0000}"/>
    <cellStyle name="Normal 2 3 2 6 2" xfId="4732" xr:uid="{00000000-0005-0000-0000-0000325A0000}"/>
    <cellStyle name="Normal 2 3 2 6 2 2" xfId="10313" xr:uid="{00000000-0005-0000-0000-0000335A0000}"/>
    <cellStyle name="Normal 2 3 2 6 3" xfId="10314" xr:uid="{00000000-0005-0000-0000-0000345A0000}"/>
    <cellStyle name="Normal 2 3 2 6 4" xfId="32363" xr:uid="{00000000-0005-0000-0000-0000355A0000}"/>
    <cellStyle name="Normal 2 3 2 7" xfId="4733" xr:uid="{00000000-0005-0000-0000-0000365A0000}"/>
    <cellStyle name="Normal 2 3 2 7 2" xfId="4734" xr:uid="{00000000-0005-0000-0000-0000375A0000}"/>
    <cellStyle name="Normal 2 3 2 7 2 2" xfId="10315" xr:uid="{00000000-0005-0000-0000-0000385A0000}"/>
    <cellStyle name="Normal 2 3 2 7 3" xfId="10316" xr:uid="{00000000-0005-0000-0000-0000395A0000}"/>
    <cellStyle name="Normal 2 3 2 7 4" xfId="32364" xr:uid="{00000000-0005-0000-0000-00003A5A0000}"/>
    <cellStyle name="Normal 2 3 2 8" xfId="4735" xr:uid="{00000000-0005-0000-0000-00003B5A0000}"/>
    <cellStyle name="Normal 2 3 2 8 2" xfId="40298" xr:uid="{00000000-0005-0000-0000-00003C5A0000}"/>
    <cellStyle name="Normal 2 3 2 9" xfId="4736" xr:uid="{00000000-0005-0000-0000-00003D5A0000}"/>
    <cellStyle name="Normal 2 3 3" xfId="4737" xr:uid="{00000000-0005-0000-0000-00003E5A0000}"/>
    <cellStyle name="Normal 2 3 3 2" xfId="4738" xr:uid="{00000000-0005-0000-0000-00003F5A0000}"/>
    <cellStyle name="Normal 2 3 3 2 2" xfId="32367" xr:uid="{00000000-0005-0000-0000-0000405A0000}"/>
    <cellStyle name="Normal 2 3 3 2 2 2" xfId="40312" xr:uid="{00000000-0005-0000-0000-0000415A0000}"/>
    <cellStyle name="Normal 2 3 3 2 3" xfId="32368" xr:uid="{00000000-0005-0000-0000-0000425A0000}"/>
    <cellStyle name="Normal 2 3 3 2 3 2" xfId="40313" xr:uid="{00000000-0005-0000-0000-0000435A0000}"/>
    <cellStyle name="Normal 2 3 3 2 4" xfId="32369" xr:uid="{00000000-0005-0000-0000-0000445A0000}"/>
    <cellStyle name="Normal 2 3 3 2 5" xfId="32370" xr:uid="{00000000-0005-0000-0000-0000455A0000}"/>
    <cellStyle name="Normal 2 3 3 2 6" xfId="40311" xr:uid="{00000000-0005-0000-0000-0000465A0000}"/>
    <cellStyle name="Normal 2 3 3 2 7" xfId="32366" xr:uid="{00000000-0005-0000-0000-0000475A0000}"/>
    <cellStyle name="Normal 2 3 3 3" xfId="4739" xr:uid="{00000000-0005-0000-0000-0000485A0000}"/>
    <cellStyle name="Normal 2 3 3 3 2" xfId="40314" xr:uid="{00000000-0005-0000-0000-0000495A0000}"/>
    <cellStyle name="Normal 2 3 3 3 3" xfId="32371" xr:uid="{00000000-0005-0000-0000-00004A5A0000}"/>
    <cellStyle name="Normal 2 3 3 4" xfId="32372" xr:uid="{00000000-0005-0000-0000-00004B5A0000}"/>
    <cellStyle name="Normal 2 3 3 4 2" xfId="40315" xr:uid="{00000000-0005-0000-0000-00004C5A0000}"/>
    <cellStyle name="Normal 2 3 3 5" xfId="32373" xr:uid="{00000000-0005-0000-0000-00004D5A0000}"/>
    <cellStyle name="Normal 2 3 3 6" xfId="32374" xr:uid="{00000000-0005-0000-0000-00004E5A0000}"/>
    <cellStyle name="Normal 2 3 3 7" xfId="40310" xr:uid="{00000000-0005-0000-0000-00004F5A0000}"/>
    <cellStyle name="Normal 2 3 3 8" xfId="32365" xr:uid="{00000000-0005-0000-0000-0000505A0000}"/>
    <cellStyle name="Normal 2 3 4" xfId="4740" xr:uid="{00000000-0005-0000-0000-0000515A0000}"/>
    <cellStyle name="Normal 2 3 4 2" xfId="4741" xr:uid="{00000000-0005-0000-0000-0000525A0000}"/>
    <cellStyle name="Normal 2 3 4 2 2" xfId="40317" xr:uid="{00000000-0005-0000-0000-0000535A0000}"/>
    <cellStyle name="Normal 2 3 4 2 3" xfId="32376" xr:uid="{00000000-0005-0000-0000-0000545A0000}"/>
    <cellStyle name="Normal 2 3 4 3" xfId="4742" xr:uid="{00000000-0005-0000-0000-0000555A0000}"/>
    <cellStyle name="Normal 2 3 4 3 2" xfId="40318" xr:uid="{00000000-0005-0000-0000-0000565A0000}"/>
    <cellStyle name="Normal 2 3 4 3 3" xfId="32377" xr:uid="{00000000-0005-0000-0000-0000575A0000}"/>
    <cellStyle name="Normal 2 3 4 4" xfId="32378" xr:uid="{00000000-0005-0000-0000-0000585A0000}"/>
    <cellStyle name="Normal 2 3 4 5" xfId="32379" xr:uid="{00000000-0005-0000-0000-0000595A0000}"/>
    <cellStyle name="Normal 2 3 4 6" xfId="40316" xr:uid="{00000000-0005-0000-0000-00005A5A0000}"/>
    <cellStyle name="Normal 2 3 4 7" xfId="32375" xr:uid="{00000000-0005-0000-0000-00005B5A0000}"/>
    <cellStyle name="Normal 2 3 5" xfId="4743" xr:uid="{00000000-0005-0000-0000-00005C5A0000}"/>
    <cellStyle name="Normal 2 3 5 2" xfId="4744" xr:uid="{00000000-0005-0000-0000-00005D5A0000}"/>
    <cellStyle name="Normal 2 3 5 2 2" xfId="40319" xr:uid="{00000000-0005-0000-0000-00005E5A0000}"/>
    <cellStyle name="Normal 2 3 5 3" xfId="4745" xr:uid="{00000000-0005-0000-0000-00005F5A0000}"/>
    <cellStyle name="Normal 2 3 5 4" xfId="32380" xr:uid="{00000000-0005-0000-0000-0000605A0000}"/>
    <cellStyle name="Normal 2 3 6" xfId="4746" xr:uid="{00000000-0005-0000-0000-0000615A0000}"/>
    <cellStyle name="Normal 2 3 6 2" xfId="4747" xr:uid="{00000000-0005-0000-0000-0000625A0000}"/>
    <cellStyle name="Normal 2 3 6 2 2" xfId="40320" xr:uid="{00000000-0005-0000-0000-0000635A0000}"/>
    <cellStyle name="Normal 2 3 6 3" xfId="4748" xr:uid="{00000000-0005-0000-0000-0000645A0000}"/>
    <cellStyle name="Normal 2 3 6 4" xfId="32381" xr:uid="{00000000-0005-0000-0000-0000655A0000}"/>
    <cellStyle name="Normal 2 3 7" xfId="4749" xr:uid="{00000000-0005-0000-0000-0000665A0000}"/>
    <cellStyle name="Normal 2 3 7 2" xfId="4750" xr:uid="{00000000-0005-0000-0000-0000675A0000}"/>
    <cellStyle name="Normal 2 3 7 2 2" xfId="32383" xr:uid="{00000000-0005-0000-0000-0000685A0000}"/>
    <cellStyle name="Normal 2 3 7 3" xfId="4751" xr:uid="{00000000-0005-0000-0000-0000695A0000}"/>
    <cellStyle name="Normal 2 3 7 3 2" xfId="40321" xr:uid="{00000000-0005-0000-0000-00006A5A0000}"/>
    <cellStyle name="Normal 2 3 7 4" xfId="32382" xr:uid="{00000000-0005-0000-0000-00006B5A0000}"/>
    <cellStyle name="Normal 2 3 8" xfId="4752" xr:uid="{00000000-0005-0000-0000-00006C5A0000}"/>
    <cellStyle name="Normal 2 3 8 2" xfId="10317" xr:uid="{00000000-0005-0000-0000-00006D5A0000}"/>
    <cellStyle name="Normal 2 3 8 2 2" xfId="32385" xr:uid="{00000000-0005-0000-0000-00006E5A0000}"/>
    <cellStyle name="Normal 2 3 8 3" xfId="40322" xr:uid="{00000000-0005-0000-0000-00006F5A0000}"/>
    <cellStyle name="Normal 2 3 8 4" xfId="32384" xr:uid="{00000000-0005-0000-0000-0000705A0000}"/>
    <cellStyle name="Normal 2 3 9" xfId="10318" xr:uid="{00000000-0005-0000-0000-0000715A0000}"/>
    <cellStyle name="Normal 2 3 9 2" xfId="40323" xr:uid="{00000000-0005-0000-0000-0000725A0000}"/>
    <cellStyle name="Normal 2 3 9 3" xfId="32386" xr:uid="{00000000-0005-0000-0000-0000735A0000}"/>
    <cellStyle name="Normal 2 30" xfId="4753" xr:uid="{00000000-0005-0000-0000-0000745A0000}"/>
    <cellStyle name="Normal 2 30 2" xfId="4754" xr:uid="{00000000-0005-0000-0000-0000755A0000}"/>
    <cellStyle name="Normal 2 30 2 2" xfId="4755" xr:uid="{00000000-0005-0000-0000-0000765A0000}"/>
    <cellStyle name="Normal 2 30 2 2 2" xfId="40324" xr:uid="{00000000-0005-0000-0000-0000775A0000}"/>
    <cellStyle name="Normal 2 30 2 3" xfId="4756" xr:uid="{00000000-0005-0000-0000-0000785A0000}"/>
    <cellStyle name="Normal 2 30 2 4" xfId="32387" xr:uid="{00000000-0005-0000-0000-0000795A0000}"/>
    <cellStyle name="Normal 2 30 3" xfId="4757" xr:uid="{00000000-0005-0000-0000-00007A5A0000}"/>
    <cellStyle name="Normal 2 30 3 2" xfId="4758" xr:uid="{00000000-0005-0000-0000-00007B5A0000}"/>
    <cellStyle name="Normal 2 30 3 2 2" xfId="40325" xr:uid="{00000000-0005-0000-0000-00007C5A0000}"/>
    <cellStyle name="Normal 2 30 3 3" xfId="4759" xr:uid="{00000000-0005-0000-0000-00007D5A0000}"/>
    <cellStyle name="Normal 2 30 3 4" xfId="32388" xr:uid="{00000000-0005-0000-0000-00007E5A0000}"/>
    <cellStyle name="Normal 2 30 4" xfId="10319" xr:uid="{00000000-0005-0000-0000-00007F5A0000}"/>
    <cellStyle name="Normal 2 31" xfId="4760" xr:uid="{00000000-0005-0000-0000-0000805A0000}"/>
    <cellStyle name="Normal 2 31 2" xfId="4761" xr:uid="{00000000-0005-0000-0000-0000815A0000}"/>
    <cellStyle name="Normal 2 31 3" xfId="4762" xr:uid="{00000000-0005-0000-0000-0000825A0000}"/>
    <cellStyle name="Normal 2 31 4" xfId="32389" xr:uid="{00000000-0005-0000-0000-0000835A0000}"/>
    <cellStyle name="Normal 2 32" xfId="4763" xr:uid="{00000000-0005-0000-0000-0000845A0000}"/>
    <cellStyle name="Normal 2 32 2" xfId="4764" xr:uid="{00000000-0005-0000-0000-0000855A0000}"/>
    <cellStyle name="Normal 2 32 3" xfId="4765" xr:uid="{00000000-0005-0000-0000-0000865A0000}"/>
    <cellStyle name="Normal 2 32 4" xfId="32390" xr:uid="{00000000-0005-0000-0000-0000875A0000}"/>
    <cellStyle name="Normal 2 33" xfId="4766" xr:uid="{00000000-0005-0000-0000-0000885A0000}"/>
    <cellStyle name="Normal 2 33 2" xfId="4767" xr:uid="{00000000-0005-0000-0000-0000895A0000}"/>
    <cellStyle name="Normal 2 33 3" xfId="4768" xr:uid="{00000000-0005-0000-0000-00008A5A0000}"/>
    <cellStyle name="Normal 2 33 4" xfId="32391" xr:uid="{00000000-0005-0000-0000-00008B5A0000}"/>
    <cellStyle name="Normal 2 34" xfId="4769" xr:uid="{00000000-0005-0000-0000-00008C5A0000}"/>
    <cellStyle name="Normal 2 34 2" xfId="4770" xr:uid="{00000000-0005-0000-0000-00008D5A0000}"/>
    <cellStyle name="Normal 2 34 3" xfId="4771" xr:uid="{00000000-0005-0000-0000-00008E5A0000}"/>
    <cellStyle name="Normal 2 34 4" xfId="32392" xr:uid="{00000000-0005-0000-0000-00008F5A0000}"/>
    <cellStyle name="Normal 2 35" xfId="4772" xr:uid="{00000000-0005-0000-0000-0000905A0000}"/>
    <cellStyle name="Normal 2 35 2" xfId="4773" xr:uid="{00000000-0005-0000-0000-0000915A0000}"/>
    <cellStyle name="Normal 2 35 3" xfId="4774" xr:uid="{00000000-0005-0000-0000-0000925A0000}"/>
    <cellStyle name="Normal 2 35 4" xfId="32393" xr:uid="{00000000-0005-0000-0000-0000935A0000}"/>
    <cellStyle name="Normal 2 36" xfId="4775" xr:uid="{00000000-0005-0000-0000-0000945A0000}"/>
    <cellStyle name="Normal 2 36 2" xfId="4776" xr:uid="{00000000-0005-0000-0000-0000955A0000}"/>
    <cellStyle name="Normal 2 36 3" xfId="4777" xr:uid="{00000000-0005-0000-0000-0000965A0000}"/>
    <cellStyle name="Normal 2 36 4" xfId="32394" xr:uid="{00000000-0005-0000-0000-0000975A0000}"/>
    <cellStyle name="Normal 2 37" xfId="4778" xr:uid="{00000000-0005-0000-0000-0000985A0000}"/>
    <cellStyle name="Normal 2 37 2" xfId="4779" xr:uid="{00000000-0005-0000-0000-0000995A0000}"/>
    <cellStyle name="Normal 2 37 3" xfId="4780" xr:uid="{00000000-0005-0000-0000-00009A5A0000}"/>
    <cellStyle name="Normal 2 37 4" xfId="32395" xr:uid="{00000000-0005-0000-0000-00009B5A0000}"/>
    <cellStyle name="Normal 2 38" xfId="4781" xr:uid="{00000000-0005-0000-0000-00009C5A0000}"/>
    <cellStyle name="Normal 2 38 2" xfId="10320" xr:uid="{00000000-0005-0000-0000-00009D5A0000}"/>
    <cellStyle name="Normal 2 39" xfId="4782" xr:uid="{00000000-0005-0000-0000-00009E5A0000}"/>
    <cellStyle name="Normal 2 39 2" xfId="10321" xr:uid="{00000000-0005-0000-0000-00009F5A0000}"/>
    <cellStyle name="Normal 2 4" xfId="4783" xr:uid="{00000000-0005-0000-0000-0000A05A0000}"/>
    <cellStyle name="Normal 2 4 2" xfId="4784" xr:uid="{00000000-0005-0000-0000-0000A15A0000}"/>
    <cellStyle name="Normal 2 4 2 10" xfId="32396" xr:uid="{00000000-0005-0000-0000-0000A25A0000}"/>
    <cellStyle name="Normal 2 4 2 2" xfId="4785" xr:uid="{00000000-0005-0000-0000-0000A35A0000}"/>
    <cellStyle name="Normal 2 4 2 2 2" xfId="4786" xr:uid="{00000000-0005-0000-0000-0000A45A0000}"/>
    <cellStyle name="Normal 2 4 2 2 2 2" xfId="10322" xr:uid="{00000000-0005-0000-0000-0000A55A0000}"/>
    <cellStyle name="Normal 2 4 2 2 2 2 2" xfId="40328" xr:uid="{00000000-0005-0000-0000-0000A65A0000}"/>
    <cellStyle name="Normal 2 4 2 2 2 3" xfId="32398" xr:uid="{00000000-0005-0000-0000-0000A75A0000}"/>
    <cellStyle name="Normal 2 4 2 2 3" xfId="10323" xr:uid="{00000000-0005-0000-0000-0000A85A0000}"/>
    <cellStyle name="Normal 2 4 2 2 3 2" xfId="40329" xr:uid="{00000000-0005-0000-0000-0000A95A0000}"/>
    <cellStyle name="Normal 2 4 2 2 3 3" xfId="32399" xr:uid="{00000000-0005-0000-0000-0000AA5A0000}"/>
    <cellStyle name="Normal 2 4 2 2 4" xfId="32400" xr:uid="{00000000-0005-0000-0000-0000AB5A0000}"/>
    <cellStyle name="Normal 2 4 2 2 5" xfId="32401" xr:uid="{00000000-0005-0000-0000-0000AC5A0000}"/>
    <cellStyle name="Normal 2 4 2 2 6" xfId="40327" xr:uid="{00000000-0005-0000-0000-0000AD5A0000}"/>
    <cellStyle name="Normal 2 4 2 2 7" xfId="32397" xr:uid="{00000000-0005-0000-0000-0000AE5A0000}"/>
    <cellStyle name="Normal 2 4 2 3" xfId="4787" xr:uid="{00000000-0005-0000-0000-0000AF5A0000}"/>
    <cellStyle name="Normal 2 4 2 3 2" xfId="4788" xr:uid="{00000000-0005-0000-0000-0000B05A0000}"/>
    <cellStyle name="Normal 2 4 2 3 2 2" xfId="10324" xr:uid="{00000000-0005-0000-0000-0000B15A0000}"/>
    <cellStyle name="Normal 2 4 2 3 2 3" xfId="40330" xr:uid="{00000000-0005-0000-0000-0000B25A0000}"/>
    <cellStyle name="Normal 2 4 2 3 3" xfId="10325" xr:uid="{00000000-0005-0000-0000-0000B35A0000}"/>
    <cellStyle name="Normal 2 4 2 3 4" xfId="32402" xr:uid="{00000000-0005-0000-0000-0000B45A0000}"/>
    <cellStyle name="Normal 2 4 2 4" xfId="4789" xr:uid="{00000000-0005-0000-0000-0000B55A0000}"/>
    <cellStyle name="Normal 2 4 2 4 2" xfId="4790" xr:uid="{00000000-0005-0000-0000-0000B65A0000}"/>
    <cellStyle name="Normal 2 4 2 4 2 2" xfId="10326" xr:uid="{00000000-0005-0000-0000-0000B75A0000}"/>
    <cellStyle name="Normal 2 4 2 4 2 3" xfId="40331" xr:uid="{00000000-0005-0000-0000-0000B85A0000}"/>
    <cellStyle name="Normal 2 4 2 4 3" xfId="10327" xr:uid="{00000000-0005-0000-0000-0000B95A0000}"/>
    <cellStyle name="Normal 2 4 2 4 4" xfId="32403" xr:uid="{00000000-0005-0000-0000-0000BA5A0000}"/>
    <cellStyle name="Normal 2 4 2 5" xfId="4791" xr:uid="{00000000-0005-0000-0000-0000BB5A0000}"/>
    <cellStyle name="Normal 2 4 2 5 2" xfId="4792" xr:uid="{00000000-0005-0000-0000-0000BC5A0000}"/>
    <cellStyle name="Normal 2 4 2 5 2 2" xfId="10328" xr:uid="{00000000-0005-0000-0000-0000BD5A0000}"/>
    <cellStyle name="Normal 2 4 2 5 3" xfId="10329" xr:uid="{00000000-0005-0000-0000-0000BE5A0000}"/>
    <cellStyle name="Normal 2 4 2 5 4" xfId="32404" xr:uid="{00000000-0005-0000-0000-0000BF5A0000}"/>
    <cellStyle name="Normal 2 4 2 6" xfId="4793" xr:uid="{00000000-0005-0000-0000-0000C05A0000}"/>
    <cellStyle name="Normal 2 4 2 6 2" xfId="4794" xr:uid="{00000000-0005-0000-0000-0000C15A0000}"/>
    <cellStyle name="Normal 2 4 2 6 2 2" xfId="10330" xr:uid="{00000000-0005-0000-0000-0000C25A0000}"/>
    <cellStyle name="Normal 2 4 2 6 3" xfId="10331" xr:uid="{00000000-0005-0000-0000-0000C35A0000}"/>
    <cellStyle name="Normal 2 4 2 6 4" xfId="32405" xr:uid="{00000000-0005-0000-0000-0000C45A0000}"/>
    <cellStyle name="Normal 2 4 2 7" xfId="4795" xr:uid="{00000000-0005-0000-0000-0000C55A0000}"/>
    <cellStyle name="Normal 2 4 2 7 2" xfId="4796" xr:uid="{00000000-0005-0000-0000-0000C65A0000}"/>
    <cellStyle name="Normal 2 4 2 7 2 2" xfId="10332" xr:uid="{00000000-0005-0000-0000-0000C75A0000}"/>
    <cellStyle name="Normal 2 4 2 7 3" xfId="10333" xr:uid="{00000000-0005-0000-0000-0000C85A0000}"/>
    <cellStyle name="Normal 2 4 2 7 4" xfId="40326" xr:uid="{00000000-0005-0000-0000-0000C95A0000}"/>
    <cellStyle name="Normal 2 4 2 8" xfId="4797" xr:uid="{00000000-0005-0000-0000-0000CA5A0000}"/>
    <cellStyle name="Normal 2 4 2 9" xfId="4798" xr:uid="{00000000-0005-0000-0000-0000CB5A0000}"/>
    <cellStyle name="Normal 2 4 3" xfId="4799" xr:uid="{00000000-0005-0000-0000-0000CC5A0000}"/>
    <cellStyle name="Normal 2 4 3 2" xfId="4800" xr:uid="{00000000-0005-0000-0000-0000CD5A0000}"/>
    <cellStyle name="Normal 2 4 3 2 2" xfId="40333" xr:uid="{00000000-0005-0000-0000-0000CE5A0000}"/>
    <cellStyle name="Normal 2 4 3 2 3" xfId="32407" xr:uid="{00000000-0005-0000-0000-0000CF5A0000}"/>
    <cellStyle name="Normal 2 4 3 3" xfId="4801" xr:uid="{00000000-0005-0000-0000-0000D05A0000}"/>
    <cellStyle name="Normal 2 4 3 3 2" xfId="40334" xr:uid="{00000000-0005-0000-0000-0000D15A0000}"/>
    <cellStyle name="Normal 2 4 3 3 3" xfId="32408" xr:uid="{00000000-0005-0000-0000-0000D25A0000}"/>
    <cellStyle name="Normal 2 4 3 4" xfId="32409" xr:uid="{00000000-0005-0000-0000-0000D35A0000}"/>
    <cellStyle name="Normal 2 4 3 5" xfId="32410" xr:uid="{00000000-0005-0000-0000-0000D45A0000}"/>
    <cellStyle name="Normal 2 4 3 6" xfId="40332" xr:uid="{00000000-0005-0000-0000-0000D55A0000}"/>
    <cellStyle name="Normal 2 4 3 7" xfId="32406" xr:uid="{00000000-0005-0000-0000-0000D65A0000}"/>
    <cellStyle name="Normal 2 4 4" xfId="4802" xr:uid="{00000000-0005-0000-0000-0000D75A0000}"/>
    <cellStyle name="Normal 2 4 4 2" xfId="4803" xr:uid="{00000000-0005-0000-0000-0000D85A0000}"/>
    <cellStyle name="Normal 2 4 4 2 2" xfId="40336" xr:uid="{00000000-0005-0000-0000-0000D95A0000}"/>
    <cellStyle name="Normal 2 4 4 2 3" xfId="32412" xr:uid="{00000000-0005-0000-0000-0000DA5A0000}"/>
    <cellStyle name="Normal 2 4 4 3" xfId="4804" xr:uid="{00000000-0005-0000-0000-0000DB5A0000}"/>
    <cellStyle name="Normal 2 4 4 3 2" xfId="40335" xr:uid="{00000000-0005-0000-0000-0000DC5A0000}"/>
    <cellStyle name="Normal 2 4 4 4" xfId="32411" xr:uid="{00000000-0005-0000-0000-0000DD5A0000}"/>
    <cellStyle name="Normal 2 4 5" xfId="4805" xr:uid="{00000000-0005-0000-0000-0000DE5A0000}"/>
    <cellStyle name="Normal 2 4 5 2" xfId="4806" xr:uid="{00000000-0005-0000-0000-0000DF5A0000}"/>
    <cellStyle name="Normal 2 4 5 2 2" xfId="40337" xr:uid="{00000000-0005-0000-0000-0000E05A0000}"/>
    <cellStyle name="Normal 2 4 5 3" xfId="4807" xr:uid="{00000000-0005-0000-0000-0000E15A0000}"/>
    <cellStyle name="Normal 2 4 5 4" xfId="32413" xr:uid="{00000000-0005-0000-0000-0000E25A0000}"/>
    <cellStyle name="Normal 2 4 6" xfId="4808" xr:uid="{00000000-0005-0000-0000-0000E35A0000}"/>
    <cellStyle name="Normal 2 4 6 2" xfId="4809" xr:uid="{00000000-0005-0000-0000-0000E45A0000}"/>
    <cellStyle name="Normal 2 4 6 2 2" xfId="32415" xr:uid="{00000000-0005-0000-0000-0000E55A0000}"/>
    <cellStyle name="Normal 2 4 6 3" xfId="4810" xr:uid="{00000000-0005-0000-0000-0000E65A0000}"/>
    <cellStyle name="Normal 2 4 6 3 2" xfId="40338" xr:uid="{00000000-0005-0000-0000-0000E75A0000}"/>
    <cellStyle name="Normal 2 4 6 4" xfId="32414" xr:uid="{00000000-0005-0000-0000-0000E85A0000}"/>
    <cellStyle name="Normal 2 4 7" xfId="4811" xr:uid="{00000000-0005-0000-0000-0000E95A0000}"/>
    <cellStyle name="Normal 2 4 7 2" xfId="4812" xr:uid="{00000000-0005-0000-0000-0000EA5A0000}"/>
    <cellStyle name="Normal 2 4 7 2 2" xfId="32417" xr:uid="{00000000-0005-0000-0000-0000EB5A0000}"/>
    <cellStyle name="Normal 2 4 7 3" xfId="4813" xr:uid="{00000000-0005-0000-0000-0000EC5A0000}"/>
    <cellStyle name="Normal 2 4 7 3 2" xfId="40339" xr:uid="{00000000-0005-0000-0000-0000ED5A0000}"/>
    <cellStyle name="Normal 2 4 7 4" xfId="32416" xr:uid="{00000000-0005-0000-0000-0000EE5A0000}"/>
    <cellStyle name="Normal 2 4 8" xfId="4814" xr:uid="{00000000-0005-0000-0000-0000EF5A0000}"/>
    <cellStyle name="Normal 2 4 8 2" xfId="10334" xr:uid="{00000000-0005-0000-0000-0000F05A0000}"/>
    <cellStyle name="Normal 2 4 8 2 2" xfId="40340" xr:uid="{00000000-0005-0000-0000-0000F15A0000}"/>
    <cellStyle name="Normal 2 4 8 3" xfId="32418" xr:uid="{00000000-0005-0000-0000-0000F25A0000}"/>
    <cellStyle name="Normal 2 4 9" xfId="10335" xr:uid="{00000000-0005-0000-0000-0000F35A0000}"/>
    <cellStyle name="Normal 2 40" xfId="4815" xr:uid="{00000000-0005-0000-0000-0000F45A0000}"/>
    <cellStyle name="Normal 2 40 2" xfId="10336" xr:uid="{00000000-0005-0000-0000-0000F55A0000}"/>
    <cellStyle name="Normal 2 41" xfId="4816" xr:uid="{00000000-0005-0000-0000-0000F65A0000}"/>
    <cellStyle name="Normal 2 41 2" xfId="4817" xr:uid="{00000000-0005-0000-0000-0000F75A0000}"/>
    <cellStyle name="Normal 2 41 2 2" xfId="4818" xr:uid="{00000000-0005-0000-0000-0000F85A0000}"/>
    <cellStyle name="Normal 2 41 2 2 2" xfId="4819" xr:uid="{00000000-0005-0000-0000-0000F95A0000}"/>
    <cellStyle name="Normal 2 41 2 2 2 2" xfId="4820" xr:uid="{00000000-0005-0000-0000-0000FA5A0000}"/>
    <cellStyle name="Normal 2 41 2 2 2 2 2" xfId="19020" xr:uid="{00000000-0005-0000-0000-0000FB5A0000}"/>
    <cellStyle name="Normal 2 41 2 2 2 3" xfId="18502" xr:uid="{00000000-0005-0000-0000-0000FC5A0000}"/>
    <cellStyle name="Normal 2 41 2 2 3" xfId="4821" xr:uid="{00000000-0005-0000-0000-0000FD5A0000}"/>
    <cellStyle name="Normal 2 41 2 2 3 2" xfId="18738" xr:uid="{00000000-0005-0000-0000-0000FE5A0000}"/>
    <cellStyle name="Normal 2 41 2 2 4" xfId="18211" xr:uid="{00000000-0005-0000-0000-0000FF5A0000}"/>
    <cellStyle name="Normal 2 41 2 3" xfId="4822" xr:uid="{00000000-0005-0000-0000-0000005B0000}"/>
    <cellStyle name="Normal 2 41 2 3 2" xfId="4823" xr:uid="{00000000-0005-0000-0000-0000015B0000}"/>
    <cellStyle name="Normal 2 41 2 3 2 2" xfId="18900" xr:uid="{00000000-0005-0000-0000-0000025B0000}"/>
    <cellStyle name="Normal 2 41 2 3 3" xfId="18381" xr:uid="{00000000-0005-0000-0000-0000035B0000}"/>
    <cellStyle name="Normal 2 41 2 4" xfId="4824" xr:uid="{00000000-0005-0000-0000-0000045B0000}"/>
    <cellStyle name="Normal 2 41 2 4 2" xfId="18621" xr:uid="{00000000-0005-0000-0000-0000055B0000}"/>
    <cellStyle name="Normal 2 41 2 5" xfId="18067" xr:uid="{00000000-0005-0000-0000-0000065B0000}"/>
    <cellStyle name="Normal 2 41 3" xfId="4825" xr:uid="{00000000-0005-0000-0000-0000075B0000}"/>
    <cellStyle name="Normal 2 41 3 2" xfId="4826" xr:uid="{00000000-0005-0000-0000-0000085B0000}"/>
    <cellStyle name="Normal 2 41 3 2 2" xfId="4827" xr:uid="{00000000-0005-0000-0000-0000095B0000}"/>
    <cellStyle name="Normal 2 41 3 2 2 2" xfId="18949" xr:uid="{00000000-0005-0000-0000-00000A5B0000}"/>
    <cellStyle name="Normal 2 41 3 2 3" xfId="18431" xr:uid="{00000000-0005-0000-0000-00000B5B0000}"/>
    <cellStyle name="Normal 2 41 3 3" xfId="4828" xr:uid="{00000000-0005-0000-0000-00000C5B0000}"/>
    <cellStyle name="Normal 2 41 3 3 2" xfId="18667" xr:uid="{00000000-0005-0000-0000-00000D5B0000}"/>
    <cellStyle name="Normal 2 41 3 4" xfId="18140" xr:uid="{00000000-0005-0000-0000-00000E5B0000}"/>
    <cellStyle name="Normal 2 41 4" xfId="4829" xr:uid="{00000000-0005-0000-0000-00000F5B0000}"/>
    <cellStyle name="Normal 2 41 4 2" xfId="4830" xr:uid="{00000000-0005-0000-0000-0000105B0000}"/>
    <cellStyle name="Normal 2 41 4 2 2" xfId="18814" xr:uid="{00000000-0005-0000-0000-0000115B0000}"/>
    <cellStyle name="Normal 2 41 4 3" xfId="18287" xr:uid="{00000000-0005-0000-0000-0000125B0000}"/>
    <cellStyle name="Normal 2 41 5" xfId="4831" xr:uid="{00000000-0005-0000-0000-0000135B0000}"/>
    <cellStyle name="Normal 2 41 5 2" xfId="18550" xr:uid="{00000000-0005-0000-0000-0000145B0000}"/>
    <cellStyle name="Normal 2 41 6" xfId="17988" xr:uid="{00000000-0005-0000-0000-0000155B0000}"/>
    <cellStyle name="Normal 2 41 7" xfId="32419" xr:uid="{00000000-0005-0000-0000-0000165B0000}"/>
    <cellStyle name="Normal 2 42" xfId="4832" xr:uid="{00000000-0005-0000-0000-0000175B0000}"/>
    <cellStyle name="Normal 2 42 2" xfId="4833" xr:uid="{00000000-0005-0000-0000-0000185B0000}"/>
    <cellStyle name="Normal 2 42 2 2" xfId="4834" xr:uid="{00000000-0005-0000-0000-0000195B0000}"/>
    <cellStyle name="Normal 2 42 2 2 2" xfId="4835" xr:uid="{00000000-0005-0000-0000-00001A5B0000}"/>
    <cellStyle name="Normal 2 42 2 2 2 2" xfId="4836" xr:uid="{00000000-0005-0000-0000-00001B5B0000}"/>
    <cellStyle name="Normal 2 42 2 2 2 2 2" xfId="19021" xr:uid="{00000000-0005-0000-0000-00001C5B0000}"/>
    <cellStyle name="Normal 2 42 2 2 2 3" xfId="18503" xr:uid="{00000000-0005-0000-0000-00001D5B0000}"/>
    <cellStyle name="Normal 2 42 2 2 3" xfId="4837" xr:uid="{00000000-0005-0000-0000-00001E5B0000}"/>
    <cellStyle name="Normal 2 42 2 2 3 2" xfId="18739" xr:uid="{00000000-0005-0000-0000-00001F5B0000}"/>
    <cellStyle name="Normal 2 42 2 2 4" xfId="18212" xr:uid="{00000000-0005-0000-0000-0000205B0000}"/>
    <cellStyle name="Normal 2 42 2 3" xfId="4838" xr:uid="{00000000-0005-0000-0000-0000215B0000}"/>
    <cellStyle name="Normal 2 42 2 3 2" xfId="4839" xr:uid="{00000000-0005-0000-0000-0000225B0000}"/>
    <cellStyle name="Normal 2 42 2 3 2 2" xfId="18901" xr:uid="{00000000-0005-0000-0000-0000235B0000}"/>
    <cellStyle name="Normal 2 42 2 3 3" xfId="18382" xr:uid="{00000000-0005-0000-0000-0000245B0000}"/>
    <cellStyle name="Normal 2 42 2 4" xfId="4840" xr:uid="{00000000-0005-0000-0000-0000255B0000}"/>
    <cellStyle name="Normal 2 42 2 4 2" xfId="18622" xr:uid="{00000000-0005-0000-0000-0000265B0000}"/>
    <cellStyle name="Normal 2 42 2 5" xfId="18068" xr:uid="{00000000-0005-0000-0000-0000275B0000}"/>
    <cellStyle name="Normal 2 42 3" xfId="4841" xr:uid="{00000000-0005-0000-0000-0000285B0000}"/>
    <cellStyle name="Normal 2 42 3 2" xfId="4842" xr:uid="{00000000-0005-0000-0000-0000295B0000}"/>
    <cellStyle name="Normal 2 42 3 2 2" xfId="4843" xr:uid="{00000000-0005-0000-0000-00002A5B0000}"/>
    <cellStyle name="Normal 2 42 3 2 2 2" xfId="18950" xr:uid="{00000000-0005-0000-0000-00002B5B0000}"/>
    <cellStyle name="Normal 2 42 3 2 3" xfId="18432" xr:uid="{00000000-0005-0000-0000-00002C5B0000}"/>
    <cellStyle name="Normal 2 42 3 3" xfId="4844" xr:uid="{00000000-0005-0000-0000-00002D5B0000}"/>
    <cellStyle name="Normal 2 42 3 3 2" xfId="18668" xr:uid="{00000000-0005-0000-0000-00002E5B0000}"/>
    <cellStyle name="Normal 2 42 3 4" xfId="18141" xr:uid="{00000000-0005-0000-0000-00002F5B0000}"/>
    <cellStyle name="Normal 2 42 4" xfId="4845" xr:uid="{00000000-0005-0000-0000-0000305B0000}"/>
    <cellStyle name="Normal 2 42 4 2" xfId="4846" xr:uid="{00000000-0005-0000-0000-0000315B0000}"/>
    <cellStyle name="Normal 2 42 4 2 2" xfId="18815" xr:uid="{00000000-0005-0000-0000-0000325B0000}"/>
    <cellStyle name="Normal 2 42 4 3" xfId="18288" xr:uid="{00000000-0005-0000-0000-0000335B0000}"/>
    <cellStyle name="Normal 2 42 5" xfId="4847" xr:uid="{00000000-0005-0000-0000-0000345B0000}"/>
    <cellStyle name="Normal 2 42 5 2" xfId="18551" xr:uid="{00000000-0005-0000-0000-0000355B0000}"/>
    <cellStyle name="Normal 2 42 6" xfId="17989" xr:uid="{00000000-0005-0000-0000-0000365B0000}"/>
    <cellStyle name="Normal 2 42 7" xfId="32420" xr:uid="{00000000-0005-0000-0000-0000375B0000}"/>
    <cellStyle name="Normal 2 43" xfId="4848" xr:uid="{00000000-0005-0000-0000-0000385B0000}"/>
    <cellStyle name="Normal 2 44" xfId="32421" xr:uid="{00000000-0005-0000-0000-0000395B0000}"/>
    <cellStyle name="Normal 2 44 2" xfId="40341" xr:uid="{00000000-0005-0000-0000-00003A5B0000}"/>
    <cellStyle name="Normal 2 45" xfId="32422" xr:uid="{00000000-0005-0000-0000-00003B5B0000}"/>
    <cellStyle name="Normal 2 45 2" xfId="40342" xr:uid="{00000000-0005-0000-0000-00003C5B0000}"/>
    <cellStyle name="Normal 2 46" xfId="32423" xr:uid="{00000000-0005-0000-0000-00003D5B0000}"/>
    <cellStyle name="Normal 2 47" xfId="32424" xr:uid="{00000000-0005-0000-0000-00003E5B0000}"/>
    <cellStyle name="Normal 2 5" xfId="4849" xr:uid="{00000000-0005-0000-0000-00003F5B0000}"/>
    <cellStyle name="Normal 2 5 2" xfId="4850" xr:uid="{00000000-0005-0000-0000-0000405B0000}"/>
    <cellStyle name="Normal 2 5 2 10" xfId="32425" xr:uid="{00000000-0005-0000-0000-0000415B0000}"/>
    <cellStyle name="Normal 2 5 2 2" xfId="4851" xr:uid="{00000000-0005-0000-0000-0000425B0000}"/>
    <cellStyle name="Normal 2 5 2 2 2" xfId="4852" xr:uid="{00000000-0005-0000-0000-0000435B0000}"/>
    <cellStyle name="Normal 2 5 2 2 2 2" xfId="10337" xr:uid="{00000000-0005-0000-0000-0000445B0000}"/>
    <cellStyle name="Normal 2 5 2 2 2 3" xfId="40344" xr:uid="{00000000-0005-0000-0000-0000455B0000}"/>
    <cellStyle name="Normal 2 5 2 2 3" xfId="10338" xr:uid="{00000000-0005-0000-0000-0000465B0000}"/>
    <cellStyle name="Normal 2 5 2 2 4" xfId="32426" xr:uid="{00000000-0005-0000-0000-0000475B0000}"/>
    <cellStyle name="Normal 2 5 2 3" xfId="4853" xr:uid="{00000000-0005-0000-0000-0000485B0000}"/>
    <cellStyle name="Normal 2 5 2 3 2" xfId="4854" xr:uid="{00000000-0005-0000-0000-0000495B0000}"/>
    <cellStyle name="Normal 2 5 2 3 2 2" xfId="10339" xr:uid="{00000000-0005-0000-0000-00004A5B0000}"/>
    <cellStyle name="Normal 2 5 2 3 2 3" xfId="40345" xr:uid="{00000000-0005-0000-0000-00004B5B0000}"/>
    <cellStyle name="Normal 2 5 2 3 3" xfId="10340" xr:uid="{00000000-0005-0000-0000-00004C5B0000}"/>
    <cellStyle name="Normal 2 5 2 3 4" xfId="32427" xr:uid="{00000000-0005-0000-0000-00004D5B0000}"/>
    <cellStyle name="Normal 2 5 2 4" xfId="4855" xr:uid="{00000000-0005-0000-0000-00004E5B0000}"/>
    <cellStyle name="Normal 2 5 2 4 2" xfId="4856" xr:uid="{00000000-0005-0000-0000-00004F5B0000}"/>
    <cellStyle name="Normal 2 5 2 4 2 2" xfId="10341" xr:uid="{00000000-0005-0000-0000-0000505B0000}"/>
    <cellStyle name="Normal 2 5 2 4 3" xfId="10342" xr:uid="{00000000-0005-0000-0000-0000515B0000}"/>
    <cellStyle name="Normal 2 5 2 4 4" xfId="32428" xr:uid="{00000000-0005-0000-0000-0000525B0000}"/>
    <cellStyle name="Normal 2 5 2 5" xfId="4857" xr:uid="{00000000-0005-0000-0000-0000535B0000}"/>
    <cellStyle name="Normal 2 5 2 5 2" xfId="4858" xr:uid="{00000000-0005-0000-0000-0000545B0000}"/>
    <cellStyle name="Normal 2 5 2 5 2 2" xfId="10343" xr:uid="{00000000-0005-0000-0000-0000555B0000}"/>
    <cellStyle name="Normal 2 5 2 5 3" xfId="10344" xr:uid="{00000000-0005-0000-0000-0000565B0000}"/>
    <cellStyle name="Normal 2 5 2 5 4" xfId="32429" xr:uid="{00000000-0005-0000-0000-0000575B0000}"/>
    <cellStyle name="Normal 2 5 2 6" xfId="4859" xr:uid="{00000000-0005-0000-0000-0000585B0000}"/>
    <cellStyle name="Normal 2 5 2 6 2" xfId="4860" xr:uid="{00000000-0005-0000-0000-0000595B0000}"/>
    <cellStyle name="Normal 2 5 2 6 2 2" xfId="10345" xr:uid="{00000000-0005-0000-0000-00005A5B0000}"/>
    <cellStyle name="Normal 2 5 2 6 3" xfId="10346" xr:uid="{00000000-0005-0000-0000-00005B5B0000}"/>
    <cellStyle name="Normal 2 5 2 6 4" xfId="40343" xr:uid="{00000000-0005-0000-0000-00005C5B0000}"/>
    <cellStyle name="Normal 2 5 2 7" xfId="4861" xr:uid="{00000000-0005-0000-0000-00005D5B0000}"/>
    <cellStyle name="Normal 2 5 2 7 2" xfId="4862" xr:uid="{00000000-0005-0000-0000-00005E5B0000}"/>
    <cellStyle name="Normal 2 5 2 7 2 2" xfId="10347" xr:uid="{00000000-0005-0000-0000-00005F5B0000}"/>
    <cellStyle name="Normal 2 5 2 7 3" xfId="10348" xr:uid="{00000000-0005-0000-0000-0000605B0000}"/>
    <cellStyle name="Normal 2 5 2 8" xfId="4863" xr:uid="{00000000-0005-0000-0000-0000615B0000}"/>
    <cellStyle name="Normal 2 5 2 9" xfId="4864" xr:uid="{00000000-0005-0000-0000-0000625B0000}"/>
    <cellStyle name="Normal 2 5 3" xfId="4865" xr:uid="{00000000-0005-0000-0000-0000635B0000}"/>
    <cellStyle name="Normal 2 5 3 2" xfId="4866" xr:uid="{00000000-0005-0000-0000-0000645B0000}"/>
    <cellStyle name="Normal 2 5 3 2 2" xfId="40347" xr:uid="{00000000-0005-0000-0000-0000655B0000}"/>
    <cellStyle name="Normal 2 5 3 2 3" xfId="32431" xr:uid="{00000000-0005-0000-0000-0000665B0000}"/>
    <cellStyle name="Normal 2 5 3 3" xfId="4867" xr:uid="{00000000-0005-0000-0000-0000675B0000}"/>
    <cellStyle name="Normal 2 5 3 3 2" xfId="40346" xr:uid="{00000000-0005-0000-0000-0000685B0000}"/>
    <cellStyle name="Normal 2 5 3 4" xfId="32430" xr:uid="{00000000-0005-0000-0000-0000695B0000}"/>
    <cellStyle name="Normal 2 5 4" xfId="4868" xr:uid="{00000000-0005-0000-0000-00006A5B0000}"/>
    <cellStyle name="Normal 2 5 4 2" xfId="4869" xr:uid="{00000000-0005-0000-0000-00006B5B0000}"/>
    <cellStyle name="Normal 2 5 4 2 2" xfId="40349" xr:uid="{00000000-0005-0000-0000-00006C5B0000}"/>
    <cellStyle name="Normal 2 5 4 2 3" xfId="32433" xr:uid="{00000000-0005-0000-0000-00006D5B0000}"/>
    <cellStyle name="Normal 2 5 4 3" xfId="4870" xr:uid="{00000000-0005-0000-0000-00006E5B0000}"/>
    <cellStyle name="Normal 2 5 4 3 2" xfId="40348" xr:uid="{00000000-0005-0000-0000-00006F5B0000}"/>
    <cellStyle name="Normal 2 5 4 4" xfId="32432" xr:uid="{00000000-0005-0000-0000-0000705B0000}"/>
    <cellStyle name="Normal 2 5 5" xfId="4871" xr:uid="{00000000-0005-0000-0000-0000715B0000}"/>
    <cellStyle name="Normal 2 5 5 2" xfId="4872" xr:uid="{00000000-0005-0000-0000-0000725B0000}"/>
    <cellStyle name="Normal 2 5 5 2 2" xfId="32435" xr:uid="{00000000-0005-0000-0000-0000735B0000}"/>
    <cellStyle name="Normal 2 5 5 3" xfId="4873" xr:uid="{00000000-0005-0000-0000-0000745B0000}"/>
    <cellStyle name="Normal 2 5 5 3 2" xfId="40350" xr:uid="{00000000-0005-0000-0000-0000755B0000}"/>
    <cellStyle name="Normal 2 5 5 4" xfId="32434" xr:uid="{00000000-0005-0000-0000-0000765B0000}"/>
    <cellStyle name="Normal 2 5 6" xfId="4874" xr:uid="{00000000-0005-0000-0000-0000775B0000}"/>
    <cellStyle name="Normal 2 5 6 2" xfId="4875" xr:uid="{00000000-0005-0000-0000-0000785B0000}"/>
    <cellStyle name="Normal 2 5 6 2 2" xfId="32437" xr:uid="{00000000-0005-0000-0000-0000795B0000}"/>
    <cellStyle name="Normal 2 5 6 3" xfId="4876" xr:uid="{00000000-0005-0000-0000-00007A5B0000}"/>
    <cellStyle name="Normal 2 5 6 3 2" xfId="40351" xr:uid="{00000000-0005-0000-0000-00007B5B0000}"/>
    <cellStyle name="Normal 2 5 6 4" xfId="32436" xr:uid="{00000000-0005-0000-0000-00007C5B0000}"/>
    <cellStyle name="Normal 2 5 7" xfId="4877" xr:uid="{00000000-0005-0000-0000-00007D5B0000}"/>
    <cellStyle name="Normal 2 5 7 2" xfId="4878" xr:uid="{00000000-0005-0000-0000-00007E5B0000}"/>
    <cellStyle name="Normal 2 5 7 2 2" xfId="40352" xr:uid="{00000000-0005-0000-0000-00007F5B0000}"/>
    <cellStyle name="Normal 2 5 7 3" xfId="4879" xr:uid="{00000000-0005-0000-0000-0000805B0000}"/>
    <cellStyle name="Normal 2 5 7 4" xfId="32438" xr:uid="{00000000-0005-0000-0000-0000815B0000}"/>
    <cellStyle name="Normal 2 5 8" xfId="4880" xr:uid="{00000000-0005-0000-0000-0000825B0000}"/>
    <cellStyle name="Normal 2 5 8 2" xfId="10349" xr:uid="{00000000-0005-0000-0000-0000835B0000}"/>
    <cellStyle name="Normal 2 5 8 2 2" xfId="40353" xr:uid="{00000000-0005-0000-0000-0000845B0000}"/>
    <cellStyle name="Normal 2 5 8 3" xfId="32439" xr:uid="{00000000-0005-0000-0000-0000855B0000}"/>
    <cellStyle name="Normal 2 5 9" xfId="10350" xr:uid="{00000000-0005-0000-0000-0000865B0000}"/>
    <cellStyle name="Normal 2 6" xfId="4881" xr:uid="{00000000-0005-0000-0000-0000875B0000}"/>
    <cellStyle name="Normal 2 6 10" xfId="32440" xr:uid="{00000000-0005-0000-0000-0000885B0000}"/>
    <cellStyle name="Normal 2 6 10 2" xfId="40354" xr:uid="{00000000-0005-0000-0000-0000895B0000}"/>
    <cellStyle name="Normal 2 6 11" xfId="32441" xr:uid="{00000000-0005-0000-0000-00008A5B0000}"/>
    <cellStyle name="Normal 2 6 11 2" xfId="40355" xr:uid="{00000000-0005-0000-0000-00008B5B0000}"/>
    <cellStyle name="Normal 2 6 2" xfId="4882" xr:uid="{00000000-0005-0000-0000-00008C5B0000}"/>
    <cellStyle name="Normal 2 6 2 10" xfId="40356" xr:uid="{00000000-0005-0000-0000-00008D5B0000}"/>
    <cellStyle name="Normal 2 6 2 11" xfId="32442" xr:uid="{00000000-0005-0000-0000-00008E5B0000}"/>
    <cellStyle name="Normal 2 6 2 2" xfId="4883" xr:uid="{00000000-0005-0000-0000-00008F5B0000}"/>
    <cellStyle name="Normal 2 6 2 2 2" xfId="4884" xr:uid="{00000000-0005-0000-0000-0000905B0000}"/>
    <cellStyle name="Normal 2 6 2 2 2 2" xfId="10351" xr:uid="{00000000-0005-0000-0000-0000915B0000}"/>
    <cellStyle name="Normal 2 6 2 2 2 2 2" xfId="40359" xr:uid="{00000000-0005-0000-0000-0000925B0000}"/>
    <cellStyle name="Normal 2 6 2 2 2 2 3" xfId="32445" xr:uid="{00000000-0005-0000-0000-0000935B0000}"/>
    <cellStyle name="Normal 2 6 2 2 2 3" xfId="32446" xr:uid="{00000000-0005-0000-0000-0000945B0000}"/>
    <cellStyle name="Normal 2 6 2 2 2 3 2" xfId="40360" xr:uid="{00000000-0005-0000-0000-0000955B0000}"/>
    <cellStyle name="Normal 2 6 2 2 2 4" xfId="40358" xr:uid="{00000000-0005-0000-0000-0000965B0000}"/>
    <cellStyle name="Normal 2 6 2 2 2 5" xfId="32444" xr:uid="{00000000-0005-0000-0000-0000975B0000}"/>
    <cellStyle name="Normal 2 6 2 2 3" xfId="10352" xr:uid="{00000000-0005-0000-0000-0000985B0000}"/>
    <cellStyle name="Normal 2 6 2 2 3 2" xfId="32448" xr:uid="{00000000-0005-0000-0000-0000995B0000}"/>
    <cellStyle name="Normal 2 6 2 2 3 2 2" xfId="40362" xr:uid="{00000000-0005-0000-0000-00009A5B0000}"/>
    <cellStyle name="Normal 2 6 2 2 3 3" xfId="40361" xr:uid="{00000000-0005-0000-0000-00009B5B0000}"/>
    <cellStyle name="Normal 2 6 2 2 3 4" xfId="32447" xr:uid="{00000000-0005-0000-0000-00009C5B0000}"/>
    <cellStyle name="Normal 2 6 2 2 4" xfId="32449" xr:uid="{00000000-0005-0000-0000-00009D5B0000}"/>
    <cellStyle name="Normal 2 6 2 2 4 2" xfId="40363" xr:uid="{00000000-0005-0000-0000-00009E5B0000}"/>
    <cellStyle name="Normal 2 6 2 2 5" xfId="40357" xr:uid="{00000000-0005-0000-0000-00009F5B0000}"/>
    <cellStyle name="Normal 2 6 2 2 6" xfId="32443" xr:uid="{00000000-0005-0000-0000-0000A05B0000}"/>
    <cellStyle name="Normal 2 6 2 3" xfId="4885" xr:uid="{00000000-0005-0000-0000-0000A15B0000}"/>
    <cellStyle name="Normal 2 6 2 3 2" xfId="4886" xr:uid="{00000000-0005-0000-0000-0000A25B0000}"/>
    <cellStyle name="Normal 2 6 2 3 2 2" xfId="10353" xr:uid="{00000000-0005-0000-0000-0000A35B0000}"/>
    <cellStyle name="Normal 2 6 2 3 2 2 2" xfId="40366" xr:uid="{00000000-0005-0000-0000-0000A45B0000}"/>
    <cellStyle name="Normal 2 6 2 3 2 2 3" xfId="32452" xr:uid="{00000000-0005-0000-0000-0000A55B0000}"/>
    <cellStyle name="Normal 2 6 2 3 2 3" xfId="40365" xr:uid="{00000000-0005-0000-0000-0000A65B0000}"/>
    <cellStyle name="Normal 2 6 2 3 2 4" xfId="32451" xr:uid="{00000000-0005-0000-0000-0000A75B0000}"/>
    <cellStyle name="Normal 2 6 2 3 3" xfId="10354" xr:uid="{00000000-0005-0000-0000-0000A85B0000}"/>
    <cellStyle name="Normal 2 6 2 3 3 2" xfId="40367" xr:uid="{00000000-0005-0000-0000-0000A95B0000}"/>
    <cellStyle name="Normal 2 6 2 3 3 3" xfId="32453" xr:uid="{00000000-0005-0000-0000-0000AA5B0000}"/>
    <cellStyle name="Normal 2 6 2 3 4" xfId="40364" xr:uid="{00000000-0005-0000-0000-0000AB5B0000}"/>
    <cellStyle name="Normal 2 6 2 3 5" xfId="32450" xr:uid="{00000000-0005-0000-0000-0000AC5B0000}"/>
    <cellStyle name="Normal 2 6 2 4" xfId="4887" xr:uid="{00000000-0005-0000-0000-0000AD5B0000}"/>
    <cellStyle name="Normal 2 6 2 4 2" xfId="4888" xr:uid="{00000000-0005-0000-0000-0000AE5B0000}"/>
    <cellStyle name="Normal 2 6 2 4 2 2" xfId="10355" xr:uid="{00000000-0005-0000-0000-0000AF5B0000}"/>
    <cellStyle name="Normal 2 6 2 4 2 2 2" xfId="40369" xr:uid="{00000000-0005-0000-0000-0000B05B0000}"/>
    <cellStyle name="Normal 2 6 2 4 2 3" xfId="32455" xr:uid="{00000000-0005-0000-0000-0000B15B0000}"/>
    <cellStyle name="Normal 2 6 2 4 3" xfId="10356" xr:uid="{00000000-0005-0000-0000-0000B25B0000}"/>
    <cellStyle name="Normal 2 6 2 4 3 2" xfId="40368" xr:uid="{00000000-0005-0000-0000-0000B35B0000}"/>
    <cellStyle name="Normal 2 6 2 4 4" xfId="32454" xr:uid="{00000000-0005-0000-0000-0000B45B0000}"/>
    <cellStyle name="Normal 2 6 2 5" xfId="4889" xr:uid="{00000000-0005-0000-0000-0000B55B0000}"/>
    <cellStyle name="Normal 2 6 2 5 2" xfId="4890" xr:uid="{00000000-0005-0000-0000-0000B65B0000}"/>
    <cellStyle name="Normal 2 6 2 5 2 2" xfId="10357" xr:uid="{00000000-0005-0000-0000-0000B75B0000}"/>
    <cellStyle name="Normal 2 6 2 5 2 3" xfId="40370" xr:uid="{00000000-0005-0000-0000-0000B85B0000}"/>
    <cellStyle name="Normal 2 6 2 5 3" xfId="10358" xr:uid="{00000000-0005-0000-0000-0000B95B0000}"/>
    <cellStyle name="Normal 2 6 2 5 4" xfId="32456" xr:uid="{00000000-0005-0000-0000-0000BA5B0000}"/>
    <cellStyle name="Normal 2 6 2 6" xfId="4891" xr:uid="{00000000-0005-0000-0000-0000BB5B0000}"/>
    <cellStyle name="Normal 2 6 2 6 2" xfId="4892" xr:uid="{00000000-0005-0000-0000-0000BC5B0000}"/>
    <cellStyle name="Normal 2 6 2 6 2 2" xfId="10359" xr:uid="{00000000-0005-0000-0000-0000BD5B0000}"/>
    <cellStyle name="Normal 2 6 2 6 2 3" xfId="40371" xr:uid="{00000000-0005-0000-0000-0000BE5B0000}"/>
    <cellStyle name="Normal 2 6 2 6 3" xfId="10360" xr:uid="{00000000-0005-0000-0000-0000BF5B0000}"/>
    <cellStyle name="Normal 2 6 2 6 4" xfId="32457" xr:uid="{00000000-0005-0000-0000-0000C05B0000}"/>
    <cellStyle name="Normal 2 6 2 7" xfId="4893" xr:uid="{00000000-0005-0000-0000-0000C15B0000}"/>
    <cellStyle name="Normal 2 6 2 7 2" xfId="4894" xr:uid="{00000000-0005-0000-0000-0000C25B0000}"/>
    <cellStyle name="Normal 2 6 2 7 2 2" xfId="10361" xr:uid="{00000000-0005-0000-0000-0000C35B0000}"/>
    <cellStyle name="Normal 2 6 2 7 2 3" xfId="40372" xr:uid="{00000000-0005-0000-0000-0000C45B0000}"/>
    <cellStyle name="Normal 2 6 2 7 3" xfId="10362" xr:uid="{00000000-0005-0000-0000-0000C55B0000}"/>
    <cellStyle name="Normal 2 6 2 7 4" xfId="32458" xr:uid="{00000000-0005-0000-0000-0000C65B0000}"/>
    <cellStyle name="Normal 2 6 2 8" xfId="4895" xr:uid="{00000000-0005-0000-0000-0000C75B0000}"/>
    <cellStyle name="Normal 2 6 2 8 2" xfId="40373" xr:uid="{00000000-0005-0000-0000-0000C85B0000}"/>
    <cellStyle name="Normal 2 6 2 8 3" xfId="32459" xr:uid="{00000000-0005-0000-0000-0000C95B0000}"/>
    <cellStyle name="Normal 2 6 2 9" xfId="4896" xr:uid="{00000000-0005-0000-0000-0000CA5B0000}"/>
    <cellStyle name="Normal 2 6 2 9 2" xfId="32460" xr:uid="{00000000-0005-0000-0000-0000CB5B0000}"/>
    <cellStyle name="Normal 2 6 3" xfId="4897" xr:uid="{00000000-0005-0000-0000-0000CC5B0000}"/>
    <cellStyle name="Normal 2 6 3 2" xfId="4898" xr:uid="{00000000-0005-0000-0000-0000CD5B0000}"/>
    <cellStyle name="Normal 2 6 3 2 2" xfId="32463" xr:uid="{00000000-0005-0000-0000-0000CE5B0000}"/>
    <cellStyle name="Normal 2 6 3 2 2 2" xfId="40376" xr:uid="{00000000-0005-0000-0000-0000CF5B0000}"/>
    <cellStyle name="Normal 2 6 3 2 3" xfId="32464" xr:uid="{00000000-0005-0000-0000-0000D05B0000}"/>
    <cellStyle name="Normal 2 6 3 2 3 2" xfId="40377" xr:uid="{00000000-0005-0000-0000-0000D15B0000}"/>
    <cellStyle name="Normal 2 6 3 2 4" xfId="40375" xr:uid="{00000000-0005-0000-0000-0000D25B0000}"/>
    <cellStyle name="Normal 2 6 3 2 5" xfId="32462" xr:uid="{00000000-0005-0000-0000-0000D35B0000}"/>
    <cellStyle name="Normal 2 6 3 3" xfId="4899" xr:uid="{00000000-0005-0000-0000-0000D45B0000}"/>
    <cellStyle name="Normal 2 6 3 3 2" xfId="32466" xr:uid="{00000000-0005-0000-0000-0000D55B0000}"/>
    <cellStyle name="Normal 2 6 3 3 2 2" xfId="40379" xr:uid="{00000000-0005-0000-0000-0000D65B0000}"/>
    <cellStyle name="Normal 2 6 3 3 3" xfId="40378" xr:uid="{00000000-0005-0000-0000-0000D75B0000}"/>
    <cellStyle name="Normal 2 6 3 3 4" xfId="32465" xr:uid="{00000000-0005-0000-0000-0000D85B0000}"/>
    <cellStyle name="Normal 2 6 3 4" xfId="32467" xr:uid="{00000000-0005-0000-0000-0000D95B0000}"/>
    <cellStyle name="Normal 2 6 3 4 2" xfId="40380" xr:uid="{00000000-0005-0000-0000-0000DA5B0000}"/>
    <cellStyle name="Normal 2 6 3 5" xfId="32468" xr:uid="{00000000-0005-0000-0000-0000DB5B0000}"/>
    <cellStyle name="Normal 2 6 3 5 2" xfId="40381" xr:uid="{00000000-0005-0000-0000-0000DC5B0000}"/>
    <cellStyle name="Normal 2 6 3 6" xfId="40374" xr:uid="{00000000-0005-0000-0000-0000DD5B0000}"/>
    <cellStyle name="Normal 2 6 3 7" xfId="32461" xr:uid="{00000000-0005-0000-0000-0000DE5B0000}"/>
    <cellStyle name="Normal 2 6 4" xfId="4900" xr:uid="{00000000-0005-0000-0000-0000DF5B0000}"/>
    <cellStyle name="Normal 2 6 4 2" xfId="4901" xr:uid="{00000000-0005-0000-0000-0000E05B0000}"/>
    <cellStyle name="Normal 2 6 4 2 2" xfId="32471" xr:uid="{00000000-0005-0000-0000-0000E15B0000}"/>
    <cellStyle name="Normal 2 6 4 2 2 2" xfId="40384" xr:uid="{00000000-0005-0000-0000-0000E25B0000}"/>
    <cellStyle name="Normal 2 6 4 2 3" xfId="40383" xr:uid="{00000000-0005-0000-0000-0000E35B0000}"/>
    <cellStyle name="Normal 2 6 4 2 4" xfId="32470" xr:uid="{00000000-0005-0000-0000-0000E45B0000}"/>
    <cellStyle name="Normal 2 6 4 3" xfId="4902" xr:uid="{00000000-0005-0000-0000-0000E55B0000}"/>
    <cellStyle name="Normal 2 6 4 3 2" xfId="40385" xr:uid="{00000000-0005-0000-0000-0000E65B0000}"/>
    <cellStyle name="Normal 2 6 4 3 3" xfId="32472" xr:uid="{00000000-0005-0000-0000-0000E75B0000}"/>
    <cellStyle name="Normal 2 6 4 4" xfId="32473" xr:uid="{00000000-0005-0000-0000-0000E85B0000}"/>
    <cellStyle name="Normal 2 6 4 4 2" xfId="40386" xr:uid="{00000000-0005-0000-0000-0000E95B0000}"/>
    <cellStyle name="Normal 2 6 4 5" xfId="40382" xr:uid="{00000000-0005-0000-0000-0000EA5B0000}"/>
    <cellStyle name="Normal 2 6 4 6" xfId="32469" xr:uid="{00000000-0005-0000-0000-0000EB5B0000}"/>
    <cellStyle name="Normal 2 6 5" xfId="4903" xr:uid="{00000000-0005-0000-0000-0000EC5B0000}"/>
    <cellStyle name="Normal 2 6 5 2" xfId="4904" xr:uid="{00000000-0005-0000-0000-0000ED5B0000}"/>
    <cellStyle name="Normal 2 6 5 2 2" xfId="40388" xr:uid="{00000000-0005-0000-0000-0000EE5B0000}"/>
    <cellStyle name="Normal 2 6 5 2 3" xfId="32475" xr:uid="{00000000-0005-0000-0000-0000EF5B0000}"/>
    <cellStyle name="Normal 2 6 5 3" xfId="4905" xr:uid="{00000000-0005-0000-0000-0000F05B0000}"/>
    <cellStyle name="Normal 2 6 5 3 2" xfId="40387" xr:uid="{00000000-0005-0000-0000-0000F15B0000}"/>
    <cellStyle name="Normal 2 6 5 4" xfId="32474" xr:uid="{00000000-0005-0000-0000-0000F25B0000}"/>
    <cellStyle name="Normal 2 6 6" xfId="4906" xr:uid="{00000000-0005-0000-0000-0000F35B0000}"/>
    <cellStyle name="Normal 2 6 6 2" xfId="4907" xr:uid="{00000000-0005-0000-0000-0000F45B0000}"/>
    <cellStyle name="Normal 2 6 6 2 2" xfId="40389" xr:uid="{00000000-0005-0000-0000-0000F55B0000}"/>
    <cellStyle name="Normal 2 6 6 3" xfId="4908" xr:uid="{00000000-0005-0000-0000-0000F65B0000}"/>
    <cellStyle name="Normal 2 6 6 4" xfId="32476" xr:uid="{00000000-0005-0000-0000-0000F75B0000}"/>
    <cellStyle name="Normal 2 6 7" xfId="4909" xr:uid="{00000000-0005-0000-0000-0000F85B0000}"/>
    <cellStyle name="Normal 2 6 7 2" xfId="4910" xr:uid="{00000000-0005-0000-0000-0000F95B0000}"/>
    <cellStyle name="Normal 2 6 7 2 2" xfId="40390" xr:uid="{00000000-0005-0000-0000-0000FA5B0000}"/>
    <cellStyle name="Normal 2 6 7 3" xfId="4911" xr:uid="{00000000-0005-0000-0000-0000FB5B0000}"/>
    <cellStyle name="Normal 2 6 7 4" xfId="32477" xr:uid="{00000000-0005-0000-0000-0000FC5B0000}"/>
    <cellStyle name="Normal 2 6 8" xfId="4912" xr:uid="{00000000-0005-0000-0000-0000FD5B0000}"/>
    <cellStyle name="Normal 2 6 8 2" xfId="10363" xr:uid="{00000000-0005-0000-0000-0000FE5B0000}"/>
    <cellStyle name="Normal 2 6 8 2 2" xfId="40391" xr:uid="{00000000-0005-0000-0000-0000FF5B0000}"/>
    <cellStyle name="Normal 2 6 8 3" xfId="32478" xr:uid="{00000000-0005-0000-0000-0000005C0000}"/>
    <cellStyle name="Normal 2 6 9" xfId="10364" xr:uid="{00000000-0005-0000-0000-0000015C0000}"/>
    <cellStyle name="Normal 2 6 9 2" xfId="40392" xr:uid="{00000000-0005-0000-0000-0000025C0000}"/>
    <cellStyle name="Normal 2 6 9 3" xfId="32479" xr:uid="{00000000-0005-0000-0000-0000035C0000}"/>
    <cellStyle name="Normal 2 7" xfId="4913" xr:uid="{00000000-0005-0000-0000-0000045C0000}"/>
    <cellStyle name="Normal 2 7 10" xfId="32481" xr:uid="{00000000-0005-0000-0000-0000055C0000}"/>
    <cellStyle name="Normal 2 7 10 2" xfId="40393" xr:uid="{00000000-0005-0000-0000-0000065C0000}"/>
    <cellStyle name="Normal 2 7 11" xfId="32480" xr:uid="{00000000-0005-0000-0000-0000075C0000}"/>
    <cellStyle name="Normal 2 7 2" xfId="4914" xr:uid="{00000000-0005-0000-0000-0000085C0000}"/>
    <cellStyle name="Normal 2 7 2 10" xfId="32482" xr:uid="{00000000-0005-0000-0000-0000095C0000}"/>
    <cellStyle name="Normal 2 7 2 2" xfId="4915" xr:uid="{00000000-0005-0000-0000-00000A5C0000}"/>
    <cellStyle name="Normal 2 7 2 2 2" xfId="4916" xr:uid="{00000000-0005-0000-0000-00000B5C0000}"/>
    <cellStyle name="Normal 2 7 2 2 2 2" xfId="10365" xr:uid="{00000000-0005-0000-0000-00000C5C0000}"/>
    <cellStyle name="Normal 2 7 2 2 2 2 2" xfId="40396" xr:uid="{00000000-0005-0000-0000-00000D5C0000}"/>
    <cellStyle name="Normal 2 7 2 2 2 3" xfId="32484" xr:uid="{00000000-0005-0000-0000-00000E5C0000}"/>
    <cellStyle name="Normal 2 7 2 2 3" xfId="10366" xr:uid="{00000000-0005-0000-0000-00000F5C0000}"/>
    <cellStyle name="Normal 2 7 2 2 3 2" xfId="40397" xr:uid="{00000000-0005-0000-0000-0000105C0000}"/>
    <cellStyle name="Normal 2 7 2 2 3 3" xfId="32485" xr:uid="{00000000-0005-0000-0000-0000115C0000}"/>
    <cellStyle name="Normal 2 7 2 2 4" xfId="40395" xr:uid="{00000000-0005-0000-0000-0000125C0000}"/>
    <cellStyle name="Normal 2 7 2 2 5" xfId="32483" xr:uid="{00000000-0005-0000-0000-0000135C0000}"/>
    <cellStyle name="Normal 2 7 2 3" xfId="4917" xr:uid="{00000000-0005-0000-0000-0000145C0000}"/>
    <cellStyle name="Normal 2 7 2 3 2" xfId="4918" xr:uid="{00000000-0005-0000-0000-0000155C0000}"/>
    <cellStyle name="Normal 2 7 2 3 2 2" xfId="10367" xr:uid="{00000000-0005-0000-0000-0000165C0000}"/>
    <cellStyle name="Normal 2 7 2 3 2 2 2" xfId="40399" xr:uid="{00000000-0005-0000-0000-0000175C0000}"/>
    <cellStyle name="Normal 2 7 2 3 2 3" xfId="32487" xr:uid="{00000000-0005-0000-0000-0000185C0000}"/>
    <cellStyle name="Normal 2 7 2 3 3" xfId="10368" xr:uid="{00000000-0005-0000-0000-0000195C0000}"/>
    <cellStyle name="Normal 2 7 2 3 3 2" xfId="40398" xr:uid="{00000000-0005-0000-0000-00001A5C0000}"/>
    <cellStyle name="Normal 2 7 2 3 4" xfId="32486" xr:uid="{00000000-0005-0000-0000-00001B5C0000}"/>
    <cellStyle name="Normal 2 7 2 4" xfId="4919" xr:uid="{00000000-0005-0000-0000-00001C5C0000}"/>
    <cellStyle name="Normal 2 7 2 4 2" xfId="4920" xr:uid="{00000000-0005-0000-0000-00001D5C0000}"/>
    <cellStyle name="Normal 2 7 2 4 2 2" xfId="10369" xr:uid="{00000000-0005-0000-0000-00001E5C0000}"/>
    <cellStyle name="Normal 2 7 2 4 2 3" xfId="40400" xr:uid="{00000000-0005-0000-0000-00001F5C0000}"/>
    <cellStyle name="Normal 2 7 2 4 3" xfId="10370" xr:uid="{00000000-0005-0000-0000-0000205C0000}"/>
    <cellStyle name="Normal 2 7 2 4 4" xfId="32488" xr:uid="{00000000-0005-0000-0000-0000215C0000}"/>
    <cellStyle name="Normal 2 7 2 5" xfId="4921" xr:uid="{00000000-0005-0000-0000-0000225C0000}"/>
    <cellStyle name="Normal 2 7 2 5 2" xfId="4922" xr:uid="{00000000-0005-0000-0000-0000235C0000}"/>
    <cellStyle name="Normal 2 7 2 5 2 2" xfId="10371" xr:uid="{00000000-0005-0000-0000-0000245C0000}"/>
    <cellStyle name="Normal 2 7 2 5 2 3" xfId="40401" xr:uid="{00000000-0005-0000-0000-0000255C0000}"/>
    <cellStyle name="Normal 2 7 2 5 3" xfId="10372" xr:uid="{00000000-0005-0000-0000-0000265C0000}"/>
    <cellStyle name="Normal 2 7 2 5 4" xfId="32489" xr:uid="{00000000-0005-0000-0000-0000275C0000}"/>
    <cellStyle name="Normal 2 7 2 6" xfId="4923" xr:uid="{00000000-0005-0000-0000-0000285C0000}"/>
    <cellStyle name="Normal 2 7 2 6 2" xfId="4924" xr:uid="{00000000-0005-0000-0000-0000295C0000}"/>
    <cellStyle name="Normal 2 7 2 6 2 2" xfId="10373" xr:uid="{00000000-0005-0000-0000-00002A5C0000}"/>
    <cellStyle name="Normal 2 7 2 6 3" xfId="10374" xr:uid="{00000000-0005-0000-0000-00002B5C0000}"/>
    <cellStyle name="Normal 2 7 2 6 4" xfId="40394" xr:uid="{00000000-0005-0000-0000-00002C5C0000}"/>
    <cellStyle name="Normal 2 7 2 7" xfId="4925" xr:uid="{00000000-0005-0000-0000-00002D5C0000}"/>
    <cellStyle name="Normal 2 7 2 7 2" xfId="4926" xr:uid="{00000000-0005-0000-0000-00002E5C0000}"/>
    <cellStyle name="Normal 2 7 2 7 2 2" xfId="10375" xr:uid="{00000000-0005-0000-0000-00002F5C0000}"/>
    <cellStyle name="Normal 2 7 2 7 3" xfId="10376" xr:uid="{00000000-0005-0000-0000-0000305C0000}"/>
    <cellStyle name="Normal 2 7 2 8" xfId="4927" xr:uid="{00000000-0005-0000-0000-0000315C0000}"/>
    <cellStyle name="Normal 2 7 2 9" xfId="4928" xr:uid="{00000000-0005-0000-0000-0000325C0000}"/>
    <cellStyle name="Normal 2 7 3" xfId="4929" xr:uid="{00000000-0005-0000-0000-0000335C0000}"/>
    <cellStyle name="Normal 2 7 3 2" xfId="4930" xr:uid="{00000000-0005-0000-0000-0000345C0000}"/>
    <cellStyle name="Normal 2 7 3 2 2" xfId="32492" xr:uid="{00000000-0005-0000-0000-0000355C0000}"/>
    <cellStyle name="Normal 2 7 3 2 2 2" xfId="40404" xr:uid="{00000000-0005-0000-0000-0000365C0000}"/>
    <cellStyle name="Normal 2 7 3 2 3" xfId="40403" xr:uid="{00000000-0005-0000-0000-0000375C0000}"/>
    <cellStyle name="Normal 2 7 3 2 4" xfId="32491" xr:uid="{00000000-0005-0000-0000-0000385C0000}"/>
    <cellStyle name="Normal 2 7 3 3" xfId="4931" xr:uid="{00000000-0005-0000-0000-0000395C0000}"/>
    <cellStyle name="Normal 2 7 3 3 2" xfId="40405" xr:uid="{00000000-0005-0000-0000-00003A5C0000}"/>
    <cellStyle name="Normal 2 7 3 3 3" xfId="32493" xr:uid="{00000000-0005-0000-0000-00003B5C0000}"/>
    <cellStyle name="Normal 2 7 3 4" xfId="32494" xr:uid="{00000000-0005-0000-0000-00003C5C0000}"/>
    <cellStyle name="Normal 2 7 3 4 2" xfId="40406" xr:uid="{00000000-0005-0000-0000-00003D5C0000}"/>
    <cellStyle name="Normal 2 7 3 5" xfId="40402" xr:uid="{00000000-0005-0000-0000-00003E5C0000}"/>
    <cellStyle name="Normal 2 7 3 6" xfId="32490" xr:uid="{00000000-0005-0000-0000-00003F5C0000}"/>
    <cellStyle name="Normal 2 7 4" xfId="4932" xr:uid="{00000000-0005-0000-0000-0000405C0000}"/>
    <cellStyle name="Normal 2 7 4 2" xfId="4933" xr:uid="{00000000-0005-0000-0000-0000415C0000}"/>
    <cellStyle name="Normal 2 7 4 2 2" xfId="40408" xr:uid="{00000000-0005-0000-0000-0000425C0000}"/>
    <cellStyle name="Normal 2 7 4 2 3" xfId="32496" xr:uid="{00000000-0005-0000-0000-0000435C0000}"/>
    <cellStyle name="Normal 2 7 4 3" xfId="4934" xr:uid="{00000000-0005-0000-0000-0000445C0000}"/>
    <cellStyle name="Normal 2 7 4 3 2" xfId="40409" xr:uid="{00000000-0005-0000-0000-0000455C0000}"/>
    <cellStyle name="Normal 2 7 4 3 3" xfId="32497" xr:uid="{00000000-0005-0000-0000-0000465C0000}"/>
    <cellStyle name="Normal 2 7 4 4" xfId="40407" xr:uid="{00000000-0005-0000-0000-0000475C0000}"/>
    <cellStyle name="Normal 2 7 4 5" xfId="32495" xr:uid="{00000000-0005-0000-0000-0000485C0000}"/>
    <cellStyle name="Normal 2 7 5" xfId="4935" xr:uid="{00000000-0005-0000-0000-0000495C0000}"/>
    <cellStyle name="Normal 2 7 5 2" xfId="4936" xr:uid="{00000000-0005-0000-0000-00004A5C0000}"/>
    <cellStyle name="Normal 2 7 5 2 2" xfId="40410" xr:uid="{00000000-0005-0000-0000-00004B5C0000}"/>
    <cellStyle name="Normal 2 7 5 3" xfId="4937" xr:uid="{00000000-0005-0000-0000-00004C5C0000}"/>
    <cellStyle name="Normal 2 7 5 4" xfId="32498" xr:uid="{00000000-0005-0000-0000-00004D5C0000}"/>
    <cellStyle name="Normal 2 7 6" xfId="4938" xr:uid="{00000000-0005-0000-0000-00004E5C0000}"/>
    <cellStyle name="Normal 2 7 6 2" xfId="4939" xr:uid="{00000000-0005-0000-0000-00004F5C0000}"/>
    <cellStyle name="Normal 2 7 6 2 2" xfId="40411" xr:uid="{00000000-0005-0000-0000-0000505C0000}"/>
    <cellStyle name="Normal 2 7 6 3" xfId="4940" xr:uid="{00000000-0005-0000-0000-0000515C0000}"/>
    <cellStyle name="Normal 2 7 6 4" xfId="32499" xr:uid="{00000000-0005-0000-0000-0000525C0000}"/>
    <cellStyle name="Normal 2 7 7" xfId="4941" xr:uid="{00000000-0005-0000-0000-0000535C0000}"/>
    <cellStyle name="Normal 2 7 7 2" xfId="4942" xr:uid="{00000000-0005-0000-0000-0000545C0000}"/>
    <cellStyle name="Normal 2 7 7 2 2" xfId="40412" xr:uid="{00000000-0005-0000-0000-0000555C0000}"/>
    <cellStyle name="Normal 2 7 7 3" xfId="4943" xr:uid="{00000000-0005-0000-0000-0000565C0000}"/>
    <cellStyle name="Normal 2 7 7 4" xfId="32500" xr:uid="{00000000-0005-0000-0000-0000575C0000}"/>
    <cellStyle name="Normal 2 7 8" xfId="4944" xr:uid="{00000000-0005-0000-0000-0000585C0000}"/>
    <cellStyle name="Normal 2 7 8 2" xfId="10377" xr:uid="{00000000-0005-0000-0000-0000595C0000}"/>
    <cellStyle name="Normal 2 7 8 2 2" xfId="40413" xr:uid="{00000000-0005-0000-0000-00005A5C0000}"/>
    <cellStyle name="Normal 2 7 8 3" xfId="32501" xr:uid="{00000000-0005-0000-0000-00005B5C0000}"/>
    <cellStyle name="Normal 2 7 9" xfId="10378" xr:uid="{00000000-0005-0000-0000-00005C5C0000}"/>
    <cellStyle name="Normal 2 7 9 2" xfId="40414" xr:uid="{00000000-0005-0000-0000-00005D5C0000}"/>
    <cellStyle name="Normal 2 7 9 3" xfId="32502" xr:uid="{00000000-0005-0000-0000-00005E5C0000}"/>
    <cellStyle name="Normal 2 8" xfId="4945" xr:uid="{00000000-0005-0000-0000-00005F5C0000}"/>
    <cellStyle name="Normal 2 8 10" xfId="32504" xr:uid="{00000000-0005-0000-0000-0000605C0000}"/>
    <cellStyle name="Normal 2 8 10 2" xfId="40415" xr:uid="{00000000-0005-0000-0000-0000615C0000}"/>
    <cellStyle name="Normal 2 8 11" xfId="32505" xr:uid="{00000000-0005-0000-0000-0000625C0000}"/>
    <cellStyle name="Normal 2 8 12" xfId="32503" xr:uid="{00000000-0005-0000-0000-0000635C0000}"/>
    <cellStyle name="Normal 2 8 2" xfId="4946" xr:uid="{00000000-0005-0000-0000-0000645C0000}"/>
    <cellStyle name="Normal 2 8 2 2" xfId="4947" xr:uid="{00000000-0005-0000-0000-0000655C0000}"/>
    <cellStyle name="Normal 2 8 2 2 2" xfId="10379" xr:uid="{00000000-0005-0000-0000-0000665C0000}"/>
    <cellStyle name="Normal 2 8 2 2 2 2" xfId="40418" xr:uid="{00000000-0005-0000-0000-0000675C0000}"/>
    <cellStyle name="Normal 2 8 2 2 2 3" xfId="32508" xr:uid="{00000000-0005-0000-0000-0000685C0000}"/>
    <cellStyle name="Normal 2 8 2 2 3" xfId="32509" xr:uid="{00000000-0005-0000-0000-0000695C0000}"/>
    <cellStyle name="Normal 2 8 2 2 3 2" xfId="40419" xr:uid="{00000000-0005-0000-0000-00006A5C0000}"/>
    <cellStyle name="Normal 2 8 2 2 4" xfId="40417" xr:uid="{00000000-0005-0000-0000-00006B5C0000}"/>
    <cellStyle name="Normal 2 8 2 2 5" xfId="32507" xr:uid="{00000000-0005-0000-0000-00006C5C0000}"/>
    <cellStyle name="Normal 2 8 2 3" xfId="10380" xr:uid="{00000000-0005-0000-0000-00006D5C0000}"/>
    <cellStyle name="Normal 2 8 2 3 2" xfId="40420" xr:uid="{00000000-0005-0000-0000-00006E5C0000}"/>
    <cellStyle name="Normal 2 8 2 3 3" xfId="32510" xr:uid="{00000000-0005-0000-0000-00006F5C0000}"/>
    <cellStyle name="Normal 2 8 2 4" xfId="32511" xr:uid="{00000000-0005-0000-0000-0000705C0000}"/>
    <cellStyle name="Normal 2 8 2 4 2" xfId="40421" xr:uid="{00000000-0005-0000-0000-0000715C0000}"/>
    <cellStyle name="Normal 2 8 2 5" xfId="32512" xr:uid="{00000000-0005-0000-0000-0000725C0000}"/>
    <cellStyle name="Normal 2 8 2 5 2" xfId="40422" xr:uid="{00000000-0005-0000-0000-0000735C0000}"/>
    <cellStyle name="Normal 2 8 2 6" xfId="40416" xr:uid="{00000000-0005-0000-0000-0000745C0000}"/>
    <cellStyle name="Normal 2 8 2 7" xfId="32506" xr:uid="{00000000-0005-0000-0000-0000755C0000}"/>
    <cellStyle name="Normal 2 8 3" xfId="4948" xr:uid="{00000000-0005-0000-0000-0000765C0000}"/>
    <cellStyle name="Normal 2 8 3 2" xfId="4949" xr:uid="{00000000-0005-0000-0000-0000775C0000}"/>
    <cellStyle name="Normal 2 8 3 2 2" xfId="10381" xr:uid="{00000000-0005-0000-0000-0000785C0000}"/>
    <cellStyle name="Normal 2 8 3 2 2 2" xfId="40424" xr:uid="{00000000-0005-0000-0000-0000795C0000}"/>
    <cellStyle name="Normal 2 8 3 2 3" xfId="32514" xr:uid="{00000000-0005-0000-0000-00007A5C0000}"/>
    <cellStyle name="Normal 2 8 3 3" xfId="10382" xr:uid="{00000000-0005-0000-0000-00007B5C0000}"/>
    <cellStyle name="Normal 2 8 3 3 2" xfId="40425" xr:uid="{00000000-0005-0000-0000-00007C5C0000}"/>
    <cellStyle name="Normal 2 8 3 3 3" xfId="32515" xr:uid="{00000000-0005-0000-0000-00007D5C0000}"/>
    <cellStyle name="Normal 2 8 3 4" xfId="32516" xr:uid="{00000000-0005-0000-0000-00007E5C0000}"/>
    <cellStyle name="Normal 2 8 3 4 2" xfId="40426" xr:uid="{00000000-0005-0000-0000-00007F5C0000}"/>
    <cellStyle name="Normal 2 8 3 5" xfId="40423" xr:uid="{00000000-0005-0000-0000-0000805C0000}"/>
    <cellStyle name="Normal 2 8 3 6" xfId="32513" xr:uid="{00000000-0005-0000-0000-0000815C0000}"/>
    <cellStyle name="Normal 2 8 4" xfId="4950" xr:uid="{00000000-0005-0000-0000-0000825C0000}"/>
    <cellStyle name="Normal 2 8 4 2" xfId="4951" xr:uid="{00000000-0005-0000-0000-0000835C0000}"/>
    <cellStyle name="Normal 2 8 4 2 2" xfId="10383" xr:uid="{00000000-0005-0000-0000-0000845C0000}"/>
    <cellStyle name="Normal 2 8 4 2 2 2" xfId="40428" xr:uid="{00000000-0005-0000-0000-0000855C0000}"/>
    <cellStyle name="Normal 2 8 4 2 3" xfId="32518" xr:uid="{00000000-0005-0000-0000-0000865C0000}"/>
    <cellStyle name="Normal 2 8 4 3" xfId="10384" xr:uid="{00000000-0005-0000-0000-0000875C0000}"/>
    <cellStyle name="Normal 2 8 4 3 2" xfId="40429" xr:uid="{00000000-0005-0000-0000-0000885C0000}"/>
    <cellStyle name="Normal 2 8 4 3 3" xfId="32519" xr:uid="{00000000-0005-0000-0000-0000895C0000}"/>
    <cellStyle name="Normal 2 8 4 4" xfId="40427" xr:uid="{00000000-0005-0000-0000-00008A5C0000}"/>
    <cellStyle name="Normal 2 8 4 5" xfId="32517" xr:uid="{00000000-0005-0000-0000-00008B5C0000}"/>
    <cellStyle name="Normal 2 8 5" xfId="4952" xr:uid="{00000000-0005-0000-0000-00008C5C0000}"/>
    <cellStyle name="Normal 2 8 5 2" xfId="4953" xr:uid="{00000000-0005-0000-0000-00008D5C0000}"/>
    <cellStyle name="Normal 2 8 5 2 2" xfId="10385" xr:uid="{00000000-0005-0000-0000-00008E5C0000}"/>
    <cellStyle name="Normal 2 8 5 2 3" xfId="40430" xr:uid="{00000000-0005-0000-0000-00008F5C0000}"/>
    <cellStyle name="Normal 2 8 5 3" xfId="10386" xr:uid="{00000000-0005-0000-0000-0000905C0000}"/>
    <cellStyle name="Normal 2 8 5 4" xfId="32520" xr:uid="{00000000-0005-0000-0000-0000915C0000}"/>
    <cellStyle name="Normal 2 8 6" xfId="4954" xr:uid="{00000000-0005-0000-0000-0000925C0000}"/>
    <cellStyle name="Normal 2 8 6 2" xfId="4955" xr:uid="{00000000-0005-0000-0000-0000935C0000}"/>
    <cellStyle name="Normal 2 8 6 2 2" xfId="10387" xr:uid="{00000000-0005-0000-0000-0000945C0000}"/>
    <cellStyle name="Normal 2 8 6 2 3" xfId="40431" xr:uid="{00000000-0005-0000-0000-0000955C0000}"/>
    <cellStyle name="Normal 2 8 6 3" xfId="10388" xr:uid="{00000000-0005-0000-0000-0000965C0000}"/>
    <cellStyle name="Normal 2 8 6 4" xfId="32521" xr:uid="{00000000-0005-0000-0000-0000975C0000}"/>
    <cellStyle name="Normal 2 8 7" xfId="4956" xr:uid="{00000000-0005-0000-0000-0000985C0000}"/>
    <cellStyle name="Normal 2 8 7 2" xfId="4957" xr:uid="{00000000-0005-0000-0000-0000995C0000}"/>
    <cellStyle name="Normal 2 8 7 2 2" xfId="10389" xr:uid="{00000000-0005-0000-0000-00009A5C0000}"/>
    <cellStyle name="Normal 2 8 7 2 3" xfId="40432" xr:uid="{00000000-0005-0000-0000-00009B5C0000}"/>
    <cellStyle name="Normal 2 8 7 3" xfId="10390" xr:uid="{00000000-0005-0000-0000-00009C5C0000}"/>
    <cellStyle name="Normal 2 8 7 4" xfId="32522" xr:uid="{00000000-0005-0000-0000-00009D5C0000}"/>
    <cellStyle name="Normal 2 8 8" xfId="4958" xr:uid="{00000000-0005-0000-0000-00009E5C0000}"/>
    <cellStyle name="Normal 2 8 8 2" xfId="10391" xr:uid="{00000000-0005-0000-0000-00009F5C0000}"/>
    <cellStyle name="Normal 2 8 8 2 2" xfId="40433" xr:uid="{00000000-0005-0000-0000-0000A05C0000}"/>
    <cellStyle name="Normal 2 8 8 3" xfId="32523" xr:uid="{00000000-0005-0000-0000-0000A15C0000}"/>
    <cellStyle name="Normal 2 8 9" xfId="10392" xr:uid="{00000000-0005-0000-0000-0000A25C0000}"/>
    <cellStyle name="Normal 2 8 9 2" xfId="40434" xr:uid="{00000000-0005-0000-0000-0000A35C0000}"/>
    <cellStyle name="Normal 2 8 9 3" xfId="32524" xr:uid="{00000000-0005-0000-0000-0000A45C0000}"/>
    <cellStyle name="Normal 2 9" xfId="4959" xr:uid="{00000000-0005-0000-0000-0000A55C0000}"/>
    <cellStyle name="Normal 2 9 2" xfId="4960" xr:uid="{00000000-0005-0000-0000-0000A65C0000}"/>
    <cellStyle name="Normal 2 9 2 2" xfId="4961" xr:uid="{00000000-0005-0000-0000-0000A75C0000}"/>
    <cellStyle name="Normal 2 9 2 2 2" xfId="10393" xr:uid="{00000000-0005-0000-0000-0000A85C0000}"/>
    <cellStyle name="Normal 2 9 2 2 2 2" xfId="40437" xr:uid="{00000000-0005-0000-0000-0000A95C0000}"/>
    <cellStyle name="Normal 2 9 2 2 2 3" xfId="32527" xr:uid="{00000000-0005-0000-0000-0000AA5C0000}"/>
    <cellStyle name="Normal 2 9 2 2 3" xfId="32528" xr:uid="{00000000-0005-0000-0000-0000AB5C0000}"/>
    <cellStyle name="Normal 2 9 2 2 3 2" xfId="40438" xr:uid="{00000000-0005-0000-0000-0000AC5C0000}"/>
    <cellStyle name="Normal 2 9 2 2 4" xfId="40436" xr:uid="{00000000-0005-0000-0000-0000AD5C0000}"/>
    <cellStyle name="Normal 2 9 2 2 5" xfId="32526" xr:uid="{00000000-0005-0000-0000-0000AE5C0000}"/>
    <cellStyle name="Normal 2 9 2 3" xfId="10394" xr:uid="{00000000-0005-0000-0000-0000AF5C0000}"/>
    <cellStyle name="Normal 2 9 2 3 2" xfId="40439" xr:uid="{00000000-0005-0000-0000-0000B05C0000}"/>
    <cellStyle name="Normal 2 9 2 3 3" xfId="32529" xr:uid="{00000000-0005-0000-0000-0000B15C0000}"/>
    <cellStyle name="Normal 2 9 2 4" xfId="32530" xr:uid="{00000000-0005-0000-0000-0000B25C0000}"/>
    <cellStyle name="Normal 2 9 2 4 2" xfId="40440" xr:uid="{00000000-0005-0000-0000-0000B35C0000}"/>
    <cellStyle name="Normal 2 9 2 5" xfId="32531" xr:uid="{00000000-0005-0000-0000-0000B45C0000}"/>
    <cellStyle name="Normal 2 9 2 5 2" xfId="40441" xr:uid="{00000000-0005-0000-0000-0000B55C0000}"/>
    <cellStyle name="Normal 2 9 2 6" xfId="40435" xr:uid="{00000000-0005-0000-0000-0000B65C0000}"/>
    <cellStyle name="Normal 2 9 2 7" xfId="32525" xr:uid="{00000000-0005-0000-0000-0000B75C0000}"/>
    <cellStyle name="Normal 2 9 3" xfId="4962" xr:uid="{00000000-0005-0000-0000-0000B85C0000}"/>
    <cellStyle name="Normal 2 9 3 2" xfId="4963" xr:uid="{00000000-0005-0000-0000-0000B95C0000}"/>
    <cellStyle name="Normal 2 9 3 2 2" xfId="10395" xr:uid="{00000000-0005-0000-0000-0000BA5C0000}"/>
    <cellStyle name="Normal 2 9 3 2 2 2" xfId="40443" xr:uid="{00000000-0005-0000-0000-0000BB5C0000}"/>
    <cellStyle name="Normal 2 9 3 2 3" xfId="32533" xr:uid="{00000000-0005-0000-0000-0000BC5C0000}"/>
    <cellStyle name="Normal 2 9 3 3" xfId="10396" xr:uid="{00000000-0005-0000-0000-0000BD5C0000}"/>
    <cellStyle name="Normal 2 9 3 3 2" xfId="40444" xr:uid="{00000000-0005-0000-0000-0000BE5C0000}"/>
    <cellStyle name="Normal 2 9 3 3 3" xfId="32534" xr:uid="{00000000-0005-0000-0000-0000BF5C0000}"/>
    <cellStyle name="Normal 2 9 3 4" xfId="32535" xr:uid="{00000000-0005-0000-0000-0000C05C0000}"/>
    <cellStyle name="Normal 2 9 3 4 2" xfId="40445" xr:uid="{00000000-0005-0000-0000-0000C15C0000}"/>
    <cellStyle name="Normal 2 9 3 5" xfId="40442" xr:uid="{00000000-0005-0000-0000-0000C25C0000}"/>
    <cellStyle name="Normal 2 9 3 6" xfId="32532" xr:uid="{00000000-0005-0000-0000-0000C35C0000}"/>
    <cellStyle name="Normal 2 9 4" xfId="4964" xr:uid="{00000000-0005-0000-0000-0000C45C0000}"/>
    <cellStyle name="Normal 2 9 4 2" xfId="4965" xr:uid="{00000000-0005-0000-0000-0000C55C0000}"/>
    <cellStyle name="Normal 2 9 4 2 2" xfId="10397" xr:uid="{00000000-0005-0000-0000-0000C65C0000}"/>
    <cellStyle name="Normal 2 9 4 2 2 2" xfId="40447" xr:uid="{00000000-0005-0000-0000-0000C75C0000}"/>
    <cellStyle name="Normal 2 9 4 2 3" xfId="32537" xr:uid="{00000000-0005-0000-0000-0000C85C0000}"/>
    <cellStyle name="Normal 2 9 4 3" xfId="10398" xr:uid="{00000000-0005-0000-0000-0000C95C0000}"/>
    <cellStyle name="Normal 2 9 4 3 2" xfId="40446" xr:uid="{00000000-0005-0000-0000-0000CA5C0000}"/>
    <cellStyle name="Normal 2 9 4 4" xfId="32536" xr:uid="{00000000-0005-0000-0000-0000CB5C0000}"/>
    <cellStyle name="Normal 2 9 5" xfId="4966" xr:uid="{00000000-0005-0000-0000-0000CC5C0000}"/>
    <cellStyle name="Normal 2 9 5 2" xfId="4967" xr:uid="{00000000-0005-0000-0000-0000CD5C0000}"/>
    <cellStyle name="Normal 2 9 5 2 2" xfId="10399" xr:uid="{00000000-0005-0000-0000-0000CE5C0000}"/>
    <cellStyle name="Normal 2 9 5 2 3" xfId="40448" xr:uid="{00000000-0005-0000-0000-0000CF5C0000}"/>
    <cellStyle name="Normal 2 9 5 3" xfId="10400" xr:uid="{00000000-0005-0000-0000-0000D05C0000}"/>
    <cellStyle name="Normal 2 9 5 4" xfId="32538" xr:uid="{00000000-0005-0000-0000-0000D15C0000}"/>
    <cellStyle name="Normal 2 9 6" xfId="4968" xr:uid="{00000000-0005-0000-0000-0000D25C0000}"/>
    <cellStyle name="Normal 2 9 6 2" xfId="4969" xr:uid="{00000000-0005-0000-0000-0000D35C0000}"/>
    <cellStyle name="Normal 2 9 6 2 2" xfId="10401" xr:uid="{00000000-0005-0000-0000-0000D45C0000}"/>
    <cellStyle name="Normal 2 9 6 2 3" xfId="40449" xr:uid="{00000000-0005-0000-0000-0000D55C0000}"/>
    <cellStyle name="Normal 2 9 6 3" xfId="10402" xr:uid="{00000000-0005-0000-0000-0000D65C0000}"/>
    <cellStyle name="Normal 2 9 6 4" xfId="32539" xr:uid="{00000000-0005-0000-0000-0000D75C0000}"/>
    <cellStyle name="Normal 2 9 7" xfId="4970" xr:uid="{00000000-0005-0000-0000-0000D85C0000}"/>
    <cellStyle name="Normal 2 9 7 2" xfId="4971" xr:uid="{00000000-0005-0000-0000-0000D95C0000}"/>
    <cellStyle name="Normal 2 9 7 2 2" xfId="10403" xr:uid="{00000000-0005-0000-0000-0000DA5C0000}"/>
    <cellStyle name="Normal 2 9 7 2 3" xfId="40450" xr:uid="{00000000-0005-0000-0000-0000DB5C0000}"/>
    <cellStyle name="Normal 2 9 7 3" xfId="10404" xr:uid="{00000000-0005-0000-0000-0000DC5C0000}"/>
    <cellStyle name="Normal 2 9 7 4" xfId="32540" xr:uid="{00000000-0005-0000-0000-0000DD5C0000}"/>
    <cellStyle name="Normal 2 9 8" xfId="4972" xr:uid="{00000000-0005-0000-0000-0000DE5C0000}"/>
    <cellStyle name="Normal 2 9 8 2" xfId="10405" xr:uid="{00000000-0005-0000-0000-0000DF5C0000}"/>
    <cellStyle name="Normal 2 9 8 2 2" xfId="40451" xr:uid="{00000000-0005-0000-0000-0000E05C0000}"/>
    <cellStyle name="Normal 2 9 8 3" xfId="32541" xr:uid="{00000000-0005-0000-0000-0000E15C0000}"/>
    <cellStyle name="Normal 2 9 9" xfId="10406" xr:uid="{00000000-0005-0000-0000-0000E25C0000}"/>
    <cellStyle name="Normal 2 9 9 2" xfId="32542" xr:uid="{00000000-0005-0000-0000-0000E35C0000}"/>
    <cellStyle name="Normal 2_ESSENTIAL-Detail" xfId="4973" xr:uid="{00000000-0005-0000-0000-0000E45C0000}"/>
    <cellStyle name="Normal 20" xfId="4974" xr:uid="{00000000-0005-0000-0000-0000E55C0000}"/>
    <cellStyle name="Normal 20 10" xfId="4975" xr:uid="{00000000-0005-0000-0000-0000E65C0000}"/>
    <cellStyle name="Normal 20 11" xfId="4976" xr:uid="{00000000-0005-0000-0000-0000E75C0000}"/>
    <cellStyle name="Normal 20 2" xfId="4977" xr:uid="{00000000-0005-0000-0000-0000E85C0000}"/>
    <cellStyle name="Normal 20 2 2" xfId="4978" xr:uid="{00000000-0005-0000-0000-0000E95C0000}"/>
    <cellStyle name="Normal 20 2 2 2" xfId="32545" xr:uid="{00000000-0005-0000-0000-0000EA5C0000}"/>
    <cellStyle name="Normal 20 2 2 3" xfId="32546" xr:uid="{00000000-0005-0000-0000-0000EB5C0000}"/>
    <cellStyle name="Normal 20 2 2 4" xfId="32544" xr:uid="{00000000-0005-0000-0000-0000EC5C0000}"/>
    <cellStyle name="Normal 20 2 3" xfId="4979" xr:uid="{00000000-0005-0000-0000-0000ED5C0000}"/>
    <cellStyle name="Normal 20 2 3 2" xfId="32547" xr:uid="{00000000-0005-0000-0000-0000EE5C0000}"/>
    <cellStyle name="Normal 20 2 4" xfId="32548" xr:uid="{00000000-0005-0000-0000-0000EF5C0000}"/>
    <cellStyle name="Normal 20 2 5" xfId="32549" xr:uid="{00000000-0005-0000-0000-0000F05C0000}"/>
    <cellStyle name="Normal 20 2 6" xfId="32550" xr:uid="{00000000-0005-0000-0000-0000F15C0000}"/>
    <cellStyle name="Normal 20 2 7" xfId="32551" xr:uid="{00000000-0005-0000-0000-0000F25C0000}"/>
    <cellStyle name="Normal 20 2 8" xfId="40452" xr:uid="{00000000-0005-0000-0000-0000F35C0000}"/>
    <cellStyle name="Normal 20 2 9" xfId="32543" xr:uid="{00000000-0005-0000-0000-0000F45C0000}"/>
    <cellStyle name="Normal 20 3" xfId="4980" xr:uid="{00000000-0005-0000-0000-0000F55C0000}"/>
    <cellStyle name="Normal 20 3 2" xfId="4981" xr:uid="{00000000-0005-0000-0000-0000F65C0000}"/>
    <cellStyle name="Normal 20 3 2 2" xfId="32554" xr:uid="{00000000-0005-0000-0000-0000F75C0000}"/>
    <cellStyle name="Normal 20 3 2 3" xfId="32555" xr:uid="{00000000-0005-0000-0000-0000F85C0000}"/>
    <cellStyle name="Normal 20 3 2 4" xfId="32553" xr:uid="{00000000-0005-0000-0000-0000F95C0000}"/>
    <cellStyle name="Normal 20 3 3" xfId="4982" xr:uid="{00000000-0005-0000-0000-0000FA5C0000}"/>
    <cellStyle name="Normal 20 3 3 2" xfId="32556" xr:uid="{00000000-0005-0000-0000-0000FB5C0000}"/>
    <cellStyle name="Normal 20 3 4" xfId="32557" xr:uid="{00000000-0005-0000-0000-0000FC5C0000}"/>
    <cellStyle name="Normal 20 3 5" xfId="32558" xr:uid="{00000000-0005-0000-0000-0000FD5C0000}"/>
    <cellStyle name="Normal 20 3 6" xfId="40453" xr:uid="{00000000-0005-0000-0000-0000FE5C0000}"/>
    <cellStyle name="Normal 20 3 7" xfId="32552" xr:uid="{00000000-0005-0000-0000-0000FF5C0000}"/>
    <cellStyle name="Normal 20 4" xfId="4983" xr:uid="{00000000-0005-0000-0000-0000005D0000}"/>
    <cellStyle name="Normal 20 4 2" xfId="4984" xr:uid="{00000000-0005-0000-0000-0000015D0000}"/>
    <cellStyle name="Normal 20 4 2 2" xfId="32560" xr:uid="{00000000-0005-0000-0000-0000025D0000}"/>
    <cellStyle name="Normal 20 4 3" xfId="4985" xr:uid="{00000000-0005-0000-0000-0000035D0000}"/>
    <cellStyle name="Normal 20 4 3 2" xfId="40454" xr:uid="{00000000-0005-0000-0000-0000045D0000}"/>
    <cellStyle name="Normal 20 4 4" xfId="32559" xr:uid="{00000000-0005-0000-0000-0000055D0000}"/>
    <cellStyle name="Normal 20 5" xfId="4986" xr:uid="{00000000-0005-0000-0000-0000065D0000}"/>
    <cellStyle name="Normal 20 5 2" xfId="4987" xr:uid="{00000000-0005-0000-0000-0000075D0000}"/>
    <cellStyle name="Normal 20 5 2 2" xfId="32562" xr:uid="{00000000-0005-0000-0000-0000085D0000}"/>
    <cellStyle name="Normal 20 5 3" xfId="4988" xr:uid="{00000000-0005-0000-0000-0000095D0000}"/>
    <cellStyle name="Normal 20 5 3 2" xfId="40455" xr:uid="{00000000-0005-0000-0000-00000A5D0000}"/>
    <cellStyle name="Normal 20 5 4" xfId="32561" xr:uid="{00000000-0005-0000-0000-00000B5D0000}"/>
    <cellStyle name="Normal 20 6" xfId="4989" xr:uid="{00000000-0005-0000-0000-00000C5D0000}"/>
    <cellStyle name="Normal 20 6 2" xfId="4990" xr:uid="{00000000-0005-0000-0000-00000D5D0000}"/>
    <cellStyle name="Normal 20 6 2 2" xfId="32564" xr:uid="{00000000-0005-0000-0000-00000E5D0000}"/>
    <cellStyle name="Normal 20 6 3" xfId="4991" xr:uid="{00000000-0005-0000-0000-00000F5D0000}"/>
    <cellStyle name="Normal 20 6 3 2" xfId="40456" xr:uid="{00000000-0005-0000-0000-0000105D0000}"/>
    <cellStyle name="Normal 20 6 4" xfId="32563" xr:uid="{00000000-0005-0000-0000-0000115D0000}"/>
    <cellStyle name="Normal 20 7" xfId="4992" xr:uid="{00000000-0005-0000-0000-0000125D0000}"/>
    <cellStyle name="Normal 20 7 2" xfId="4993" xr:uid="{00000000-0005-0000-0000-0000135D0000}"/>
    <cellStyle name="Normal 20 7 2 2" xfId="40457" xr:uid="{00000000-0005-0000-0000-0000145D0000}"/>
    <cellStyle name="Normal 20 7 3" xfId="4994" xr:uid="{00000000-0005-0000-0000-0000155D0000}"/>
    <cellStyle name="Normal 20 7 4" xfId="32565" xr:uid="{00000000-0005-0000-0000-0000165D0000}"/>
    <cellStyle name="Normal 20 8" xfId="4995" xr:uid="{00000000-0005-0000-0000-0000175D0000}"/>
    <cellStyle name="Normal 20 8 2" xfId="10407" xr:uid="{00000000-0005-0000-0000-0000185D0000}"/>
    <cellStyle name="Normal 20 8 3" xfId="32566" xr:uid="{00000000-0005-0000-0000-0000195D0000}"/>
    <cellStyle name="Normal 20 9" xfId="4996" xr:uid="{00000000-0005-0000-0000-00001A5D0000}"/>
    <cellStyle name="Normal 20 9 2" xfId="10408" xr:uid="{00000000-0005-0000-0000-00001B5D0000}"/>
    <cellStyle name="Normal 200" xfId="32567" xr:uid="{00000000-0005-0000-0000-00001C5D0000}"/>
    <cellStyle name="Normal 200 2" xfId="32568" xr:uid="{00000000-0005-0000-0000-00001D5D0000}"/>
    <cellStyle name="Normal 200 3" xfId="32569" xr:uid="{00000000-0005-0000-0000-00001E5D0000}"/>
    <cellStyle name="Normal 200 4" xfId="32570" xr:uid="{00000000-0005-0000-0000-00001F5D0000}"/>
    <cellStyle name="Normal 201" xfId="32571" xr:uid="{00000000-0005-0000-0000-0000205D0000}"/>
    <cellStyle name="Normal 201 2" xfId="32572" xr:uid="{00000000-0005-0000-0000-0000215D0000}"/>
    <cellStyle name="Normal 201 3" xfId="32573" xr:uid="{00000000-0005-0000-0000-0000225D0000}"/>
    <cellStyle name="Normal 201 4" xfId="32574" xr:uid="{00000000-0005-0000-0000-0000235D0000}"/>
    <cellStyle name="Normal 202" xfId="32575" xr:uid="{00000000-0005-0000-0000-0000245D0000}"/>
    <cellStyle name="Normal 202 2" xfId="32576" xr:uid="{00000000-0005-0000-0000-0000255D0000}"/>
    <cellStyle name="Normal 202 3" xfId="32577" xr:uid="{00000000-0005-0000-0000-0000265D0000}"/>
    <cellStyle name="Normal 202 4" xfId="32578" xr:uid="{00000000-0005-0000-0000-0000275D0000}"/>
    <cellStyle name="Normal 203" xfId="32579" xr:uid="{00000000-0005-0000-0000-0000285D0000}"/>
    <cellStyle name="Normal 203 2" xfId="32580" xr:uid="{00000000-0005-0000-0000-0000295D0000}"/>
    <cellStyle name="Normal 203 3" xfId="32581" xr:uid="{00000000-0005-0000-0000-00002A5D0000}"/>
    <cellStyle name="Normal 203 4" xfId="32582" xr:uid="{00000000-0005-0000-0000-00002B5D0000}"/>
    <cellStyle name="Normal 204" xfId="32583" xr:uid="{00000000-0005-0000-0000-00002C5D0000}"/>
    <cellStyle name="Normal 204 2" xfId="32584" xr:uid="{00000000-0005-0000-0000-00002D5D0000}"/>
    <cellStyle name="Normal 204 3" xfId="32585" xr:uid="{00000000-0005-0000-0000-00002E5D0000}"/>
    <cellStyle name="Normal 204 4" xfId="32586" xr:uid="{00000000-0005-0000-0000-00002F5D0000}"/>
    <cellStyle name="Normal 205" xfId="32587" xr:uid="{00000000-0005-0000-0000-0000305D0000}"/>
    <cellStyle name="Normal 205 2" xfId="32588" xr:uid="{00000000-0005-0000-0000-0000315D0000}"/>
    <cellStyle name="Normal 205 3" xfId="32589" xr:uid="{00000000-0005-0000-0000-0000325D0000}"/>
    <cellStyle name="Normal 206" xfId="32590" xr:uid="{00000000-0005-0000-0000-0000335D0000}"/>
    <cellStyle name="Normal 206 2" xfId="32591" xr:uid="{00000000-0005-0000-0000-0000345D0000}"/>
    <cellStyle name="Normal 206 3" xfId="32592" xr:uid="{00000000-0005-0000-0000-0000355D0000}"/>
    <cellStyle name="Normal 206 4" xfId="32593" xr:uid="{00000000-0005-0000-0000-0000365D0000}"/>
    <cellStyle name="Normal 207" xfId="32594" xr:uid="{00000000-0005-0000-0000-0000375D0000}"/>
    <cellStyle name="Normal 207 2" xfId="32595" xr:uid="{00000000-0005-0000-0000-0000385D0000}"/>
    <cellStyle name="Normal 207 3" xfId="32596" xr:uid="{00000000-0005-0000-0000-0000395D0000}"/>
    <cellStyle name="Normal 207 4" xfId="32597" xr:uid="{00000000-0005-0000-0000-00003A5D0000}"/>
    <cellStyle name="Normal 208" xfId="32598" xr:uid="{00000000-0005-0000-0000-00003B5D0000}"/>
    <cellStyle name="Normal 208 2" xfId="32599" xr:uid="{00000000-0005-0000-0000-00003C5D0000}"/>
    <cellStyle name="Normal 208 3" xfId="32600" xr:uid="{00000000-0005-0000-0000-00003D5D0000}"/>
    <cellStyle name="Normal 209" xfId="32601" xr:uid="{00000000-0005-0000-0000-00003E5D0000}"/>
    <cellStyle name="Normal 209 2" xfId="32602" xr:uid="{00000000-0005-0000-0000-00003F5D0000}"/>
    <cellStyle name="Normal 209 3" xfId="32603" xr:uid="{00000000-0005-0000-0000-0000405D0000}"/>
    <cellStyle name="Normal 209 4" xfId="32604" xr:uid="{00000000-0005-0000-0000-0000415D0000}"/>
    <cellStyle name="Normal 21" xfId="4997" xr:uid="{00000000-0005-0000-0000-0000425D0000}"/>
    <cellStyle name="Normal 21 10" xfId="4998" xr:uid="{00000000-0005-0000-0000-0000435D0000}"/>
    <cellStyle name="Normal 21 10 2" xfId="40458" xr:uid="{00000000-0005-0000-0000-0000445D0000}"/>
    <cellStyle name="Normal 21 10 3" xfId="32605" xr:uid="{00000000-0005-0000-0000-0000455D0000}"/>
    <cellStyle name="Normal 21 11" xfId="4999" xr:uid="{00000000-0005-0000-0000-0000465D0000}"/>
    <cellStyle name="Normal 21 11 2" xfId="32606" xr:uid="{00000000-0005-0000-0000-0000475D0000}"/>
    <cellStyle name="Normal 21 2" xfId="5000" xr:uid="{00000000-0005-0000-0000-0000485D0000}"/>
    <cellStyle name="Normal 21 2 2" xfId="5001" xr:uid="{00000000-0005-0000-0000-0000495D0000}"/>
    <cellStyle name="Normal 21 2 2 2" xfId="32609" xr:uid="{00000000-0005-0000-0000-00004A5D0000}"/>
    <cellStyle name="Normal 21 2 2 2 2" xfId="32610" xr:uid="{00000000-0005-0000-0000-00004B5D0000}"/>
    <cellStyle name="Normal 21 2 2 2 2 2" xfId="40462" xr:uid="{00000000-0005-0000-0000-00004C5D0000}"/>
    <cellStyle name="Normal 21 2 2 2 3" xfId="32611" xr:uid="{00000000-0005-0000-0000-00004D5D0000}"/>
    <cellStyle name="Normal 21 2 2 2 4" xfId="40461" xr:uid="{00000000-0005-0000-0000-00004E5D0000}"/>
    <cellStyle name="Normal 21 2 2 3" xfId="32612" xr:uid="{00000000-0005-0000-0000-00004F5D0000}"/>
    <cellStyle name="Normal 21 2 2 3 2" xfId="32613" xr:uid="{00000000-0005-0000-0000-0000505D0000}"/>
    <cellStyle name="Normal 21 2 2 3 3" xfId="40463" xr:uid="{00000000-0005-0000-0000-0000515D0000}"/>
    <cellStyle name="Normal 21 2 2 4" xfId="32614" xr:uid="{00000000-0005-0000-0000-0000525D0000}"/>
    <cellStyle name="Normal 21 2 2 5" xfId="40460" xr:uid="{00000000-0005-0000-0000-0000535D0000}"/>
    <cellStyle name="Normal 21 2 2 6" xfId="32608" xr:uid="{00000000-0005-0000-0000-0000545D0000}"/>
    <cellStyle name="Normal 21 2 3" xfId="5002" xr:uid="{00000000-0005-0000-0000-0000555D0000}"/>
    <cellStyle name="Normal 21 2 3 2" xfId="32616" xr:uid="{00000000-0005-0000-0000-0000565D0000}"/>
    <cellStyle name="Normal 21 2 3 2 2" xfId="40465" xr:uid="{00000000-0005-0000-0000-0000575D0000}"/>
    <cellStyle name="Normal 21 2 3 3" xfId="32617" xr:uid="{00000000-0005-0000-0000-0000585D0000}"/>
    <cellStyle name="Normal 21 2 3 4" xfId="40464" xr:uid="{00000000-0005-0000-0000-0000595D0000}"/>
    <cellStyle name="Normal 21 2 3 5" xfId="32615" xr:uid="{00000000-0005-0000-0000-00005A5D0000}"/>
    <cellStyle name="Normal 21 2 4" xfId="32618" xr:uid="{00000000-0005-0000-0000-00005B5D0000}"/>
    <cellStyle name="Normal 21 2 4 2" xfId="32619" xr:uid="{00000000-0005-0000-0000-00005C5D0000}"/>
    <cellStyle name="Normal 21 2 4 3" xfId="40466" xr:uid="{00000000-0005-0000-0000-00005D5D0000}"/>
    <cellStyle name="Normal 21 2 5" xfId="32620" xr:uid="{00000000-0005-0000-0000-00005E5D0000}"/>
    <cellStyle name="Normal 21 2 5 2" xfId="32621" xr:uid="{00000000-0005-0000-0000-00005F5D0000}"/>
    <cellStyle name="Normal 21 2 5 3" xfId="40467" xr:uid="{00000000-0005-0000-0000-0000605D0000}"/>
    <cellStyle name="Normal 21 2 6" xfId="32622" xr:uid="{00000000-0005-0000-0000-0000615D0000}"/>
    <cellStyle name="Normal 21 2 7" xfId="32623" xr:uid="{00000000-0005-0000-0000-0000625D0000}"/>
    <cellStyle name="Normal 21 2 8" xfId="40459" xr:uid="{00000000-0005-0000-0000-0000635D0000}"/>
    <cellStyle name="Normal 21 2 9" xfId="32607" xr:uid="{00000000-0005-0000-0000-0000645D0000}"/>
    <cellStyle name="Normal 21 3" xfId="5003" xr:uid="{00000000-0005-0000-0000-0000655D0000}"/>
    <cellStyle name="Normal 21 3 2" xfId="5004" xr:uid="{00000000-0005-0000-0000-0000665D0000}"/>
    <cellStyle name="Normal 21 3 2 2" xfId="32626" xr:uid="{00000000-0005-0000-0000-0000675D0000}"/>
    <cellStyle name="Normal 21 3 2 2 2" xfId="32627" xr:uid="{00000000-0005-0000-0000-0000685D0000}"/>
    <cellStyle name="Normal 21 3 2 2 2 2" xfId="40471" xr:uid="{00000000-0005-0000-0000-0000695D0000}"/>
    <cellStyle name="Normal 21 3 2 2 3" xfId="32628" xr:uid="{00000000-0005-0000-0000-00006A5D0000}"/>
    <cellStyle name="Normal 21 3 2 2 4" xfId="40470" xr:uid="{00000000-0005-0000-0000-00006B5D0000}"/>
    <cellStyle name="Normal 21 3 2 3" xfId="32629" xr:uid="{00000000-0005-0000-0000-00006C5D0000}"/>
    <cellStyle name="Normal 21 3 2 3 2" xfId="32630" xr:uid="{00000000-0005-0000-0000-00006D5D0000}"/>
    <cellStyle name="Normal 21 3 2 3 3" xfId="40472" xr:uid="{00000000-0005-0000-0000-00006E5D0000}"/>
    <cellStyle name="Normal 21 3 2 4" xfId="32631" xr:uid="{00000000-0005-0000-0000-00006F5D0000}"/>
    <cellStyle name="Normal 21 3 2 5" xfId="40469" xr:uid="{00000000-0005-0000-0000-0000705D0000}"/>
    <cellStyle name="Normal 21 3 2 6" xfId="32625" xr:uid="{00000000-0005-0000-0000-0000715D0000}"/>
    <cellStyle name="Normal 21 3 3" xfId="5005" xr:uid="{00000000-0005-0000-0000-0000725D0000}"/>
    <cellStyle name="Normal 21 3 3 2" xfId="32633" xr:uid="{00000000-0005-0000-0000-0000735D0000}"/>
    <cellStyle name="Normal 21 3 3 2 2" xfId="40474" xr:uid="{00000000-0005-0000-0000-0000745D0000}"/>
    <cellStyle name="Normal 21 3 3 3" xfId="32634" xr:uid="{00000000-0005-0000-0000-0000755D0000}"/>
    <cellStyle name="Normal 21 3 3 4" xfId="40473" xr:uid="{00000000-0005-0000-0000-0000765D0000}"/>
    <cellStyle name="Normal 21 3 3 5" xfId="32632" xr:uid="{00000000-0005-0000-0000-0000775D0000}"/>
    <cellStyle name="Normal 21 3 4" xfId="32635" xr:uid="{00000000-0005-0000-0000-0000785D0000}"/>
    <cellStyle name="Normal 21 3 4 2" xfId="32636" xr:uid="{00000000-0005-0000-0000-0000795D0000}"/>
    <cellStyle name="Normal 21 3 4 3" xfId="40475" xr:uid="{00000000-0005-0000-0000-00007A5D0000}"/>
    <cellStyle name="Normal 21 3 5" xfId="32637" xr:uid="{00000000-0005-0000-0000-00007B5D0000}"/>
    <cellStyle name="Normal 21 3 5 2" xfId="40476" xr:uid="{00000000-0005-0000-0000-00007C5D0000}"/>
    <cellStyle name="Normal 21 3 6" xfId="32638" xr:uid="{00000000-0005-0000-0000-00007D5D0000}"/>
    <cellStyle name="Normal 21 3 7" xfId="40468" xr:uid="{00000000-0005-0000-0000-00007E5D0000}"/>
    <cellStyle name="Normal 21 3 8" xfId="32624" xr:uid="{00000000-0005-0000-0000-00007F5D0000}"/>
    <cellStyle name="Normal 21 4" xfId="5006" xr:uid="{00000000-0005-0000-0000-0000805D0000}"/>
    <cellStyle name="Normal 21 4 2" xfId="5007" xr:uid="{00000000-0005-0000-0000-0000815D0000}"/>
    <cellStyle name="Normal 21 4 2 2" xfId="32641" xr:uid="{00000000-0005-0000-0000-0000825D0000}"/>
    <cellStyle name="Normal 21 4 2 2 2" xfId="32642" xr:uid="{00000000-0005-0000-0000-0000835D0000}"/>
    <cellStyle name="Normal 21 4 2 2 2 2" xfId="40480" xr:uid="{00000000-0005-0000-0000-0000845D0000}"/>
    <cellStyle name="Normal 21 4 2 2 3" xfId="40479" xr:uid="{00000000-0005-0000-0000-0000855D0000}"/>
    <cellStyle name="Normal 21 4 2 3" xfId="32643" xr:uid="{00000000-0005-0000-0000-0000865D0000}"/>
    <cellStyle name="Normal 21 4 2 3 2" xfId="40481" xr:uid="{00000000-0005-0000-0000-0000875D0000}"/>
    <cellStyle name="Normal 21 4 2 4" xfId="40478" xr:uid="{00000000-0005-0000-0000-0000885D0000}"/>
    <cellStyle name="Normal 21 4 2 5" xfId="32640" xr:uid="{00000000-0005-0000-0000-0000895D0000}"/>
    <cellStyle name="Normal 21 4 3" xfId="5008" xr:uid="{00000000-0005-0000-0000-00008A5D0000}"/>
    <cellStyle name="Normal 21 4 3 2" xfId="32645" xr:uid="{00000000-0005-0000-0000-00008B5D0000}"/>
    <cellStyle name="Normal 21 4 3 2 2" xfId="40483" xr:uid="{00000000-0005-0000-0000-00008C5D0000}"/>
    <cellStyle name="Normal 21 4 3 3" xfId="40482" xr:uid="{00000000-0005-0000-0000-00008D5D0000}"/>
    <cellStyle name="Normal 21 4 3 4" xfId="32644" xr:uid="{00000000-0005-0000-0000-00008E5D0000}"/>
    <cellStyle name="Normal 21 4 4" xfId="32646" xr:uid="{00000000-0005-0000-0000-00008F5D0000}"/>
    <cellStyle name="Normal 21 4 4 2" xfId="40484" xr:uid="{00000000-0005-0000-0000-0000905D0000}"/>
    <cellStyle name="Normal 21 4 5" xfId="32647" xr:uid="{00000000-0005-0000-0000-0000915D0000}"/>
    <cellStyle name="Normal 21 4 5 2" xfId="40485" xr:uid="{00000000-0005-0000-0000-0000925D0000}"/>
    <cellStyle name="Normal 21 4 6" xfId="32648" xr:uid="{00000000-0005-0000-0000-0000935D0000}"/>
    <cellStyle name="Normal 21 4 7" xfId="40477" xr:uid="{00000000-0005-0000-0000-0000945D0000}"/>
    <cellStyle name="Normal 21 4 8" xfId="32639" xr:uid="{00000000-0005-0000-0000-0000955D0000}"/>
    <cellStyle name="Normal 21 5" xfId="5009" xr:uid="{00000000-0005-0000-0000-0000965D0000}"/>
    <cellStyle name="Normal 21 5 2" xfId="5010" xr:uid="{00000000-0005-0000-0000-0000975D0000}"/>
    <cellStyle name="Normal 21 5 2 2" xfId="32651" xr:uid="{00000000-0005-0000-0000-0000985D0000}"/>
    <cellStyle name="Normal 21 5 2 2 2" xfId="40488" xr:uid="{00000000-0005-0000-0000-0000995D0000}"/>
    <cellStyle name="Normal 21 5 2 3" xfId="40487" xr:uid="{00000000-0005-0000-0000-00009A5D0000}"/>
    <cellStyle name="Normal 21 5 2 4" xfId="32650" xr:uid="{00000000-0005-0000-0000-00009B5D0000}"/>
    <cellStyle name="Normal 21 5 3" xfId="5011" xr:uid="{00000000-0005-0000-0000-00009C5D0000}"/>
    <cellStyle name="Normal 21 5 3 2" xfId="40489" xr:uid="{00000000-0005-0000-0000-00009D5D0000}"/>
    <cellStyle name="Normal 21 5 3 3" xfId="32652" xr:uid="{00000000-0005-0000-0000-00009E5D0000}"/>
    <cellStyle name="Normal 21 5 4" xfId="32653" xr:uid="{00000000-0005-0000-0000-00009F5D0000}"/>
    <cellStyle name="Normal 21 5 4 2" xfId="40490" xr:uid="{00000000-0005-0000-0000-0000A05D0000}"/>
    <cellStyle name="Normal 21 5 5" xfId="32654" xr:uid="{00000000-0005-0000-0000-0000A15D0000}"/>
    <cellStyle name="Normal 21 5 6" xfId="40486" xr:uid="{00000000-0005-0000-0000-0000A25D0000}"/>
    <cellStyle name="Normal 21 5 7" xfId="32649" xr:uid="{00000000-0005-0000-0000-0000A35D0000}"/>
    <cellStyle name="Normal 21 6" xfId="5012" xr:uid="{00000000-0005-0000-0000-0000A45D0000}"/>
    <cellStyle name="Normal 21 6 2" xfId="5013" xr:uid="{00000000-0005-0000-0000-0000A55D0000}"/>
    <cellStyle name="Normal 21 6 2 2" xfId="40492" xr:uid="{00000000-0005-0000-0000-0000A65D0000}"/>
    <cellStyle name="Normal 21 6 2 3" xfId="32656" xr:uid="{00000000-0005-0000-0000-0000A75D0000}"/>
    <cellStyle name="Normal 21 6 3" xfId="5014" xr:uid="{00000000-0005-0000-0000-0000A85D0000}"/>
    <cellStyle name="Normal 21 6 3 2" xfId="40493" xr:uid="{00000000-0005-0000-0000-0000A95D0000}"/>
    <cellStyle name="Normal 21 6 3 3" xfId="32657" xr:uid="{00000000-0005-0000-0000-0000AA5D0000}"/>
    <cellStyle name="Normal 21 6 4" xfId="32658" xr:uid="{00000000-0005-0000-0000-0000AB5D0000}"/>
    <cellStyle name="Normal 21 6 5" xfId="40491" xr:uid="{00000000-0005-0000-0000-0000AC5D0000}"/>
    <cellStyle name="Normal 21 6 6" xfId="32655" xr:uid="{00000000-0005-0000-0000-0000AD5D0000}"/>
    <cellStyle name="Normal 21 7" xfId="5015" xr:uid="{00000000-0005-0000-0000-0000AE5D0000}"/>
    <cellStyle name="Normal 21 7 2" xfId="5016" xr:uid="{00000000-0005-0000-0000-0000AF5D0000}"/>
    <cellStyle name="Normal 21 7 2 2" xfId="40494" xr:uid="{00000000-0005-0000-0000-0000B05D0000}"/>
    <cellStyle name="Normal 21 7 3" xfId="5017" xr:uid="{00000000-0005-0000-0000-0000B15D0000}"/>
    <cellStyle name="Normal 21 7 4" xfId="32659" xr:uid="{00000000-0005-0000-0000-0000B25D0000}"/>
    <cellStyle name="Normal 21 8" xfId="5018" xr:uid="{00000000-0005-0000-0000-0000B35D0000}"/>
    <cellStyle name="Normal 21 8 2" xfId="10409" xr:uid="{00000000-0005-0000-0000-0000B45D0000}"/>
    <cellStyle name="Normal 21 8 2 2" xfId="40495" xr:uid="{00000000-0005-0000-0000-0000B55D0000}"/>
    <cellStyle name="Normal 21 8 3" xfId="32660" xr:uid="{00000000-0005-0000-0000-0000B65D0000}"/>
    <cellStyle name="Normal 21 9" xfId="5019" xr:uid="{00000000-0005-0000-0000-0000B75D0000}"/>
    <cellStyle name="Normal 21 9 2" xfId="10410" xr:uid="{00000000-0005-0000-0000-0000B85D0000}"/>
    <cellStyle name="Normal 21 9 2 2" xfId="40496" xr:uid="{00000000-0005-0000-0000-0000B95D0000}"/>
    <cellStyle name="Normal 21 9 3" xfId="32661" xr:uid="{00000000-0005-0000-0000-0000BA5D0000}"/>
    <cellStyle name="Normal 210" xfId="32662" xr:uid="{00000000-0005-0000-0000-0000BB5D0000}"/>
    <cellStyle name="Normal 210 2" xfId="32663" xr:uid="{00000000-0005-0000-0000-0000BC5D0000}"/>
    <cellStyle name="Normal 210 3" xfId="32664" xr:uid="{00000000-0005-0000-0000-0000BD5D0000}"/>
    <cellStyle name="Normal 211" xfId="32665" xr:uid="{00000000-0005-0000-0000-0000BE5D0000}"/>
    <cellStyle name="Normal 211 2" xfId="32666" xr:uid="{00000000-0005-0000-0000-0000BF5D0000}"/>
    <cellStyle name="Normal 211 3" xfId="32667" xr:uid="{00000000-0005-0000-0000-0000C05D0000}"/>
    <cellStyle name="Normal 212" xfId="32668" xr:uid="{00000000-0005-0000-0000-0000C15D0000}"/>
    <cellStyle name="Normal 212 2" xfId="32669" xr:uid="{00000000-0005-0000-0000-0000C25D0000}"/>
    <cellStyle name="Normal 212 3" xfId="32670" xr:uid="{00000000-0005-0000-0000-0000C35D0000}"/>
    <cellStyle name="Normal 213" xfId="32671" xr:uid="{00000000-0005-0000-0000-0000C45D0000}"/>
    <cellStyle name="Normal 213 2" xfId="32672" xr:uid="{00000000-0005-0000-0000-0000C55D0000}"/>
    <cellStyle name="Normal 213 3" xfId="32673" xr:uid="{00000000-0005-0000-0000-0000C65D0000}"/>
    <cellStyle name="Normal 214" xfId="32674" xr:uid="{00000000-0005-0000-0000-0000C75D0000}"/>
    <cellStyle name="Normal 214 2" xfId="32675" xr:uid="{00000000-0005-0000-0000-0000C85D0000}"/>
    <cellStyle name="Normal 214 3" xfId="32676" xr:uid="{00000000-0005-0000-0000-0000C95D0000}"/>
    <cellStyle name="Normal 215" xfId="32677" xr:uid="{00000000-0005-0000-0000-0000CA5D0000}"/>
    <cellStyle name="Normal 215 2" xfId="32678" xr:uid="{00000000-0005-0000-0000-0000CB5D0000}"/>
    <cellStyle name="Normal 215 3" xfId="32679" xr:uid="{00000000-0005-0000-0000-0000CC5D0000}"/>
    <cellStyle name="Normal 216" xfId="32680" xr:uid="{00000000-0005-0000-0000-0000CD5D0000}"/>
    <cellStyle name="Normal 216 2" xfId="32681" xr:uid="{00000000-0005-0000-0000-0000CE5D0000}"/>
    <cellStyle name="Normal 216 3" xfId="32682" xr:uid="{00000000-0005-0000-0000-0000CF5D0000}"/>
    <cellStyle name="Normal 217" xfId="32683" xr:uid="{00000000-0005-0000-0000-0000D05D0000}"/>
    <cellStyle name="Normal 217 2" xfId="32684" xr:uid="{00000000-0005-0000-0000-0000D15D0000}"/>
    <cellStyle name="Normal 217 3" xfId="32685" xr:uid="{00000000-0005-0000-0000-0000D25D0000}"/>
    <cellStyle name="Normal 218" xfId="32686" xr:uid="{00000000-0005-0000-0000-0000D35D0000}"/>
    <cellStyle name="Normal 218 2" xfId="32687" xr:uid="{00000000-0005-0000-0000-0000D45D0000}"/>
    <cellStyle name="Normal 218 3" xfId="32688" xr:uid="{00000000-0005-0000-0000-0000D55D0000}"/>
    <cellStyle name="Normal 219" xfId="32689" xr:uid="{00000000-0005-0000-0000-0000D65D0000}"/>
    <cellStyle name="Normal 219 2" xfId="32690" xr:uid="{00000000-0005-0000-0000-0000D75D0000}"/>
    <cellStyle name="Normal 219 3" xfId="32691" xr:uid="{00000000-0005-0000-0000-0000D85D0000}"/>
    <cellStyle name="Normal 22" xfId="20" xr:uid="{00000000-0005-0000-0000-0000D95D0000}"/>
    <cellStyle name="Normal 22 2" xfId="5021" xr:uid="{00000000-0005-0000-0000-0000DA5D0000}"/>
    <cellStyle name="Normal 22 2 2" xfId="10411" xr:uid="{00000000-0005-0000-0000-0000DB5D0000}"/>
    <cellStyle name="Normal 22 2 3" xfId="40497" xr:uid="{00000000-0005-0000-0000-0000DC5D0000}"/>
    <cellStyle name="Normal 22 2 4" xfId="32692" xr:uid="{00000000-0005-0000-0000-0000DD5D0000}"/>
    <cellStyle name="Normal 22 3" xfId="10412" xr:uid="{00000000-0005-0000-0000-0000DE5D0000}"/>
    <cellStyle name="Normal 22 3 2" xfId="40498" xr:uid="{00000000-0005-0000-0000-0000DF5D0000}"/>
    <cellStyle name="Normal 22 3 3" xfId="32693" xr:uid="{00000000-0005-0000-0000-0000E05D0000}"/>
    <cellStyle name="Normal 22 4" xfId="32694" xr:uid="{00000000-0005-0000-0000-0000E15D0000}"/>
    <cellStyle name="Normal 22 4 2" xfId="40499" xr:uid="{00000000-0005-0000-0000-0000E25D0000}"/>
    <cellStyle name="Normal 22 5" xfId="5020" xr:uid="{00000000-0005-0000-0000-0000E35D0000}"/>
    <cellStyle name="Normal 220" xfId="32695" xr:uid="{00000000-0005-0000-0000-0000E45D0000}"/>
    <cellStyle name="Normal 220 2" xfId="32696" xr:uid="{00000000-0005-0000-0000-0000E55D0000}"/>
    <cellStyle name="Normal 220 3" xfId="32697" xr:uid="{00000000-0005-0000-0000-0000E65D0000}"/>
    <cellStyle name="Normal 221" xfId="32698" xr:uid="{00000000-0005-0000-0000-0000E75D0000}"/>
    <cellStyle name="Normal 221 2" xfId="32699" xr:uid="{00000000-0005-0000-0000-0000E85D0000}"/>
    <cellStyle name="Normal 221 3" xfId="32700" xr:uid="{00000000-0005-0000-0000-0000E95D0000}"/>
    <cellStyle name="Normal 222" xfId="32701" xr:uid="{00000000-0005-0000-0000-0000EA5D0000}"/>
    <cellStyle name="Normal 222 2" xfId="32702" xr:uid="{00000000-0005-0000-0000-0000EB5D0000}"/>
    <cellStyle name="Normal 222 3" xfId="32703" xr:uid="{00000000-0005-0000-0000-0000EC5D0000}"/>
    <cellStyle name="Normal 223" xfId="32704" xr:uid="{00000000-0005-0000-0000-0000ED5D0000}"/>
    <cellStyle name="Normal 223 2" xfId="32705" xr:uid="{00000000-0005-0000-0000-0000EE5D0000}"/>
    <cellStyle name="Normal 223 3" xfId="32706" xr:uid="{00000000-0005-0000-0000-0000EF5D0000}"/>
    <cellStyle name="Normal 224" xfId="32707" xr:uid="{00000000-0005-0000-0000-0000F05D0000}"/>
    <cellStyle name="Normal 224 2" xfId="32708" xr:uid="{00000000-0005-0000-0000-0000F15D0000}"/>
    <cellStyle name="Normal 224 3" xfId="32709" xr:uid="{00000000-0005-0000-0000-0000F25D0000}"/>
    <cellStyle name="Normal 225" xfId="32710" xr:uid="{00000000-0005-0000-0000-0000F35D0000}"/>
    <cellStyle name="Normal 225 2" xfId="32711" xr:uid="{00000000-0005-0000-0000-0000F45D0000}"/>
    <cellStyle name="Normal 225 3" xfId="32712" xr:uid="{00000000-0005-0000-0000-0000F55D0000}"/>
    <cellStyle name="Normal 226" xfId="32713" xr:uid="{00000000-0005-0000-0000-0000F65D0000}"/>
    <cellStyle name="Normal 226 2" xfId="32714" xr:uid="{00000000-0005-0000-0000-0000F75D0000}"/>
    <cellStyle name="Normal 226 3" xfId="32715" xr:uid="{00000000-0005-0000-0000-0000F85D0000}"/>
    <cellStyle name="Normal 227" xfId="32716" xr:uid="{00000000-0005-0000-0000-0000F95D0000}"/>
    <cellStyle name="Normal 227 2" xfId="32717" xr:uid="{00000000-0005-0000-0000-0000FA5D0000}"/>
    <cellStyle name="Normal 227 3" xfId="32718" xr:uid="{00000000-0005-0000-0000-0000FB5D0000}"/>
    <cellStyle name="Normal 228" xfId="32719" xr:uid="{00000000-0005-0000-0000-0000FC5D0000}"/>
    <cellStyle name="Normal 228 2" xfId="32720" xr:uid="{00000000-0005-0000-0000-0000FD5D0000}"/>
    <cellStyle name="Normal 228 3" xfId="32721" xr:uid="{00000000-0005-0000-0000-0000FE5D0000}"/>
    <cellStyle name="Normal 229" xfId="32722" xr:uid="{00000000-0005-0000-0000-0000FF5D0000}"/>
    <cellStyle name="Normal 229 2" xfId="32723" xr:uid="{00000000-0005-0000-0000-0000005E0000}"/>
    <cellStyle name="Normal 229 3" xfId="32724" xr:uid="{00000000-0005-0000-0000-0000015E0000}"/>
    <cellStyle name="Normal 23" xfId="5022" xr:uid="{00000000-0005-0000-0000-0000025E0000}"/>
    <cellStyle name="Normal 23 10" xfId="32725" xr:uid="{00000000-0005-0000-0000-0000035E0000}"/>
    <cellStyle name="Normal 23 2" xfId="5023" xr:uid="{00000000-0005-0000-0000-0000045E0000}"/>
    <cellStyle name="Normal 23 2 2" xfId="10413" xr:uid="{00000000-0005-0000-0000-0000055E0000}"/>
    <cellStyle name="Normal 23 2 2 2" xfId="32728" xr:uid="{00000000-0005-0000-0000-0000065E0000}"/>
    <cellStyle name="Normal 23 2 2 2 2" xfId="32729" xr:uid="{00000000-0005-0000-0000-0000075E0000}"/>
    <cellStyle name="Normal 23 2 2 2 2 2" xfId="40503" xr:uid="{00000000-0005-0000-0000-0000085E0000}"/>
    <cellStyle name="Normal 23 2 2 2 3" xfId="40502" xr:uid="{00000000-0005-0000-0000-0000095E0000}"/>
    <cellStyle name="Normal 23 2 2 3" xfId="32730" xr:uid="{00000000-0005-0000-0000-00000A5E0000}"/>
    <cellStyle name="Normal 23 2 2 3 2" xfId="40504" xr:uid="{00000000-0005-0000-0000-00000B5E0000}"/>
    <cellStyle name="Normal 23 2 2 4" xfId="40501" xr:uid="{00000000-0005-0000-0000-00000C5E0000}"/>
    <cellStyle name="Normal 23 2 2 5" xfId="32727" xr:uid="{00000000-0005-0000-0000-00000D5E0000}"/>
    <cellStyle name="Normal 23 2 3" xfId="32731" xr:uid="{00000000-0005-0000-0000-00000E5E0000}"/>
    <cellStyle name="Normal 23 2 3 2" xfId="32732" xr:uid="{00000000-0005-0000-0000-00000F5E0000}"/>
    <cellStyle name="Normal 23 2 3 2 2" xfId="40506" xr:uid="{00000000-0005-0000-0000-0000105E0000}"/>
    <cellStyle name="Normal 23 2 3 3" xfId="40505" xr:uid="{00000000-0005-0000-0000-0000115E0000}"/>
    <cellStyle name="Normal 23 2 4" xfId="32733" xr:uid="{00000000-0005-0000-0000-0000125E0000}"/>
    <cellStyle name="Normal 23 2 4 2" xfId="40507" xr:uid="{00000000-0005-0000-0000-0000135E0000}"/>
    <cellStyle name="Normal 23 2 5" xfId="40500" xr:uid="{00000000-0005-0000-0000-0000145E0000}"/>
    <cellStyle name="Normal 23 2 6" xfId="32726" xr:uid="{00000000-0005-0000-0000-0000155E0000}"/>
    <cellStyle name="Normal 23 3" xfId="10414" xr:uid="{00000000-0005-0000-0000-0000165E0000}"/>
    <cellStyle name="Normal 23 3 2" xfId="32735" xr:uid="{00000000-0005-0000-0000-0000175E0000}"/>
    <cellStyle name="Normal 23 3 2 2" xfId="32736" xr:uid="{00000000-0005-0000-0000-0000185E0000}"/>
    <cellStyle name="Normal 23 3 2 2 2" xfId="32737" xr:uid="{00000000-0005-0000-0000-0000195E0000}"/>
    <cellStyle name="Normal 23 3 2 2 2 2" xfId="40511" xr:uid="{00000000-0005-0000-0000-00001A5E0000}"/>
    <cellStyle name="Normal 23 3 2 2 3" xfId="40510" xr:uid="{00000000-0005-0000-0000-00001B5E0000}"/>
    <cellStyle name="Normal 23 3 2 3" xfId="32738" xr:uid="{00000000-0005-0000-0000-00001C5E0000}"/>
    <cellStyle name="Normal 23 3 2 3 2" xfId="40512" xr:uid="{00000000-0005-0000-0000-00001D5E0000}"/>
    <cellStyle name="Normal 23 3 2 4" xfId="40509" xr:uid="{00000000-0005-0000-0000-00001E5E0000}"/>
    <cellStyle name="Normal 23 3 3" xfId="32739" xr:uid="{00000000-0005-0000-0000-00001F5E0000}"/>
    <cellStyle name="Normal 23 3 3 2" xfId="32740" xr:uid="{00000000-0005-0000-0000-0000205E0000}"/>
    <cellStyle name="Normal 23 3 3 2 2" xfId="40514" xr:uid="{00000000-0005-0000-0000-0000215E0000}"/>
    <cellStyle name="Normal 23 3 3 3" xfId="40513" xr:uid="{00000000-0005-0000-0000-0000225E0000}"/>
    <cellStyle name="Normal 23 3 4" xfId="32741" xr:uid="{00000000-0005-0000-0000-0000235E0000}"/>
    <cellStyle name="Normal 23 3 4 2" xfId="40515" xr:uid="{00000000-0005-0000-0000-0000245E0000}"/>
    <cellStyle name="Normal 23 3 5" xfId="32742" xr:uid="{00000000-0005-0000-0000-0000255E0000}"/>
    <cellStyle name="Normal 23 3 6" xfId="40508" xr:uid="{00000000-0005-0000-0000-0000265E0000}"/>
    <cellStyle name="Normal 23 3 7" xfId="32734" xr:uid="{00000000-0005-0000-0000-0000275E0000}"/>
    <cellStyle name="Normal 23 4" xfId="32743" xr:uid="{00000000-0005-0000-0000-0000285E0000}"/>
    <cellStyle name="Normal 23 4 2" xfId="32744" xr:uid="{00000000-0005-0000-0000-0000295E0000}"/>
    <cellStyle name="Normal 23 4 2 2" xfId="32745" xr:uid="{00000000-0005-0000-0000-00002A5E0000}"/>
    <cellStyle name="Normal 23 4 2 2 2" xfId="32746" xr:uid="{00000000-0005-0000-0000-00002B5E0000}"/>
    <cellStyle name="Normal 23 4 2 2 2 2" xfId="40519" xr:uid="{00000000-0005-0000-0000-00002C5E0000}"/>
    <cellStyle name="Normal 23 4 2 2 3" xfId="40518" xr:uid="{00000000-0005-0000-0000-00002D5E0000}"/>
    <cellStyle name="Normal 23 4 2 3" xfId="32747" xr:uid="{00000000-0005-0000-0000-00002E5E0000}"/>
    <cellStyle name="Normal 23 4 2 3 2" xfId="40520" xr:uid="{00000000-0005-0000-0000-00002F5E0000}"/>
    <cellStyle name="Normal 23 4 2 4" xfId="40517" xr:uid="{00000000-0005-0000-0000-0000305E0000}"/>
    <cellStyle name="Normal 23 4 3" xfId="32748" xr:uid="{00000000-0005-0000-0000-0000315E0000}"/>
    <cellStyle name="Normal 23 4 3 2" xfId="32749" xr:uid="{00000000-0005-0000-0000-0000325E0000}"/>
    <cellStyle name="Normal 23 4 3 2 2" xfId="40522" xr:uid="{00000000-0005-0000-0000-0000335E0000}"/>
    <cellStyle name="Normal 23 4 3 3" xfId="40521" xr:uid="{00000000-0005-0000-0000-0000345E0000}"/>
    <cellStyle name="Normal 23 4 4" xfId="32750" xr:uid="{00000000-0005-0000-0000-0000355E0000}"/>
    <cellStyle name="Normal 23 4 4 2" xfId="40523" xr:uid="{00000000-0005-0000-0000-0000365E0000}"/>
    <cellStyle name="Normal 23 4 5" xfId="32751" xr:uid="{00000000-0005-0000-0000-0000375E0000}"/>
    <cellStyle name="Normal 23 4 6" xfId="40516" xr:uid="{00000000-0005-0000-0000-0000385E0000}"/>
    <cellStyle name="Normal 23 5" xfId="32752" xr:uid="{00000000-0005-0000-0000-0000395E0000}"/>
    <cellStyle name="Normal 23 5 2" xfId="32753" xr:uid="{00000000-0005-0000-0000-00003A5E0000}"/>
    <cellStyle name="Normal 23 5 2 2" xfId="32754" xr:uid="{00000000-0005-0000-0000-00003B5E0000}"/>
    <cellStyle name="Normal 23 5 2 2 2" xfId="40526" xr:uid="{00000000-0005-0000-0000-00003C5E0000}"/>
    <cellStyle name="Normal 23 5 2 3" xfId="40525" xr:uid="{00000000-0005-0000-0000-00003D5E0000}"/>
    <cellStyle name="Normal 23 5 3" xfId="32755" xr:uid="{00000000-0005-0000-0000-00003E5E0000}"/>
    <cellStyle name="Normal 23 5 3 2" xfId="40527" xr:uid="{00000000-0005-0000-0000-00003F5E0000}"/>
    <cellStyle name="Normal 23 5 4" xfId="40524" xr:uid="{00000000-0005-0000-0000-0000405E0000}"/>
    <cellStyle name="Normal 23 6" xfId="32756" xr:uid="{00000000-0005-0000-0000-0000415E0000}"/>
    <cellStyle name="Normal 23 6 2" xfId="32757" xr:uid="{00000000-0005-0000-0000-0000425E0000}"/>
    <cellStyle name="Normal 23 6 2 2" xfId="40529" xr:uid="{00000000-0005-0000-0000-0000435E0000}"/>
    <cellStyle name="Normal 23 6 3" xfId="40528" xr:uid="{00000000-0005-0000-0000-0000445E0000}"/>
    <cellStyle name="Normal 23 7" xfId="32758" xr:uid="{00000000-0005-0000-0000-0000455E0000}"/>
    <cellStyle name="Normal 23 7 2" xfId="40530" xr:uid="{00000000-0005-0000-0000-0000465E0000}"/>
    <cellStyle name="Normal 23 8" xfId="32759" xr:uid="{00000000-0005-0000-0000-0000475E0000}"/>
    <cellStyle name="Normal 23 8 2" xfId="40531" xr:uid="{00000000-0005-0000-0000-0000485E0000}"/>
    <cellStyle name="Normal 23 9" xfId="32760" xr:uid="{00000000-0005-0000-0000-0000495E0000}"/>
    <cellStyle name="Normal 23 9 2" xfId="40532" xr:uid="{00000000-0005-0000-0000-00004A5E0000}"/>
    <cellStyle name="Normal 230" xfId="32761" xr:uid="{00000000-0005-0000-0000-00004B5E0000}"/>
    <cellStyle name="Normal 230 2" xfId="32762" xr:uid="{00000000-0005-0000-0000-00004C5E0000}"/>
    <cellStyle name="Normal 230 3" xfId="32763" xr:uid="{00000000-0005-0000-0000-00004D5E0000}"/>
    <cellStyle name="Normal 231" xfId="32764" xr:uid="{00000000-0005-0000-0000-00004E5E0000}"/>
    <cellStyle name="Normal 231 2" xfId="32765" xr:uid="{00000000-0005-0000-0000-00004F5E0000}"/>
    <cellStyle name="Normal 231 3" xfId="32766" xr:uid="{00000000-0005-0000-0000-0000505E0000}"/>
    <cellStyle name="Normal 232" xfId="32767" xr:uid="{00000000-0005-0000-0000-0000515E0000}"/>
    <cellStyle name="Normal 232 2" xfId="32768" xr:uid="{00000000-0005-0000-0000-0000525E0000}"/>
    <cellStyle name="Normal 232 3" xfId="32769" xr:uid="{00000000-0005-0000-0000-0000535E0000}"/>
    <cellStyle name="Normal 233" xfId="32770" xr:uid="{00000000-0005-0000-0000-0000545E0000}"/>
    <cellStyle name="Normal 233 2" xfId="32771" xr:uid="{00000000-0005-0000-0000-0000555E0000}"/>
    <cellStyle name="Normal 233 3" xfId="32772" xr:uid="{00000000-0005-0000-0000-0000565E0000}"/>
    <cellStyle name="Normal 234" xfId="32773" xr:uid="{00000000-0005-0000-0000-0000575E0000}"/>
    <cellStyle name="Normal 234 2" xfId="32774" xr:uid="{00000000-0005-0000-0000-0000585E0000}"/>
    <cellStyle name="Normal 234 3" xfId="32775" xr:uid="{00000000-0005-0000-0000-0000595E0000}"/>
    <cellStyle name="Normal 235" xfId="32776" xr:uid="{00000000-0005-0000-0000-00005A5E0000}"/>
    <cellStyle name="Normal 235 2" xfId="32777" xr:uid="{00000000-0005-0000-0000-00005B5E0000}"/>
    <cellStyle name="Normal 235 3" xfId="32778" xr:uid="{00000000-0005-0000-0000-00005C5E0000}"/>
    <cellStyle name="Normal 236" xfId="32779" xr:uid="{00000000-0005-0000-0000-00005D5E0000}"/>
    <cellStyle name="Normal 236 2" xfId="32780" xr:uid="{00000000-0005-0000-0000-00005E5E0000}"/>
    <cellStyle name="Normal 236 3" xfId="32781" xr:uid="{00000000-0005-0000-0000-00005F5E0000}"/>
    <cellStyle name="Normal 237" xfId="32782" xr:uid="{00000000-0005-0000-0000-0000605E0000}"/>
    <cellStyle name="Normal 237 2" xfId="32783" xr:uid="{00000000-0005-0000-0000-0000615E0000}"/>
    <cellStyle name="Normal 237 3" xfId="32784" xr:uid="{00000000-0005-0000-0000-0000625E0000}"/>
    <cellStyle name="Normal 238" xfId="32785" xr:uid="{00000000-0005-0000-0000-0000635E0000}"/>
    <cellStyle name="Normal 238 2" xfId="32786" xr:uid="{00000000-0005-0000-0000-0000645E0000}"/>
    <cellStyle name="Normal 238 3" xfId="32787" xr:uid="{00000000-0005-0000-0000-0000655E0000}"/>
    <cellStyle name="Normal 239" xfId="32788" xr:uid="{00000000-0005-0000-0000-0000665E0000}"/>
    <cellStyle name="Normal 239 2" xfId="32789" xr:uid="{00000000-0005-0000-0000-0000675E0000}"/>
    <cellStyle name="Normal 239 3" xfId="32790" xr:uid="{00000000-0005-0000-0000-0000685E0000}"/>
    <cellStyle name="Normal 24" xfId="5024" xr:uid="{00000000-0005-0000-0000-0000695E0000}"/>
    <cellStyle name="Normal 24 10" xfId="32791" xr:uid="{00000000-0005-0000-0000-00006A5E0000}"/>
    <cellStyle name="Normal 24 2" xfId="5025" xr:uid="{00000000-0005-0000-0000-00006B5E0000}"/>
    <cellStyle name="Normal 24 2 2" xfId="10415" xr:uid="{00000000-0005-0000-0000-00006C5E0000}"/>
    <cellStyle name="Normal 24 2 2 2" xfId="32794" xr:uid="{00000000-0005-0000-0000-00006D5E0000}"/>
    <cellStyle name="Normal 24 2 2 2 2" xfId="32795" xr:uid="{00000000-0005-0000-0000-00006E5E0000}"/>
    <cellStyle name="Normal 24 2 2 2 2 2" xfId="40537" xr:uid="{00000000-0005-0000-0000-00006F5E0000}"/>
    <cellStyle name="Normal 24 2 2 2 3" xfId="40536" xr:uid="{00000000-0005-0000-0000-0000705E0000}"/>
    <cellStyle name="Normal 24 2 2 3" xfId="32796" xr:uid="{00000000-0005-0000-0000-0000715E0000}"/>
    <cellStyle name="Normal 24 2 2 3 2" xfId="40538" xr:uid="{00000000-0005-0000-0000-0000725E0000}"/>
    <cellStyle name="Normal 24 2 2 4" xfId="40535" xr:uid="{00000000-0005-0000-0000-0000735E0000}"/>
    <cellStyle name="Normal 24 2 2 5" xfId="32793" xr:uid="{00000000-0005-0000-0000-0000745E0000}"/>
    <cellStyle name="Normal 24 2 3" xfId="32797" xr:uid="{00000000-0005-0000-0000-0000755E0000}"/>
    <cellStyle name="Normal 24 2 3 2" xfId="32798" xr:uid="{00000000-0005-0000-0000-0000765E0000}"/>
    <cellStyle name="Normal 24 2 3 2 2" xfId="40540" xr:uid="{00000000-0005-0000-0000-0000775E0000}"/>
    <cellStyle name="Normal 24 2 3 3" xfId="40539" xr:uid="{00000000-0005-0000-0000-0000785E0000}"/>
    <cellStyle name="Normal 24 2 4" xfId="32799" xr:uid="{00000000-0005-0000-0000-0000795E0000}"/>
    <cellStyle name="Normal 24 2 4 2" xfId="40541" xr:uid="{00000000-0005-0000-0000-00007A5E0000}"/>
    <cellStyle name="Normal 24 2 5" xfId="40534" xr:uid="{00000000-0005-0000-0000-00007B5E0000}"/>
    <cellStyle name="Normal 24 2 6" xfId="32792" xr:uid="{00000000-0005-0000-0000-00007C5E0000}"/>
    <cellStyle name="Normal 24 3" xfId="10416" xr:uid="{00000000-0005-0000-0000-00007D5E0000}"/>
    <cellStyle name="Normal 24 3 2" xfId="32801" xr:uid="{00000000-0005-0000-0000-00007E5E0000}"/>
    <cellStyle name="Normal 24 3 2 2" xfId="32802" xr:uid="{00000000-0005-0000-0000-00007F5E0000}"/>
    <cellStyle name="Normal 24 3 2 2 2" xfId="32803" xr:uid="{00000000-0005-0000-0000-0000805E0000}"/>
    <cellStyle name="Normal 24 3 2 2 2 2" xfId="40545" xr:uid="{00000000-0005-0000-0000-0000815E0000}"/>
    <cellStyle name="Normal 24 3 2 2 3" xfId="40544" xr:uid="{00000000-0005-0000-0000-0000825E0000}"/>
    <cellStyle name="Normal 24 3 2 3" xfId="32804" xr:uid="{00000000-0005-0000-0000-0000835E0000}"/>
    <cellStyle name="Normal 24 3 2 3 2" xfId="40546" xr:uid="{00000000-0005-0000-0000-0000845E0000}"/>
    <cellStyle name="Normal 24 3 2 4" xfId="40543" xr:uid="{00000000-0005-0000-0000-0000855E0000}"/>
    <cellStyle name="Normal 24 3 3" xfId="32805" xr:uid="{00000000-0005-0000-0000-0000865E0000}"/>
    <cellStyle name="Normal 24 3 3 2" xfId="32806" xr:uid="{00000000-0005-0000-0000-0000875E0000}"/>
    <cellStyle name="Normal 24 3 3 2 2" xfId="40548" xr:uid="{00000000-0005-0000-0000-0000885E0000}"/>
    <cellStyle name="Normal 24 3 3 3" xfId="40547" xr:uid="{00000000-0005-0000-0000-0000895E0000}"/>
    <cellStyle name="Normal 24 3 4" xfId="32807" xr:uid="{00000000-0005-0000-0000-00008A5E0000}"/>
    <cellStyle name="Normal 24 3 4 2" xfId="40549" xr:uid="{00000000-0005-0000-0000-00008B5E0000}"/>
    <cellStyle name="Normal 24 3 5" xfId="32808" xr:uid="{00000000-0005-0000-0000-00008C5E0000}"/>
    <cellStyle name="Normal 24 3 6" xfId="40542" xr:uid="{00000000-0005-0000-0000-00008D5E0000}"/>
    <cellStyle name="Normal 24 3 7" xfId="32800" xr:uid="{00000000-0005-0000-0000-00008E5E0000}"/>
    <cellStyle name="Normal 24 4" xfId="32809" xr:uid="{00000000-0005-0000-0000-00008F5E0000}"/>
    <cellStyle name="Normal 24 4 2" xfId="32810" xr:uid="{00000000-0005-0000-0000-0000905E0000}"/>
    <cellStyle name="Normal 24 4 2 2" xfId="32811" xr:uid="{00000000-0005-0000-0000-0000915E0000}"/>
    <cellStyle name="Normal 24 4 2 2 2" xfId="32812" xr:uid="{00000000-0005-0000-0000-0000925E0000}"/>
    <cellStyle name="Normal 24 4 2 2 2 2" xfId="40553" xr:uid="{00000000-0005-0000-0000-0000935E0000}"/>
    <cellStyle name="Normal 24 4 2 2 3" xfId="40552" xr:uid="{00000000-0005-0000-0000-0000945E0000}"/>
    <cellStyle name="Normal 24 4 2 3" xfId="32813" xr:uid="{00000000-0005-0000-0000-0000955E0000}"/>
    <cellStyle name="Normal 24 4 2 3 2" xfId="40554" xr:uid="{00000000-0005-0000-0000-0000965E0000}"/>
    <cellStyle name="Normal 24 4 2 4" xfId="40551" xr:uid="{00000000-0005-0000-0000-0000975E0000}"/>
    <cellStyle name="Normal 24 4 3" xfId="32814" xr:uid="{00000000-0005-0000-0000-0000985E0000}"/>
    <cellStyle name="Normal 24 4 3 2" xfId="32815" xr:uid="{00000000-0005-0000-0000-0000995E0000}"/>
    <cellStyle name="Normal 24 4 3 2 2" xfId="40556" xr:uid="{00000000-0005-0000-0000-00009A5E0000}"/>
    <cellStyle name="Normal 24 4 3 3" xfId="40555" xr:uid="{00000000-0005-0000-0000-00009B5E0000}"/>
    <cellStyle name="Normal 24 4 4" xfId="32816" xr:uid="{00000000-0005-0000-0000-00009C5E0000}"/>
    <cellStyle name="Normal 24 4 4 2" xfId="40557" xr:uid="{00000000-0005-0000-0000-00009D5E0000}"/>
    <cellStyle name="Normal 24 4 5" xfId="32817" xr:uid="{00000000-0005-0000-0000-00009E5E0000}"/>
    <cellStyle name="Normal 24 4 6" xfId="40550" xr:uid="{00000000-0005-0000-0000-00009F5E0000}"/>
    <cellStyle name="Normal 24 5" xfId="32818" xr:uid="{00000000-0005-0000-0000-0000A05E0000}"/>
    <cellStyle name="Normal 24 5 2" xfId="32819" xr:uid="{00000000-0005-0000-0000-0000A15E0000}"/>
    <cellStyle name="Normal 24 5 2 2" xfId="32820" xr:uid="{00000000-0005-0000-0000-0000A25E0000}"/>
    <cellStyle name="Normal 24 5 2 2 2" xfId="40560" xr:uid="{00000000-0005-0000-0000-0000A35E0000}"/>
    <cellStyle name="Normal 24 5 2 3" xfId="40559" xr:uid="{00000000-0005-0000-0000-0000A45E0000}"/>
    <cellStyle name="Normal 24 5 3" xfId="32821" xr:uid="{00000000-0005-0000-0000-0000A55E0000}"/>
    <cellStyle name="Normal 24 5 3 2" xfId="40561" xr:uid="{00000000-0005-0000-0000-0000A65E0000}"/>
    <cellStyle name="Normal 24 5 4" xfId="40558" xr:uid="{00000000-0005-0000-0000-0000A75E0000}"/>
    <cellStyle name="Normal 24 6" xfId="32822" xr:uid="{00000000-0005-0000-0000-0000A85E0000}"/>
    <cellStyle name="Normal 24 6 2" xfId="32823" xr:uid="{00000000-0005-0000-0000-0000A95E0000}"/>
    <cellStyle name="Normal 24 6 2 2" xfId="40563" xr:uid="{00000000-0005-0000-0000-0000AA5E0000}"/>
    <cellStyle name="Normal 24 6 3" xfId="40562" xr:uid="{00000000-0005-0000-0000-0000AB5E0000}"/>
    <cellStyle name="Normal 24 7" xfId="32824" xr:uid="{00000000-0005-0000-0000-0000AC5E0000}"/>
    <cellStyle name="Normal 24 7 2" xfId="40564" xr:uid="{00000000-0005-0000-0000-0000AD5E0000}"/>
    <cellStyle name="Normal 24 8" xfId="32825" xr:uid="{00000000-0005-0000-0000-0000AE5E0000}"/>
    <cellStyle name="Normal 24 8 2" xfId="40565" xr:uid="{00000000-0005-0000-0000-0000AF5E0000}"/>
    <cellStyle name="Normal 24 9" xfId="40533" xr:uid="{00000000-0005-0000-0000-0000B05E0000}"/>
    <cellStyle name="Normal 240" xfId="32826" xr:uid="{00000000-0005-0000-0000-0000B15E0000}"/>
    <cellStyle name="Normal 240 2" xfId="32827" xr:uid="{00000000-0005-0000-0000-0000B25E0000}"/>
    <cellStyle name="Normal 240 3" xfId="32828" xr:uid="{00000000-0005-0000-0000-0000B35E0000}"/>
    <cellStyle name="Normal 241" xfId="32829" xr:uid="{00000000-0005-0000-0000-0000B45E0000}"/>
    <cellStyle name="Normal 241 2" xfId="32830" xr:uid="{00000000-0005-0000-0000-0000B55E0000}"/>
    <cellStyle name="Normal 241 3" xfId="32831" xr:uid="{00000000-0005-0000-0000-0000B65E0000}"/>
    <cellStyle name="Normal 242" xfId="32832" xr:uid="{00000000-0005-0000-0000-0000B75E0000}"/>
    <cellStyle name="Normal 242 2" xfId="32833" xr:uid="{00000000-0005-0000-0000-0000B85E0000}"/>
    <cellStyle name="Normal 242 3" xfId="32834" xr:uid="{00000000-0005-0000-0000-0000B95E0000}"/>
    <cellStyle name="Normal 243" xfId="32835" xr:uid="{00000000-0005-0000-0000-0000BA5E0000}"/>
    <cellStyle name="Normal 243 2" xfId="32836" xr:uid="{00000000-0005-0000-0000-0000BB5E0000}"/>
    <cellStyle name="Normal 243 3" xfId="32837" xr:uid="{00000000-0005-0000-0000-0000BC5E0000}"/>
    <cellStyle name="Normal 244" xfId="32838" xr:uid="{00000000-0005-0000-0000-0000BD5E0000}"/>
    <cellStyle name="Normal 244 2" xfId="32839" xr:uid="{00000000-0005-0000-0000-0000BE5E0000}"/>
    <cellStyle name="Normal 244 3" xfId="32840" xr:uid="{00000000-0005-0000-0000-0000BF5E0000}"/>
    <cellStyle name="Normal 245" xfId="32841" xr:uid="{00000000-0005-0000-0000-0000C05E0000}"/>
    <cellStyle name="Normal 245 2" xfId="32842" xr:uid="{00000000-0005-0000-0000-0000C15E0000}"/>
    <cellStyle name="Normal 245 3" xfId="32843" xr:uid="{00000000-0005-0000-0000-0000C25E0000}"/>
    <cellStyle name="Normal 246" xfId="32844" xr:uid="{00000000-0005-0000-0000-0000C35E0000}"/>
    <cellStyle name="Normal 246 2" xfId="32845" xr:uid="{00000000-0005-0000-0000-0000C45E0000}"/>
    <cellStyle name="Normal 246 3" xfId="32846" xr:uid="{00000000-0005-0000-0000-0000C55E0000}"/>
    <cellStyle name="Normal 247" xfId="32847" xr:uid="{00000000-0005-0000-0000-0000C65E0000}"/>
    <cellStyle name="Normal 247 2" xfId="32848" xr:uid="{00000000-0005-0000-0000-0000C75E0000}"/>
    <cellStyle name="Normal 247 3" xfId="32849" xr:uid="{00000000-0005-0000-0000-0000C85E0000}"/>
    <cellStyle name="Normal 248" xfId="32850" xr:uid="{00000000-0005-0000-0000-0000C95E0000}"/>
    <cellStyle name="Normal 248 2" xfId="32851" xr:uid="{00000000-0005-0000-0000-0000CA5E0000}"/>
    <cellStyle name="Normal 248 3" xfId="32852" xr:uid="{00000000-0005-0000-0000-0000CB5E0000}"/>
    <cellStyle name="Normal 249" xfId="32853" xr:uid="{00000000-0005-0000-0000-0000CC5E0000}"/>
    <cellStyle name="Normal 249 2" xfId="32854" xr:uid="{00000000-0005-0000-0000-0000CD5E0000}"/>
    <cellStyle name="Normal 249 3" xfId="32855" xr:uid="{00000000-0005-0000-0000-0000CE5E0000}"/>
    <cellStyle name="Normal 25" xfId="5026" xr:uid="{00000000-0005-0000-0000-0000CF5E0000}"/>
    <cellStyle name="Normal 25 2" xfId="5027" xr:uid="{00000000-0005-0000-0000-0000D05E0000}"/>
    <cellStyle name="Normal 25 2 2" xfId="10417" xr:uid="{00000000-0005-0000-0000-0000D15E0000}"/>
    <cellStyle name="Normal 25 2 2 2" xfId="40567" xr:uid="{00000000-0005-0000-0000-0000D25E0000}"/>
    <cellStyle name="Normal 25 2 3" xfId="32857" xr:uid="{00000000-0005-0000-0000-0000D35E0000}"/>
    <cellStyle name="Normal 25 3" xfId="10418" xr:uid="{00000000-0005-0000-0000-0000D45E0000}"/>
    <cellStyle name="Normal 25 3 2" xfId="40566" xr:uid="{00000000-0005-0000-0000-0000D55E0000}"/>
    <cellStyle name="Normal 25 4" xfId="32856" xr:uid="{00000000-0005-0000-0000-0000D65E0000}"/>
    <cellStyle name="Normal 250" xfId="32858" xr:uid="{00000000-0005-0000-0000-0000D75E0000}"/>
    <cellStyle name="Normal 250 2" xfId="32859" xr:uid="{00000000-0005-0000-0000-0000D85E0000}"/>
    <cellStyle name="Normal 250 3" xfId="32860" xr:uid="{00000000-0005-0000-0000-0000D95E0000}"/>
    <cellStyle name="Normal 251" xfId="32861" xr:uid="{00000000-0005-0000-0000-0000DA5E0000}"/>
    <cellStyle name="Normal 251 2" xfId="32862" xr:uid="{00000000-0005-0000-0000-0000DB5E0000}"/>
    <cellStyle name="Normal 251 3" xfId="32863" xr:uid="{00000000-0005-0000-0000-0000DC5E0000}"/>
    <cellStyle name="Normal 252" xfId="32864" xr:uid="{00000000-0005-0000-0000-0000DD5E0000}"/>
    <cellStyle name="Normal 252 2" xfId="32865" xr:uid="{00000000-0005-0000-0000-0000DE5E0000}"/>
    <cellStyle name="Normal 252 3" xfId="32866" xr:uid="{00000000-0005-0000-0000-0000DF5E0000}"/>
    <cellStyle name="Normal 253" xfId="32867" xr:uid="{00000000-0005-0000-0000-0000E05E0000}"/>
    <cellStyle name="Normal 253 2" xfId="32868" xr:uid="{00000000-0005-0000-0000-0000E15E0000}"/>
    <cellStyle name="Normal 253 3" xfId="32869" xr:uid="{00000000-0005-0000-0000-0000E25E0000}"/>
    <cellStyle name="Normal 254" xfId="32870" xr:uid="{00000000-0005-0000-0000-0000E35E0000}"/>
    <cellStyle name="Normal 254 2" xfId="32871" xr:uid="{00000000-0005-0000-0000-0000E45E0000}"/>
    <cellStyle name="Normal 254 3" xfId="32872" xr:uid="{00000000-0005-0000-0000-0000E55E0000}"/>
    <cellStyle name="Normal 255" xfId="32873" xr:uid="{00000000-0005-0000-0000-0000E65E0000}"/>
    <cellStyle name="Normal 255 2" xfId="32874" xr:uid="{00000000-0005-0000-0000-0000E75E0000}"/>
    <cellStyle name="Normal 255 3" xfId="32875" xr:uid="{00000000-0005-0000-0000-0000E85E0000}"/>
    <cellStyle name="Normal 256" xfId="32876" xr:uid="{00000000-0005-0000-0000-0000E95E0000}"/>
    <cellStyle name="Normal 256 2" xfId="32877" xr:uid="{00000000-0005-0000-0000-0000EA5E0000}"/>
    <cellStyle name="Normal 256 3" xfId="32878" xr:uid="{00000000-0005-0000-0000-0000EB5E0000}"/>
    <cellStyle name="Normal 257" xfId="32879" xr:uid="{00000000-0005-0000-0000-0000EC5E0000}"/>
    <cellStyle name="Normal 257 2" xfId="32880" xr:uid="{00000000-0005-0000-0000-0000ED5E0000}"/>
    <cellStyle name="Normal 257 3" xfId="32881" xr:uid="{00000000-0005-0000-0000-0000EE5E0000}"/>
    <cellStyle name="Normal 258" xfId="32882" xr:uid="{00000000-0005-0000-0000-0000EF5E0000}"/>
    <cellStyle name="Normal 258 2" xfId="32883" xr:uid="{00000000-0005-0000-0000-0000F05E0000}"/>
    <cellStyle name="Normal 258 3" xfId="32884" xr:uid="{00000000-0005-0000-0000-0000F15E0000}"/>
    <cellStyle name="Normal 259" xfId="32885" xr:uid="{00000000-0005-0000-0000-0000F25E0000}"/>
    <cellStyle name="Normal 259 2" xfId="32886" xr:uid="{00000000-0005-0000-0000-0000F35E0000}"/>
    <cellStyle name="Normal 259 3" xfId="32887" xr:uid="{00000000-0005-0000-0000-0000F45E0000}"/>
    <cellStyle name="Normal 26" xfId="21" xr:uid="{00000000-0005-0000-0000-0000F55E0000}"/>
    <cellStyle name="Normal 26 10" xfId="5029" xr:uid="{00000000-0005-0000-0000-0000F65E0000}"/>
    <cellStyle name="Normal 26 10 2" xfId="5030" xr:uid="{00000000-0005-0000-0000-0000F75E0000}"/>
    <cellStyle name="Normal 26 10 2 2" xfId="5031" xr:uid="{00000000-0005-0000-0000-0000F85E0000}"/>
    <cellStyle name="Normal 26 10 2 2 2" xfId="18905" xr:uid="{00000000-0005-0000-0000-0000F95E0000}"/>
    <cellStyle name="Normal 26 10 2 3" xfId="18387" xr:uid="{00000000-0005-0000-0000-0000FA5E0000}"/>
    <cellStyle name="Normal 26 10 3" xfId="5032" xr:uid="{00000000-0005-0000-0000-0000FB5E0000}"/>
    <cellStyle name="Normal 26 10 3 2" xfId="18623" xr:uid="{00000000-0005-0000-0000-0000FC5E0000}"/>
    <cellStyle name="Normal 26 10 4" xfId="18096" xr:uid="{00000000-0005-0000-0000-0000FD5E0000}"/>
    <cellStyle name="Normal 26 11" xfId="5033" xr:uid="{00000000-0005-0000-0000-0000FE5E0000}"/>
    <cellStyle name="Normal 26 11 2" xfId="18506" xr:uid="{00000000-0005-0000-0000-0000FF5E0000}"/>
    <cellStyle name="Normal 26 12" xfId="16162" xr:uid="{00000000-0005-0000-0000-0000005F0000}"/>
    <cellStyle name="Normal 26 13" xfId="32888" xr:uid="{00000000-0005-0000-0000-0000015F0000}"/>
    <cellStyle name="Normal 26 14" xfId="5028" xr:uid="{00000000-0005-0000-0000-0000025F0000}"/>
    <cellStyle name="Normal 26 2" xfId="5034" xr:uid="{00000000-0005-0000-0000-0000035F0000}"/>
    <cellStyle name="Normal 26 2 2" xfId="10419" xr:uid="{00000000-0005-0000-0000-0000045F0000}"/>
    <cellStyle name="Normal 26 2 2 2" xfId="40569" xr:uid="{00000000-0005-0000-0000-0000055F0000}"/>
    <cellStyle name="Normal 26 2 3" xfId="32889" xr:uid="{00000000-0005-0000-0000-0000065F0000}"/>
    <cellStyle name="Normal 26 3" xfId="5035" xr:uid="{00000000-0005-0000-0000-0000075F0000}"/>
    <cellStyle name="Normal 26 3 2" xfId="10420" xr:uid="{00000000-0005-0000-0000-0000085F0000}"/>
    <cellStyle name="Normal 26 3 3" xfId="40570" xr:uid="{00000000-0005-0000-0000-0000095F0000}"/>
    <cellStyle name="Normal 26 3 4" xfId="32890" xr:uid="{00000000-0005-0000-0000-00000A5F0000}"/>
    <cellStyle name="Normal 26 4" xfId="5036" xr:uid="{00000000-0005-0000-0000-00000B5F0000}"/>
    <cellStyle name="Normal 26 4 2" xfId="10421" xr:uid="{00000000-0005-0000-0000-00000C5F0000}"/>
    <cellStyle name="Normal 26 4 2 2" xfId="40571" xr:uid="{00000000-0005-0000-0000-00000D5F0000}"/>
    <cellStyle name="Normal 26 4 3" xfId="32891" xr:uid="{00000000-0005-0000-0000-00000E5F0000}"/>
    <cellStyle name="Normal 26 5" xfId="5037" xr:uid="{00000000-0005-0000-0000-00000F5F0000}"/>
    <cellStyle name="Normal 26 5 2" xfId="10422" xr:uid="{00000000-0005-0000-0000-0000105F0000}"/>
    <cellStyle name="Normal 26 5 3" xfId="40568" xr:uid="{00000000-0005-0000-0000-0000115F0000}"/>
    <cellStyle name="Normal 26 6" xfId="5038" xr:uid="{00000000-0005-0000-0000-0000125F0000}"/>
    <cellStyle name="Normal 26 6 2" xfId="10423" xr:uid="{00000000-0005-0000-0000-0000135F0000}"/>
    <cellStyle name="Normal 26 7" xfId="5039" xr:uid="{00000000-0005-0000-0000-0000145F0000}"/>
    <cellStyle name="Normal 26 7 2" xfId="10424" xr:uid="{00000000-0005-0000-0000-0000155F0000}"/>
    <cellStyle name="Normal 26 8" xfId="5040" xr:uid="{00000000-0005-0000-0000-0000165F0000}"/>
    <cellStyle name="Normal 26 8 2" xfId="5041" xr:uid="{00000000-0005-0000-0000-0000175F0000}"/>
    <cellStyle name="Normal 26 8 2 2" xfId="10425" xr:uid="{00000000-0005-0000-0000-0000185F0000}"/>
    <cellStyle name="Normal 26 8 3" xfId="10426" xr:uid="{00000000-0005-0000-0000-0000195F0000}"/>
    <cellStyle name="Normal 26 9" xfId="5042" xr:uid="{00000000-0005-0000-0000-00001A5F0000}"/>
    <cellStyle name="Normal 26 9 2" xfId="5043" xr:uid="{00000000-0005-0000-0000-00001B5F0000}"/>
    <cellStyle name="Normal 26 9 2 2" xfId="5044" xr:uid="{00000000-0005-0000-0000-00001C5F0000}"/>
    <cellStyle name="Normal 26 9 2 2 2" xfId="5045" xr:uid="{00000000-0005-0000-0000-00001D5F0000}"/>
    <cellStyle name="Normal 26 9 2 2 2 2" xfId="5046" xr:uid="{00000000-0005-0000-0000-00001E5F0000}"/>
    <cellStyle name="Normal 26 9 2 2 2 2 2" xfId="18967" xr:uid="{00000000-0005-0000-0000-00001F5F0000}"/>
    <cellStyle name="Normal 26 9 2 2 2 3" xfId="18449" xr:uid="{00000000-0005-0000-0000-0000205F0000}"/>
    <cellStyle name="Normal 26 9 2 2 3" xfId="5047" xr:uid="{00000000-0005-0000-0000-0000215F0000}"/>
    <cellStyle name="Normal 26 9 2 2 3 2" xfId="18685" xr:uid="{00000000-0005-0000-0000-0000225F0000}"/>
    <cellStyle name="Normal 26 9 2 2 4" xfId="18158" xr:uid="{00000000-0005-0000-0000-0000235F0000}"/>
    <cellStyle name="Normal 26 9 2 3" xfId="5048" xr:uid="{00000000-0005-0000-0000-0000245F0000}"/>
    <cellStyle name="Normal 26 9 2 3 2" xfId="5049" xr:uid="{00000000-0005-0000-0000-0000255F0000}"/>
    <cellStyle name="Normal 26 9 2 3 2 2" xfId="18846" xr:uid="{00000000-0005-0000-0000-0000265F0000}"/>
    <cellStyle name="Normal 26 9 2 3 3" xfId="18325" xr:uid="{00000000-0005-0000-0000-0000275F0000}"/>
    <cellStyle name="Normal 26 9 2 4" xfId="5050" xr:uid="{00000000-0005-0000-0000-0000285F0000}"/>
    <cellStyle name="Normal 26 9 2 4 2" xfId="18568" xr:uid="{00000000-0005-0000-0000-0000295F0000}"/>
    <cellStyle name="Normal 26 9 2 5" xfId="18009" xr:uid="{00000000-0005-0000-0000-00002A5F0000}"/>
    <cellStyle name="Normal 26 9 3" xfId="5051" xr:uid="{00000000-0005-0000-0000-00002B5F0000}"/>
    <cellStyle name="Normal 26 9 3 2" xfId="5052" xr:uid="{00000000-0005-0000-0000-00002C5F0000}"/>
    <cellStyle name="Normal 26 9 3 2 2" xfId="5053" xr:uid="{00000000-0005-0000-0000-00002D5F0000}"/>
    <cellStyle name="Normal 26 9 3 2 2 2" xfId="18911" xr:uid="{00000000-0005-0000-0000-00002E5F0000}"/>
    <cellStyle name="Normal 26 9 3 2 3" xfId="18393" xr:uid="{00000000-0005-0000-0000-00002F5F0000}"/>
    <cellStyle name="Normal 26 9 3 3" xfId="5054" xr:uid="{00000000-0005-0000-0000-0000305F0000}"/>
    <cellStyle name="Normal 26 9 3 3 2" xfId="18629" xr:uid="{00000000-0005-0000-0000-0000315F0000}"/>
    <cellStyle name="Normal 26 9 3 4" xfId="18102" xr:uid="{00000000-0005-0000-0000-0000325F0000}"/>
    <cellStyle name="Normal 26 9 4" xfId="5055" xr:uid="{00000000-0005-0000-0000-0000335F0000}"/>
    <cellStyle name="Normal 26 9 4 2" xfId="5056" xr:uid="{00000000-0005-0000-0000-0000345F0000}"/>
    <cellStyle name="Normal 26 9 4 2 2" xfId="18770" xr:uid="{00000000-0005-0000-0000-0000355F0000}"/>
    <cellStyle name="Normal 26 9 4 3" xfId="18243" xr:uid="{00000000-0005-0000-0000-0000365F0000}"/>
    <cellStyle name="Normal 26 9 5" xfId="5057" xr:uid="{00000000-0005-0000-0000-0000375F0000}"/>
    <cellStyle name="Normal 26 9 5 2" xfId="18512" xr:uid="{00000000-0005-0000-0000-0000385F0000}"/>
    <cellStyle name="Normal 26 9 6" xfId="16792" xr:uid="{00000000-0005-0000-0000-0000395F0000}"/>
    <cellStyle name="Normal 260" xfId="32892" xr:uid="{00000000-0005-0000-0000-00003A5F0000}"/>
    <cellStyle name="Normal 260 2" xfId="32893" xr:uid="{00000000-0005-0000-0000-00003B5F0000}"/>
    <cellStyle name="Normal 260 3" xfId="32894" xr:uid="{00000000-0005-0000-0000-00003C5F0000}"/>
    <cellStyle name="Normal 261" xfId="32895" xr:uid="{00000000-0005-0000-0000-00003D5F0000}"/>
    <cellStyle name="Normal 261 2" xfId="32896" xr:uid="{00000000-0005-0000-0000-00003E5F0000}"/>
    <cellStyle name="Normal 261 3" xfId="32897" xr:uid="{00000000-0005-0000-0000-00003F5F0000}"/>
    <cellStyle name="Normal 262" xfId="32898" xr:uid="{00000000-0005-0000-0000-0000405F0000}"/>
    <cellStyle name="Normal 262 2" xfId="32899" xr:uid="{00000000-0005-0000-0000-0000415F0000}"/>
    <cellStyle name="Normal 262 3" xfId="32900" xr:uid="{00000000-0005-0000-0000-0000425F0000}"/>
    <cellStyle name="Normal 263" xfId="32901" xr:uid="{00000000-0005-0000-0000-0000435F0000}"/>
    <cellStyle name="Normal 263 2" xfId="32902" xr:uid="{00000000-0005-0000-0000-0000445F0000}"/>
    <cellStyle name="Normal 263 3" xfId="32903" xr:uid="{00000000-0005-0000-0000-0000455F0000}"/>
    <cellStyle name="Normal 264" xfId="32904" xr:uid="{00000000-0005-0000-0000-0000465F0000}"/>
    <cellStyle name="Normal 264 2" xfId="32905" xr:uid="{00000000-0005-0000-0000-0000475F0000}"/>
    <cellStyle name="Normal 264 3" xfId="32906" xr:uid="{00000000-0005-0000-0000-0000485F0000}"/>
    <cellStyle name="Normal 265" xfId="32907" xr:uid="{00000000-0005-0000-0000-0000495F0000}"/>
    <cellStyle name="Normal 265 2" xfId="32908" xr:uid="{00000000-0005-0000-0000-00004A5F0000}"/>
    <cellStyle name="Normal 265 3" xfId="32909" xr:uid="{00000000-0005-0000-0000-00004B5F0000}"/>
    <cellStyle name="Normal 266" xfId="32910" xr:uid="{00000000-0005-0000-0000-00004C5F0000}"/>
    <cellStyle name="Normal 266 2" xfId="32911" xr:uid="{00000000-0005-0000-0000-00004D5F0000}"/>
    <cellStyle name="Normal 266 3" xfId="32912" xr:uid="{00000000-0005-0000-0000-00004E5F0000}"/>
    <cellStyle name="Normal 267" xfId="32913" xr:uid="{00000000-0005-0000-0000-00004F5F0000}"/>
    <cellStyle name="Normal 267 2" xfId="32914" xr:uid="{00000000-0005-0000-0000-0000505F0000}"/>
    <cellStyle name="Normal 267 3" xfId="32915" xr:uid="{00000000-0005-0000-0000-0000515F0000}"/>
    <cellStyle name="Normal 268" xfId="32916" xr:uid="{00000000-0005-0000-0000-0000525F0000}"/>
    <cellStyle name="Normal 268 2" xfId="32917" xr:uid="{00000000-0005-0000-0000-0000535F0000}"/>
    <cellStyle name="Normal 268 3" xfId="32918" xr:uid="{00000000-0005-0000-0000-0000545F0000}"/>
    <cellStyle name="Normal 269" xfId="32919" xr:uid="{00000000-0005-0000-0000-0000555F0000}"/>
    <cellStyle name="Normal 269 2" xfId="32920" xr:uid="{00000000-0005-0000-0000-0000565F0000}"/>
    <cellStyle name="Normal 269 3" xfId="32921" xr:uid="{00000000-0005-0000-0000-0000575F0000}"/>
    <cellStyle name="Normal 27" xfId="5058" xr:uid="{00000000-0005-0000-0000-0000585F0000}"/>
    <cellStyle name="Normal 27 10" xfId="5059" xr:uid="{00000000-0005-0000-0000-0000595F0000}"/>
    <cellStyle name="Normal 27 10 2" xfId="5060" xr:uid="{00000000-0005-0000-0000-00005A5F0000}"/>
    <cellStyle name="Normal 27 10 2 2" xfId="5061" xr:uid="{00000000-0005-0000-0000-00005B5F0000}"/>
    <cellStyle name="Normal 27 10 2 2 2" xfId="5062" xr:uid="{00000000-0005-0000-0000-00005C5F0000}"/>
    <cellStyle name="Normal 27 10 2 2 2 2" xfId="18929" xr:uid="{00000000-0005-0000-0000-00005D5F0000}"/>
    <cellStyle name="Normal 27 10 2 2 3" xfId="18411" xr:uid="{00000000-0005-0000-0000-00005E5F0000}"/>
    <cellStyle name="Normal 27 10 2 3" xfId="5063" xr:uid="{00000000-0005-0000-0000-00005F5F0000}"/>
    <cellStyle name="Normal 27 10 2 3 2" xfId="18647" xr:uid="{00000000-0005-0000-0000-0000605F0000}"/>
    <cellStyle name="Normal 27 10 2 4" xfId="18120" xr:uid="{00000000-0005-0000-0000-0000615F0000}"/>
    <cellStyle name="Normal 27 10 3" xfId="5064" xr:uid="{00000000-0005-0000-0000-0000625F0000}"/>
    <cellStyle name="Normal 27 10 3 2" xfId="5065" xr:uid="{00000000-0005-0000-0000-0000635F0000}"/>
    <cellStyle name="Normal 27 10 3 2 2" xfId="18816" xr:uid="{00000000-0005-0000-0000-0000645F0000}"/>
    <cellStyle name="Normal 27 10 3 3" xfId="18295" xr:uid="{00000000-0005-0000-0000-0000655F0000}"/>
    <cellStyle name="Normal 27 10 4" xfId="5066" xr:uid="{00000000-0005-0000-0000-0000665F0000}"/>
    <cellStyle name="Normal 27 10 4 2" xfId="18530" xr:uid="{00000000-0005-0000-0000-0000675F0000}"/>
    <cellStyle name="Normal 27 10 5" xfId="17966" xr:uid="{00000000-0005-0000-0000-0000685F0000}"/>
    <cellStyle name="Normal 27 11" xfId="5067" xr:uid="{00000000-0005-0000-0000-0000695F0000}"/>
    <cellStyle name="Normal 27 11 2" xfId="5068" xr:uid="{00000000-0005-0000-0000-00006A5F0000}"/>
    <cellStyle name="Normal 27 11 2 2" xfId="5069" xr:uid="{00000000-0005-0000-0000-00006B5F0000}"/>
    <cellStyle name="Normal 27 11 2 2 2" xfId="18909" xr:uid="{00000000-0005-0000-0000-00006C5F0000}"/>
    <cellStyle name="Normal 27 11 2 3" xfId="18391" xr:uid="{00000000-0005-0000-0000-00006D5F0000}"/>
    <cellStyle name="Normal 27 11 3" xfId="5070" xr:uid="{00000000-0005-0000-0000-00006E5F0000}"/>
    <cellStyle name="Normal 27 11 3 2" xfId="18627" xr:uid="{00000000-0005-0000-0000-00006F5F0000}"/>
    <cellStyle name="Normal 27 11 4" xfId="18100" xr:uid="{00000000-0005-0000-0000-0000705F0000}"/>
    <cellStyle name="Normal 27 12" xfId="5071" xr:uid="{00000000-0005-0000-0000-0000715F0000}"/>
    <cellStyle name="Normal 27 12 2" xfId="5072" xr:uid="{00000000-0005-0000-0000-0000725F0000}"/>
    <cellStyle name="Normal 27 12 2 2" xfId="18771" xr:uid="{00000000-0005-0000-0000-0000735F0000}"/>
    <cellStyle name="Normal 27 12 3" xfId="18244" xr:uid="{00000000-0005-0000-0000-0000745F0000}"/>
    <cellStyle name="Normal 27 13" xfId="5073" xr:uid="{00000000-0005-0000-0000-0000755F0000}"/>
    <cellStyle name="Normal 27 13 2" xfId="18510" xr:uid="{00000000-0005-0000-0000-0000765F0000}"/>
    <cellStyle name="Normal 27 14" xfId="16166" xr:uid="{00000000-0005-0000-0000-0000775F0000}"/>
    <cellStyle name="Normal 27 15" xfId="32922" xr:uid="{00000000-0005-0000-0000-0000785F0000}"/>
    <cellStyle name="Normal 27 2" xfId="5074" xr:uid="{00000000-0005-0000-0000-0000795F0000}"/>
    <cellStyle name="Normal 27 2 2" xfId="10427" xr:uid="{00000000-0005-0000-0000-00007A5F0000}"/>
    <cellStyle name="Normal 27 2 2 2" xfId="32925" xr:uid="{00000000-0005-0000-0000-00007B5F0000}"/>
    <cellStyle name="Normal 27 2 2 2 2" xfId="40575" xr:uid="{00000000-0005-0000-0000-00007C5F0000}"/>
    <cellStyle name="Normal 27 2 2 3" xfId="40574" xr:uid="{00000000-0005-0000-0000-00007D5F0000}"/>
    <cellStyle name="Normal 27 2 2 4" xfId="32924" xr:uid="{00000000-0005-0000-0000-00007E5F0000}"/>
    <cellStyle name="Normal 27 2 3" xfId="32926" xr:uid="{00000000-0005-0000-0000-00007F5F0000}"/>
    <cellStyle name="Normal 27 2 3 2" xfId="40576" xr:uid="{00000000-0005-0000-0000-0000805F0000}"/>
    <cellStyle name="Normal 27 2 4" xfId="40573" xr:uid="{00000000-0005-0000-0000-0000815F0000}"/>
    <cellStyle name="Normal 27 2 5" xfId="32923" xr:uid="{00000000-0005-0000-0000-0000825F0000}"/>
    <cellStyle name="Normal 27 3" xfId="5075" xr:uid="{00000000-0005-0000-0000-0000835F0000}"/>
    <cellStyle name="Normal 27 3 2" xfId="10428" xr:uid="{00000000-0005-0000-0000-0000845F0000}"/>
    <cellStyle name="Normal 27 3 2 2" xfId="40578" xr:uid="{00000000-0005-0000-0000-0000855F0000}"/>
    <cellStyle name="Normal 27 3 2 3" xfId="32928" xr:uid="{00000000-0005-0000-0000-0000865F0000}"/>
    <cellStyle name="Normal 27 3 3" xfId="32929" xr:uid="{00000000-0005-0000-0000-0000875F0000}"/>
    <cellStyle name="Normal 27 3 4" xfId="40577" xr:uid="{00000000-0005-0000-0000-0000885F0000}"/>
    <cellStyle name="Normal 27 3 5" xfId="32927" xr:uid="{00000000-0005-0000-0000-0000895F0000}"/>
    <cellStyle name="Normal 27 4" xfId="5076" xr:uid="{00000000-0005-0000-0000-00008A5F0000}"/>
    <cellStyle name="Normal 27 4 2" xfId="10429" xr:uid="{00000000-0005-0000-0000-00008B5F0000}"/>
    <cellStyle name="Normal 27 4 2 2" xfId="32931" xr:uid="{00000000-0005-0000-0000-00008C5F0000}"/>
    <cellStyle name="Normal 27 4 3" xfId="40579" xr:uid="{00000000-0005-0000-0000-00008D5F0000}"/>
    <cellStyle name="Normal 27 4 4" xfId="32930" xr:uid="{00000000-0005-0000-0000-00008E5F0000}"/>
    <cellStyle name="Normal 27 5" xfId="5077" xr:uid="{00000000-0005-0000-0000-00008F5F0000}"/>
    <cellStyle name="Normal 27 5 2" xfId="10430" xr:uid="{00000000-0005-0000-0000-0000905F0000}"/>
    <cellStyle name="Normal 27 5 2 2" xfId="40580" xr:uid="{00000000-0005-0000-0000-0000915F0000}"/>
    <cellStyle name="Normal 27 5 3" xfId="32932" xr:uid="{00000000-0005-0000-0000-0000925F0000}"/>
    <cellStyle name="Normal 27 6" xfId="5078" xr:uid="{00000000-0005-0000-0000-0000935F0000}"/>
    <cellStyle name="Normal 27 6 2" xfId="10431" xr:uid="{00000000-0005-0000-0000-0000945F0000}"/>
    <cellStyle name="Normal 27 6 2 2" xfId="40581" xr:uid="{00000000-0005-0000-0000-0000955F0000}"/>
    <cellStyle name="Normal 27 6 3" xfId="32933" xr:uid="{00000000-0005-0000-0000-0000965F0000}"/>
    <cellStyle name="Normal 27 7" xfId="5079" xr:uid="{00000000-0005-0000-0000-0000975F0000}"/>
    <cellStyle name="Normal 27 7 2" xfId="10432" xr:uid="{00000000-0005-0000-0000-0000985F0000}"/>
    <cellStyle name="Normal 27 7 3" xfId="40572" xr:uid="{00000000-0005-0000-0000-0000995F0000}"/>
    <cellStyle name="Normal 27 8" xfId="5080" xr:uid="{00000000-0005-0000-0000-00009A5F0000}"/>
    <cellStyle name="Normal 27 8 2" xfId="10433" xr:uid="{00000000-0005-0000-0000-00009B5F0000}"/>
    <cellStyle name="Normal 27 9" xfId="5081" xr:uid="{00000000-0005-0000-0000-00009C5F0000}"/>
    <cellStyle name="Normal 27 9 2" xfId="5082" xr:uid="{00000000-0005-0000-0000-00009D5F0000}"/>
    <cellStyle name="Normal 27 9 2 2" xfId="5083" xr:uid="{00000000-0005-0000-0000-00009E5F0000}"/>
    <cellStyle name="Normal 27 9 2 2 2" xfId="5084" xr:uid="{00000000-0005-0000-0000-00009F5F0000}"/>
    <cellStyle name="Normal 27 9 2 2 2 2" xfId="18968" xr:uid="{00000000-0005-0000-0000-0000A05F0000}"/>
    <cellStyle name="Normal 27 9 2 2 3" xfId="18450" xr:uid="{00000000-0005-0000-0000-0000A15F0000}"/>
    <cellStyle name="Normal 27 9 2 3" xfId="5085" xr:uid="{00000000-0005-0000-0000-0000A25F0000}"/>
    <cellStyle name="Normal 27 9 2 3 2" xfId="18686" xr:uid="{00000000-0005-0000-0000-0000A35F0000}"/>
    <cellStyle name="Normal 27 9 2 4" xfId="18159" xr:uid="{00000000-0005-0000-0000-0000A45F0000}"/>
    <cellStyle name="Normal 27 9 3" xfId="5086" xr:uid="{00000000-0005-0000-0000-0000A55F0000}"/>
    <cellStyle name="Normal 27 9 3 2" xfId="5087" xr:uid="{00000000-0005-0000-0000-0000A65F0000}"/>
    <cellStyle name="Normal 27 9 3 2 2" xfId="18847" xr:uid="{00000000-0005-0000-0000-0000A75F0000}"/>
    <cellStyle name="Normal 27 9 3 3" xfId="18326" xr:uid="{00000000-0005-0000-0000-0000A85F0000}"/>
    <cellStyle name="Normal 27 9 4" xfId="5088" xr:uid="{00000000-0005-0000-0000-0000A95F0000}"/>
    <cellStyle name="Normal 27 9 4 2" xfId="18569" xr:uid="{00000000-0005-0000-0000-0000AA5F0000}"/>
    <cellStyle name="Normal 27 9 5" xfId="18010" xr:uid="{00000000-0005-0000-0000-0000AB5F0000}"/>
    <cellStyle name="Normal 270" xfId="32934" xr:uid="{00000000-0005-0000-0000-0000AC5F0000}"/>
    <cellStyle name="Normal 270 2" xfId="32935" xr:uid="{00000000-0005-0000-0000-0000AD5F0000}"/>
    <cellStyle name="Normal 270 3" xfId="32936" xr:uid="{00000000-0005-0000-0000-0000AE5F0000}"/>
    <cellStyle name="Normal 271" xfId="32937" xr:uid="{00000000-0005-0000-0000-0000AF5F0000}"/>
    <cellStyle name="Normal 271 2" xfId="32938" xr:uid="{00000000-0005-0000-0000-0000B05F0000}"/>
    <cellStyle name="Normal 271 3" xfId="32939" xr:uid="{00000000-0005-0000-0000-0000B15F0000}"/>
    <cellStyle name="Normal 272" xfId="32940" xr:uid="{00000000-0005-0000-0000-0000B25F0000}"/>
    <cellStyle name="Normal 272 2" xfId="32941" xr:uid="{00000000-0005-0000-0000-0000B35F0000}"/>
    <cellStyle name="Normal 272 3" xfId="32942" xr:uid="{00000000-0005-0000-0000-0000B45F0000}"/>
    <cellStyle name="Normal 273" xfId="32943" xr:uid="{00000000-0005-0000-0000-0000B55F0000}"/>
    <cellStyle name="Normal 273 2" xfId="32944" xr:uid="{00000000-0005-0000-0000-0000B65F0000}"/>
    <cellStyle name="Normal 273 3" xfId="32945" xr:uid="{00000000-0005-0000-0000-0000B75F0000}"/>
    <cellStyle name="Normal 274" xfId="32946" xr:uid="{00000000-0005-0000-0000-0000B85F0000}"/>
    <cellStyle name="Normal 274 2" xfId="32947" xr:uid="{00000000-0005-0000-0000-0000B95F0000}"/>
    <cellStyle name="Normal 274 3" xfId="32948" xr:uid="{00000000-0005-0000-0000-0000BA5F0000}"/>
    <cellStyle name="Normal 275" xfId="32949" xr:uid="{00000000-0005-0000-0000-0000BB5F0000}"/>
    <cellStyle name="Normal 275 2" xfId="32950" xr:uid="{00000000-0005-0000-0000-0000BC5F0000}"/>
    <cellStyle name="Normal 275 3" xfId="32951" xr:uid="{00000000-0005-0000-0000-0000BD5F0000}"/>
    <cellStyle name="Normal 276" xfId="32952" xr:uid="{00000000-0005-0000-0000-0000BE5F0000}"/>
    <cellStyle name="Normal 276 2" xfId="32953" xr:uid="{00000000-0005-0000-0000-0000BF5F0000}"/>
    <cellStyle name="Normal 276 3" xfId="32954" xr:uid="{00000000-0005-0000-0000-0000C05F0000}"/>
    <cellStyle name="Normal 277" xfId="32955" xr:uid="{00000000-0005-0000-0000-0000C15F0000}"/>
    <cellStyle name="Normal 277 2" xfId="32956" xr:uid="{00000000-0005-0000-0000-0000C25F0000}"/>
    <cellStyle name="Normal 277 3" xfId="32957" xr:uid="{00000000-0005-0000-0000-0000C35F0000}"/>
    <cellStyle name="Normal 278" xfId="32958" xr:uid="{00000000-0005-0000-0000-0000C45F0000}"/>
    <cellStyle name="Normal 278 2" xfId="32959" xr:uid="{00000000-0005-0000-0000-0000C55F0000}"/>
    <cellStyle name="Normal 278 3" xfId="32960" xr:uid="{00000000-0005-0000-0000-0000C65F0000}"/>
    <cellStyle name="Normal 279" xfId="32961" xr:uid="{00000000-0005-0000-0000-0000C75F0000}"/>
    <cellStyle name="Normal 279 2" xfId="32962" xr:uid="{00000000-0005-0000-0000-0000C85F0000}"/>
    <cellStyle name="Normal 279 3" xfId="32963" xr:uid="{00000000-0005-0000-0000-0000C95F0000}"/>
    <cellStyle name="Normal 28" xfId="5089" xr:uid="{00000000-0005-0000-0000-0000CA5F0000}"/>
    <cellStyle name="Normal 28 10" xfId="5090" xr:uid="{00000000-0005-0000-0000-0000CB5F0000}"/>
    <cellStyle name="Normal 28 10 2" xfId="5091" xr:uid="{00000000-0005-0000-0000-0000CC5F0000}"/>
    <cellStyle name="Normal 28 10 2 2" xfId="5092" xr:uid="{00000000-0005-0000-0000-0000CD5F0000}"/>
    <cellStyle name="Normal 28 10 2 2 2" xfId="18908" xr:uid="{00000000-0005-0000-0000-0000CE5F0000}"/>
    <cellStyle name="Normal 28 10 2 3" xfId="18390" xr:uid="{00000000-0005-0000-0000-0000CF5F0000}"/>
    <cellStyle name="Normal 28 10 3" xfId="5093" xr:uid="{00000000-0005-0000-0000-0000D05F0000}"/>
    <cellStyle name="Normal 28 10 3 2" xfId="18626" xr:uid="{00000000-0005-0000-0000-0000D15F0000}"/>
    <cellStyle name="Normal 28 10 4" xfId="18099" xr:uid="{00000000-0005-0000-0000-0000D25F0000}"/>
    <cellStyle name="Normal 28 11" xfId="5094" xr:uid="{00000000-0005-0000-0000-0000D35F0000}"/>
    <cellStyle name="Normal 28 11 2" xfId="5095" xr:uid="{00000000-0005-0000-0000-0000D45F0000}"/>
    <cellStyle name="Normal 28 11 2 2" xfId="18774" xr:uid="{00000000-0005-0000-0000-0000D55F0000}"/>
    <cellStyle name="Normal 28 11 3" xfId="18247" xr:uid="{00000000-0005-0000-0000-0000D65F0000}"/>
    <cellStyle name="Normal 28 12" xfId="5096" xr:uid="{00000000-0005-0000-0000-0000D75F0000}"/>
    <cellStyle name="Normal 28 12 2" xfId="18509" xr:uid="{00000000-0005-0000-0000-0000D85F0000}"/>
    <cellStyle name="Normal 28 13" xfId="16165" xr:uid="{00000000-0005-0000-0000-0000D95F0000}"/>
    <cellStyle name="Normal 28 14" xfId="32964" xr:uid="{00000000-0005-0000-0000-0000DA5F0000}"/>
    <cellStyle name="Normal 28 2" xfId="5097" xr:uid="{00000000-0005-0000-0000-0000DB5F0000}"/>
    <cellStyle name="Normal 28 2 2" xfId="10434" xr:uid="{00000000-0005-0000-0000-0000DC5F0000}"/>
    <cellStyle name="Normal 28 2 2 2" xfId="40583" xr:uid="{00000000-0005-0000-0000-0000DD5F0000}"/>
    <cellStyle name="Normal 28 2 3" xfId="32965" xr:uid="{00000000-0005-0000-0000-0000DE5F0000}"/>
    <cellStyle name="Normal 28 3" xfId="5098" xr:uid="{00000000-0005-0000-0000-0000DF5F0000}"/>
    <cellStyle name="Normal 28 3 2" xfId="5099" xr:uid="{00000000-0005-0000-0000-0000E05F0000}"/>
    <cellStyle name="Normal 28 3 2 2" xfId="5100" xr:uid="{00000000-0005-0000-0000-0000E15F0000}"/>
    <cellStyle name="Normal 28 3 2 2 2" xfId="5101" xr:uid="{00000000-0005-0000-0000-0000E25F0000}"/>
    <cellStyle name="Normal 28 3 2 2 2 2" xfId="5102" xr:uid="{00000000-0005-0000-0000-0000E35F0000}"/>
    <cellStyle name="Normal 28 3 2 2 2 2 2" xfId="5103" xr:uid="{00000000-0005-0000-0000-0000E45F0000}"/>
    <cellStyle name="Normal 28 3 2 2 2 2 2 2" xfId="18973" xr:uid="{00000000-0005-0000-0000-0000E55F0000}"/>
    <cellStyle name="Normal 28 3 2 2 2 2 3" xfId="18455" xr:uid="{00000000-0005-0000-0000-0000E65F0000}"/>
    <cellStyle name="Normal 28 3 2 2 2 3" xfId="5104" xr:uid="{00000000-0005-0000-0000-0000E75F0000}"/>
    <cellStyle name="Normal 28 3 2 2 2 3 2" xfId="18691" xr:uid="{00000000-0005-0000-0000-0000E85F0000}"/>
    <cellStyle name="Normal 28 3 2 2 2 4" xfId="18164" xr:uid="{00000000-0005-0000-0000-0000E95F0000}"/>
    <cellStyle name="Normal 28 3 2 2 3" xfId="5105" xr:uid="{00000000-0005-0000-0000-0000EA5F0000}"/>
    <cellStyle name="Normal 28 3 2 2 3 2" xfId="5106" xr:uid="{00000000-0005-0000-0000-0000EB5F0000}"/>
    <cellStyle name="Normal 28 3 2 2 3 2 2" xfId="18852" xr:uid="{00000000-0005-0000-0000-0000EC5F0000}"/>
    <cellStyle name="Normal 28 3 2 2 3 3" xfId="18331" xr:uid="{00000000-0005-0000-0000-0000ED5F0000}"/>
    <cellStyle name="Normal 28 3 2 2 4" xfId="5107" xr:uid="{00000000-0005-0000-0000-0000EE5F0000}"/>
    <cellStyle name="Normal 28 3 2 2 4 2" xfId="18574" xr:uid="{00000000-0005-0000-0000-0000EF5F0000}"/>
    <cellStyle name="Normal 28 3 2 2 5" xfId="18016" xr:uid="{00000000-0005-0000-0000-0000F05F0000}"/>
    <cellStyle name="Normal 28 3 2 3" xfId="5108" xr:uid="{00000000-0005-0000-0000-0000F15F0000}"/>
    <cellStyle name="Normal 28 3 2 3 2" xfId="5109" xr:uid="{00000000-0005-0000-0000-0000F25F0000}"/>
    <cellStyle name="Normal 28 3 2 3 2 2" xfId="5110" xr:uid="{00000000-0005-0000-0000-0000F35F0000}"/>
    <cellStyle name="Normal 28 3 2 3 2 2 2" xfId="5111" xr:uid="{00000000-0005-0000-0000-0000F45F0000}"/>
    <cellStyle name="Normal 28 3 2 3 2 2 2 2" xfId="18933" xr:uid="{00000000-0005-0000-0000-0000F55F0000}"/>
    <cellStyle name="Normal 28 3 2 3 2 2 3" xfId="18415" xr:uid="{00000000-0005-0000-0000-0000F65F0000}"/>
    <cellStyle name="Normal 28 3 2 3 2 3" xfId="5112" xr:uid="{00000000-0005-0000-0000-0000F75F0000}"/>
    <cellStyle name="Normal 28 3 2 3 2 3 2" xfId="18651" xr:uid="{00000000-0005-0000-0000-0000F85F0000}"/>
    <cellStyle name="Normal 28 3 2 3 2 4" xfId="18124" xr:uid="{00000000-0005-0000-0000-0000F95F0000}"/>
    <cellStyle name="Normal 28 3 2 3 3" xfId="5113" xr:uid="{00000000-0005-0000-0000-0000FA5F0000}"/>
    <cellStyle name="Normal 28 3 2 3 3 2" xfId="5114" xr:uid="{00000000-0005-0000-0000-0000FB5F0000}"/>
    <cellStyle name="Normal 28 3 2 3 3 2 2" xfId="18819" xr:uid="{00000000-0005-0000-0000-0000FC5F0000}"/>
    <cellStyle name="Normal 28 3 2 3 3 3" xfId="18298" xr:uid="{00000000-0005-0000-0000-0000FD5F0000}"/>
    <cellStyle name="Normal 28 3 2 3 4" xfId="5115" xr:uid="{00000000-0005-0000-0000-0000FE5F0000}"/>
    <cellStyle name="Normal 28 3 2 3 4 2" xfId="18534" xr:uid="{00000000-0005-0000-0000-0000FF5F0000}"/>
    <cellStyle name="Normal 28 3 2 3 5" xfId="17970" xr:uid="{00000000-0005-0000-0000-000000600000}"/>
    <cellStyle name="Normal 28 3 2 4" xfId="5116" xr:uid="{00000000-0005-0000-0000-000001600000}"/>
    <cellStyle name="Normal 28 3 2 5" xfId="5117" xr:uid="{00000000-0005-0000-0000-000002600000}"/>
    <cellStyle name="Normal 28 3 2 5 2" xfId="5118" xr:uid="{00000000-0005-0000-0000-000003600000}"/>
    <cellStyle name="Normal 28 3 2 5 2 2" xfId="18777" xr:uid="{00000000-0005-0000-0000-000004600000}"/>
    <cellStyle name="Normal 28 3 2 5 3" xfId="18250" xr:uid="{00000000-0005-0000-0000-000005600000}"/>
    <cellStyle name="Normal 28 3 2 6" xfId="32967" xr:uid="{00000000-0005-0000-0000-000006600000}"/>
    <cellStyle name="Normal 28 3 3" xfId="5119" xr:uid="{00000000-0005-0000-0000-000007600000}"/>
    <cellStyle name="Normal 28 3 3 2" xfId="40584" xr:uid="{00000000-0005-0000-0000-000008600000}"/>
    <cellStyle name="Normal 28 3 4" xfId="5120" xr:uid="{00000000-0005-0000-0000-000009600000}"/>
    <cellStyle name="Normal 28 3 4 2" xfId="5121" xr:uid="{00000000-0005-0000-0000-00000A600000}"/>
    <cellStyle name="Normal 28 3 4 2 2" xfId="5122" xr:uid="{00000000-0005-0000-0000-00000B600000}"/>
    <cellStyle name="Normal 28 3 4 2 2 2" xfId="5123" xr:uid="{00000000-0005-0000-0000-00000C600000}"/>
    <cellStyle name="Normal 28 3 4 2 2 2 2" xfId="5124" xr:uid="{00000000-0005-0000-0000-00000D600000}"/>
    <cellStyle name="Normal 28 3 4 2 2 2 2 2" xfId="19003" xr:uid="{00000000-0005-0000-0000-00000E600000}"/>
    <cellStyle name="Normal 28 3 4 2 2 2 3" xfId="18485" xr:uid="{00000000-0005-0000-0000-00000F600000}"/>
    <cellStyle name="Normal 28 3 4 2 2 3" xfId="5125" xr:uid="{00000000-0005-0000-0000-000010600000}"/>
    <cellStyle name="Normal 28 3 4 2 2 3 2" xfId="18721" xr:uid="{00000000-0005-0000-0000-000011600000}"/>
    <cellStyle name="Normal 28 3 4 2 2 4" xfId="18194" xr:uid="{00000000-0005-0000-0000-000012600000}"/>
    <cellStyle name="Normal 28 3 4 2 3" xfId="5126" xr:uid="{00000000-0005-0000-0000-000013600000}"/>
    <cellStyle name="Normal 28 3 4 2 3 2" xfId="5127" xr:uid="{00000000-0005-0000-0000-000014600000}"/>
    <cellStyle name="Normal 28 3 4 2 3 2 2" xfId="18883" xr:uid="{00000000-0005-0000-0000-000015600000}"/>
    <cellStyle name="Normal 28 3 4 2 3 3" xfId="18364" xr:uid="{00000000-0005-0000-0000-000016600000}"/>
    <cellStyle name="Normal 28 3 4 2 4" xfId="5128" xr:uid="{00000000-0005-0000-0000-000017600000}"/>
    <cellStyle name="Normal 28 3 4 2 4 2" xfId="18604" xr:uid="{00000000-0005-0000-0000-000018600000}"/>
    <cellStyle name="Normal 28 3 4 2 5" xfId="18050" xr:uid="{00000000-0005-0000-0000-000019600000}"/>
    <cellStyle name="Normal 28 3 4 3" xfId="5129" xr:uid="{00000000-0005-0000-0000-00001A600000}"/>
    <cellStyle name="Normal 28 3 4 3 2" xfId="5130" xr:uid="{00000000-0005-0000-0000-00001B600000}"/>
    <cellStyle name="Normal 28 3 4 3 2 2" xfId="5131" xr:uid="{00000000-0005-0000-0000-00001C600000}"/>
    <cellStyle name="Normal 28 3 4 3 2 2 2" xfId="18916" xr:uid="{00000000-0005-0000-0000-00001D600000}"/>
    <cellStyle name="Normal 28 3 4 3 2 3" xfId="18398" xr:uid="{00000000-0005-0000-0000-00001E600000}"/>
    <cellStyle name="Normal 28 3 4 3 3" xfId="5132" xr:uid="{00000000-0005-0000-0000-00001F600000}"/>
    <cellStyle name="Normal 28 3 4 3 3 2" xfId="18634" xr:uid="{00000000-0005-0000-0000-000020600000}"/>
    <cellStyle name="Normal 28 3 4 3 4" xfId="18107" xr:uid="{00000000-0005-0000-0000-000021600000}"/>
    <cellStyle name="Normal 28 3 4 4" xfId="5133" xr:uid="{00000000-0005-0000-0000-000022600000}"/>
    <cellStyle name="Normal 28 3 4 4 2" xfId="5134" xr:uid="{00000000-0005-0000-0000-000023600000}"/>
    <cellStyle name="Normal 28 3 4 4 2 2" xfId="18797" xr:uid="{00000000-0005-0000-0000-000024600000}"/>
    <cellStyle name="Normal 28 3 4 4 3" xfId="18270" xr:uid="{00000000-0005-0000-0000-000025600000}"/>
    <cellStyle name="Normal 28 3 4 5" xfId="5135" xr:uid="{00000000-0005-0000-0000-000026600000}"/>
    <cellStyle name="Normal 28 3 4 5 2" xfId="18517" xr:uid="{00000000-0005-0000-0000-000027600000}"/>
    <cellStyle name="Normal 28 3 4 6" xfId="17952" xr:uid="{00000000-0005-0000-0000-000028600000}"/>
    <cellStyle name="Normal 28 3 5" xfId="5136" xr:uid="{00000000-0005-0000-0000-000029600000}"/>
    <cellStyle name="Normal 28 3 5 2" xfId="5137" xr:uid="{00000000-0005-0000-0000-00002A600000}"/>
    <cellStyle name="Normal 28 3 5 2 2" xfId="5138" xr:uid="{00000000-0005-0000-0000-00002B600000}"/>
    <cellStyle name="Normal 28 3 5 2 2 2" xfId="5139" xr:uid="{00000000-0005-0000-0000-00002C600000}"/>
    <cellStyle name="Normal 28 3 5 2 2 2 2" xfId="18954" xr:uid="{00000000-0005-0000-0000-00002D600000}"/>
    <cellStyle name="Normal 28 3 5 2 2 3" xfId="18436" xr:uid="{00000000-0005-0000-0000-00002E600000}"/>
    <cellStyle name="Normal 28 3 5 2 3" xfId="5140" xr:uid="{00000000-0005-0000-0000-00002F600000}"/>
    <cellStyle name="Normal 28 3 5 2 3 2" xfId="18672" xr:uid="{00000000-0005-0000-0000-000030600000}"/>
    <cellStyle name="Normal 28 3 5 2 4" xfId="18145" xr:uid="{00000000-0005-0000-0000-000031600000}"/>
    <cellStyle name="Normal 28 3 5 3" xfId="5141" xr:uid="{00000000-0005-0000-0000-000032600000}"/>
    <cellStyle name="Normal 28 3 5 3 2" xfId="5142" xr:uid="{00000000-0005-0000-0000-000033600000}"/>
    <cellStyle name="Normal 28 3 5 3 2 2" xfId="18833" xr:uid="{00000000-0005-0000-0000-000034600000}"/>
    <cellStyle name="Normal 28 3 5 3 3" xfId="18312" xr:uid="{00000000-0005-0000-0000-000035600000}"/>
    <cellStyle name="Normal 28 3 5 4" xfId="5143" xr:uid="{00000000-0005-0000-0000-000036600000}"/>
    <cellStyle name="Normal 28 3 5 4 2" xfId="18555" xr:uid="{00000000-0005-0000-0000-000037600000}"/>
    <cellStyle name="Normal 28 3 5 5" xfId="17996" xr:uid="{00000000-0005-0000-0000-000038600000}"/>
    <cellStyle name="Normal 28 3 6" xfId="5144" xr:uid="{00000000-0005-0000-0000-000039600000}"/>
    <cellStyle name="Normal 28 3 6 2" xfId="5145" xr:uid="{00000000-0005-0000-0000-00003A600000}"/>
    <cellStyle name="Normal 28 3 6 2 2" xfId="18757" xr:uid="{00000000-0005-0000-0000-00003B600000}"/>
    <cellStyle name="Normal 28 3 6 3" xfId="18230" xr:uid="{00000000-0005-0000-0000-00003C600000}"/>
    <cellStyle name="Normal 28 3 7" xfId="32966" xr:uid="{00000000-0005-0000-0000-00003D600000}"/>
    <cellStyle name="Normal 28 4" xfId="5146" xr:uid="{00000000-0005-0000-0000-00003E600000}"/>
    <cellStyle name="Normal 28 4 2" xfId="5147" xr:uid="{00000000-0005-0000-0000-00003F600000}"/>
    <cellStyle name="Normal 28 4 2 2" xfId="5148" xr:uid="{00000000-0005-0000-0000-000040600000}"/>
    <cellStyle name="Normal 28 4 2 2 2" xfId="5149" xr:uid="{00000000-0005-0000-0000-000041600000}"/>
    <cellStyle name="Normal 28 4 2 2 2 2" xfId="5150" xr:uid="{00000000-0005-0000-0000-000042600000}"/>
    <cellStyle name="Normal 28 4 2 2 2 2 2" xfId="5151" xr:uid="{00000000-0005-0000-0000-000043600000}"/>
    <cellStyle name="Normal 28 4 2 2 2 2 2 2" xfId="18974" xr:uid="{00000000-0005-0000-0000-000044600000}"/>
    <cellStyle name="Normal 28 4 2 2 2 2 3" xfId="18456" xr:uid="{00000000-0005-0000-0000-000045600000}"/>
    <cellStyle name="Normal 28 4 2 2 2 3" xfId="5152" xr:uid="{00000000-0005-0000-0000-000046600000}"/>
    <cellStyle name="Normal 28 4 2 2 2 3 2" xfId="18692" xr:uid="{00000000-0005-0000-0000-000047600000}"/>
    <cellStyle name="Normal 28 4 2 2 2 4" xfId="18165" xr:uid="{00000000-0005-0000-0000-000048600000}"/>
    <cellStyle name="Normal 28 4 2 2 3" xfId="5153" xr:uid="{00000000-0005-0000-0000-000049600000}"/>
    <cellStyle name="Normal 28 4 2 2 3 2" xfId="5154" xr:uid="{00000000-0005-0000-0000-00004A600000}"/>
    <cellStyle name="Normal 28 4 2 2 3 2 2" xfId="18853" xr:uid="{00000000-0005-0000-0000-00004B600000}"/>
    <cellStyle name="Normal 28 4 2 2 3 3" xfId="18332" xr:uid="{00000000-0005-0000-0000-00004C600000}"/>
    <cellStyle name="Normal 28 4 2 2 4" xfId="5155" xr:uid="{00000000-0005-0000-0000-00004D600000}"/>
    <cellStyle name="Normal 28 4 2 2 4 2" xfId="18575" xr:uid="{00000000-0005-0000-0000-00004E600000}"/>
    <cellStyle name="Normal 28 4 2 2 5" xfId="18017" xr:uid="{00000000-0005-0000-0000-00004F600000}"/>
    <cellStyle name="Normal 28 4 2 3" xfId="5156" xr:uid="{00000000-0005-0000-0000-000050600000}"/>
    <cellStyle name="Normal 28 4 2 3 2" xfId="5157" xr:uid="{00000000-0005-0000-0000-000051600000}"/>
    <cellStyle name="Normal 28 4 2 3 2 2" xfId="5158" xr:uid="{00000000-0005-0000-0000-000052600000}"/>
    <cellStyle name="Normal 28 4 2 3 2 2 2" xfId="5159" xr:uid="{00000000-0005-0000-0000-000053600000}"/>
    <cellStyle name="Normal 28 4 2 3 2 2 2 2" xfId="18934" xr:uid="{00000000-0005-0000-0000-000054600000}"/>
    <cellStyle name="Normal 28 4 2 3 2 2 3" xfId="18416" xr:uid="{00000000-0005-0000-0000-000055600000}"/>
    <cellStyle name="Normal 28 4 2 3 2 3" xfId="5160" xr:uid="{00000000-0005-0000-0000-000056600000}"/>
    <cellStyle name="Normal 28 4 2 3 2 3 2" xfId="18652" xr:uid="{00000000-0005-0000-0000-000057600000}"/>
    <cellStyle name="Normal 28 4 2 3 2 4" xfId="18125" xr:uid="{00000000-0005-0000-0000-000058600000}"/>
    <cellStyle name="Normal 28 4 2 3 3" xfId="5161" xr:uid="{00000000-0005-0000-0000-000059600000}"/>
    <cellStyle name="Normal 28 4 2 3 3 2" xfId="5162" xr:uid="{00000000-0005-0000-0000-00005A600000}"/>
    <cellStyle name="Normal 28 4 2 3 3 2 2" xfId="18820" xr:uid="{00000000-0005-0000-0000-00005B600000}"/>
    <cellStyle name="Normal 28 4 2 3 3 3" xfId="18299" xr:uid="{00000000-0005-0000-0000-00005C600000}"/>
    <cellStyle name="Normal 28 4 2 3 4" xfId="5163" xr:uid="{00000000-0005-0000-0000-00005D600000}"/>
    <cellStyle name="Normal 28 4 2 3 4 2" xfId="18535" xr:uid="{00000000-0005-0000-0000-00005E600000}"/>
    <cellStyle name="Normal 28 4 2 3 5" xfId="17971" xr:uid="{00000000-0005-0000-0000-00005F600000}"/>
    <cellStyle name="Normal 28 4 2 4" xfId="5164" xr:uid="{00000000-0005-0000-0000-000060600000}"/>
    <cellStyle name="Normal 28 4 2 5" xfId="5165" xr:uid="{00000000-0005-0000-0000-000061600000}"/>
    <cellStyle name="Normal 28 4 2 5 2" xfId="5166" xr:uid="{00000000-0005-0000-0000-000062600000}"/>
    <cellStyle name="Normal 28 4 2 5 2 2" xfId="18778" xr:uid="{00000000-0005-0000-0000-000063600000}"/>
    <cellStyle name="Normal 28 4 2 5 3" xfId="18251" xr:uid="{00000000-0005-0000-0000-000064600000}"/>
    <cellStyle name="Normal 28 4 3" xfId="5167" xr:uid="{00000000-0005-0000-0000-000065600000}"/>
    <cellStyle name="Normal 28 4 4" xfId="5168" xr:uid="{00000000-0005-0000-0000-000066600000}"/>
    <cellStyle name="Normal 28 4 4 2" xfId="5169" xr:uid="{00000000-0005-0000-0000-000067600000}"/>
    <cellStyle name="Normal 28 4 4 2 2" xfId="5170" xr:uid="{00000000-0005-0000-0000-000068600000}"/>
    <cellStyle name="Normal 28 4 4 2 2 2" xfId="5171" xr:uid="{00000000-0005-0000-0000-000069600000}"/>
    <cellStyle name="Normal 28 4 4 2 2 2 2" xfId="5172" xr:uid="{00000000-0005-0000-0000-00006A600000}"/>
    <cellStyle name="Normal 28 4 4 2 2 2 2 2" xfId="19004" xr:uid="{00000000-0005-0000-0000-00006B600000}"/>
    <cellStyle name="Normal 28 4 4 2 2 2 3" xfId="18486" xr:uid="{00000000-0005-0000-0000-00006C600000}"/>
    <cellStyle name="Normal 28 4 4 2 2 3" xfId="5173" xr:uid="{00000000-0005-0000-0000-00006D600000}"/>
    <cellStyle name="Normal 28 4 4 2 2 3 2" xfId="18722" xr:uid="{00000000-0005-0000-0000-00006E600000}"/>
    <cellStyle name="Normal 28 4 4 2 2 4" xfId="18195" xr:uid="{00000000-0005-0000-0000-00006F600000}"/>
    <cellStyle name="Normal 28 4 4 2 3" xfId="5174" xr:uid="{00000000-0005-0000-0000-000070600000}"/>
    <cellStyle name="Normal 28 4 4 2 3 2" xfId="5175" xr:uid="{00000000-0005-0000-0000-000071600000}"/>
    <cellStyle name="Normal 28 4 4 2 3 2 2" xfId="18884" xr:uid="{00000000-0005-0000-0000-000072600000}"/>
    <cellStyle name="Normal 28 4 4 2 3 3" xfId="18365" xr:uid="{00000000-0005-0000-0000-000073600000}"/>
    <cellStyle name="Normal 28 4 4 2 4" xfId="5176" xr:uid="{00000000-0005-0000-0000-000074600000}"/>
    <cellStyle name="Normal 28 4 4 2 4 2" xfId="18605" xr:uid="{00000000-0005-0000-0000-000075600000}"/>
    <cellStyle name="Normal 28 4 4 2 5" xfId="18051" xr:uid="{00000000-0005-0000-0000-000076600000}"/>
    <cellStyle name="Normal 28 4 4 3" xfId="5177" xr:uid="{00000000-0005-0000-0000-000077600000}"/>
    <cellStyle name="Normal 28 4 4 3 2" xfId="5178" xr:uid="{00000000-0005-0000-0000-000078600000}"/>
    <cellStyle name="Normal 28 4 4 3 2 2" xfId="5179" xr:uid="{00000000-0005-0000-0000-000079600000}"/>
    <cellStyle name="Normal 28 4 4 3 2 2 2" xfId="18917" xr:uid="{00000000-0005-0000-0000-00007A600000}"/>
    <cellStyle name="Normal 28 4 4 3 2 3" xfId="18399" xr:uid="{00000000-0005-0000-0000-00007B600000}"/>
    <cellStyle name="Normal 28 4 4 3 3" xfId="5180" xr:uid="{00000000-0005-0000-0000-00007C600000}"/>
    <cellStyle name="Normal 28 4 4 3 3 2" xfId="18635" xr:uid="{00000000-0005-0000-0000-00007D600000}"/>
    <cellStyle name="Normal 28 4 4 3 4" xfId="18108" xr:uid="{00000000-0005-0000-0000-00007E600000}"/>
    <cellStyle name="Normal 28 4 4 4" xfId="5181" xr:uid="{00000000-0005-0000-0000-00007F600000}"/>
    <cellStyle name="Normal 28 4 4 4 2" xfId="5182" xr:uid="{00000000-0005-0000-0000-000080600000}"/>
    <cellStyle name="Normal 28 4 4 4 2 2" xfId="18798" xr:uid="{00000000-0005-0000-0000-000081600000}"/>
    <cellStyle name="Normal 28 4 4 4 3" xfId="18271" xr:uid="{00000000-0005-0000-0000-000082600000}"/>
    <cellStyle name="Normal 28 4 4 5" xfId="5183" xr:uid="{00000000-0005-0000-0000-000083600000}"/>
    <cellStyle name="Normal 28 4 4 5 2" xfId="18518" xr:uid="{00000000-0005-0000-0000-000084600000}"/>
    <cellStyle name="Normal 28 4 4 6" xfId="17953" xr:uid="{00000000-0005-0000-0000-000085600000}"/>
    <cellStyle name="Normal 28 4 5" xfId="5184" xr:uid="{00000000-0005-0000-0000-000086600000}"/>
    <cellStyle name="Normal 28 4 5 2" xfId="5185" xr:uid="{00000000-0005-0000-0000-000087600000}"/>
    <cellStyle name="Normal 28 4 5 2 2" xfId="5186" xr:uid="{00000000-0005-0000-0000-000088600000}"/>
    <cellStyle name="Normal 28 4 5 2 2 2" xfId="5187" xr:uid="{00000000-0005-0000-0000-000089600000}"/>
    <cellStyle name="Normal 28 4 5 2 2 2 2" xfId="18955" xr:uid="{00000000-0005-0000-0000-00008A600000}"/>
    <cellStyle name="Normal 28 4 5 2 2 3" xfId="18437" xr:uid="{00000000-0005-0000-0000-00008B600000}"/>
    <cellStyle name="Normal 28 4 5 2 3" xfId="5188" xr:uid="{00000000-0005-0000-0000-00008C600000}"/>
    <cellStyle name="Normal 28 4 5 2 3 2" xfId="18673" xr:uid="{00000000-0005-0000-0000-00008D600000}"/>
    <cellStyle name="Normal 28 4 5 2 4" xfId="18146" xr:uid="{00000000-0005-0000-0000-00008E600000}"/>
    <cellStyle name="Normal 28 4 5 3" xfId="5189" xr:uid="{00000000-0005-0000-0000-00008F600000}"/>
    <cellStyle name="Normal 28 4 5 3 2" xfId="5190" xr:uid="{00000000-0005-0000-0000-000090600000}"/>
    <cellStyle name="Normal 28 4 5 3 2 2" xfId="18834" xr:uid="{00000000-0005-0000-0000-000091600000}"/>
    <cellStyle name="Normal 28 4 5 3 3" xfId="18313" xr:uid="{00000000-0005-0000-0000-000092600000}"/>
    <cellStyle name="Normal 28 4 5 4" xfId="5191" xr:uid="{00000000-0005-0000-0000-000093600000}"/>
    <cellStyle name="Normal 28 4 5 4 2" xfId="18556" xr:uid="{00000000-0005-0000-0000-000094600000}"/>
    <cellStyle name="Normal 28 4 5 5" xfId="17997" xr:uid="{00000000-0005-0000-0000-000095600000}"/>
    <cellStyle name="Normal 28 4 6" xfId="5192" xr:uid="{00000000-0005-0000-0000-000096600000}"/>
    <cellStyle name="Normal 28 4 6 2" xfId="5193" xr:uid="{00000000-0005-0000-0000-000097600000}"/>
    <cellStyle name="Normal 28 4 6 2 2" xfId="18758" xr:uid="{00000000-0005-0000-0000-000098600000}"/>
    <cellStyle name="Normal 28 4 6 3" xfId="18231" xr:uid="{00000000-0005-0000-0000-000099600000}"/>
    <cellStyle name="Normal 28 4 7" xfId="32968" xr:uid="{00000000-0005-0000-0000-00009A600000}"/>
    <cellStyle name="Normal 28 5" xfId="5194" xr:uid="{00000000-0005-0000-0000-00009B600000}"/>
    <cellStyle name="Normal 28 5 2" xfId="10435" xr:uid="{00000000-0005-0000-0000-00009C600000}"/>
    <cellStyle name="Normal 28 5 3" xfId="40582" xr:uid="{00000000-0005-0000-0000-00009D600000}"/>
    <cellStyle name="Normal 28 6" xfId="5195" xr:uid="{00000000-0005-0000-0000-00009E600000}"/>
    <cellStyle name="Normal 28 6 2" xfId="10436" xr:uid="{00000000-0005-0000-0000-00009F600000}"/>
    <cellStyle name="Normal 28 7" xfId="5196" xr:uid="{00000000-0005-0000-0000-0000A0600000}"/>
    <cellStyle name="Normal 28 7 2" xfId="10437" xr:uid="{00000000-0005-0000-0000-0000A1600000}"/>
    <cellStyle name="Normal 28 8" xfId="5197" xr:uid="{00000000-0005-0000-0000-0000A2600000}"/>
    <cellStyle name="Normal 28 8 2" xfId="5198" xr:uid="{00000000-0005-0000-0000-0000A3600000}"/>
    <cellStyle name="Normal 28 8 2 2" xfId="5199" xr:uid="{00000000-0005-0000-0000-0000A4600000}"/>
    <cellStyle name="Normal 28 8 2 2 2" xfId="5200" xr:uid="{00000000-0005-0000-0000-0000A5600000}"/>
    <cellStyle name="Normal 28 8 2 2 2 2" xfId="18971" xr:uid="{00000000-0005-0000-0000-0000A6600000}"/>
    <cellStyle name="Normal 28 8 2 2 3" xfId="18453" xr:uid="{00000000-0005-0000-0000-0000A7600000}"/>
    <cellStyle name="Normal 28 8 2 3" xfId="5201" xr:uid="{00000000-0005-0000-0000-0000A8600000}"/>
    <cellStyle name="Normal 28 8 2 3 2" xfId="18689" xr:uid="{00000000-0005-0000-0000-0000A9600000}"/>
    <cellStyle name="Normal 28 8 2 4" xfId="18162" xr:uid="{00000000-0005-0000-0000-0000AA600000}"/>
    <cellStyle name="Normal 28 8 3" xfId="5202" xr:uid="{00000000-0005-0000-0000-0000AB600000}"/>
    <cellStyle name="Normal 28 8 3 2" xfId="5203" xr:uid="{00000000-0005-0000-0000-0000AC600000}"/>
    <cellStyle name="Normal 28 8 3 2 2" xfId="18850" xr:uid="{00000000-0005-0000-0000-0000AD600000}"/>
    <cellStyle name="Normal 28 8 3 3" xfId="18329" xr:uid="{00000000-0005-0000-0000-0000AE600000}"/>
    <cellStyle name="Normal 28 8 4" xfId="5204" xr:uid="{00000000-0005-0000-0000-0000AF600000}"/>
    <cellStyle name="Normal 28 8 4 2" xfId="18572" xr:uid="{00000000-0005-0000-0000-0000B0600000}"/>
    <cellStyle name="Normal 28 8 5" xfId="18013" xr:uid="{00000000-0005-0000-0000-0000B1600000}"/>
    <cellStyle name="Normal 28 9" xfId="5205" xr:uid="{00000000-0005-0000-0000-0000B2600000}"/>
    <cellStyle name="Normal 28 9 2" xfId="5206" xr:uid="{00000000-0005-0000-0000-0000B3600000}"/>
    <cellStyle name="Normal 28 9 2 2" xfId="5207" xr:uid="{00000000-0005-0000-0000-0000B4600000}"/>
    <cellStyle name="Normal 28 9 2 2 2" xfId="5208" xr:uid="{00000000-0005-0000-0000-0000B5600000}"/>
    <cellStyle name="Normal 28 9 2 2 2 2" xfId="18932" xr:uid="{00000000-0005-0000-0000-0000B6600000}"/>
    <cellStyle name="Normal 28 9 2 2 3" xfId="18414" xr:uid="{00000000-0005-0000-0000-0000B7600000}"/>
    <cellStyle name="Normal 28 9 2 3" xfId="5209" xr:uid="{00000000-0005-0000-0000-0000B8600000}"/>
    <cellStyle name="Normal 28 9 2 3 2" xfId="18650" xr:uid="{00000000-0005-0000-0000-0000B9600000}"/>
    <cellStyle name="Normal 28 9 2 4" xfId="18123" xr:uid="{00000000-0005-0000-0000-0000BA600000}"/>
    <cellStyle name="Normal 28 9 3" xfId="5210" xr:uid="{00000000-0005-0000-0000-0000BB600000}"/>
    <cellStyle name="Normal 28 9 3 2" xfId="5211" xr:uid="{00000000-0005-0000-0000-0000BC600000}"/>
    <cellStyle name="Normal 28 9 3 2 2" xfId="18818" xr:uid="{00000000-0005-0000-0000-0000BD600000}"/>
    <cellStyle name="Normal 28 9 3 3" xfId="18297" xr:uid="{00000000-0005-0000-0000-0000BE600000}"/>
    <cellStyle name="Normal 28 9 4" xfId="5212" xr:uid="{00000000-0005-0000-0000-0000BF600000}"/>
    <cellStyle name="Normal 28 9 4 2" xfId="18533" xr:uid="{00000000-0005-0000-0000-0000C0600000}"/>
    <cellStyle name="Normal 28 9 5" xfId="17969" xr:uid="{00000000-0005-0000-0000-0000C1600000}"/>
    <cellStyle name="Normal 280" xfId="32969" xr:uid="{00000000-0005-0000-0000-0000C2600000}"/>
    <cellStyle name="Normal 280 2" xfId="32970" xr:uid="{00000000-0005-0000-0000-0000C3600000}"/>
    <cellStyle name="Normal 280 3" xfId="32971" xr:uid="{00000000-0005-0000-0000-0000C4600000}"/>
    <cellStyle name="Normal 281" xfId="32972" xr:uid="{00000000-0005-0000-0000-0000C5600000}"/>
    <cellStyle name="Normal 281 2" xfId="32973" xr:uid="{00000000-0005-0000-0000-0000C6600000}"/>
    <cellStyle name="Normal 281 3" xfId="32974" xr:uid="{00000000-0005-0000-0000-0000C7600000}"/>
    <cellStyle name="Normal 282" xfId="32975" xr:uid="{00000000-0005-0000-0000-0000C8600000}"/>
    <cellStyle name="Normal 282 2" xfId="32976" xr:uid="{00000000-0005-0000-0000-0000C9600000}"/>
    <cellStyle name="Normal 282 3" xfId="32977" xr:uid="{00000000-0005-0000-0000-0000CA600000}"/>
    <cellStyle name="Normal 283" xfId="32978" xr:uid="{00000000-0005-0000-0000-0000CB600000}"/>
    <cellStyle name="Normal 283 2" xfId="32979" xr:uid="{00000000-0005-0000-0000-0000CC600000}"/>
    <cellStyle name="Normal 283 3" xfId="32980" xr:uid="{00000000-0005-0000-0000-0000CD600000}"/>
    <cellStyle name="Normal 284" xfId="32981" xr:uid="{00000000-0005-0000-0000-0000CE600000}"/>
    <cellStyle name="Normal 284 2" xfId="32982" xr:uid="{00000000-0005-0000-0000-0000CF600000}"/>
    <cellStyle name="Normal 284 3" xfId="32983" xr:uid="{00000000-0005-0000-0000-0000D0600000}"/>
    <cellStyle name="Normal 285" xfId="32984" xr:uid="{00000000-0005-0000-0000-0000D1600000}"/>
    <cellStyle name="Normal 285 2" xfId="32985" xr:uid="{00000000-0005-0000-0000-0000D2600000}"/>
    <cellStyle name="Normal 285 3" xfId="32986" xr:uid="{00000000-0005-0000-0000-0000D3600000}"/>
    <cellStyle name="Normal 286" xfId="32987" xr:uid="{00000000-0005-0000-0000-0000D4600000}"/>
    <cellStyle name="Normal 286 2" xfId="32988" xr:uid="{00000000-0005-0000-0000-0000D5600000}"/>
    <cellStyle name="Normal 286 3" xfId="32989" xr:uid="{00000000-0005-0000-0000-0000D6600000}"/>
    <cellStyle name="Normal 287" xfId="32990" xr:uid="{00000000-0005-0000-0000-0000D7600000}"/>
    <cellStyle name="Normal 287 2" xfId="32991" xr:uid="{00000000-0005-0000-0000-0000D8600000}"/>
    <cellStyle name="Normal 287 3" xfId="32992" xr:uid="{00000000-0005-0000-0000-0000D9600000}"/>
    <cellStyle name="Normal 288" xfId="32993" xr:uid="{00000000-0005-0000-0000-0000DA600000}"/>
    <cellStyle name="Normal 288 2" xfId="32994" xr:uid="{00000000-0005-0000-0000-0000DB600000}"/>
    <cellStyle name="Normal 288 3" xfId="32995" xr:uid="{00000000-0005-0000-0000-0000DC600000}"/>
    <cellStyle name="Normal 289" xfId="32996" xr:uid="{00000000-0005-0000-0000-0000DD600000}"/>
    <cellStyle name="Normal 289 2" xfId="32997" xr:uid="{00000000-0005-0000-0000-0000DE600000}"/>
    <cellStyle name="Normal 289 3" xfId="32998" xr:uid="{00000000-0005-0000-0000-0000DF600000}"/>
    <cellStyle name="Normal 29" xfId="5213" xr:uid="{00000000-0005-0000-0000-0000E0600000}"/>
    <cellStyle name="Normal 29 10" xfId="32999" xr:uid="{00000000-0005-0000-0000-0000E1600000}"/>
    <cellStyle name="Normal 29 2" xfId="5214" xr:uid="{00000000-0005-0000-0000-0000E2600000}"/>
    <cellStyle name="Normal 29 2 2" xfId="10438" xr:uid="{00000000-0005-0000-0000-0000E3600000}"/>
    <cellStyle name="Normal 29 2 2 2" xfId="40587" xr:uid="{00000000-0005-0000-0000-0000E4600000}"/>
    <cellStyle name="Normal 29 2 2 3" xfId="33001" xr:uid="{00000000-0005-0000-0000-0000E5600000}"/>
    <cellStyle name="Normal 29 2 3" xfId="40586" xr:uid="{00000000-0005-0000-0000-0000E6600000}"/>
    <cellStyle name="Normal 29 2 4" xfId="33000" xr:uid="{00000000-0005-0000-0000-0000E7600000}"/>
    <cellStyle name="Normal 29 3" xfId="5215" xr:uid="{00000000-0005-0000-0000-0000E8600000}"/>
    <cellStyle name="Normal 29 3 2" xfId="10439" xr:uid="{00000000-0005-0000-0000-0000E9600000}"/>
    <cellStyle name="Normal 29 3 2 2" xfId="33003" xr:uid="{00000000-0005-0000-0000-0000EA600000}"/>
    <cellStyle name="Normal 29 3 3" xfId="40588" xr:uid="{00000000-0005-0000-0000-0000EB600000}"/>
    <cellStyle name="Normal 29 3 4" xfId="33002" xr:uid="{00000000-0005-0000-0000-0000EC600000}"/>
    <cellStyle name="Normal 29 4" xfId="5216" xr:uid="{00000000-0005-0000-0000-0000ED600000}"/>
    <cellStyle name="Normal 29 4 2" xfId="5217" xr:uid="{00000000-0005-0000-0000-0000EE600000}"/>
    <cellStyle name="Normal 29 4 2 2" xfId="5218" xr:uid="{00000000-0005-0000-0000-0000EF600000}"/>
    <cellStyle name="Normal 29 4 2 2 2" xfId="5219" xr:uid="{00000000-0005-0000-0000-0000F0600000}"/>
    <cellStyle name="Normal 29 4 2 2 2 2" xfId="18970" xr:uid="{00000000-0005-0000-0000-0000F1600000}"/>
    <cellStyle name="Normal 29 4 2 2 3" xfId="18452" xr:uid="{00000000-0005-0000-0000-0000F2600000}"/>
    <cellStyle name="Normal 29 4 2 3" xfId="5220" xr:uid="{00000000-0005-0000-0000-0000F3600000}"/>
    <cellStyle name="Normal 29 4 2 3 2" xfId="18688" xr:uid="{00000000-0005-0000-0000-0000F4600000}"/>
    <cellStyle name="Normal 29 4 2 4" xfId="18161" xr:uid="{00000000-0005-0000-0000-0000F5600000}"/>
    <cellStyle name="Normal 29 4 2 5" xfId="40589" xr:uid="{00000000-0005-0000-0000-0000F6600000}"/>
    <cellStyle name="Normal 29 4 3" xfId="5221" xr:uid="{00000000-0005-0000-0000-0000F7600000}"/>
    <cellStyle name="Normal 29 4 3 2" xfId="5222" xr:uid="{00000000-0005-0000-0000-0000F8600000}"/>
    <cellStyle name="Normal 29 4 3 2 2" xfId="18849" xr:uid="{00000000-0005-0000-0000-0000F9600000}"/>
    <cellStyle name="Normal 29 4 3 3" xfId="18328" xr:uid="{00000000-0005-0000-0000-0000FA600000}"/>
    <cellStyle name="Normal 29 4 4" xfId="5223" xr:uid="{00000000-0005-0000-0000-0000FB600000}"/>
    <cellStyle name="Normal 29 4 4 2" xfId="18571" xr:uid="{00000000-0005-0000-0000-0000FC600000}"/>
    <cellStyle name="Normal 29 4 5" xfId="18012" xr:uid="{00000000-0005-0000-0000-0000FD600000}"/>
    <cellStyle name="Normal 29 4 6" xfId="33004" xr:uid="{00000000-0005-0000-0000-0000FE600000}"/>
    <cellStyle name="Normal 29 5" xfId="5224" xr:uid="{00000000-0005-0000-0000-0000FF600000}"/>
    <cellStyle name="Normal 29 5 2" xfId="5225" xr:uid="{00000000-0005-0000-0000-000000610000}"/>
    <cellStyle name="Normal 29 5 2 2" xfId="5226" xr:uid="{00000000-0005-0000-0000-000001610000}"/>
    <cellStyle name="Normal 29 5 2 2 2" xfId="5227" xr:uid="{00000000-0005-0000-0000-000002610000}"/>
    <cellStyle name="Normal 29 5 2 2 2 2" xfId="18931" xr:uid="{00000000-0005-0000-0000-000003610000}"/>
    <cellStyle name="Normal 29 5 2 2 3" xfId="18413" xr:uid="{00000000-0005-0000-0000-000004610000}"/>
    <cellStyle name="Normal 29 5 2 3" xfId="5228" xr:uid="{00000000-0005-0000-0000-000005610000}"/>
    <cellStyle name="Normal 29 5 2 3 2" xfId="18649" xr:uid="{00000000-0005-0000-0000-000006610000}"/>
    <cellStyle name="Normal 29 5 2 4" xfId="18122" xr:uid="{00000000-0005-0000-0000-000007610000}"/>
    <cellStyle name="Normal 29 5 3" xfId="5229" xr:uid="{00000000-0005-0000-0000-000008610000}"/>
    <cellStyle name="Normal 29 5 3 2" xfId="5230" xr:uid="{00000000-0005-0000-0000-000009610000}"/>
    <cellStyle name="Normal 29 5 3 2 2" xfId="18817" xr:uid="{00000000-0005-0000-0000-00000A610000}"/>
    <cellStyle name="Normal 29 5 3 3" xfId="18296" xr:uid="{00000000-0005-0000-0000-00000B610000}"/>
    <cellStyle name="Normal 29 5 4" xfId="5231" xr:uid="{00000000-0005-0000-0000-00000C610000}"/>
    <cellStyle name="Normal 29 5 4 2" xfId="18532" xr:uid="{00000000-0005-0000-0000-00000D610000}"/>
    <cellStyle name="Normal 29 5 5" xfId="17968" xr:uid="{00000000-0005-0000-0000-00000E610000}"/>
    <cellStyle name="Normal 29 5 6" xfId="40585" xr:uid="{00000000-0005-0000-0000-00000F610000}"/>
    <cellStyle name="Normal 29 6" xfId="5232" xr:uid="{00000000-0005-0000-0000-000010610000}"/>
    <cellStyle name="Normal 29 6 2" xfId="5233" xr:uid="{00000000-0005-0000-0000-000011610000}"/>
    <cellStyle name="Normal 29 6 2 2" xfId="5234" xr:uid="{00000000-0005-0000-0000-000012610000}"/>
    <cellStyle name="Normal 29 6 2 2 2" xfId="18906" xr:uid="{00000000-0005-0000-0000-000013610000}"/>
    <cellStyle name="Normal 29 6 2 3" xfId="18388" xr:uid="{00000000-0005-0000-0000-000014610000}"/>
    <cellStyle name="Normal 29 6 3" xfId="5235" xr:uid="{00000000-0005-0000-0000-000015610000}"/>
    <cellStyle name="Normal 29 6 3 2" xfId="18624" xr:uid="{00000000-0005-0000-0000-000016610000}"/>
    <cellStyle name="Normal 29 6 4" xfId="18097" xr:uid="{00000000-0005-0000-0000-000017610000}"/>
    <cellStyle name="Normal 29 7" xfId="5236" xr:uid="{00000000-0005-0000-0000-000018610000}"/>
    <cellStyle name="Normal 29 7 2" xfId="5237" xr:uid="{00000000-0005-0000-0000-000019610000}"/>
    <cellStyle name="Normal 29 7 2 2" xfId="18773" xr:uid="{00000000-0005-0000-0000-00001A610000}"/>
    <cellStyle name="Normal 29 7 3" xfId="18246" xr:uid="{00000000-0005-0000-0000-00001B610000}"/>
    <cellStyle name="Normal 29 8" xfId="5238" xr:uid="{00000000-0005-0000-0000-00001C610000}"/>
    <cellStyle name="Normal 29 8 2" xfId="18507" xr:uid="{00000000-0005-0000-0000-00001D610000}"/>
    <cellStyle name="Normal 29 9" xfId="16163" xr:uid="{00000000-0005-0000-0000-00001E610000}"/>
    <cellStyle name="Normal 290" xfId="33005" xr:uid="{00000000-0005-0000-0000-00001F610000}"/>
    <cellStyle name="Normal 290 2" xfId="33006" xr:uid="{00000000-0005-0000-0000-000020610000}"/>
    <cellStyle name="Normal 290 3" xfId="33007" xr:uid="{00000000-0005-0000-0000-000021610000}"/>
    <cellStyle name="Normal 291" xfId="33008" xr:uid="{00000000-0005-0000-0000-000022610000}"/>
    <cellStyle name="Normal 291 2" xfId="33009" xr:uid="{00000000-0005-0000-0000-000023610000}"/>
    <cellStyle name="Normal 291 3" xfId="33010" xr:uid="{00000000-0005-0000-0000-000024610000}"/>
    <cellStyle name="Normal 292" xfId="33011" xr:uid="{00000000-0005-0000-0000-000025610000}"/>
    <cellStyle name="Normal 292 2" xfId="33012" xr:uid="{00000000-0005-0000-0000-000026610000}"/>
    <cellStyle name="Normal 292 3" xfId="33013" xr:uid="{00000000-0005-0000-0000-000027610000}"/>
    <cellStyle name="Normal 293" xfId="33014" xr:uid="{00000000-0005-0000-0000-000028610000}"/>
    <cellStyle name="Normal 293 2" xfId="33015" xr:uid="{00000000-0005-0000-0000-000029610000}"/>
    <cellStyle name="Normal 293 3" xfId="33016" xr:uid="{00000000-0005-0000-0000-00002A610000}"/>
    <cellStyle name="Normal 294" xfId="33017" xr:uid="{00000000-0005-0000-0000-00002B610000}"/>
    <cellStyle name="Normal 294 2" xfId="33018" xr:uid="{00000000-0005-0000-0000-00002C610000}"/>
    <cellStyle name="Normal 294 3" xfId="33019" xr:uid="{00000000-0005-0000-0000-00002D610000}"/>
    <cellStyle name="Normal 295" xfId="33020" xr:uid="{00000000-0005-0000-0000-00002E610000}"/>
    <cellStyle name="Normal 295 2" xfId="33021" xr:uid="{00000000-0005-0000-0000-00002F610000}"/>
    <cellStyle name="Normal 295 3" xfId="33022" xr:uid="{00000000-0005-0000-0000-000030610000}"/>
    <cellStyle name="Normal 296" xfId="33023" xr:uid="{00000000-0005-0000-0000-000031610000}"/>
    <cellStyle name="Normal 296 2" xfId="33024" xr:uid="{00000000-0005-0000-0000-000032610000}"/>
    <cellStyle name="Normal 296 3" xfId="33025" xr:uid="{00000000-0005-0000-0000-000033610000}"/>
    <cellStyle name="Normal 297" xfId="33026" xr:uid="{00000000-0005-0000-0000-000034610000}"/>
    <cellStyle name="Normal 297 2" xfId="33027" xr:uid="{00000000-0005-0000-0000-000035610000}"/>
    <cellStyle name="Normal 297 3" xfId="33028" xr:uid="{00000000-0005-0000-0000-000036610000}"/>
    <cellStyle name="Normal 298" xfId="33029" xr:uid="{00000000-0005-0000-0000-000037610000}"/>
    <cellStyle name="Normal 298 2" xfId="33030" xr:uid="{00000000-0005-0000-0000-000038610000}"/>
    <cellStyle name="Normal 298 3" xfId="33031" xr:uid="{00000000-0005-0000-0000-000039610000}"/>
    <cellStyle name="Normal 299" xfId="33032" xr:uid="{00000000-0005-0000-0000-00003A610000}"/>
    <cellStyle name="Normal 299 2" xfId="33033" xr:uid="{00000000-0005-0000-0000-00003B610000}"/>
    <cellStyle name="Normal 299 3" xfId="33034" xr:uid="{00000000-0005-0000-0000-00003C610000}"/>
    <cellStyle name="Normal 3" xfId="27" xr:uid="{00000000-0005-0000-0000-00003D610000}"/>
    <cellStyle name="Normal 3 10" xfId="5239" xr:uid="{00000000-0005-0000-0000-00003E610000}"/>
    <cellStyle name="Normal 3 10 10" xfId="5240" xr:uid="{00000000-0005-0000-0000-00003F610000}"/>
    <cellStyle name="Normal 3 10 10 2" xfId="10440" xr:uid="{00000000-0005-0000-0000-000040610000}"/>
    <cellStyle name="Normal 3 10 11" xfId="10441" xr:uid="{00000000-0005-0000-0000-000041610000}"/>
    <cellStyle name="Normal 3 10 12" xfId="33035" xr:uid="{00000000-0005-0000-0000-000042610000}"/>
    <cellStyle name="Normal 3 10 2" xfId="5241" xr:uid="{00000000-0005-0000-0000-000043610000}"/>
    <cellStyle name="Normal 3 10 2 2" xfId="10442" xr:uid="{00000000-0005-0000-0000-000044610000}"/>
    <cellStyle name="Normal 3 10 2 2 2" xfId="33038" xr:uid="{00000000-0005-0000-0000-000045610000}"/>
    <cellStyle name="Normal 3 10 2 2 2 2" xfId="40593" xr:uid="{00000000-0005-0000-0000-000046610000}"/>
    <cellStyle name="Normal 3 10 2 2 3" xfId="33039" xr:uid="{00000000-0005-0000-0000-000047610000}"/>
    <cellStyle name="Normal 3 10 2 2 3 2" xfId="40594" xr:uid="{00000000-0005-0000-0000-000048610000}"/>
    <cellStyle name="Normal 3 10 2 2 4" xfId="40592" xr:uid="{00000000-0005-0000-0000-000049610000}"/>
    <cellStyle name="Normal 3 10 2 2 5" xfId="33037" xr:uid="{00000000-0005-0000-0000-00004A610000}"/>
    <cellStyle name="Normal 3 10 2 3" xfId="33040" xr:uid="{00000000-0005-0000-0000-00004B610000}"/>
    <cellStyle name="Normal 3 10 2 3 2" xfId="40595" xr:uid="{00000000-0005-0000-0000-00004C610000}"/>
    <cellStyle name="Normal 3 10 2 4" xfId="33041" xr:uid="{00000000-0005-0000-0000-00004D610000}"/>
    <cellStyle name="Normal 3 10 2 4 2" xfId="40596" xr:uid="{00000000-0005-0000-0000-00004E610000}"/>
    <cellStyle name="Normal 3 10 2 5" xfId="33042" xr:uid="{00000000-0005-0000-0000-00004F610000}"/>
    <cellStyle name="Normal 3 10 2 5 2" xfId="40597" xr:uid="{00000000-0005-0000-0000-000050610000}"/>
    <cellStyle name="Normal 3 10 2 6" xfId="40591" xr:uid="{00000000-0005-0000-0000-000051610000}"/>
    <cellStyle name="Normal 3 10 2 7" xfId="33036" xr:uid="{00000000-0005-0000-0000-000052610000}"/>
    <cellStyle name="Normal 3 10 3" xfId="5242" xr:uid="{00000000-0005-0000-0000-000053610000}"/>
    <cellStyle name="Normal 3 10 3 2" xfId="10443" xr:uid="{00000000-0005-0000-0000-000054610000}"/>
    <cellStyle name="Normal 3 10 3 2 2" xfId="40599" xr:uid="{00000000-0005-0000-0000-000055610000}"/>
    <cellStyle name="Normal 3 10 3 2 3" xfId="33044" xr:uid="{00000000-0005-0000-0000-000056610000}"/>
    <cellStyle name="Normal 3 10 3 3" xfId="33045" xr:uid="{00000000-0005-0000-0000-000057610000}"/>
    <cellStyle name="Normal 3 10 3 3 2" xfId="40600" xr:uid="{00000000-0005-0000-0000-000058610000}"/>
    <cellStyle name="Normal 3 10 3 4" xfId="33046" xr:uid="{00000000-0005-0000-0000-000059610000}"/>
    <cellStyle name="Normal 3 10 3 4 2" xfId="40601" xr:uid="{00000000-0005-0000-0000-00005A610000}"/>
    <cellStyle name="Normal 3 10 3 5" xfId="40598" xr:uid="{00000000-0005-0000-0000-00005B610000}"/>
    <cellStyle name="Normal 3 10 3 6" xfId="33043" xr:uid="{00000000-0005-0000-0000-00005C610000}"/>
    <cellStyle name="Normal 3 10 4" xfId="5243" xr:uid="{00000000-0005-0000-0000-00005D610000}"/>
    <cellStyle name="Normal 3 10 4 2" xfId="10444" xr:uid="{00000000-0005-0000-0000-00005E610000}"/>
    <cellStyle name="Normal 3 10 4 2 2" xfId="40603" xr:uid="{00000000-0005-0000-0000-00005F610000}"/>
    <cellStyle name="Normal 3 10 4 2 3" xfId="33048" xr:uid="{00000000-0005-0000-0000-000060610000}"/>
    <cellStyle name="Normal 3 10 4 3" xfId="40602" xr:uid="{00000000-0005-0000-0000-000061610000}"/>
    <cellStyle name="Normal 3 10 4 4" xfId="33047" xr:uid="{00000000-0005-0000-0000-000062610000}"/>
    <cellStyle name="Normal 3 10 5" xfId="5244" xr:uid="{00000000-0005-0000-0000-000063610000}"/>
    <cellStyle name="Normal 3 10 5 2" xfId="10445" xr:uid="{00000000-0005-0000-0000-000064610000}"/>
    <cellStyle name="Normal 3 10 5 2 2" xfId="40604" xr:uid="{00000000-0005-0000-0000-000065610000}"/>
    <cellStyle name="Normal 3 10 5 3" xfId="33049" xr:uid="{00000000-0005-0000-0000-000066610000}"/>
    <cellStyle name="Normal 3 10 6" xfId="5245" xr:uid="{00000000-0005-0000-0000-000067610000}"/>
    <cellStyle name="Normal 3 10 6 2" xfId="10446" xr:uid="{00000000-0005-0000-0000-000068610000}"/>
    <cellStyle name="Normal 3 10 6 2 2" xfId="40605" xr:uid="{00000000-0005-0000-0000-000069610000}"/>
    <cellStyle name="Normal 3 10 6 3" xfId="33050" xr:uid="{00000000-0005-0000-0000-00006A610000}"/>
    <cellStyle name="Normal 3 10 7" xfId="5246" xr:uid="{00000000-0005-0000-0000-00006B610000}"/>
    <cellStyle name="Normal 3 10 7 2" xfId="10447" xr:uid="{00000000-0005-0000-0000-00006C610000}"/>
    <cellStyle name="Normal 3 10 7 3" xfId="40590" xr:uid="{00000000-0005-0000-0000-00006D610000}"/>
    <cellStyle name="Normal 3 10 8" xfId="5247" xr:uid="{00000000-0005-0000-0000-00006E610000}"/>
    <cellStyle name="Normal 3 10 8 2" xfId="10448" xr:uid="{00000000-0005-0000-0000-00006F610000}"/>
    <cellStyle name="Normal 3 10 9" xfId="5248" xr:uid="{00000000-0005-0000-0000-000070610000}"/>
    <cellStyle name="Normal 3 10 9 2" xfId="10449" xr:uid="{00000000-0005-0000-0000-000071610000}"/>
    <cellStyle name="Normal 3 11" xfId="5249" xr:uid="{00000000-0005-0000-0000-000072610000}"/>
    <cellStyle name="Normal 3 11 10" xfId="5250" xr:uid="{00000000-0005-0000-0000-000073610000}"/>
    <cellStyle name="Normal 3 11 10 2" xfId="10450" xr:uid="{00000000-0005-0000-0000-000074610000}"/>
    <cellStyle name="Normal 3 11 11" xfId="10451" xr:uid="{00000000-0005-0000-0000-000075610000}"/>
    <cellStyle name="Normal 3 11 12" xfId="33051" xr:uid="{00000000-0005-0000-0000-000076610000}"/>
    <cellStyle name="Normal 3 11 2" xfId="5251" xr:uid="{00000000-0005-0000-0000-000077610000}"/>
    <cellStyle name="Normal 3 11 2 2" xfId="10452" xr:uid="{00000000-0005-0000-0000-000078610000}"/>
    <cellStyle name="Normal 3 11 2 2 2" xfId="40608" xr:uid="{00000000-0005-0000-0000-000079610000}"/>
    <cellStyle name="Normal 3 11 2 2 3" xfId="33053" xr:uid="{00000000-0005-0000-0000-00007A610000}"/>
    <cellStyle name="Normal 3 11 2 3" xfId="40607" xr:uid="{00000000-0005-0000-0000-00007B610000}"/>
    <cellStyle name="Normal 3 11 2 4" xfId="33052" xr:uid="{00000000-0005-0000-0000-00007C610000}"/>
    <cellStyle name="Normal 3 11 3" xfId="5252" xr:uid="{00000000-0005-0000-0000-00007D610000}"/>
    <cellStyle name="Normal 3 11 3 2" xfId="10453" xr:uid="{00000000-0005-0000-0000-00007E610000}"/>
    <cellStyle name="Normal 3 11 3 2 2" xfId="40609" xr:uid="{00000000-0005-0000-0000-00007F610000}"/>
    <cellStyle name="Normal 3 11 3 3" xfId="33054" xr:uid="{00000000-0005-0000-0000-000080610000}"/>
    <cellStyle name="Normal 3 11 4" xfId="5253" xr:uid="{00000000-0005-0000-0000-000081610000}"/>
    <cellStyle name="Normal 3 11 4 2" xfId="10454" xr:uid="{00000000-0005-0000-0000-000082610000}"/>
    <cellStyle name="Normal 3 11 4 2 2" xfId="40610" xr:uid="{00000000-0005-0000-0000-000083610000}"/>
    <cellStyle name="Normal 3 11 4 3" xfId="33055" xr:uid="{00000000-0005-0000-0000-000084610000}"/>
    <cellStyle name="Normal 3 11 5" xfId="5254" xr:uid="{00000000-0005-0000-0000-000085610000}"/>
    <cellStyle name="Normal 3 11 5 2" xfId="10455" xr:uid="{00000000-0005-0000-0000-000086610000}"/>
    <cellStyle name="Normal 3 11 5 2 2" xfId="40611" xr:uid="{00000000-0005-0000-0000-000087610000}"/>
    <cellStyle name="Normal 3 11 5 3" xfId="33056" xr:uid="{00000000-0005-0000-0000-000088610000}"/>
    <cellStyle name="Normal 3 11 6" xfId="5255" xr:uid="{00000000-0005-0000-0000-000089610000}"/>
    <cellStyle name="Normal 3 11 6 2" xfId="10456" xr:uid="{00000000-0005-0000-0000-00008A610000}"/>
    <cellStyle name="Normal 3 11 6 3" xfId="40606" xr:uid="{00000000-0005-0000-0000-00008B610000}"/>
    <cellStyle name="Normal 3 11 7" xfId="5256" xr:uid="{00000000-0005-0000-0000-00008C610000}"/>
    <cellStyle name="Normal 3 11 7 2" xfId="10457" xr:uid="{00000000-0005-0000-0000-00008D610000}"/>
    <cellStyle name="Normal 3 11 8" xfId="5257" xr:uid="{00000000-0005-0000-0000-00008E610000}"/>
    <cellStyle name="Normal 3 11 8 2" xfId="10458" xr:uid="{00000000-0005-0000-0000-00008F610000}"/>
    <cellStyle name="Normal 3 11 9" xfId="5258" xr:uid="{00000000-0005-0000-0000-000090610000}"/>
    <cellStyle name="Normal 3 11 9 2" xfId="10459" xr:uid="{00000000-0005-0000-0000-000091610000}"/>
    <cellStyle name="Normal 3 12" xfId="5259" xr:uid="{00000000-0005-0000-0000-000092610000}"/>
    <cellStyle name="Normal 3 12 2" xfId="10460" xr:uid="{00000000-0005-0000-0000-000093610000}"/>
    <cellStyle name="Normal 3 12 2 2" xfId="33059" xr:uid="{00000000-0005-0000-0000-000094610000}"/>
    <cellStyle name="Normal 3 12 2 2 2" xfId="40614" xr:uid="{00000000-0005-0000-0000-000095610000}"/>
    <cellStyle name="Normal 3 12 2 3" xfId="33060" xr:uid="{00000000-0005-0000-0000-000096610000}"/>
    <cellStyle name="Normal 3 12 2 3 2" xfId="40615" xr:uid="{00000000-0005-0000-0000-000097610000}"/>
    <cellStyle name="Normal 3 12 2 4" xfId="33061" xr:uid="{00000000-0005-0000-0000-000098610000}"/>
    <cellStyle name="Normal 3 12 2 4 2" xfId="40616" xr:uid="{00000000-0005-0000-0000-000099610000}"/>
    <cellStyle name="Normal 3 12 2 5" xfId="40613" xr:uid="{00000000-0005-0000-0000-00009A610000}"/>
    <cellStyle name="Normal 3 12 2 6" xfId="33058" xr:uid="{00000000-0005-0000-0000-00009B610000}"/>
    <cellStyle name="Normal 3 12 3" xfId="33062" xr:uid="{00000000-0005-0000-0000-00009C610000}"/>
    <cellStyle name="Normal 3 12 3 2" xfId="40617" xr:uid="{00000000-0005-0000-0000-00009D610000}"/>
    <cellStyle name="Normal 3 12 4" xfId="33063" xr:uid="{00000000-0005-0000-0000-00009E610000}"/>
    <cellStyle name="Normal 3 12 4 2" xfId="40618" xr:uid="{00000000-0005-0000-0000-00009F610000}"/>
    <cellStyle name="Normal 3 12 5" xfId="33064" xr:uid="{00000000-0005-0000-0000-0000A0610000}"/>
    <cellStyle name="Normal 3 12 5 2" xfId="40619" xr:uid="{00000000-0005-0000-0000-0000A1610000}"/>
    <cellStyle name="Normal 3 12 6" xfId="40612" xr:uid="{00000000-0005-0000-0000-0000A2610000}"/>
    <cellStyle name="Normal 3 12 7" xfId="33057" xr:uid="{00000000-0005-0000-0000-0000A3610000}"/>
    <cellStyle name="Normal 3 13" xfId="5260" xr:uid="{00000000-0005-0000-0000-0000A4610000}"/>
    <cellStyle name="Normal 3 13 2" xfId="10461" xr:uid="{00000000-0005-0000-0000-0000A5610000}"/>
    <cellStyle name="Normal 3 13 2 2" xfId="33067" xr:uid="{00000000-0005-0000-0000-0000A6610000}"/>
    <cellStyle name="Normal 3 13 2 2 2" xfId="40622" xr:uid="{00000000-0005-0000-0000-0000A7610000}"/>
    <cellStyle name="Normal 3 13 2 3" xfId="40621" xr:uid="{00000000-0005-0000-0000-0000A8610000}"/>
    <cellStyle name="Normal 3 13 2 4" xfId="33066" xr:uid="{00000000-0005-0000-0000-0000A9610000}"/>
    <cellStyle name="Normal 3 13 3" xfId="33068" xr:uid="{00000000-0005-0000-0000-0000AA610000}"/>
    <cellStyle name="Normal 3 13 3 2" xfId="33069" xr:uid="{00000000-0005-0000-0000-0000AB610000}"/>
    <cellStyle name="Normal 3 13 3 2 2" xfId="40624" xr:uid="{00000000-0005-0000-0000-0000AC610000}"/>
    <cellStyle name="Normal 3 13 3 3" xfId="40623" xr:uid="{00000000-0005-0000-0000-0000AD610000}"/>
    <cellStyle name="Normal 3 13 4" xfId="33070" xr:uid="{00000000-0005-0000-0000-0000AE610000}"/>
    <cellStyle name="Normal 3 13 4 2" xfId="40625" xr:uid="{00000000-0005-0000-0000-0000AF610000}"/>
    <cellStyle name="Normal 3 13 5" xfId="33071" xr:uid="{00000000-0005-0000-0000-0000B0610000}"/>
    <cellStyle name="Normal 3 13 5 2" xfId="40626" xr:uid="{00000000-0005-0000-0000-0000B1610000}"/>
    <cellStyle name="Normal 3 13 6" xfId="40620" xr:uid="{00000000-0005-0000-0000-0000B2610000}"/>
    <cellStyle name="Normal 3 13 7" xfId="33065" xr:uid="{00000000-0005-0000-0000-0000B3610000}"/>
    <cellStyle name="Normal 3 14" xfId="5261" xr:uid="{00000000-0005-0000-0000-0000B4610000}"/>
    <cellStyle name="Normal 3 14 2" xfId="10462" xr:uid="{00000000-0005-0000-0000-0000B5610000}"/>
    <cellStyle name="Normal 3 14 2 2" xfId="33074" xr:uid="{00000000-0005-0000-0000-0000B6610000}"/>
    <cellStyle name="Normal 3 14 2 2 2" xfId="40629" xr:uid="{00000000-0005-0000-0000-0000B7610000}"/>
    <cellStyle name="Normal 3 14 2 3" xfId="40628" xr:uid="{00000000-0005-0000-0000-0000B8610000}"/>
    <cellStyle name="Normal 3 14 2 4" xfId="33073" xr:uid="{00000000-0005-0000-0000-0000B9610000}"/>
    <cellStyle name="Normal 3 14 3" xfId="33075" xr:uid="{00000000-0005-0000-0000-0000BA610000}"/>
    <cellStyle name="Normal 3 14 3 2" xfId="33076" xr:uid="{00000000-0005-0000-0000-0000BB610000}"/>
    <cellStyle name="Normal 3 14 3 2 2" xfId="40631" xr:uid="{00000000-0005-0000-0000-0000BC610000}"/>
    <cellStyle name="Normal 3 14 3 3" xfId="40630" xr:uid="{00000000-0005-0000-0000-0000BD610000}"/>
    <cellStyle name="Normal 3 14 4" xfId="33077" xr:uid="{00000000-0005-0000-0000-0000BE610000}"/>
    <cellStyle name="Normal 3 14 4 2" xfId="33078" xr:uid="{00000000-0005-0000-0000-0000BF610000}"/>
    <cellStyle name="Normal 3 14 4 2 2" xfId="40633" xr:uid="{00000000-0005-0000-0000-0000C0610000}"/>
    <cellStyle name="Normal 3 14 4 3" xfId="40632" xr:uid="{00000000-0005-0000-0000-0000C1610000}"/>
    <cellStyle name="Normal 3 14 5" xfId="33079" xr:uid="{00000000-0005-0000-0000-0000C2610000}"/>
    <cellStyle name="Normal 3 14 5 2" xfId="40634" xr:uid="{00000000-0005-0000-0000-0000C3610000}"/>
    <cellStyle name="Normal 3 14 6" xfId="40627" xr:uid="{00000000-0005-0000-0000-0000C4610000}"/>
    <cellStyle name="Normal 3 14 7" xfId="33072" xr:uid="{00000000-0005-0000-0000-0000C5610000}"/>
    <cellStyle name="Normal 3 15" xfId="5262" xr:uid="{00000000-0005-0000-0000-0000C6610000}"/>
    <cellStyle name="Normal 3 15 2" xfId="10463" xr:uid="{00000000-0005-0000-0000-0000C7610000}"/>
    <cellStyle name="Normal 3 15 2 2" xfId="40636" xr:uid="{00000000-0005-0000-0000-0000C8610000}"/>
    <cellStyle name="Normal 3 15 2 3" xfId="33081" xr:uid="{00000000-0005-0000-0000-0000C9610000}"/>
    <cellStyle name="Normal 3 15 3" xfId="33082" xr:uid="{00000000-0005-0000-0000-0000CA610000}"/>
    <cellStyle name="Normal 3 15 3 2" xfId="40637" xr:uid="{00000000-0005-0000-0000-0000CB610000}"/>
    <cellStyle name="Normal 3 15 4" xfId="33083" xr:uid="{00000000-0005-0000-0000-0000CC610000}"/>
    <cellStyle name="Normal 3 15 4 2" xfId="40638" xr:uid="{00000000-0005-0000-0000-0000CD610000}"/>
    <cellStyle name="Normal 3 15 5" xfId="33084" xr:uid="{00000000-0005-0000-0000-0000CE610000}"/>
    <cellStyle name="Normal 3 15 5 2" xfId="40639" xr:uid="{00000000-0005-0000-0000-0000CF610000}"/>
    <cellStyle name="Normal 3 15 6" xfId="40635" xr:uid="{00000000-0005-0000-0000-0000D0610000}"/>
    <cellStyle name="Normal 3 15 7" xfId="33080" xr:uid="{00000000-0005-0000-0000-0000D1610000}"/>
    <cellStyle name="Normal 3 16" xfId="5263" xr:uid="{00000000-0005-0000-0000-0000D2610000}"/>
    <cellStyle name="Normal 3 16 2" xfId="10464" xr:uid="{00000000-0005-0000-0000-0000D3610000}"/>
    <cellStyle name="Normal 3 16 2 2" xfId="40641" xr:uid="{00000000-0005-0000-0000-0000D4610000}"/>
    <cellStyle name="Normal 3 16 2 3" xfId="33086" xr:uid="{00000000-0005-0000-0000-0000D5610000}"/>
    <cellStyle name="Normal 3 16 3" xfId="33087" xr:uid="{00000000-0005-0000-0000-0000D6610000}"/>
    <cellStyle name="Normal 3 16 3 2" xfId="40642" xr:uid="{00000000-0005-0000-0000-0000D7610000}"/>
    <cellStyle name="Normal 3 16 4" xfId="33088" xr:uid="{00000000-0005-0000-0000-0000D8610000}"/>
    <cellStyle name="Normal 3 16 4 2" xfId="40643" xr:uid="{00000000-0005-0000-0000-0000D9610000}"/>
    <cellStyle name="Normal 3 16 5" xfId="33089" xr:uid="{00000000-0005-0000-0000-0000DA610000}"/>
    <cellStyle name="Normal 3 16 5 2" xfId="40644" xr:uid="{00000000-0005-0000-0000-0000DB610000}"/>
    <cellStyle name="Normal 3 16 6" xfId="40640" xr:uid="{00000000-0005-0000-0000-0000DC610000}"/>
    <cellStyle name="Normal 3 16 7" xfId="33085" xr:uid="{00000000-0005-0000-0000-0000DD610000}"/>
    <cellStyle name="Normal 3 17" xfId="5264" xr:uid="{00000000-0005-0000-0000-0000DE610000}"/>
    <cellStyle name="Normal 3 17 2" xfId="10465" xr:uid="{00000000-0005-0000-0000-0000DF610000}"/>
    <cellStyle name="Normal 3 17 2 2" xfId="40646" xr:uid="{00000000-0005-0000-0000-0000E0610000}"/>
    <cellStyle name="Normal 3 17 2 3" xfId="33091" xr:uid="{00000000-0005-0000-0000-0000E1610000}"/>
    <cellStyle name="Normal 3 17 3" xfId="33092" xr:uid="{00000000-0005-0000-0000-0000E2610000}"/>
    <cellStyle name="Normal 3 17 3 2" xfId="40647" xr:uid="{00000000-0005-0000-0000-0000E3610000}"/>
    <cellStyle name="Normal 3 17 4" xfId="33093" xr:uid="{00000000-0005-0000-0000-0000E4610000}"/>
    <cellStyle name="Normal 3 17 4 2" xfId="40648" xr:uid="{00000000-0005-0000-0000-0000E5610000}"/>
    <cellStyle name="Normal 3 17 5" xfId="33094" xr:uid="{00000000-0005-0000-0000-0000E6610000}"/>
    <cellStyle name="Normal 3 17 5 2" xfId="40649" xr:uid="{00000000-0005-0000-0000-0000E7610000}"/>
    <cellStyle name="Normal 3 17 6" xfId="40645" xr:uid="{00000000-0005-0000-0000-0000E8610000}"/>
    <cellStyle name="Normal 3 17 7" xfId="33090" xr:uid="{00000000-0005-0000-0000-0000E9610000}"/>
    <cellStyle name="Normal 3 18" xfId="5265" xr:uid="{00000000-0005-0000-0000-0000EA610000}"/>
    <cellStyle name="Normal 3 18 2" xfId="10466" xr:uid="{00000000-0005-0000-0000-0000EB610000}"/>
    <cellStyle name="Normal 3 18 2 2" xfId="33097" xr:uid="{00000000-0005-0000-0000-0000EC610000}"/>
    <cellStyle name="Normal 3 18 2 2 2" xfId="33098" xr:uid="{00000000-0005-0000-0000-0000ED610000}"/>
    <cellStyle name="Normal 3 18 2 2 2 2" xfId="40653" xr:uid="{00000000-0005-0000-0000-0000EE610000}"/>
    <cellStyle name="Normal 3 18 2 2 3" xfId="40652" xr:uid="{00000000-0005-0000-0000-0000EF610000}"/>
    <cellStyle name="Normal 3 18 2 3" xfId="33099" xr:uid="{00000000-0005-0000-0000-0000F0610000}"/>
    <cellStyle name="Normal 3 18 2 3 2" xfId="40654" xr:uid="{00000000-0005-0000-0000-0000F1610000}"/>
    <cellStyle name="Normal 3 18 2 4" xfId="40651" xr:uid="{00000000-0005-0000-0000-0000F2610000}"/>
    <cellStyle name="Normal 3 18 2 5" xfId="33096" xr:uid="{00000000-0005-0000-0000-0000F3610000}"/>
    <cellStyle name="Normal 3 18 3" xfId="33100" xr:uid="{00000000-0005-0000-0000-0000F4610000}"/>
    <cellStyle name="Normal 3 18 3 2" xfId="33101" xr:uid="{00000000-0005-0000-0000-0000F5610000}"/>
    <cellStyle name="Normal 3 18 3 2 2" xfId="40656" xr:uid="{00000000-0005-0000-0000-0000F6610000}"/>
    <cellStyle name="Normal 3 18 3 3" xfId="40655" xr:uid="{00000000-0005-0000-0000-0000F7610000}"/>
    <cellStyle name="Normal 3 18 4" xfId="33102" xr:uid="{00000000-0005-0000-0000-0000F8610000}"/>
    <cellStyle name="Normal 3 18 4 2" xfId="40657" xr:uid="{00000000-0005-0000-0000-0000F9610000}"/>
    <cellStyle name="Normal 3 18 5" xfId="33103" xr:uid="{00000000-0005-0000-0000-0000FA610000}"/>
    <cellStyle name="Normal 3 18 5 2" xfId="40658" xr:uid="{00000000-0005-0000-0000-0000FB610000}"/>
    <cellStyle name="Normal 3 18 6" xfId="40650" xr:uid="{00000000-0005-0000-0000-0000FC610000}"/>
    <cellStyle name="Normal 3 18 7" xfId="33095" xr:uid="{00000000-0005-0000-0000-0000FD610000}"/>
    <cellStyle name="Normal 3 19" xfId="5266" xr:uid="{00000000-0005-0000-0000-0000FE610000}"/>
    <cellStyle name="Normal 3 19 2" xfId="33105" xr:uid="{00000000-0005-0000-0000-0000FF610000}"/>
    <cellStyle name="Normal 3 19 2 2" xfId="40660" xr:uid="{00000000-0005-0000-0000-000000620000}"/>
    <cellStyle name="Normal 3 19 3" xfId="33106" xr:uid="{00000000-0005-0000-0000-000001620000}"/>
    <cellStyle name="Normal 3 19 3 2" xfId="40661" xr:uid="{00000000-0005-0000-0000-000002620000}"/>
    <cellStyle name="Normal 3 19 4" xfId="40659" xr:uid="{00000000-0005-0000-0000-000003620000}"/>
    <cellStyle name="Normal 3 19 5" xfId="33104" xr:uid="{00000000-0005-0000-0000-000004620000}"/>
    <cellStyle name="Normal 3 2" xfId="5267" xr:uid="{00000000-0005-0000-0000-000005620000}"/>
    <cellStyle name="Normal 3 2 10" xfId="33107" xr:uid="{00000000-0005-0000-0000-000006620000}"/>
    <cellStyle name="Normal 3 2 10 2" xfId="33108" xr:uid="{00000000-0005-0000-0000-000007620000}"/>
    <cellStyle name="Normal 3 2 2" xfId="5268" xr:uid="{00000000-0005-0000-0000-000008620000}"/>
    <cellStyle name="Normal 3 2 2 10" xfId="40662" xr:uid="{00000000-0005-0000-0000-000009620000}"/>
    <cellStyle name="Normal 3 2 2 11" xfId="33109" xr:uid="{00000000-0005-0000-0000-00000A620000}"/>
    <cellStyle name="Normal 3 2 2 2" xfId="10467" xr:uid="{00000000-0005-0000-0000-00000B620000}"/>
    <cellStyle name="Normal 3 2 2 2 2" xfId="33111" xr:uid="{00000000-0005-0000-0000-00000C620000}"/>
    <cellStyle name="Normal 3 2 2 2 2 2" xfId="33112" xr:uid="{00000000-0005-0000-0000-00000D620000}"/>
    <cellStyle name="Normal 3 2 2 2 2 2 2" xfId="33113" xr:uid="{00000000-0005-0000-0000-00000E620000}"/>
    <cellStyle name="Normal 3 2 2 2 2 2 2 2" xfId="40666" xr:uid="{00000000-0005-0000-0000-00000F620000}"/>
    <cellStyle name="Normal 3 2 2 2 2 2 3" xfId="33114" xr:uid="{00000000-0005-0000-0000-000010620000}"/>
    <cellStyle name="Normal 3 2 2 2 2 2 3 2" xfId="40667" xr:uid="{00000000-0005-0000-0000-000011620000}"/>
    <cellStyle name="Normal 3 2 2 2 2 2 4" xfId="33115" xr:uid="{00000000-0005-0000-0000-000012620000}"/>
    <cellStyle name="Normal 3 2 2 2 2 2 5" xfId="33116" xr:uid="{00000000-0005-0000-0000-000013620000}"/>
    <cellStyle name="Normal 3 2 2 2 2 2 6" xfId="40665" xr:uid="{00000000-0005-0000-0000-000014620000}"/>
    <cellStyle name="Normal 3 2 2 2 2 3" xfId="33117" xr:uid="{00000000-0005-0000-0000-000015620000}"/>
    <cellStyle name="Normal 3 2 2 2 2 3 2" xfId="40668" xr:uid="{00000000-0005-0000-0000-000016620000}"/>
    <cellStyle name="Normal 3 2 2 2 2 4" xfId="33118" xr:uid="{00000000-0005-0000-0000-000017620000}"/>
    <cellStyle name="Normal 3 2 2 2 2 4 2" xfId="40669" xr:uid="{00000000-0005-0000-0000-000018620000}"/>
    <cellStyle name="Normal 3 2 2 2 2 5" xfId="33119" xr:uid="{00000000-0005-0000-0000-000019620000}"/>
    <cellStyle name="Normal 3 2 2 2 2 6" xfId="33120" xr:uid="{00000000-0005-0000-0000-00001A620000}"/>
    <cellStyle name="Normal 3 2 2 2 2 7" xfId="40664" xr:uid="{00000000-0005-0000-0000-00001B620000}"/>
    <cellStyle name="Normal 3 2 2 2 3" xfId="33121" xr:uid="{00000000-0005-0000-0000-00001C620000}"/>
    <cellStyle name="Normal 3 2 2 2 3 2" xfId="33122" xr:uid="{00000000-0005-0000-0000-00001D620000}"/>
    <cellStyle name="Normal 3 2 2 2 3 2 2" xfId="40671" xr:uid="{00000000-0005-0000-0000-00001E620000}"/>
    <cellStyle name="Normal 3 2 2 2 3 3" xfId="33123" xr:uid="{00000000-0005-0000-0000-00001F620000}"/>
    <cellStyle name="Normal 3 2 2 2 3 3 2" xfId="40672" xr:uid="{00000000-0005-0000-0000-000020620000}"/>
    <cellStyle name="Normal 3 2 2 2 3 4" xfId="33124" xr:uid="{00000000-0005-0000-0000-000021620000}"/>
    <cellStyle name="Normal 3 2 2 2 3 5" xfId="33125" xr:uid="{00000000-0005-0000-0000-000022620000}"/>
    <cellStyle name="Normal 3 2 2 2 3 6" xfId="40670" xr:uid="{00000000-0005-0000-0000-000023620000}"/>
    <cellStyle name="Normal 3 2 2 2 4" xfId="33126" xr:uid="{00000000-0005-0000-0000-000024620000}"/>
    <cellStyle name="Normal 3 2 2 2 4 2" xfId="40673" xr:uid="{00000000-0005-0000-0000-000025620000}"/>
    <cellStyle name="Normal 3 2 2 2 5" xfId="33127" xr:uid="{00000000-0005-0000-0000-000026620000}"/>
    <cellStyle name="Normal 3 2 2 2 5 2" xfId="40674" xr:uid="{00000000-0005-0000-0000-000027620000}"/>
    <cellStyle name="Normal 3 2 2 2 6" xfId="33128" xr:uid="{00000000-0005-0000-0000-000028620000}"/>
    <cellStyle name="Normal 3 2 2 2 7" xfId="33129" xr:uid="{00000000-0005-0000-0000-000029620000}"/>
    <cellStyle name="Normal 3 2 2 2 8" xfId="40663" xr:uid="{00000000-0005-0000-0000-00002A620000}"/>
    <cellStyle name="Normal 3 2 2 2 9" xfId="33110" xr:uid="{00000000-0005-0000-0000-00002B620000}"/>
    <cellStyle name="Normal 3 2 2 3" xfId="33130" xr:uid="{00000000-0005-0000-0000-00002C620000}"/>
    <cellStyle name="Normal 3 2 2 3 2" xfId="33131" xr:uid="{00000000-0005-0000-0000-00002D620000}"/>
    <cellStyle name="Normal 3 2 2 3 2 2" xfId="33132" xr:uid="{00000000-0005-0000-0000-00002E620000}"/>
    <cellStyle name="Normal 3 2 2 3 2 2 2" xfId="40677" xr:uid="{00000000-0005-0000-0000-00002F620000}"/>
    <cellStyle name="Normal 3 2 2 3 2 3" xfId="33133" xr:uid="{00000000-0005-0000-0000-000030620000}"/>
    <cellStyle name="Normal 3 2 2 3 2 3 2" xfId="40678" xr:uid="{00000000-0005-0000-0000-000031620000}"/>
    <cellStyle name="Normal 3 2 2 3 2 4" xfId="33134" xr:uid="{00000000-0005-0000-0000-000032620000}"/>
    <cellStyle name="Normal 3 2 2 3 2 5" xfId="33135" xr:uid="{00000000-0005-0000-0000-000033620000}"/>
    <cellStyle name="Normal 3 2 2 3 2 6" xfId="40676" xr:uid="{00000000-0005-0000-0000-000034620000}"/>
    <cellStyle name="Normal 3 2 2 3 3" xfId="33136" xr:uid="{00000000-0005-0000-0000-000035620000}"/>
    <cellStyle name="Normal 3 2 2 3 3 2" xfId="40679" xr:uid="{00000000-0005-0000-0000-000036620000}"/>
    <cellStyle name="Normal 3 2 2 3 4" xfId="33137" xr:uid="{00000000-0005-0000-0000-000037620000}"/>
    <cellStyle name="Normal 3 2 2 3 4 2" xfId="40680" xr:uid="{00000000-0005-0000-0000-000038620000}"/>
    <cellStyle name="Normal 3 2 2 3 5" xfId="33138" xr:uid="{00000000-0005-0000-0000-000039620000}"/>
    <cellStyle name="Normal 3 2 2 3 6" xfId="33139" xr:uid="{00000000-0005-0000-0000-00003A620000}"/>
    <cellStyle name="Normal 3 2 2 3 7" xfId="40675" xr:uid="{00000000-0005-0000-0000-00003B620000}"/>
    <cellStyle name="Normal 3 2 2 4" xfId="33140" xr:uid="{00000000-0005-0000-0000-00003C620000}"/>
    <cellStyle name="Normal 3 2 2 4 2" xfId="33141" xr:uid="{00000000-0005-0000-0000-00003D620000}"/>
    <cellStyle name="Normal 3 2 2 4 2 2" xfId="40682" xr:uid="{00000000-0005-0000-0000-00003E620000}"/>
    <cellStyle name="Normal 3 2 2 4 3" xfId="33142" xr:uid="{00000000-0005-0000-0000-00003F620000}"/>
    <cellStyle name="Normal 3 2 2 4 3 2" xfId="40683" xr:uid="{00000000-0005-0000-0000-000040620000}"/>
    <cellStyle name="Normal 3 2 2 4 4" xfId="33143" xr:uid="{00000000-0005-0000-0000-000041620000}"/>
    <cellStyle name="Normal 3 2 2 4 5" xfId="33144" xr:uid="{00000000-0005-0000-0000-000042620000}"/>
    <cellStyle name="Normal 3 2 2 4 6" xfId="40681" xr:uid="{00000000-0005-0000-0000-000043620000}"/>
    <cellStyle name="Normal 3 2 2 5" xfId="33145" xr:uid="{00000000-0005-0000-0000-000044620000}"/>
    <cellStyle name="Normal 3 2 2 5 2" xfId="40684" xr:uid="{00000000-0005-0000-0000-000045620000}"/>
    <cellStyle name="Normal 3 2 2 6" xfId="33146" xr:uid="{00000000-0005-0000-0000-000046620000}"/>
    <cellStyle name="Normal 3 2 2 6 2" xfId="40685" xr:uid="{00000000-0005-0000-0000-000047620000}"/>
    <cellStyle name="Normal 3 2 2 7" xfId="33147" xr:uid="{00000000-0005-0000-0000-000048620000}"/>
    <cellStyle name="Normal 3 2 2 8" xfId="33148" xr:uid="{00000000-0005-0000-0000-000049620000}"/>
    <cellStyle name="Normal 3 2 2 8 2" xfId="33149" xr:uid="{00000000-0005-0000-0000-00004A620000}"/>
    <cellStyle name="Normal 3 2 2 9" xfId="33150" xr:uid="{00000000-0005-0000-0000-00004B620000}"/>
    <cellStyle name="Normal 3 2 3" xfId="10468" xr:uid="{00000000-0005-0000-0000-00004C620000}"/>
    <cellStyle name="Normal 3 2 3 2" xfId="33152" xr:uid="{00000000-0005-0000-0000-00004D620000}"/>
    <cellStyle name="Normal 3 2 3 2 2" xfId="33153" xr:uid="{00000000-0005-0000-0000-00004E620000}"/>
    <cellStyle name="Normal 3 2 3 2 2 2" xfId="33154" xr:uid="{00000000-0005-0000-0000-00004F620000}"/>
    <cellStyle name="Normal 3 2 3 2 2 2 2" xfId="40689" xr:uid="{00000000-0005-0000-0000-000050620000}"/>
    <cellStyle name="Normal 3 2 3 2 2 3" xfId="33155" xr:uid="{00000000-0005-0000-0000-000051620000}"/>
    <cellStyle name="Normal 3 2 3 2 2 3 2" xfId="40690" xr:uid="{00000000-0005-0000-0000-000052620000}"/>
    <cellStyle name="Normal 3 2 3 2 2 4" xfId="33156" xr:uid="{00000000-0005-0000-0000-000053620000}"/>
    <cellStyle name="Normal 3 2 3 2 2 5" xfId="33157" xr:uid="{00000000-0005-0000-0000-000054620000}"/>
    <cellStyle name="Normal 3 2 3 2 2 6" xfId="40688" xr:uid="{00000000-0005-0000-0000-000055620000}"/>
    <cellStyle name="Normal 3 2 3 2 3" xfId="33158" xr:uid="{00000000-0005-0000-0000-000056620000}"/>
    <cellStyle name="Normal 3 2 3 2 3 2" xfId="40691" xr:uid="{00000000-0005-0000-0000-000057620000}"/>
    <cellStyle name="Normal 3 2 3 2 4" xfId="33159" xr:uid="{00000000-0005-0000-0000-000058620000}"/>
    <cellStyle name="Normal 3 2 3 2 4 2" xfId="40692" xr:uid="{00000000-0005-0000-0000-000059620000}"/>
    <cellStyle name="Normal 3 2 3 2 5" xfId="33160" xr:uid="{00000000-0005-0000-0000-00005A620000}"/>
    <cellStyle name="Normal 3 2 3 2 6" xfId="33161" xr:uid="{00000000-0005-0000-0000-00005B620000}"/>
    <cellStyle name="Normal 3 2 3 2 7" xfId="40687" xr:uid="{00000000-0005-0000-0000-00005C620000}"/>
    <cellStyle name="Normal 3 2 3 3" xfId="33162" xr:uid="{00000000-0005-0000-0000-00005D620000}"/>
    <cellStyle name="Normal 3 2 3 3 2" xfId="33163" xr:uid="{00000000-0005-0000-0000-00005E620000}"/>
    <cellStyle name="Normal 3 2 3 3 2 2" xfId="40694" xr:uid="{00000000-0005-0000-0000-00005F620000}"/>
    <cellStyle name="Normal 3 2 3 3 3" xfId="33164" xr:uid="{00000000-0005-0000-0000-000060620000}"/>
    <cellStyle name="Normal 3 2 3 3 3 2" xfId="40695" xr:uid="{00000000-0005-0000-0000-000061620000}"/>
    <cellStyle name="Normal 3 2 3 3 4" xfId="33165" xr:uid="{00000000-0005-0000-0000-000062620000}"/>
    <cellStyle name="Normal 3 2 3 3 5" xfId="33166" xr:uid="{00000000-0005-0000-0000-000063620000}"/>
    <cellStyle name="Normal 3 2 3 3 6" xfId="40693" xr:uid="{00000000-0005-0000-0000-000064620000}"/>
    <cellStyle name="Normal 3 2 3 4" xfId="33167" xr:uid="{00000000-0005-0000-0000-000065620000}"/>
    <cellStyle name="Normal 3 2 3 4 2" xfId="40696" xr:uid="{00000000-0005-0000-0000-000066620000}"/>
    <cellStyle name="Normal 3 2 3 5" xfId="33168" xr:uid="{00000000-0005-0000-0000-000067620000}"/>
    <cellStyle name="Normal 3 2 3 5 2" xfId="40697" xr:uid="{00000000-0005-0000-0000-000068620000}"/>
    <cellStyle name="Normal 3 2 3 6" xfId="33169" xr:uid="{00000000-0005-0000-0000-000069620000}"/>
    <cellStyle name="Normal 3 2 3 7" xfId="33170" xr:uid="{00000000-0005-0000-0000-00006A620000}"/>
    <cellStyle name="Normal 3 2 3 8" xfId="40686" xr:uid="{00000000-0005-0000-0000-00006B620000}"/>
    <cellStyle name="Normal 3 2 3 9" xfId="33151" xr:uid="{00000000-0005-0000-0000-00006C620000}"/>
    <cellStyle name="Normal 3 2 4" xfId="33171" xr:uid="{00000000-0005-0000-0000-00006D620000}"/>
    <cellStyle name="Normal 3 2 4 2" xfId="33172" xr:uid="{00000000-0005-0000-0000-00006E620000}"/>
    <cellStyle name="Normal 3 2 4 2 2" xfId="33173" xr:uid="{00000000-0005-0000-0000-00006F620000}"/>
    <cellStyle name="Normal 3 2 4 2 2 2" xfId="40700" xr:uid="{00000000-0005-0000-0000-000070620000}"/>
    <cellStyle name="Normal 3 2 4 2 3" xfId="33174" xr:uid="{00000000-0005-0000-0000-000071620000}"/>
    <cellStyle name="Normal 3 2 4 2 3 2" xfId="40701" xr:uid="{00000000-0005-0000-0000-000072620000}"/>
    <cellStyle name="Normal 3 2 4 2 4" xfId="33175" xr:uid="{00000000-0005-0000-0000-000073620000}"/>
    <cellStyle name="Normal 3 2 4 2 5" xfId="33176" xr:uid="{00000000-0005-0000-0000-000074620000}"/>
    <cellStyle name="Normal 3 2 4 2 6" xfId="40699" xr:uid="{00000000-0005-0000-0000-000075620000}"/>
    <cellStyle name="Normal 3 2 4 3" xfId="33177" xr:uid="{00000000-0005-0000-0000-000076620000}"/>
    <cellStyle name="Normal 3 2 4 3 2" xfId="40702" xr:uid="{00000000-0005-0000-0000-000077620000}"/>
    <cellStyle name="Normal 3 2 4 4" xfId="33178" xr:uid="{00000000-0005-0000-0000-000078620000}"/>
    <cellStyle name="Normal 3 2 4 4 2" xfId="40703" xr:uid="{00000000-0005-0000-0000-000079620000}"/>
    <cellStyle name="Normal 3 2 4 5" xfId="33179" xr:uid="{00000000-0005-0000-0000-00007A620000}"/>
    <cellStyle name="Normal 3 2 4 5 2" xfId="33180" xr:uid="{00000000-0005-0000-0000-00007B620000}"/>
    <cellStyle name="Normal 3 2 4 5 3" xfId="40704" xr:uid="{00000000-0005-0000-0000-00007C620000}"/>
    <cellStyle name="Normal 3 2 4 6" xfId="33181" xr:uid="{00000000-0005-0000-0000-00007D620000}"/>
    <cellStyle name="Normal 3 2 4 7" xfId="40698" xr:uid="{00000000-0005-0000-0000-00007E620000}"/>
    <cellStyle name="Normal 3 2 5" xfId="33182" xr:uid="{00000000-0005-0000-0000-00007F620000}"/>
    <cellStyle name="Normal 3 2 5 2" xfId="33183" xr:uid="{00000000-0005-0000-0000-000080620000}"/>
    <cellStyle name="Normal 3 2 5 2 2" xfId="40706" xr:uid="{00000000-0005-0000-0000-000081620000}"/>
    <cellStyle name="Normal 3 2 5 3" xfId="33184" xr:uid="{00000000-0005-0000-0000-000082620000}"/>
    <cellStyle name="Normal 3 2 5 3 2" xfId="40707" xr:uid="{00000000-0005-0000-0000-000083620000}"/>
    <cellStyle name="Normal 3 2 5 4" xfId="33185" xr:uid="{00000000-0005-0000-0000-000084620000}"/>
    <cellStyle name="Normal 3 2 5 5" xfId="33186" xr:uid="{00000000-0005-0000-0000-000085620000}"/>
    <cellStyle name="Normal 3 2 5 6" xfId="40705" xr:uid="{00000000-0005-0000-0000-000086620000}"/>
    <cellStyle name="Normal 3 2 6" xfId="33187" xr:uid="{00000000-0005-0000-0000-000087620000}"/>
    <cellStyle name="Normal 3 2 6 2" xfId="33188" xr:uid="{00000000-0005-0000-0000-000088620000}"/>
    <cellStyle name="Normal 3 2 6 2 2" xfId="33189" xr:uid="{00000000-0005-0000-0000-000089620000}"/>
    <cellStyle name="Normal 3 2 6 2 3" xfId="40709" xr:uid="{00000000-0005-0000-0000-00008A620000}"/>
    <cellStyle name="Normal 3 2 6 3" xfId="33190" xr:uid="{00000000-0005-0000-0000-00008B620000}"/>
    <cellStyle name="Normal 3 2 6 3 2" xfId="40710" xr:uid="{00000000-0005-0000-0000-00008C620000}"/>
    <cellStyle name="Normal 3 2 6 4" xfId="33191" xr:uid="{00000000-0005-0000-0000-00008D620000}"/>
    <cellStyle name="Normal 3 2 6 5" xfId="40708" xr:uid="{00000000-0005-0000-0000-00008E620000}"/>
    <cellStyle name="Normal 3 2 7" xfId="33192" xr:uid="{00000000-0005-0000-0000-00008F620000}"/>
    <cellStyle name="Normal 3 2 7 2" xfId="40711" xr:uid="{00000000-0005-0000-0000-000090620000}"/>
    <cellStyle name="Normal 3 2 8" xfId="33193" xr:uid="{00000000-0005-0000-0000-000091620000}"/>
    <cellStyle name="Normal 3 2 8 2" xfId="33194" xr:uid="{00000000-0005-0000-0000-000092620000}"/>
    <cellStyle name="Normal 3 2 8 3" xfId="40712" xr:uid="{00000000-0005-0000-0000-000093620000}"/>
    <cellStyle name="Normal 3 2 9" xfId="33195" xr:uid="{00000000-0005-0000-0000-000094620000}"/>
    <cellStyle name="Normal 3 2 9 2" xfId="33196" xr:uid="{00000000-0005-0000-0000-000095620000}"/>
    <cellStyle name="Normal 3 2 9 2 2" xfId="33197" xr:uid="{00000000-0005-0000-0000-000096620000}"/>
    <cellStyle name="Normal 3 20" xfId="54" xr:uid="{00000000-0005-0000-0000-000097620000}"/>
    <cellStyle name="Normal 3 20 2" xfId="33199" xr:uid="{00000000-0005-0000-0000-000098620000}"/>
    <cellStyle name="Normal 3 20 2 2" xfId="40714" xr:uid="{00000000-0005-0000-0000-000099620000}"/>
    <cellStyle name="Normal 3 20 3" xfId="33200" xr:uid="{00000000-0005-0000-0000-00009A620000}"/>
    <cellStyle name="Normal 3 20 3 2" xfId="40715" xr:uid="{00000000-0005-0000-0000-00009B620000}"/>
    <cellStyle name="Normal 3 20 4" xfId="40713" xr:uid="{00000000-0005-0000-0000-00009C620000}"/>
    <cellStyle name="Normal 3 20 5" xfId="33198" xr:uid="{00000000-0005-0000-0000-00009D620000}"/>
    <cellStyle name="Normal 3 21" xfId="33201" xr:uid="{00000000-0005-0000-0000-00009E620000}"/>
    <cellStyle name="Normal 3 21 2" xfId="33202" xr:uid="{00000000-0005-0000-0000-00009F620000}"/>
    <cellStyle name="Normal 3 21 2 2" xfId="40717" xr:uid="{00000000-0005-0000-0000-0000A0620000}"/>
    <cellStyle name="Normal 3 21 3" xfId="40716" xr:uid="{00000000-0005-0000-0000-0000A1620000}"/>
    <cellStyle name="Normal 3 22" xfId="33203" xr:uid="{00000000-0005-0000-0000-0000A2620000}"/>
    <cellStyle name="Normal 3 22 2" xfId="33204" xr:uid="{00000000-0005-0000-0000-0000A3620000}"/>
    <cellStyle name="Normal 3 22 2 2" xfId="40719" xr:uid="{00000000-0005-0000-0000-0000A4620000}"/>
    <cellStyle name="Normal 3 22 3" xfId="40718" xr:uid="{00000000-0005-0000-0000-0000A5620000}"/>
    <cellStyle name="Normal 3 23" xfId="33205" xr:uid="{00000000-0005-0000-0000-0000A6620000}"/>
    <cellStyle name="Normal 3 23 2" xfId="33206" xr:uid="{00000000-0005-0000-0000-0000A7620000}"/>
    <cellStyle name="Normal 3 23 2 2" xfId="40721" xr:uid="{00000000-0005-0000-0000-0000A8620000}"/>
    <cellStyle name="Normal 3 23 3" xfId="40720" xr:uid="{00000000-0005-0000-0000-0000A9620000}"/>
    <cellStyle name="Normal 3 24" xfId="33207" xr:uid="{00000000-0005-0000-0000-0000AA620000}"/>
    <cellStyle name="Normal 3 24 2" xfId="40722" xr:uid="{00000000-0005-0000-0000-0000AB620000}"/>
    <cellStyle name="Normal 3 25" xfId="33208" xr:uid="{00000000-0005-0000-0000-0000AC620000}"/>
    <cellStyle name="Normal 3 25 2" xfId="40723" xr:uid="{00000000-0005-0000-0000-0000AD620000}"/>
    <cellStyle name="Normal 3 26" xfId="33209" xr:uid="{00000000-0005-0000-0000-0000AE620000}"/>
    <cellStyle name="Normal 3 26 2" xfId="40724" xr:uid="{00000000-0005-0000-0000-0000AF620000}"/>
    <cellStyle name="Normal 3 27" xfId="33210" xr:uid="{00000000-0005-0000-0000-0000B0620000}"/>
    <cellStyle name="Normal 3 27 2" xfId="40725" xr:uid="{00000000-0005-0000-0000-0000B1620000}"/>
    <cellStyle name="Normal 3 28" xfId="33211" xr:uid="{00000000-0005-0000-0000-0000B2620000}"/>
    <cellStyle name="Normal 3 28 2" xfId="40726" xr:uid="{00000000-0005-0000-0000-0000B3620000}"/>
    <cellStyle name="Normal 3 29" xfId="33212" xr:uid="{00000000-0005-0000-0000-0000B4620000}"/>
    <cellStyle name="Normal 3 29 2" xfId="40727" xr:uid="{00000000-0005-0000-0000-0000B5620000}"/>
    <cellStyle name="Normal 3 3" xfId="5269" xr:uid="{00000000-0005-0000-0000-0000B6620000}"/>
    <cellStyle name="Normal 3 3 10" xfId="33214" xr:uid="{00000000-0005-0000-0000-0000B7620000}"/>
    <cellStyle name="Normal 3 3 11" xfId="33215" xr:uid="{00000000-0005-0000-0000-0000B8620000}"/>
    <cellStyle name="Normal 3 3 12" xfId="33216" xr:uid="{00000000-0005-0000-0000-0000B9620000}"/>
    <cellStyle name="Normal 3 3 13" xfId="33217" xr:uid="{00000000-0005-0000-0000-0000BA620000}"/>
    <cellStyle name="Normal 3 3 14" xfId="33218" xr:uid="{00000000-0005-0000-0000-0000BB620000}"/>
    <cellStyle name="Normal 3 3 15" xfId="33219" xr:uid="{00000000-0005-0000-0000-0000BC620000}"/>
    <cellStyle name="Normal 3 3 16" xfId="33220" xr:uid="{00000000-0005-0000-0000-0000BD620000}"/>
    <cellStyle name="Normal 3 3 16 2" xfId="40728" xr:uid="{00000000-0005-0000-0000-0000BE620000}"/>
    <cellStyle name="Normal 3 3 17" xfId="33221" xr:uid="{00000000-0005-0000-0000-0000BF620000}"/>
    <cellStyle name="Normal 3 3 17 2" xfId="40729" xr:uid="{00000000-0005-0000-0000-0000C0620000}"/>
    <cellStyle name="Normal 3 3 18" xfId="33222" xr:uid="{00000000-0005-0000-0000-0000C1620000}"/>
    <cellStyle name="Normal 3 3 19" xfId="33223" xr:uid="{00000000-0005-0000-0000-0000C2620000}"/>
    <cellStyle name="Normal 3 3 2" xfId="5270" xr:uid="{00000000-0005-0000-0000-0000C3620000}"/>
    <cellStyle name="Normal 3 3 2 2" xfId="10469" xr:uid="{00000000-0005-0000-0000-0000C4620000}"/>
    <cellStyle name="Normal 3 3 2 2 2" xfId="33226" xr:uid="{00000000-0005-0000-0000-0000C5620000}"/>
    <cellStyle name="Normal 3 3 2 2 2 2" xfId="33227" xr:uid="{00000000-0005-0000-0000-0000C6620000}"/>
    <cellStyle name="Normal 3 3 2 2 2 2 2" xfId="40732" xr:uid="{00000000-0005-0000-0000-0000C7620000}"/>
    <cellStyle name="Normal 3 3 2 2 2 3" xfId="33228" xr:uid="{00000000-0005-0000-0000-0000C8620000}"/>
    <cellStyle name="Normal 3 3 2 2 2 3 2" xfId="40733" xr:uid="{00000000-0005-0000-0000-0000C9620000}"/>
    <cellStyle name="Normal 3 3 2 2 2 4" xfId="40731" xr:uid="{00000000-0005-0000-0000-0000CA620000}"/>
    <cellStyle name="Normal 3 3 2 2 3" xfId="33229" xr:uid="{00000000-0005-0000-0000-0000CB620000}"/>
    <cellStyle name="Normal 3 3 2 2 3 2" xfId="33230" xr:uid="{00000000-0005-0000-0000-0000CC620000}"/>
    <cellStyle name="Normal 3 3 2 2 3 2 2" xfId="40735" xr:uid="{00000000-0005-0000-0000-0000CD620000}"/>
    <cellStyle name="Normal 3 3 2 2 3 3" xfId="40734" xr:uid="{00000000-0005-0000-0000-0000CE620000}"/>
    <cellStyle name="Normal 3 3 2 2 4" xfId="33231" xr:uid="{00000000-0005-0000-0000-0000CF620000}"/>
    <cellStyle name="Normal 3 3 2 2 4 2" xfId="40736" xr:uid="{00000000-0005-0000-0000-0000D0620000}"/>
    <cellStyle name="Normal 3 3 2 2 5" xfId="40730" xr:uid="{00000000-0005-0000-0000-0000D1620000}"/>
    <cellStyle name="Normal 3 3 2 2 6" xfId="33225" xr:uid="{00000000-0005-0000-0000-0000D2620000}"/>
    <cellStyle name="Normal 3 3 2 3" xfId="33232" xr:uid="{00000000-0005-0000-0000-0000D3620000}"/>
    <cellStyle name="Normal 3 3 2 3 2" xfId="33233" xr:uid="{00000000-0005-0000-0000-0000D4620000}"/>
    <cellStyle name="Normal 3 3 2 3 2 2" xfId="33234" xr:uid="{00000000-0005-0000-0000-0000D5620000}"/>
    <cellStyle name="Normal 3 3 2 3 2 2 2" xfId="40739" xr:uid="{00000000-0005-0000-0000-0000D6620000}"/>
    <cellStyle name="Normal 3 3 2 3 2 3" xfId="40738" xr:uid="{00000000-0005-0000-0000-0000D7620000}"/>
    <cellStyle name="Normal 3 3 2 3 3" xfId="33235" xr:uid="{00000000-0005-0000-0000-0000D8620000}"/>
    <cellStyle name="Normal 3 3 2 3 3 2" xfId="40740" xr:uid="{00000000-0005-0000-0000-0000D9620000}"/>
    <cellStyle name="Normal 3 3 2 3 4" xfId="40737" xr:uid="{00000000-0005-0000-0000-0000DA620000}"/>
    <cellStyle name="Normal 3 3 2 4" xfId="33236" xr:uid="{00000000-0005-0000-0000-0000DB620000}"/>
    <cellStyle name="Normal 3 3 2 4 2" xfId="33237" xr:uid="{00000000-0005-0000-0000-0000DC620000}"/>
    <cellStyle name="Normal 3 3 2 4 2 2" xfId="40742" xr:uid="{00000000-0005-0000-0000-0000DD620000}"/>
    <cellStyle name="Normal 3 3 2 4 3" xfId="40741" xr:uid="{00000000-0005-0000-0000-0000DE620000}"/>
    <cellStyle name="Normal 3 3 2 5" xfId="33238" xr:uid="{00000000-0005-0000-0000-0000DF620000}"/>
    <cellStyle name="Normal 3 3 2 5 2" xfId="40743" xr:uid="{00000000-0005-0000-0000-0000E0620000}"/>
    <cellStyle name="Normal 3 3 2 6" xfId="33239" xr:uid="{00000000-0005-0000-0000-0000E1620000}"/>
    <cellStyle name="Normal 3 3 2 6 2" xfId="40744" xr:uid="{00000000-0005-0000-0000-0000E2620000}"/>
    <cellStyle name="Normal 3 3 2 7" xfId="33240" xr:uid="{00000000-0005-0000-0000-0000E3620000}"/>
    <cellStyle name="Normal 3 3 2 7 2" xfId="40745" xr:uid="{00000000-0005-0000-0000-0000E4620000}"/>
    <cellStyle name="Normal 3 3 2 8" xfId="33241" xr:uid="{00000000-0005-0000-0000-0000E5620000}"/>
    <cellStyle name="Normal 3 3 2 8 2" xfId="40746" xr:uid="{00000000-0005-0000-0000-0000E6620000}"/>
    <cellStyle name="Normal 3 3 2 9" xfId="33224" xr:uid="{00000000-0005-0000-0000-0000E7620000}"/>
    <cellStyle name="Normal 3 3 20" xfId="33213" xr:uid="{00000000-0005-0000-0000-0000E8620000}"/>
    <cellStyle name="Normal 3 3 3" xfId="10470" xr:uid="{00000000-0005-0000-0000-0000E9620000}"/>
    <cellStyle name="Normal 3 3 3 2" xfId="33243" xr:uid="{00000000-0005-0000-0000-0000EA620000}"/>
    <cellStyle name="Normal 3 3 3 2 2" xfId="33244" xr:uid="{00000000-0005-0000-0000-0000EB620000}"/>
    <cellStyle name="Normal 3 3 3 2 2 2" xfId="40748" xr:uid="{00000000-0005-0000-0000-0000EC620000}"/>
    <cellStyle name="Normal 3 3 3 2 3" xfId="33245" xr:uid="{00000000-0005-0000-0000-0000ED620000}"/>
    <cellStyle name="Normal 3 3 3 2 3 2" xfId="40749" xr:uid="{00000000-0005-0000-0000-0000EE620000}"/>
    <cellStyle name="Normal 3 3 3 2 4" xfId="40747" xr:uid="{00000000-0005-0000-0000-0000EF620000}"/>
    <cellStyle name="Normal 3 3 3 3" xfId="33246" xr:uid="{00000000-0005-0000-0000-0000F0620000}"/>
    <cellStyle name="Normal 3 3 3 3 2" xfId="33247" xr:uid="{00000000-0005-0000-0000-0000F1620000}"/>
    <cellStyle name="Normal 3 3 3 3 2 2" xfId="40751" xr:uid="{00000000-0005-0000-0000-0000F2620000}"/>
    <cellStyle name="Normal 3 3 3 3 3" xfId="40750" xr:uid="{00000000-0005-0000-0000-0000F3620000}"/>
    <cellStyle name="Normal 3 3 3 4" xfId="33248" xr:uid="{00000000-0005-0000-0000-0000F4620000}"/>
    <cellStyle name="Normal 3 3 3 4 2" xfId="40752" xr:uid="{00000000-0005-0000-0000-0000F5620000}"/>
    <cellStyle name="Normal 3 3 3 5" xfId="33249" xr:uid="{00000000-0005-0000-0000-0000F6620000}"/>
    <cellStyle name="Normal 3 3 3 5 2" xfId="40753" xr:uid="{00000000-0005-0000-0000-0000F7620000}"/>
    <cellStyle name="Normal 3 3 3 6" xfId="33250" xr:uid="{00000000-0005-0000-0000-0000F8620000}"/>
    <cellStyle name="Normal 3 3 3 6 2" xfId="40754" xr:uid="{00000000-0005-0000-0000-0000F9620000}"/>
    <cellStyle name="Normal 3 3 3 7" xfId="33251" xr:uid="{00000000-0005-0000-0000-0000FA620000}"/>
    <cellStyle name="Normal 3 3 3 7 2" xfId="40755" xr:uid="{00000000-0005-0000-0000-0000FB620000}"/>
    <cellStyle name="Normal 3 3 3 8" xfId="33252" xr:uid="{00000000-0005-0000-0000-0000FC620000}"/>
    <cellStyle name="Normal 3 3 3 9" xfId="33242" xr:uid="{00000000-0005-0000-0000-0000FD620000}"/>
    <cellStyle name="Normal 3 3 4" xfId="33253" xr:uid="{00000000-0005-0000-0000-0000FE620000}"/>
    <cellStyle name="Normal 3 3 4 2" xfId="33254" xr:uid="{00000000-0005-0000-0000-0000FF620000}"/>
    <cellStyle name="Normal 3 3 4 2 2" xfId="33255" xr:uid="{00000000-0005-0000-0000-000000630000}"/>
    <cellStyle name="Normal 3 3 4 2 2 2" xfId="40757" xr:uid="{00000000-0005-0000-0000-000001630000}"/>
    <cellStyle name="Normal 3 3 4 2 3" xfId="40756" xr:uid="{00000000-0005-0000-0000-000002630000}"/>
    <cellStyle name="Normal 3 3 4 3" xfId="33256" xr:uid="{00000000-0005-0000-0000-000003630000}"/>
    <cellStyle name="Normal 3 3 4 3 2" xfId="40758" xr:uid="{00000000-0005-0000-0000-000004630000}"/>
    <cellStyle name="Normal 3 3 4 4" xfId="33257" xr:uid="{00000000-0005-0000-0000-000005630000}"/>
    <cellStyle name="Normal 3 3 4 4 2" xfId="40759" xr:uid="{00000000-0005-0000-0000-000006630000}"/>
    <cellStyle name="Normal 3 3 4 5" xfId="33258" xr:uid="{00000000-0005-0000-0000-000007630000}"/>
    <cellStyle name="Normal 3 3 4 5 2" xfId="40760" xr:uid="{00000000-0005-0000-0000-000008630000}"/>
    <cellStyle name="Normal 3 3 4 6" xfId="33259" xr:uid="{00000000-0005-0000-0000-000009630000}"/>
    <cellStyle name="Normal 3 3 4 6 2" xfId="40761" xr:uid="{00000000-0005-0000-0000-00000A630000}"/>
    <cellStyle name="Normal 3 3 4 7" xfId="33260" xr:uid="{00000000-0005-0000-0000-00000B630000}"/>
    <cellStyle name="Normal 3 3 5" xfId="33261" xr:uid="{00000000-0005-0000-0000-00000C630000}"/>
    <cellStyle name="Normal 3 3 5 2" xfId="33262" xr:uid="{00000000-0005-0000-0000-00000D630000}"/>
    <cellStyle name="Normal 3 3 5 2 2" xfId="40762" xr:uid="{00000000-0005-0000-0000-00000E630000}"/>
    <cellStyle name="Normal 3 3 5 3" xfId="33263" xr:uid="{00000000-0005-0000-0000-00000F630000}"/>
    <cellStyle name="Normal 3 3 5 3 2" xfId="40763" xr:uid="{00000000-0005-0000-0000-000010630000}"/>
    <cellStyle name="Normal 3 3 5 4" xfId="33264" xr:uid="{00000000-0005-0000-0000-000011630000}"/>
    <cellStyle name="Normal 3 3 5 4 2" xfId="40764" xr:uid="{00000000-0005-0000-0000-000012630000}"/>
    <cellStyle name="Normal 3 3 6" xfId="33265" xr:uid="{00000000-0005-0000-0000-000013630000}"/>
    <cellStyle name="Normal 3 3 6 2" xfId="33266" xr:uid="{00000000-0005-0000-0000-000014630000}"/>
    <cellStyle name="Normal 3 3 6 2 2" xfId="40765" xr:uid="{00000000-0005-0000-0000-000015630000}"/>
    <cellStyle name="Normal 3 3 6 3" xfId="33267" xr:uid="{00000000-0005-0000-0000-000016630000}"/>
    <cellStyle name="Normal 3 3 6 3 2" xfId="40766" xr:uid="{00000000-0005-0000-0000-000017630000}"/>
    <cellStyle name="Normal 3 3 7" xfId="33268" xr:uid="{00000000-0005-0000-0000-000018630000}"/>
    <cellStyle name="Normal 3 3 7 2" xfId="33269" xr:uid="{00000000-0005-0000-0000-000019630000}"/>
    <cellStyle name="Normal 3 3 7 2 2" xfId="40767" xr:uid="{00000000-0005-0000-0000-00001A630000}"/>
    <cellStyle name="Normal 3 3 7 3" xfId="33270" xr:uid="{00000000-0005-0000-0000-00001B630000}"/>
    <cellStyle name="Normal 3 3 7 3 2" xfId="40768" xr:uid="{00000000-0005-0000-0000-00001C630000}"/>
    <cellStyle name="Normal 3 3 8" xfId="33271" xr:uid="{00000000-0005-0000-0000-00001D630000}"/>
    <cellStyle name="Normal 3 3 8 2" xfId="33272" xr:uid="{00000000-0005-0000-0000-00001E630000}"/>
    <cellStyle name="Normal 3 3 8 2 2" xfId="40769" xr:uid="{00000000-0005-0000-0000-00001F630000}"/>
    <cellStyle name="Normal 3 3 8 3" xfId="33273" xr:uid="{00000000-0005-0000-0000-000020630000}"/>
    <cellStyle name="Normal 3 3 8 3 2" xfId="40770" xr:uid="{00000000-0005-0000-0000-000021630000}"/>
    <cellStyle name="Normal 3 3 9" xfId="33274" xr:uid="{00000000-0005-0000-0000-000022630000}"/>
    <cellStyle name="Normal 3 3 9 2" xfId="33275" xr:uid="{00000000-0005-0000-0000-000023630000}"/>
    <cellStyle name="Normal 3 3 9 2 2" xfId="40771" xr:uid="{00000000-0005-0000-0000-000024630000}"/>
    <cellStyle name="Normal 3 3 9 3" xfId="33276" xr:uid="{00000000-0005-0000-0000-000025630000}"/>
    <cellStyle name="Normal 3 3 9 3 2" xfId="40772" xr:uid="{00000000-0005-0000-0000-000026630000}"/>
    <cellStyle name="Normal 3 30" xfId="33277" xr:uid="{00000000-0005-0000-0000-000027630000}"/>
    <cellStyle name="Normal 3 31" xfId="38380" xr:uid="{00000000-0005-0000-0000-000028630000}"/>
    <cellStyle name="Normal 3 32" xfId="19273" xr:uid="{00000000-0005-0000-0000-000029630000}"/>
    <cellStyle name="Normal 3 33" xfId="52" xr:uid="{00000000-0005-0000-0000-00002A630000}"/>
    <cellStyle name="Normal 3 34" xfId="44377" xr:uid="{00000000-0005-0000-0000-00002B630000}"/>
    <cellStyle name="Normal 3 4" xfId="5271" xr:uid="{00000000-0005-0000-0000-00002C630000}"/>
    <cellStyle name="Normal 3 4 2" xfId="5272" xr:uid="{00000000-0005-0000-0000-00002D630000}"/>
    <cellStyle name="Normal 3 4 2 2" xfId="10471" xr:uid="{00000000-0005-0000-0000-00002E630000}"/>
    <cellStyle name="Normal 3 4 2 2 2" xfId="40774" xr:uid="{00000000-0005-0000-0000-00002F630000}"/>
    <cellStyle name="Normal 3 4 2 2 3" xfId="33280" xr:uid="{00000000-0005-0000-0000-000030630000}"/>
    <cellStyle name="Normal 3 4 2 3" xfId="40773" xr:uid="{00000000-0005-0000-0000-000031630000}"/>
    <cellStyle name="Normal 3 4 2 4" xfId="33279" xr:uid="{00000000-0005-0000-0000-000032630000}"/>
    <cellStyle name="Normal 3 4 3" xfId="10472" xr:uid="{00000000-0005-0000-0000-000033630000}"/>
    <cellStyle name="Normal 3 4 3 2" xfId="33282" xr:uid="{00000000-0005-0000-0000-000034630000}"/>
    <cellStyle name="Normal 3 4 3 2 2" xfId="40776" xr:uid="{00000000-0005-0000-0000-000035630000}"/>
    <cellStyle name="Normal 3 4 3 3" xfId="40775" xr:uid="{00000000-0005-0000-0000-000036630000}"/>
    <cellStyle name="Normal 3 4 3 4" xfId="33281" xr:uid="{00000000-0005-0000-0000-000037630000}"/>
    <cellStyle name="Normal 3 4 4" xfId="33283" xr:uid="{00000000-0005-0000-0000-000038630000}"/>
    <cellStyle name="Normal 3 4 4 2" xfId="33284" xr:uid="{00000000-0005-0000-0000-000039630000}"/>
    <cellStyle name="Normal 3 4 4 2 2" xfId="40778" xr:uid="{00000000-0005-0000-0000-00003A630000}"/>
    <cellStyle name="Normal 3 4 4 3" xfId="40777" xr:uid="{00000000-0005-0000-0000-00003B630000}"/>
    <cellStyle name="Normal 3 4 5" xfId="33285" xr:uid="{00000000-0005-0000-0000-00003C630000}"/>
    <cellStyle name="Normal 3 4 5 2" xfId="40779" xr:uid="{00000000-0005-0000-0000-00003D630000}"/>
    <cellStyle name="Normal 3 4 6" xfId="33286" xr:uid="{00000000-0005-0000-0000-00003E630000}"/>
    <cellStyle name="Normal 3 4 6 2" xfId="40780" xr:uid="{00000000-0005-0000-0000-00003F630000}"/>
    <cellStyle name="Normal 3 4 7" xfId="33287" xr:uid="{00000000-0005-0000-0000-000040630000}"/>
    <cellStyle name="Normal 3 4 7 2" xfId="40781" xr:uid="{00000000-0005-0000-0000-000041630000}"/>
    <cellStyle name="Normal 3 4 8" xfId="33288" xr:uid="{00000000-0005-0000-0000-000042630000}"/>
    <cellStyle name="Normal 3 4 9" xfId="33278" xr:uid="{00000000-0005-0000-0000-000043630000}"/>
    <cellStyle name="Normal 3 5" xfId="5273" xr:uid="{00000000-0005-0000-0000-000044630000}"/>
    <cellStyle name="Normal 3 5 10" xfId="33290" xr:uid="{00000000-0005-0000-0000-000045630000}"/>
    <cellStyle name="Normal 3 5 11" xfId="40782" xr:uid="{00000000-0005-0000-0000-000046630000}"/>
    <cellStyle name="Normal 3 5 12" xfId="33289" xr:uid="{00000000-0005-0000-0000-000047630000}"/>
    <cellStyle name="Normal 3 5 2" xfId="5274" xr:uid="{00000000-0005-0000-0000-000048630000}"/>
    <cellStyle name="Normal 3 5 2 2" xfId="10473" xr:uid="{00000000-0005-0000-0000-000049630000}"/>
    <cellStyle name="Normal 3 5 2 2 2" xfId="33293" xr:uid="{00000000-0005-0000-0000-00004A630000}"/>
    <cellStyle name="Normal 3 5 2 2 2 2" xfId="33294" xr:uid="{00000000-0005-0000-0000-00004B630000}"/>
    <cellStyle name="Normal 3 5 2 2 2 2 2" xfId="40786" xr:uid="{00000000-0005-0000-0000-00004C630000}"/>
    <cellStyle name="Normal 3 5 2 2 2 3" xfId="33295" xr:uid="{00000000-0005-0000-0000-00004D630000}"/>
    <cellStyle name="Normal 3 5 2 2 2 3 2" xfId="40787" xr:uid="{00000000-0005-0000-0000-00004E630000}"/>
    <cellStyle name="Normal 3 5 2 2 2 4" xfId="40785" xr:uid="{00000000-0005-0000-0000-00004F630000}"/>
    <cellStyle name="Normal 3 5 2 2 3" xfId="33296" xr:uid="{00000000-0005-0000-0000-000050630000}"/>
    <cellStyle name="Normal 3 5 2 2 3 2" xfId="33297" xr:uid="{00000000-0005-0000-0000-000051630000}"/>
    <cellStyle name="Normal 3 5 2 2 3 2 2" xfId="40789" xr:uid="{00000000-0005-0000-0000-000052630000}"/>
    <cellStyle name="Normal 3 5 2 2 3 3" xfId="40788" xr:uid="{00000000-0005-0000-0000-000053630000}"/>
    <cellStyle name="Normal 3 5 2 2 4" xfId="33298" xr:uid="{00000000-0005-0000-0000-000054630000}"/>
    <cellStyle name="Normal 3 5 2 2 4 2" xfId="40790" xr:uid="{00000000-0005-0000-0000-000055630000}"/>
    <cellStyle name="Normal 3 5 2 2 5" xfId="40784" xr:uid="{00000000-0005-0000-0000-000056630000}"/>
    <cellStyle name="Normal 3 5 2 2 6" xfId="33292" xr:uid="{00000000-0005-0000-0000-000057630000}"/>
    <cellStyle name="Normal 3 5 2 3" xfId="33299" xr:uid="{00000000-0005-0000-0000-000058630000}"/>
    <cellStyle name="Normal 3 5 2 3 2" xfId="33300" xr:uid="{00000000-0005-0000-0000-000059630000}"/>
    <cellStyle name="Normal 3 5 2 3 2 2" xfId="33301" xr:uid="{00000000-0005-0000-0000-00005A630000}"/>
    <cellStyle name="Normal 3 5 2 3 2 2 2" xfId="40793" xr:uid="{00000000-0005-0000-0000-00005B630000}"/>
    <cellStyle name="Normal 3 5 2 3 2 3" xfId="40792" xr:uid="{00000000-0005-0000-0000-00005C630000}"/>
    <cellStyle name="Normal 3 5 2 3 3" xfId="33302" xr:uid="{00000000-0005-0000-0000-00005D630000}"/>
    <cellStyle name="Normal 3 5 2 3 3 2" xfId="40794" xr:uid="{00000000-0005-0000-0000-00005E630000}"/>
    <cellStyle name="Normal 3 5 2 3 4" xfId="40791" xr:uid="{00000000-0005-0000-0000-00005F630000}"/>
    <cellStyle name="Normal 3 5 2 4" xfId="33303" xr:uid="{00000000-0005-0000-0000-000060630000}"/>
    <cellStyle name="Normal 3 5 2 4 2" xfId="33304" xr:uid="{00000000-0005-0000-0000-000061630000}"/>
    <cellStyle name="Normal 3 5 2 4 2 2" xfId="40796" xr:uid="{00000000-0005-0000-0000-000062630000}"/>
    <cellStyle name="Normal 3 5 2 4 3" xfId="40795" xr:uid="{00000000-0005-0000-0000-000063630000}"/>
    <cellStyle name="Normal 3 5 2 5" xfId="33305" xr:uid="{00000000-0005-0000-0000-000064630000}"/>
    <cellStyle name="Normal 3 5 2 5 2" xfId="40797" xr:uid="{00000000-0005-0000-0000-000065630000}"/>
    <cellStyle name="Normal 3 5 2 6" xfId="33306" xr:uid="{00000000-0005-0000-0000-000066630000}"/>
    <cellStyle name="Normal 3 5 2 6 2" xfId="40798" xr:uid="{00000000-0005-0000-0000-000067630000}"/>
    <cellStyle name="Normal 3 5 2 7" xfId="40783" xr:uid="{00000000-0005-0000-0000-000068630000}"/>
    <cellStyle name="Normal 3 5 2 8" xfId="33291" xr:uid="{00000000-0005-0000-0000-000069630000}"/>
    <cellStyle name="Normal 3 5 3" xfId="10474" xr:uid="{00000000-0005-0000-0000-00006A630000}"/>
    <cellStyle name="Normal 3 5 3 2" xfId="33308" xr:uid="{00000000-0005-0000-0000-00006B630000}"/>
    <cellStyle name="Normal 3 5 3 2 2" xfId="33309" xr:uid="{00000000-0005-0000-0000-00006C630000}"/>
    <cellStyle name="Normal 3 5 3 2 2 2" xfId="40801" xr:uid="{00000000-0005-0000-0000-00006D630000}"/>
    <cellStyle name="Normal 3 5 3 2 3" xfId="33310" xr:uid="{00000000-0005-0000-0000-00006E630000}"/>
    <cellStyle name="Normal 3 5 3 2 3 2" xfId="40802" xr:uid="{00000000-0005-0000-0000-00006F630000}"/>
    <cellStyle name="Normal 3 5 3 2 4" xfId="40800" xr:uid="{00000000-0005-0000-0000-000070630000}"/>
    <cellStyle name="Normal 3 5 3 3" xfId="33311" xr:uid="{00000000-0005-0000-0000-000071630000}"/>
    <cellStyle name="Normal 3 5 3 3 2" xfId="33312" xr:uid="{00000000-0005-0000-0000-000072630000}"/>
    <cellStyle name="Normal 3 5 3 3 2 2" xfId="40804" xr:uid="{00000000-0005-0000-0000-000073630000}"/>
    <cellStyle name="Normal 3 5 3 3 3" xfId="40803" xr:uid="{00000000-0005-0000-0000-000074630000}"/>
    <cellStyle name="Normal 3 5 3 4" xfId="33313" xr:uid="{00000000-0005-0000-0000-000075630000}"/>
    <cellStyle name="Normal 3 5 3 4 2" xfId="40805" xr:uid="{00000000-0005-0000-0000-000076630000}"/>
    <cellStyle name="Normal 3 5 3 5" xfId="33314" xr:uid="{00000000-0005-0000-0000-000077630000}"/>
    <cellStyle name="Normal 3 5 3 5 2" xfId="40806" xr:uid="{00000000-0005-0000-0000-000078630000}"/>
    <cellStyle name="Normal 3 5 3 6" xfId="40799" xr:uid="{00000000-0005-0000-0000-000079630000}"/>
    <cellStyle name="Normal 3 5 3 7" xfId="33307" xr:uid="{00000000-0005-0000-0000-00007A630000}"/>
    <cellStyle name="Normal 3 5 4" xfId="33315" xr:uid="{00000000-0005-0000-0000-00007B630000}"/>
    <cellStyle name="Normal 3 5 4 2" xfId="33316" xr:uid="{00000000-0005-0000-0000-00007C630000}"/>
    <cellStyle name="Normal 3 5 4 2 2" xfId="33317" xr:uid="{00000000-0005-0000-0000-00007D630000}"/>
    <cellStyle name="Normal 3 5 4 2 2 2" xfId="40809" xr:uid="{00000000-0005-0000-0000-00007E630000}"/>
    <cellStyle name="Normal 3 5 4 2 3" xfId="40808" xr:uid="{00000000-0005-0000-0000-00007F630000}"/>
    <cellStyle name="Normal 3 5 4 3" xfId="33318" xr:uid="{00000000-0005-0000-0000-000080630000}"/>
    <cellStyle name="Normal 3 5 4 3 2" xfId="40810" xr:uid="{00000000-0005-0000-0000-000081630000}"/>
    <cellStyle name="Normal 3 5 4 4" xfId="33319" xr:uid="{00000000-0005-0000-0000-000082630000}"/>
    <cellStyle name="Normal 3 5 4 4 2" xfId="40811" xr:uid="{00000000-0005-0000-0000-000083630000}"/>
    <cellStyle name="Normal 3 5 4 5" xfId="40807" xr:uid="{00000000-0005-0000-0000-000084630000}"/>
    <cellStyle name="Normal 3 5 5" xfId="33320" xr:uid="{00000000-0005-0000-0000-000085630000}"/>
    <cellStyle name="Normal 3 5 5 2" xfId="33321" xr:uid="{00000000-0005-0000-0000-000086630000}"/>
    <cellStyle name="Normal 3 5 5 2 2" xfId="40813" xr:uid="{00000000-0005-0000-0000-000087630000}"/>
    <cellStyle name="Normal 3 5 5 3" xfId="40812" xr:uid="{00000000-0005-0000-0000-000088630000}"/>
    <cellStyle name="Normal 3 5 6" xfId="33322" xr:uid="{00000000-0005-0000-0000-000089630000}"/>
    <cellStyle name="Normal 3 5 6 2" xfId="40814" xr:uid="{00000000-0005-0000-0000-00008A630000}"/>
    <cellStyle name="Normal 3 5 7" xfId="33323" xr:uid="{00000000-0005-0000-0000-00008B630000}"/>
    <cellStyle name="Normal 3 5 7 2" xfId="40815" xr:uid="{00000000-0005-0000-0000-00008C630000}"/>
    <cellStyle name="Normal 3 5 8" xfId="33324" xr:uid="{00000000-0005-0000-0000-00008D630000}"/>
    <cellStyle name="Normal 3 5 8 2" xfId="40816" xr:uid="{00000000-0005-0000-0000-00008E630000}"/>
    <cellStyle name="Normal 3 5 9" xfId="33325" xr:uid="{00000000-0005-0000-0000-00008F630000}"/>
    <cellStyle name="Normal 3 5 9 2" xfId="40817" xr:uid="{00000000-0005-0000-0000-000090630000}"/>
    <cellStyle name="Normal 3 6" xfId="5275" xr:uid="{00000000-0005-0000-0000-000091630000}"/>
    <cellStyle name="Normal 3 6 10" xfId="5276" xr:uid="{00000000-0005-0000-0000-000092630000}"/>
    <cellStyle name="Normal 3 6 10 2" xfId="10475" xr:uid="{00000000-0005-0000-0000-000093630000}"/>
    <cellStyle name="Normal 3 6 11" xfId="10476" xr:uid="{00000000-0005-0000-0000-000094630000}"/>
    <cellStyle name="Normal 3 6 12" xfId="33326" xr:uid="{00000000-0005-0000-0000-000095630000}"/>
    <cellStyle name="Normal 3 6 2" xfId="5277" xr:uid="{00000000-0005-0000-0000-000096630000}"/>
    <cellStyle name="Normal 3 6 2 2" xfId="10477" xr:uid="{00000000-0005-0000-0000-000097630000}"/>
    <cellStyle name="Normal 3 6 2 2 2" xfId="40818" xr:uid="{00000000-0005-0000-0000-000098630000}"/>
    <cellStyle name="Normal 3 6 2 3" xfId="33327" xr:uid="{00000000-0005-0000-0000-000099630000}"/>
    <cellStyle name="Normal 3 6 3" xfId="5278" xr:uid="{00000000-0005-0000-0000-00009A630000}"/>
    <cellStyle name="Normal 3 6 3 2" xfId="10478" xr:uid="{00000000-0005-0000-0000-00009B630000}"/>
    <cellStyle name="Normal 3 6 3 2 2" xfId="40819" xr:uid="{00000000-0005-0000-0000-00009C630000}"/>
    <cellStyle name="Normal 3 6 3 3" xfId="33328" xr:uid="{00000000-0005-0000-0000-00009D630000}"/>
    <cellStyle name="Normal 3 6 4" xfId="5279" xr:uid="{00000000-0005-0000-0000-00009E630000}"/>
    <cellStyle name="Normal 3 6 4 2" xfId="10479" xr:uid="{00000000-0005-0000-0000-00009F630000}"/>
    <cellStyle name="Normal 3 6 4 2 2" xfId="40820" xr:uid="{00000000-0005-0000-0000-0000A0630000}"/>
    <cellStyle name="Normal 3 6 4 3" xfId="33329" xr:uid="{00000000-0005-0000-0000-0000A1630000}"/>
    <cellStyle name="Normal 3 6 5" xfId="5280" xr:uid="{00000000-0005-0000-0000-0000A2630000}"/>
    <cellStyle name="Normal 3 6 5 2" xfId="10480" xr:uid="{00000000-0005-0000-0000-0000A3630000}"/>
    <cellStyle name="Normal 3 6 5 2 2" xfId="40821" xr:uid="{00000000-0005-0000-0000-0000A4630000}"/>
    <cellStyle name="Normal 3 6 5 3" xfId="33330" xr:uid="{00000000-0005-0000-0000-0000A5630000}"/>
    <cellStyle name="Normal 3 6 6" xfId="5281" xr:uid="{00000000-0005-0000-0000-0000A6630000}"/>
    <cellStyle name="Normal 3 6 6 2" xfId="10481" xr:uid="{00000000-0005-0000-0000-0000A7630000}"/>
    <cellStyle name="Normal 3 6 6 2 2" xfId="40822" xr:uid="{00000000-0005-0000-0000-0000A8630000}"/>
    <cellStyle name="Normal 3 6 6 3" xfId="33331" xr:uid="{00000000-0005-0000-0000-0000A9630000}"/>
    <cellStyle name="Normal 3 6 7" xfId="5282" xr:uid="{00000000-0005-0000-0000-0000AA630000}"/>
    <cellStyle name="Normal 3 6 7 2" xfId="10482" xr:uid="{00000000-0005-0000-0000-0000AB630000}"/>
    <cellStyle name="Normal 3 6 7 2 2" xfId="40823" xr:uid="{00000000-0005-0000-0000-0000AC630000}"/>
    <cellStyle name="Normal 3 6 7 3" xfId="33332" xr:uid="{00000000-0005-0000-0000-0000AD630000}"/>
    <cellStyle name="Normal 3 6 8" xfId="5283" xr:uid="{00000000-0005-0000-0000-0000AE630000}"/>
    <cellStyle name="Normal 3 6 8 2" xfId="10483" xr:uid="{00000000-0005-0000-0000-0000AF630000}"/>
    <cellStyle name="Normal 3 6 8 3" xfId="33333" xr:uid="{00000000-0005-0000-0000-0000B0630000}"/>
    <cellStyle name="Normal 3 6 9" xfId="5284" xr:uid="{00000000-0005-0000-0000-0000B1630000}"/>
    <cellStyle name="Normal 3 6 9 2" xfId="10484" xr:uid="{00000000-0005-0000-0000-0000B2630000}"/>
    <cellStyle name="Normal 3 7" xfId="5285" xr:uid="{00000000-0005-0000-0000-0000B3630000}"/>
    <cellStyle name="Normal 3 7 10" xfId="5286" xr:uid="{00000000-0005-0000-0000-0000B4630000}"/>
    <cellStyle name="Normal 3 7 10 2" xfId="10485" xr:uid="{00000000-0005-0000-0000-0000B5630000}"/>
    <cellStyle name="Normal 3 7 11" xfId="10486" xr:uid="{00000000-0005-0000-0000-0000B6630000}"/>
    <cellStyle name="Normal 3 7 12" xfId="33334" xr:uid="{00000000-0005-0000-0000-0000B7630000}"/>
    <cellStyle name="Normal 3 7 2" xfId="5287" xr:uid="{00000000-0005-0000-0000-0000B8630000}"/>
    <cellStyle name="Normal 3 7 2 2" xfId="10487" xr:uid="{00000000-0005-0000-0000-0000B9630000}"/>
    <cellStyle name="Normal 3 7 2 2 2" xfId="33337" xr:uid="{00000000-0005-0000-0000-0000BA630000}"/>
    <cellStyle name="Normal 3 7 2 2 2 2" xfId="33338" xr:uid="{00000000-0005-0000-0000-0000BB630000}"/>
    <cellStyle name="Normal 3 7 2 2 2 2 2" xfId="40828" xr:uid="{00000000-0005-0000-0000-0000BC630000}"/>
    <cellStyle name="Normal 3 7 2 2 2 3" xfId="33339" xr:uid="{00000000-0005-0000-0000-0000BD630000}"/>
    <cellStyle name="Normal 3 7 2 2 2 3 2" xfId="40829" xr:uid="{00000000-0005-0000-0000-0000BE630000}"/>
    <cellStyle name="Normal 3 7 2 2 2 4" xfId="40827" xr:uid="{00000000-0005-0000-0000-0000BF630000}"/>
    <cellStyle name="Normal 3 7 2 2 3" xfId="33340" xr:uid="{00000000-0005-0000-0000-0000C0630000}"/>
    <cellStyle name="Normal 3 7 2 2 3 2" xfId="33341" xr:uid="{00000000-0005-0000-0000-0000C1630000}"/>
    <cellStyle name="Normal 3 7 2 2 3 2 2" xfId="40831" xr:uid="{00000000-0005-0000-0000-0000C2630000}"/>
    <cellStyle name="Normal 3 7 2 2 3 3" xfId="40830" xr:uid="{00000000-0005-0000-0000-0000C3630000}"/>
    <cellStyle name="Normal 3 7 2 2 4" xfId="33342" xr:uid="{00000000-0005-0000-0000-0000C4630000}"/>
    <cellStyle name="Normal 3 7 2 2 4 2" xfId="40832" xr:uid="{00000000-0005-0000-0000-0000C5630000}"/>
    <cellStyle name="Normal 3 7 2 2 5" xfId="40826" xr:uid="{00000000-0005-0000-0000-0000C6630000}"/>
    <cellStyle name="Normal 3 7 2 2 6" xfId="33336" xr:uid="{00000000-0005-0000-0000-0000C7630000}"/>
    <cellStyle name="Normal 3 7 2 3" xfId="33343" xr:uid="{00000000-0005-0000-0000-0000C8630000}"/>
    <cellStyle name="Normal 3 7 2 3 2" xfId="33344" xr:uid="{00000000-0005-0000-0000-0000C9630000}"/>
    <cellStyle name="Normal 3 7 2 3 2 2" xfId="33345" xr:uid="{00000000-0005-0000-0000-0000CA630000}"/>
    <cellStyle name="Normal 3 7 2 3 2 2 2" xfId="40835" xr:uid="{00000000-0005-0000-0000-0000CB630000}"/>
    <cellStyle name="Normal 3 7 2 3 2 3" xfId="40834" xr:uid="{00000000-0005-0000-0000-0000CC630000}"/>
    <cellStyle name="Normal 3 7 2 3 3" xfId="33346" xr:uid="{00000000-0005-0000-0000-0000CD630000}"/>
    <cellStyle name="Normal 3 7 2 3 3 2" xfId="40836" xr:uid="{00000000-0005-0000-0000-0000CE630000}"/>
    <cellStyle name="Normal 3 7 2 3 4" xfId="40833" xr:uid="{00000000-0005-0000-0000-0000CF630000}"/>
    <cellStyle name="Normal 3 7 2 4" xfId="33347" xr:uid="{00000000-0005-0000-0000-0000D0630000}"/>
    <cellStyle name="Normal 3 7 2 4 2" xfId="33348" xr:uid="{00000000-0005-0000-0000-0000D1630000}"/>
    <cellStyle name="Normal 3 7 2 4 2 2" xfId="40838" xr:uid="{00000000-0005-0000-0000-0000D2630000}"/>
    <cellStyle name="Normal 3 7 2 4 3" xfId="40837" xr:uid="{00000000-0005-0000-0000-0000D3630000}"/>
    <cellStyle name="Normal 3 7 2 5" xfId="33349" xr:uid="{00000000-0005-0000-0000-0000D4630000}"/>
    <cellStyle name="Normal 3 7 2 5 2" xfId="40839" xr:uid="{00000000-0005-0000-0000-0000D5630000}"/>
    <cellStyle name="Normal 3 7 2 6" xfId="33350" xr:uid="{00000000-0005-0000-0000-0000D6630000}"/>
    <cellStyle name="Normal 3 7 2 6 2" xfId="40840" xr:uid="{00000000-0005-0000-0000-0000D7630000}"/>
    <cellStyle name="Normal 3 7 2 7" xfId="40825" xr:uid="{00000000-0005-0000-0000-0000D8630000}"/>
    <cellStyle name="Normal 3 7 2 8" xfId="33335" xr:uid="{00000000-0005-0000-0000-0000D9630000}"/>
    <cellStyle name="Normal 3 7 3" xfId="5288" xr:uid="{00000000-0005-0000-0000-0000DA630000}"/>
    <cellStyle name="Normal 3 7 3 2" xfId="10488" xr:uid="{00000000-0005-0000-0000-0000DB630000}"/>
    <cellStyle name="Normal 3 7 3 2 2" xfId="33353" xr:uid="{00000000-0005-0000-0000-0000DC630000}"/>
    <cellStyle name="Normal 3 7 3 2 2 2" xfId="40843" xr:uid="{00000000-0005-0000-0000-0000DD630000}"/>
    <cellStyle name="Normal 3 7 3 2 3" xfId="33354" xr:uid="{00000000-0005-0000-0000-0000DE630000}"/>
    <cellStyle name="Normal 3 7 3 2 3 2" xfId="40844" xr:uid="{00000000-0005-0000-0000-0000DF630000}"/>
    <cellStyle name="Normal 3 7 3 2 4" xfId="40842" xr:uid="{00000000-0005-0000-0000-0000E0630000}"/>
    <cellStyle name="Normal 3 7 3 2 5" xfId="33352" xr:uid="{00000000-0005-0000-0000-0000E1630000}"/>
    <cellStyle name="Normal 3 7 3 3" xfId="33355" xr:uid="{00000000-0005-0000-0000-0000E2630000}"/>
    <cellStyle name="Normal 3 7 3 3 2" xfId="33356" xr:uid="{00000000-0005-0000-0000-0000E3630000}"/>
    <cellStyle name="Normal 3 7 3 3 2 2" xfId="40846" xr:uid="{00000000-0005-0000-0000-0000E4630000}"/>
    <cellStyle name="Normal 3 7 3 3 3" xfId="40845" xr:uid="{00000000-0005-0000-0000-0000E5630000}"/>
    <cellStyle name="Normal 3 7 3 4" xfId="33357" xr:uid="{00000000-0005-0000-0000-0000E6630000}"/>
    <cellStyle name="Normal 3 7 3 4 2" xfId="40847" xr:uid="{00000000-0005-0000-0000-0000E7630000}"/>
    <cellStyle name="Normal 3 7 3 5" xfId="33358" xr:uid="{00000000-0005-0000-0000-0000E8630000}"/>
    <cellStyle name="Normal 3 7 3 5 2" xfId="40848" xr:uid="{00000000-0005-0000-0000-0000E9630000}"/>
    <cellStyle name="Normal 3 7 3 6" xfId="40841" xr:uid="{00000000-0005-0000-0000-0000EA630000}"/>
    <cellStyle name="Normal 3 7 3 7" xfId="33351" xr:uid="{00000000-0005-0000-0000-0000EB630000}"/>
    <cellStyle name="Normal 3 7 4" xfId="5289" xr:uid="{00000000-0005-0000-0000-0000EC630000}"/>
    <cellStyle name="Normal 3 7 4 2" xfId="10489" xr:uid="{00000000-0005-0000-0000-0000ED630000}"/>
    <cellStyle name="Normal 3 7 4 2 2" xfId="33361" xr:uid="{00000000-0005-0000-0000-0000EE630000}"/>
    <cellStyle name="Normal 3 7 4 2 2 2" xfId="40851" xr:uid="{00000000-0005-0000-0000-0000EF630000}"/>
    <cellStyle name="Normal 3 7 4 2 3" xfId="40850" xr:uid="{00000000-0005-0000-0000-0000F0630000}"/>
    <cellStyle name="Normal 3 7 4 2 4" xfId="33360" xr:uid="{00000000-0005-0000-0000-0000F1630000}"/>
    <cellStyle name="Normal 3 7 4 3" xfId="33362" xr:uid="{00000000-0005-0000-0000-0000F2630000}"/>
    <cellStyle name="Normal 3 7 4 3 2" xfId="40852" xr:uid="{00000000-0005-0000-0000-0000F3630000}"/>
    <cellStyle name="Normal 3 7 4 4" xfId="33363" xr:uid="{00000000-0005-0000-0000-0000F4630000}"/>
    <cellStyle name="Normal 3 7 4 4 2" xfId="40853" xr:uid="{00000000-0005-0000-0000-0000F5630000}"/>
    <cellStyle name="Normal 3 7 4 5" xfId="40849" xr:uid="{00000000-0005-0000-0000-0000F6630000}"/>
    <cellStyle name="Normal 3 7 4 6" xfId="33359" xr:uid="{00000000-0005-0000-0000-0000F7630000}"/>
    <cellStyle name="Normal 3 7 5" xfId="5290" xr:uid="{00000000-0005-0000-0000-0000F8630000}"/>
    <cellStyle name="Normal 3 7 5 2" xfId="10490" xr:uid="{00000000-0005-0000-0000-0000F9630000}"/>
    <cellStyle name="Normal 3 7 5 2 2" xfId="40855" xr:uid="{00000000-0005-0000-0000-0000FA630000}"/>
    <cellStyle name="Normal 3 7 5 2 3" xfId="33365" xr:uid="{00000000-0005-0000-0000-0000FB630000}"/>
    <cellStyle name="Normal 3 7 5 3" xfId="40854" xr:uid="{00000000-0005-0000-0000-0000FC630000}"/>
    <cellStyle name="Normal 3 7 5 4" xfId="33364" xr:uid="{00000000-0005-0000-0000-0000FD630000}"/>
    <cellStyle name="Normal 3 7 6" xfId="5291" xr:uid="{00000000-0005-0000-0000-0000FE630000}"/>
    <cellStyle name="Normal 3 7 6 2" xfId="10491" xr:uid="{00000000-0005-0000-0000-0000FF630000}"/>
    <cellStyle name="Normal 3 7 6 2 2" xfId="40856" xr:uid="{00000000-0005-0000-0000-000000640000}"/>
    <cellStyle name="Normal 3 7 6 3" xfId="33366" xr:uid="{00000000-0005-0000-0000-000001640000}"/>
    <cellStyle name="Normal 3 7 7" xfId="5292" xr:uid="{00000000-0005-0000-0000-000002640000}"/>
    <cellStyle name="Normal 3 7 7 2" xfId="10492" xr:uid="{00000000-0005-0000-0000-000003640000}"/>
    <cellStyle name="Normal 3 7 7 2 2" xfId="40857" xr:uid="{00000000-0005-0000-0000-000004640000}"/>
    <cellStyle name="Normal 3 7 7 3" xfId="33367" xr:uid="{00000000-0005-0000-0000-000005640000}"/>
    <cellStyle name="Normal 3 7 8" xfId="5293" xr:uid="{00000000-0005-0000-0000-000006640000}"/>
    <cellStyle name="Normal 3 7 8 2" xfId="10493" xr:uid="{00000000-0005-0000-0000-000007640000}"/>
    <cellStyle name="Normal 3 7 8 3" xfId="33368" xr:uid="{00000000-0005-0000-0000-000008640000}"/>
    <cellStyle name="Normal 3 7 9" xfId="5294" xr:uid="{00000000-0005-0000-0000-000009640000}"/>
    <cellStyle name="Normal 3 7 9 2" xfId="10494" xr:uid="{00000000-0005-0000-0000-00000A640000}"/>
    <cellStyle name="Normal 3 7 9 3" xfId="40824" xr:uid="{00000000-0005-0000-0000-00000B640000}"/>
    <cellStyle name="Normal 3 8" xfId="5295" xr:uid="{00000000-0005-0000-0000-00000C640000}"/>
    <cellStyle name="Normal 3 8 10" xfId="5296" xr:uid="{00000000-0005-0000-0000-00000D640000}"/>
    <cellStyle name="Normal 3 8 10 2" xfId="10495" xr:uid="{00000000-0005-0000-0000-00000E640000}"/>
    <cellStyle name="Normal 3 8 11" xfId="10496" xr:uid="{00000000-0005-0000-0000-00000F640000}"/>
    <cellStyle name="Normal 3 8 12" xfId="33369" xr:uid="{00000000-0005-0000-0000-000010640000}"/>
    <cellStyle name="Normal 3 8 2" xfId="5297" xr:uid="{00000000-0005-0000-0000-000011640000}"/>
    <cellStyle name="Normal 3 8 2 2" xfId="10497" xr:uid="{00000000-0005-0000-0000-000012640000}"/>
    <cellStyle name="Normal 3 8 2 2 2" xfId="33372" xr:uid="{00000000-0005-0000-0000-000013640000}"/>
    <cellStyle name="Normal 3 8 2 2 2 2" xfId="40861" xr:uid="{00000000-0005-0000-0000-000014640000}"/>
    <cellStyle name="Normal 3 8 2 2 3" xfId="33373" xr:uid="{00000000-0005-0000-0000-000015640000}"/>
    <cellStyle name="Normal 3 8 2 2 3 2" xfId="40862" xr:uid="{00000000-0005-0000-0000-000016640000}"/>
    <cellStyle name="Normal 3 8 2 2 4" xfId="40860" xr:uid="{00000000-0005-0000-0000-000017640000}"/>
    <cellStyle name="Normal 3 8 2 2 5" xfId="33371" xr:uid="{00000000-0005-0000-0000-000018640000}"/>
    <cellStyle name="Normal 3 8 2 3" xfId="33374" xr:uid="{00000000-0005-0000-0000-000019640000}"/>
    <cellStyle name="Normal 3 8 2 3 2" xfId="33375" xr:uid="{00000000-0005-0000-0000-00001A640000}"/>
    <cellStyle name="Normal 3 8 2 3 2 2" xfId="40864" xr:uid="{00000000-0005-0000-0000-00001B640000}"/>
    <cellStyle name="Normal 3 8 2 3 3" xfId="40863" xr:uid="{00000000-0005-0000-0000-00001C640000}"/>
    <cellStyle name="Normal 3 8 2 4" xfId="33376" xr:uid="{00000000-0005-0000-0000-00001D640000}"/>
    <cellStyle name="Normal 3 8 2 4 2" xfId="40865" xr:uid="{00000000-0005-0000-0000-00001E640000}"/>
    <cellStyle name="Normal 3 8 2 5" xfId="33377" xr:uid="{00000000-0005-0000-0000-00001F640000}"/>
    <cellStyle name="Normal 3 8 2 5 2" xfId="40866" xr:uid="{00000000-0005-0000-0000-000020640000}"/>
    <cellStyle name="Normal 3 8 2 6" xfId="40859" xr:uid="{00000000-0005-0000-0000-000021640000}"/>
    <cellStyle name="Normal 3 8 2 7" xfId="33370" xr:uid="{00000000-0005-0000-0000-000022640000}"/>
    <cellStyle name="Normal 3 8 3" xfId="5298" xr:uid="{00000000-0005-0000-0000-000023640000}"/>
    <cellStyle name="Normal 3 8 3 2" xfId="10498" xr:uid="{00000000-0005-0000-0000-000024640000}"/>
    <cellStyle name="Normal 3 8 3 2 2" xfId="33380" xr:uid="{00000000-0005-0000-0000-000025640000}"/>
    <cellStyle name="Normal 3 8 3 2 2 2" xfId="40869" xr:uid="{00000000-0005-0000-0000-000026640000}"/>
    <cellStyle name="Normal 3 8 3 2 3" xfId="40868" xr:uid="{00000000-0005-0000-0000-000027640000}"/>
    <cellStyle name="Normal 3 8 3 2 4" xfId="33379" xr:uid="{00000000-0005-0000-0000-000028640000}"/>
    <cellStyle name="Normal 3 8 3 3" xfId="33381" xr:uid="{00000000-0005-0000-0000-000029640000}"/>
    <cellStyle name="Normal 3 8 3 3 2" xfId="40870" xr:uid="{00000000-0005-0000-0000-00002A640000}"/>
    <cellStyle name="Normal 3 8 3 4" xfId="33382" xr:uid="{00000000-0005-0000-0000-00002B640000}"/>
    <cellStyle name="Normal 3 8 3 4 2" xfId="40871" xr:uid="{00000000-0005-0000-0000-00002C640000}"/>
    <cellStyle name="Normal 3 8 3 5" xfId="40867" xr:uid="{00000000-0005-0000-0000-00002D640000}"/>
    <cellStyle name="Normal 3 8 3 6" xfId="33378" xr:uid="{00000000-0005-0000-0000-00002E640000}"/>
    <cellStyle name="Normal 3 8 4" xfId="5299" xr:uid="{00000000-0005-0000-0000-00002F640000}"/>
    <cellStyle name="Normal 3 8 4 2" xfId="10499" xr:uid="{00000000-0005-0000-0000-000030640000}"/>
    <cellStyle name="Normal 3 8 4 2 2" xfId="40873" xr:uid="{00000000-0005-0000-0000-000031640000}"/>
    <cellStyle name="Normal 3 8 4 2 3" xfId="33384" xr:uid="{00000000-0005-0000-0000-000032640000}"/>
    <cellStyle name="Normal 3 8 4 3" xfId="33385" xr:uid="{00000000-0005-0000-0000-000033640000}"/>
    <cellStyle name="Normal 3 8 4 3 2" xfId="40874" xr:uid="{00000000-0005-0000-0000-000034640000}"/>
    <cellStyle name="Normal 3 8 4 4" xfId="40872" xr:uid="{00000000-0005-0000-0000-000035640000}"/>
    <cellStyle name="Normal 3 8 4 5" xfId="33383" xr:uid="{00000000-0005-0000-0000-000036640000}"/>
    <cellStyle name="Normal 3 8 5" xfId="5300" xr:uid="{00000000-0005-0000-0000-000037640000}"/>
    <cellStyle name="Normal 3 8 5 2" xfId="10500" xr:uid="{00000000-0005-0000-0000-000038640000}"/>
    <cellStyle name="Normal 3 8 5 2 2" xfId="40875" xr:uid="{00000000-0005-0000-0000-000039640000}"/>
    <cellStyle name="Normal 3 8 5 3" xfId="33386" xr:uid="{00000000-0005-0000-0000-00003A640000}"/>
    <cellStyle name="Normal 3 8 6" xfId="5301" xr:uid="{00000000-0005-0000-0000-00003B640000}"/>
    <cellStyle name="Normal 3 8 6 2" xfId="10501" xr:uid="{00000000-0005-0000-0000-00003C640000}"/>
    <cellStyle name="Normal 3 8 6 2 2" xfId="40876" xr:uid="{00000000-0005-0000-0000-00003D640000}"/>
    <cellStyle name="Normal 3 8 6 3" xfId="33387" xr:uid="{00000000-0005-0000-0000-00003E640000}"/>
    <cellStyle name="Normal 3 8 7" xfId="5302" xr:uid="{00000000-0005-0000-0000-00003F640000}"/>
    <cellStyle name="Normal 3 8 7 2" xfId="10502" xr:uid="{00000000-0005-0000-0000-000040640000}"/>
    <cellStyle name="Normal 3 8 7 3" xfId="33388" xr:uid="{00000000-0005-0000-0000-000041640000}"/>
    <cellStyle name="Normal 3 8 8" xfId="5303" xr:uid="{00000000-0005-0000-0000-000042640000}"/>
    <cellStyle name="Normal 3 8 8 2" xfId="10503" xr:uid="{00000000-0005-0000-0000-000043640000}"/>
    <cellStyle name="Normal 3 8 8 3" xfId="40858" xr:uid="{00000000-0005-0000-0000-000044640000}"/>
    <cellStyle name="Normal 3 8 9" xfId="5304" xr:uid="{00000000-0005-0000-0000-000045640000}"/>
    <cellStyle name="Normal 3 8 9 2" xfId="10504" xr:uid="{00000000-0005-0000-0000-000046640000}"/>
    <cellStyle name="Normal 3 9" xfId="5305" xr:uid="{00000000-0005-0000-0000-000047640000}"/>
    <cellStyle name="Normal 3 9 10" xfId="5306" xr:uid="{00000000-0005-0000-0000-000048640000}"/>
    <cellStyle name="Normal 3 9 10 2" xfId="10505" xr:uid="{00000000-0005-0000-0000-000049640000}"/>
    <cellStyle name="Normal 3 9 11" xfId="10506" xr:uid="{00000000-0005-0000-0000-00004A640000}"/>
    <cellStyle name="Normal 3 9 12" xfId="33389" xr:uid="{00000000-0005-0000-0000-00004B640000}"/>
    <cellStyle name="Normal 3 9 2" xfId="5307" xr:uid="{00000000-0005-0000-0000-00004C640000}"/>
    <cellStyle name="Normal 3 9 2 2" xfId="10507" xr:uid="{00000000-0005-0000-0000-00004D640000}"/>
    <cellStyle name="Normal 3 9 2 2 2" xfId="33392" xr:uid="{00000000-0005-0000-0000-00004E640000}"/>
    <cellStyle name="Normal 3 9 2 2 2 2" xfId="40880" xr:uid="{00000000-0005-0000-0000-00004F640000}"/>
    <cellStyle name="Normal 3 9 2 2 3" xfId="33393" xr:uid="{00000000-0005-0000-0000-000050640000}"/>
    <cellStyle name="Normal 3 9 2 2 3 2" xfId="40881" xr:uid="{00000000-0005-0000-0000-000051640000}"/>
    <cellStyle name="Normal 3 9 2 2 4" xfId="40879" xr:uid="{00000000-0005-0000-0000-000052640000}"/>
    <cellStyle name="Normal 3 9 2 2 5" xfId="33391" xr:uid="{00000000-0005-0000-0000-000053640000}"/>
    <cellStyle name="Normal 3 9 2 3" xfId="33394" xr:uid="{00000000-0005-0000-0000-000054640000}"/>
    <cellStyle name="Normal 3 9 2 3 2" xfId="40882" xr:uid="{00000000-0005-0000-0000-000055640000}"/>
    <cellStyle name="Normal 3 9 2 4" xfId="33395" xr:uid="{00000000-0005-0000-0000-000056640000}"/>
    <cellStyle name="Normal 3 9 2 4 2" xfId="40883" xr:uid="{00000000-0005-0000-0000-000057640000}"/>
    <cellStyle name="Normal 3 9 2 5" xfId="33396" xr:uid="{00000000-0005-0000-0000-000058640000}"/>
    <cellStyle name="Normal 3 9 2 5 2" xfId="40884" xr:uid="{00000000-0005-0000-0000-000059640000}"/>
    <cellStyle name="Normal 3 9 2 6" xfId="40878" xr:uid="{00000000-0005-0000-0000-00005A640000}"/>
    <cellStyle name="Normal 3 9 2 7" xfId="33390" xr:uid="{00000000-0005-0000-0000-00005B640000}"/>
    <cellStyle name="Normal 3 9 3" xfId="5308" xr:uid="{00000000-0005-0000-0000-00005C640000}"/>
    <cellStyle name="Normal 3 9 3 2" xfId="10508" xr:uid="{00000000-0005-0000-0000-00005D640000}"/>
    <cellStyle name="Normal 3 9 3 2 2" xfId="40886" xr:uid="{00000000-0005-0000-0000-00005E640000}"/>
    <cellStyle name="Normal 3 9 3 2 3" xfId="33398" xr:uid="{00000000-0005-0000-0000-00005F640000}"/>
    <cellStyle name="Normal 3 9 3 3" xfId="33399" xr:uid="{00000000-0005-0000-0000-000060640000}"/>
    <cellStyle name="Normal 3 9 3 3 2" xfId="40887" xr:uid="{00000000-0005-0000-0000-000061640000}"/>
    <cellStyle name="Normal 3 9 3 4" xfId="33400" xr:uid="{00000000-0005-0000-0000-000062640000}"/>
    <cellStyle name="Normal 3 9 3 4 2" xfId="40888" xr:uid="{00000000-0005-0000-0000-000063640000}"/>
    <cellStyle name="Normal 3 9 3 5" xfId="40885" xr:uid="{00000000-0005-0000-0000-000064640000}"/>
    <cellStyle name="Normal 3 9 3 6" xfId="33397" xr:uid="{00000000-0005-0000-0000-000065640000}"/>
    <cellStyle name="Normal 3 9 4" xfId="5309" xr:uid="{00000000-0005-0000-0000-000066640000}"/>
    <cellStyle name="Normal 3 9 4 2" xfId="10509" xr:uid="{00000000-0005-0000-0000-000067640000}"/>
    <cellStyle name="Normal 3 9 4 2 2" xfId="40890" xr:uid="{00000000-0005-0000-0000-000068640000}"/>
    <cellStyle name="Normal 3 9 4 2 3" xfId="33402" xr:uid="{00000000-0005-0000-0000-000069640000}"/>
    <cellStyle name="Normal 3 9 4 3" xfId="33403" xr:uid="{00000000-0005-0000-0000-00006A640000}"/>
    <cellStyle name="Normal 3 9 4 3 2" xfId="40891" xr:uid="{00000000-0005-0000-0000-00006B640000}"/>
    <cellStyle name="Normal 3 9 4 4" xfId="40889" xr:uid="{00000000-0005-0000-0000-00006C640000}"/>
    <cellStyle name="Normal 3 9 4 5" xfId="33401" xr:uid="{00000000-0005-0000-0000-00006D640000}"/>
    <cellStyle name="Normal 3 9 5" xfId="5310" xr:uid="{00000000-0005-0000-0000-00006E640000}"/>
    <cellStyle name="Normal 3 9 5 2" xfId="10510" xr:uid="{00000000-0005-0000-0000-00006F640000}"/>
    <cellStyle name="Normal 3 9 5 2 2" xfId="40892" xr:uid="{00000000-0005-0000-0000-000070640000}"/>
    <cellStyle name="Normal 3 9 5 3" xfId="33404" xr:uid="{00000000-0005-0000-0000-000071640000}"/>
    <cellStyle name="Normal 3 9 6" xfId="5311" xr:uid="{00000000-0005-0000-0000-000072640000}"/>
    <cellStyle name="Normal 3 9 6 2" xfId="10511" xr:uid="{00000000-0005-0000-0000-000073640000}"/>
    <cellStyle name="Normal 3 9 6 2 2" xfId="40893" xr:uid="{00000000-0005-0000-0000-000074640000}"/>
    <cellStyle name="Normal 3 9 6 3" xfId="33405" xr:uid="{00000000-0005-0000-0000-000075640000}"/>
    <cellStyle name="Normal 3 9 7" xfId="5312" xr:uid="{00000000-0005-0000-0000-000076640000}"/>
    <cellStyle name="Normal 3 9 7 2" xfId="10512" xr:uid="{00000000-0005-0000-0000-000077640000}"/>
    <cellStyle name="Normal 3 9 7 3" xfId="40877" xr:uid="{00000000-0005-0000-0000-000078640000}"/>
    <cellStyle name="Normal 3 9 8" xfId="5313" xr:uid="{00000000-0005-0000-0000-000079640000}"/>
    <cellStyle name="Normal 3 9 8 2" xfId="10513" xr:uid="{00000000-0005-0000-0000-00007A640000}"/>
    <cellStyle name="Normal 3 9 9" xfId="5314" xr:uid="{00000000-0005-0000-0000-00007B640000}"/>
    <cellStyle name="Normal 3 9 9 2" xfId="10514" xr:uid="{00000000-0005-0000-0000-00007C640000}"/>
    <cellStyle name="Normal 30" xfId="5315" xr:uid="{00000000-0005-0000-0000-00007D640000}"/>
    <cellStyle name="Normal 30 10" xfId="33406" xr:uid="{00000000-0005-0000-0000-00007E640000}"/>
    <cellStyle name="Normal 30 2" xfId="5316" xr:uid="{00000000-0005-0000-0000-00007F640000}"/>
    <cellStyle name="Normal 30 2 2" xfId="5317" xr:uid="{00000000-0005-0000-0000-000080640000}"/>
    <cellStyle name="Normal 30 2 2 2" xfId="5318" xr:uid="{00000000-0005-0000-0000-000081640000}"/>
    <cellStyle name="Normal 30 2 2 2 2" xfId="5319" xr:uid="{00000000-0005-0000-0000-000082640000}"/>
    <cellStyle name="Normal 30 2 2 2 2 2" xfId="5320" xr:uid="{00000000-0005-0000-0000-000083640000}"/>
    <cellStyle name="Normal 30 2 2 2 2 2 2" xfId="5321" xr:uid="{00000000-0005-0000-0000-000084640000}"/>
    <cellStyle name="Normal 30 2 2 2 2 2 2 2" xfId="18975" xr:uid="{00000000-0005-0000-0000-000085640000}"/>
    <cellStyle name="Normal 30 2 2 2 2 2 3" xfId="18457" xr:uid="{00000000-0005-0000-0000-000086640000}"/>
    <cellStyle name="Normal 30 2 2 2 2 3" xfId="5322" xr:uid="{00000000-0005-0000-0000-000087640000}"/>
    <cellStyle name="Normal 30 2 2 2 2 3 2" xfId="18693" xr:uid="{00000000-0005-0000-0000-000088640000}"/>
    <cellStyle name="Normal 30 2 2 2 2 4" xfId="18166" xr:uid="{00000000-0005-0000-0000-000089640000}"/>
    <cellStyle name="Normal 30 2 2 2 3" xfId="5323" xr:uid="{00000000-0005-0000-0000-00008A640000}"/>
    <cellStyle name="Normal 30 2 2 2 3 2" xfId="5324" xr:uid="{00000000-0005-0000-0000-00008B640000}"/>
    <cellStyle name="Normal 30 2 2 2 3 2 2" xfId="18854" xr:uid="{00000000-0005-0000-0000-00008C640000}"/>
    <cellStyle name="Normal 30 2 2 2 3 3" xfId="18333" xr:uid="{00000000-0005-0000-0000-00008D640000}"/>
    <cellStyle name="Normal 30 2 2 2 4" xfId="5325" xr:uid="{00000000-0005-0000-0000-00008E640000}"/>
    <cellStyle name="Normal 30 2 2 2 4 2" xfId="18576" xr:uid="{00000000-0005-0000-0000-00008F640000}"/>
    <cellStyle name="Normal 30 2 2 2 5" xfId="18018" xr:uid="{00000000-0005-0000-0000-000090640000}"/>
    <cellStyle name="Normal 30 2 2 3" xfId="5326" xr:uid="{00000000-0005-0000-0000-000091640000}"/>
    <cellStyle name="Normal 30 2 2 3 2" xfId="5327" xr:uid="{00000000-0005-0000-0000-000092640000}"/>
    <cellStyle name="Normal 30 2 2 3 2 2" xfId="5328" xr:uid="{00000000-0005-0000-0000-000093640000}"/>
    <cellStyle name="Normal 30 2 2 3 2 2 2" xfId="5329" xr:uid="{00000000-0005-0000-0000-000094640000}"/>
    <cellStyle name="Normal 30 2 2 3 2 2 2 2" xfId="18935" xr:uid="{00000000-0005-0000-0000-000095640000}"/>
    <cellStyle name="Normal 30 2 2 3 2 2 3" xfId="18417" xr:uid="{00000000-0005-0000-0000-000096640000}"/>
    <cellStyle name="Normal 30 2 2 3 2 3" xfId="5330" xr:uid="{00000000-0005-0000-0000-000097640000}"/>
    <cellStyle name="Normal 30 2 2 3 2 3 2" xfId="18653" xr:uid="{00000000-0005-0000-0000-000098640000}"/>
    <cellStyle name="Normal 30 2 2 3 2 4" xfId="18126" xr:uid="{00000000-0005-0000-0000-000099640000}"/>
    <cellStyle name="Normal 30 2 2 3 3" xfId="5331" xr:uid="{00000000-0005-0000-0000-00009A640000}"/>
    <cellStyle name="Normal 30 2 2 3 3 2" xfId="5332" xr:uid="{00000000-0005-0000-0000-00009B640000}"/>
    <cellStyle name="Normal 30 2 2 3 3 2 2" xfId="18821" xr:uid="{00000000-0005-0000-0000-00009C640000}"/>
    <cellStyle name="Normal 30 2 2 3 3 3" xfId="18300" xr:uid="{00000000-0005-0000-0000-00009D640000}"/>
    <cellStyle name="Normal 30 2 2 3 4" xfId="5333" xr:uid="{00000000-0005-0000-0000-00009E640000}"/>
    <cellStyle name="Normal 30 2 2 3 4 2" xfId="18536" xr:uid="{00000000-0005-0000-0000-00009F640000}"/>
    <cellStyle name="Normal 30 2 2 3 5" xfId="17972" xr:uid="{00000000-0005-0000-0000-0000A0640000}"/>
    <cellStyle name="Normal 30 2 2 4" xfId="5334" xr:uid="{00000000-0005-0000-0000-0000A1640000}"/>
    <cellStyle name="Normal 30 2 2 5" xfId="5335" xr:uid="{00000000-0005-0000-0000-0000A2640000}"/>
    <cellStyle name="Normal 30 2 2 5 2" xfId="5336" xr:uid="{00000000-0005-0000-0000-0000A3640000}"/>
    <cellStyle name="Normal 30 2 2 5 2 2" xfId="18779" xr:uid="{00000000-0005-0000-0000-0000A4640000}"/>
    <cellStyle name="Normal 30 2 2 5 3" xfId="18252" xr:uid="{00000000-0005-0000-0000-0000A5640000}"/>
    <cellStyle name="Normal 30 2 2 6" xfId="40895" xr:uid="{00000000-0005-0000-0000-0000A6640000}"/>
    <cellStyle name="Normal 30 2 3" xfId="5337" xr:uid="{00000000-0005-0000-0000-0000A7640000}"/>
    <cellStyle name="Normal 30 2 4" xfId="5338" xr:uid="{00000000-0005-0000-0000-0000A8640000}"/>
    <cellStyle name="Normal 30 2 4 2" xfId="5339" xr:uid="{00000000-0005-0000-0000-0000A9640000}"/>
    <cellStyle name="Normal 30 2 4 2 2" xfId="5340" xr:uid="{00000000-0005-0000-0000-0000AA640000}"/>
    <cellStyle name="Normal 30 2 4 2 2 2" xfId="5341" xr:uid="{00000000-0005-0000-0000-0000AB640000}"/>
    <cellStyle name="Normal 30 2 4 2 2 2 2" xfId="5342" xr:uid="{00000000-0005-0000-0000-0000AC640000}"/>
    <cellStyle name="Normal 30 2 4 2 2 2 2 2" xfId="19006" xr:uid="{00000000-0005-0000-0000-0000AD640000}"/>
    <cellStyle name="Normal 30 2 4 2 2 2 3" xfId="18488" xr:uid="{00000000-0005-0000-0000-0000AE640000}"/>
    <cellStyle name="Normal 30 2 4 2 2 3" xfId="5343" xr:uid="{00000000-0005-0000-0000-0000AF640000}"/>
    <cellStyle name="Normal 30 2 4 2 2 3 2" xfId="18724" xr:uid="{00000000-0005-0000-0000-0000B0640000}"/>
    <cellStyle name="Normal 30 2 4 2 2 4" xfId="18197" xr:uid="{00000000-0005-0000-0000-0000B1640000}"/>
    <cellStyle name="Normal 30 2 4 2 3" xfId="5344" xr:uid="{00000000-0005-0000-0000-0000B2640000}"/>
    <cellStyle name="Normal 30 2 4 2 3 2" xfId="5345" xr:uid="{00000000-0005-0000-0000-0000B3640000}"/>
    <cellStyle name="Normal 30 2 4 2 3 2 2" xfId="18886" xr:uid="{00000000-0005-0000-0000-0000B4640000}"/>
    <cellStyle name="Normal 30 2 4 2 3 3" xfId="18367" xr:uid="{00000000-0005-0000-0000-0000B5640000}"/>
    <cellStyle name="Normal 30 2 4 2 4" xfId="5346" xr:uid="{00000000-0005-0000-0000-0000B6640000}"/>
    <cellStyle name="Normal 30 2 4 2 4 2" xfId="18607" xr:uid="{00000000-0005-0000-0000-0000B7640000}"/>
    <cellStyle name="Normal 30 2 4 2 5" xfId="18053" xr:uid="{00000000-0005-0000-0000-0000B8640000}"/>
    <cellStyle name="Normal 30 2 4 3" xfId="5347" xr:uid="{00000000-0005-0000-0000-0000B9640000}"/>
    <cellStyle name="Normal 30 2 4 3 2" xfId="5348" xr:uid="{00000000-0005-0000-0000-0000BA640000}"/>
    <cellStyle name="Normal 30 2 4 3 2 2" xfId="5349" xr:uid="{00000000-0005-0000-0000-0000BB640000}"/>
    <cellStyle name="Normal 30 2 4 3 2 2 2" xfId="18919" xr:uid="{00000000-0005-0000-0000-0000BC640000}"/>
    <cellStyle name="Normal 30 2 4 3 2 3" xfId="18401" xr:uid="{00000000-0005-0000-0000-0000BD640000}"/>
    <cellStyle name="Normal 30 2 4 3 3" xfId="5350" xr:uid="{00000000-0005-0000-0000-0000BE640000}"/>
    <cellStyle name="Normal 30 2 4 3 3 2" xfId="18637" xr:uid="{00000000-0005-0000-0000-0000BF640000}"/>
    <cellStyle name="Normal 30 2 4 3 4" xfId="18110" xr:uid="{00000000-0005-0000-0000-0000C0640000}"/>
    <cellStyle name="Normal 30 2 4 4" xfId="5351" xr:uid="{00000000-0005-0000-0000-0000C1640000}"/>
    <cellStyle name="Normal 30 2 4 4 2" xfId="5352" xr:uid="{00000000-0005-0000-0000-0000C2640000}"/>
    <cellStyle name="Normal 30 2 4 4 2 2" xfId="18800" xr:uid="{00000000-0005-0000-0000-0000C3640000}"/>
    <cellStyle name="Normal 30 2 4 4 3" xfId="18273" xr:uid="{00000000-0005-0000-0000-0000C4640000}"/>
    <cellStyle name="Normal 30 2 4 5" xfId="5353" xr:uid="{00000000-0005-0000-0000-0000C5640000}"/>
    <cellStyle name="Normal 30 2 4 5 2" xfId="18520" xr:uid="{00000000-0005-0000-0000-0000C6640000}"/>
    <cellStyle name="Normal 30 2 4 6" xfId="17956" xr:uid="{00000000-0005-0000-0000-0000C7640000}"/>
    <cellStyle name="Normal 30 2 5" xfId="5354" xr:uid="{00000000-0005-0000-0000-0000C8640000}"/>
    <cellStyle name="Normal 30 2 5 2" xfId="5355" xr:uid="{00000000-0005-0000-0000-0000C9640000}"/>
    <cellStyle name="Normal 30 2 5 2 2" xfId="5356" xr:uid="{00000000-0005-0000-0000-0000CA640000}"/>
    <cellStyle name="Normal 30 2 5 2 2 2" xfId="5357" xr:uid="{00000000-0005-0000-0000-0000CB640000}"/>
    <cellStyle name="Normal 30 2 5 2 2 2 2" xfId="18956" xr:uid="{00000000-0005-0000-0000-0000CC640000}"/>
    <cellStyle name="Normal 30 2 5 2 2 3" xfId="18438" xr:uid="{00000000-0005-0000-0000-0000CD640000}"/>
    <cellStyle name="Normal 30 2 5 2 3" xfId="5358" xr:uid="{00000000-0005-0000-0000-0000CE640000}"/>
    <cellStyle name="Normal 30 2 5 2 3 2" xfId="18674" xr:uid="{00000000-0005-0000-0000-0000CF640000}"/>
    <cellStyle name="Normal 30 2 5 2 4" xfId="18147" xr:uid="{00000000-0005-0000-0000-0000D0640000}"/>
    <cellStyle name="Normal 30 2 5 3" xfId="5359" xr:uid="{00000000-0005-0000-0000-0000D1640000}"/>
    <cellStyle name="Normal 30 2 5 3 2" xfId="5360" xr:uid="{00000000-0005-0000-0000-0000D2640000}"/>
    <cellStyle name="Normal 30 2 5 3 2 2" xfId="18835" xr:uid="{00000000-0005-0000-0000-0000D3640000}"/>
    <cellStyle name="Normal 30 2 5 3 3" xfId="18314" xr:uid="{00000000-0005-0000-0000-0000D4640000}"/>
    <cellStyle name="Normal 30 2 5 4" xfId="5361" xr:uid="{00000000-0005-0000-0000-0000D5640000}"/>
    <cellStyle name="Normal 30 2 5 4 2" xfId="18557" xr:uid="{00000000-0005-0000-0000-0000D6640000}"/>
    <cellStyle name="Normal 30 2 5 5" xfId="17998" xr:uid="{00000000-0005-0000-0000-0000D7640000}"/>
    <cellStyle name="Normal 30 2 6" xfId="5362" xr:uid="{00000000-0005-0000-0000-0000D8640000}"/>
    <cellStyle name="Normal 30 2 6 2" xfId="5363" xr:uid="{00000000-0005-0000-0000-0000D9640000}"/>
    <cellStyle name="Normal 30 2 6 2 2" xfId="18759" xr:uid="{00000000-0005-0000-0000-0000DA640000}"/>
    <cellStyle name="Normal 30 2 6 3" xfId="18232" xr:uid="{00000000-0005-0000-0000-0000DB640000}"/>
    <cellStyle name="Normal 30 2 7" xfId="33407" xr:uid="{00000000-0005-0000-0000-0000DC640000}"/>
    <cellStyle name="Normal 30 3" xfId="5364" xr:uid="{00000000-0005-0000-0000-0000DD640000}"/>
    <cellStyle name="Normal 30 3 2" xfId="5365" xr:uid="{00000000-0005-0000-0000-0000DE640000}"/>
    <cellStyle name="Normal 30 3 2 2" xfId="5366" xr:uid="{00000000-0005-0000-0000-0000DF640000}"/>
    <cellStyle name="Normal 30 3 2 2 2" xfId="5367" xr:uid="{00000000-0005-0000-0000-0000E0640000}"/>
    <cellStyle name="Normal 30 3 2 2 2 2" xfId="5368" xr:uid="{00000000-0005-0000-0000-0000E1640000}"/>
    <cellStyle name="Normal 30 3 2 2 2 2 2" xfId="5369" xr:uid="{00000000-0005-0000-0000-0000E2640000}"/>
    <cellStyle name="Normal 30 3 2 2 2 2 2 2" xfId="18976" xr:uid="{00000000-0005-0000-0000-0000E3640000}"/>
    <cellStyle name="Normal 30 3 2 2 2 2 3" xfId="18458" xr:uid="{00000000-0005-0000-0000-0000E4640000}"/>
    <cellStyle name="Normal 30 3 2 2 2 3" xfId="5370" xr:uid="{00000000-0005-0000-0000-0000E5640000}"/>
    <cellStyle name="Normal 30 3 2 2 2 3 2" xfId="18694" xr:uid="{00000000-0005-0000-0000-0000E6640000}"/>
    <cellStyle name="Normal 30 3 2 2 2 4" xfId="18167" xr:uid="{00000000-0005-0000-0000-0000E7640000}"/>
    <cellStyle name="Normal 30 3 2 2 3" xfId="5371" xr:uid="{00000000-0005-0000-0000-0000E8640000}"/>
    <cellStyle name="Normal 30 3 2 2 3 2" xfId="5372" xr:uid="{00000000-0005-0000-0000-0000E9640000}"/>
    <cellStyle name="Normal 30 3 2 2 3 2 2" xfId="18855" xr:uid="{00000000-0005-0000-0000-0000EA640000}"/>
    <cellStyle name="Normal 30 3 2 2 3 3" xfId="18334" xr:uid="{00000000-0005-0000-0000-0000EB640000}"/>
    <cellStyle name="Normal 30 3 2 2 4" xfId="5373" xr:uid="{00000000-0005-0000-0000-0000EC640000}"/>
    <cellStyle name="Normal 30 3 2 2 4 2" xfId="18577" xr:uid="{00000000-0005-0000-0000-0000ED640000}"/>
    <cellStyle name="Normal 30 3 2 2 5" xfId="18019" xr:uid="{00000000-0005-0000-0000-0000EE640000}"/>
    <cellStyle name="Normal 30 3 2 3" xfId="5374" xr:uid="{00000000-0005-0000-0000-0000EF640000}"/>
    <cellStyle name="Normal 30 3 2 3 2" xfId="5375" xr:uid="{00000000-0005-0000-0000-0000F0640000}"/>
    <cellStyle name="Normal 30 3 2 3 2 2" xfId="5376" xr:uid="{00000000-0005-0000-0000-0000F1640000}"/>
    <cellStyle name="Normal 30 3 2 3 2 2 2" xfId="5377" xr:uid="{00000000-0005-0000-0000-0000F2640000}"/>
    <cellStyle name="Normal 30 3 2 3 2 2 2 2" xfId="18936" xr:uid="{00000000-0005-0000-0000-0000F3640000}"/>
    <cellStyle name="Normal 30 3 2 3 2 2 3" xfId="18418" xr:uid="{00000000-0005-0000-0000-0000F4640000}"/>
    <cellStyle name="Normal 30 3 2 3 2 3" xfId="5378" xr:uid="{00000000-0005-0000-0000-0000F5640000}"/>
    <cellStyle name="Normal 30 3 2 3 2 3 2" xfId="18654" xr:uid="{00000000-0005-0000-0000-0000F6640000}"/>
    <cellStyle name="Normal 30 3 2 3 2 4" xfId="18127" xr:uid="{00000000-0005-0000-0000-0000F7640000}"/>
    <cellStyle name="Normal 30 3 2 3 3" xfId="5379" xr:uid="{00000000-0005-0000-0000-0000F8640000}"/>
    <cellStyle name="Normal 30 3 2 3 3 2" xfId="5380" xr:uid="{00000000-0005-0000-0000-0000F9640000}"/>
    <cellStyle name="Normal 30 3 2 3 3 2 2" xfId="18822" xr:uid="{00000000-0005-0000-0000-0000FA640000}"/>
    <cellStyle name="Normal 30 3 2 3 3 3" xfId="18301" xr:uid="{00000000-0005-0000-0000-0000FB640000}"/>
    <cellStyle name="Normal 30 3 2 3 4" xfId="5381" xr:uid="{00000000-0005-0000-0000-0000FC640000}"/>
    <cellStyle name="Normal 30 3 2 3 4 2" xfId="18537" xr:uid="{00000000-0005-0000-0000-0000FD640000}"/>
    <cellStyle name="Normal 30 3 2 3 5" xfId="17973" xr:uid="{00000000-0005-0000-0000-0000FE640000}"/>
    <cellStyle name="Normal 30 3 2 4" xfId="5382" xr:uid="{00000000-0005-0000-0000-0000FF640000}"/>
    <cellStyle name="Normal 30 3 2 5" xfId="5383" xr:uid="{00000000-0005-0000-0000-000000650000}"/>
    <cellStyle name="Normal 30 3 2 5 2" xfId="5384" xr:uid="{00000000-0005-0000-0000-000001650000}"/>
    <cellStyle name="Normal 30 3 2 5 2 2" xfId="18780" xr:uid="{00000000-0005-0000-0000-000002650000}"/>
    <cellStyle name="Normal 30 3 2 5 3" xfId="18253" xr:uid="{00000000-0005-0000-0000-000003650000}"/>
    <cellStyle name="Normal 30 3 3" xfId="5385" xr:uid="{00000000-0005-0000-0000-000004650000}"/>
    <cellStyle name="Normal 30 3 4" xfId="5386" xr:uid="{00000000-0005-0000-0000-000005650000}"/>
    <cellStyle name="Normal 30 3 4 2" xfId="5387" xr:uid="{00000000-0005-0000-0000-000006650000}"/>
    <cellStyle name="Normal 30 3 4 2 2" xfId="5388" xr:uid="{00000000-0005-0000-0000-000007650000}"/>
    <cellStyle name="Normal 30 3 4 2 2 2" xfId="5389" xr:uid="{00000000-0005-0000-0000-000008650000}"/>
    <cellStyle name="Normal 30 3 4 2 2 2 2" xfId="5390" xr:uid="{00000000-0005-0000-0000-000009650000}"/>
    <cellStyle name="Normal 30 3 4 2 2 2 2 2" xfId="19007" xr:uid="{00000000-0005-0000-0000-00000A650000}"/>
    <cellStyle name="Normal 30 3 4 2 2 2 3" xfId="18489" xr:uid="{00000000-0005-0000-0000-00000B650000}"/>
    <cellStyle name="Normal 30 3 4 2 2 3" xfId="5391" xr:uid="{00000000-0005-0000-0000-00000C650000}"/>
    <cellStyle name="Normal 30 3 4 2 2 3 2" xfId="18725" xr:uid="{00000000-0005-0000-0000-00000D650000}"/>
    <cellStyle name="Normal 30 3 4 2 2 4" xfId="18198" xr:uid="{00000000-0005-0000-0000-00000E650000}"/>
    <cellStyle name="Normal 30 3 4 2 3" xfId="5392" xr:uid="{00000000-0005-0000-0000-00000F650000}"/>
    <cellStyle name="Normal 30 3 4 2 3 2" xfId="5393" xr:uid="{00000000-0005-0000-0000-000010650000}"/>
    <cellStyle name="Normal 30 3 4 2 3 2 2" xfId="18887" xr:uid="{00000000-0005-0000-0000-000011650000}"/>
    <cellStyle name="Normal 30 3 4 2 3 3" xfId="18368" xr:uid="{00000000-0005-0000-0000-000012650000}"/>
    <cellStyle name="Normal 30 3 4 2 4" xfId="5394" xr:uid="{00000000-0005-0000-0000-000013650000}"/>
    <cellStyle name="Normal 30 3 4 2 4 2" xfId="18608" xr:uid="{00000000-0005-0000-0000-000014650000}"/>
    <cellStyle name="Normal 30 3 4 2 5" xfId="18054" xr:uid="{00000000-0005-0000-0000-000015650000}"/>
    <cellStyle name="Normal 30 3 4 3" xfId="5395" xr:uid="{00000000-0005-0000-0000-000016650000}"/>
    <cellStyle name="Normal 30 3 4 3 2" xfId="5396" xr:uid="{00000000-0005-0000-0000-000017650000}"/>
    <cellStyle name="Normal 30 3 4 3 2 2" xfId="5397" xr:uid="{00000000-0005-0000-0000-000018650000}"/>
    <cellStyle name="Normal 30 3 4 3 2 2 2" xfId="18920" xr:uid="{00000000-0005-0000-0000-000019650000}"/>
    <cellStyle name="Normal 30 3 4 3 2 3" xfId="18402" xr:uid="{00000000-0005-0000-0000-00001A650000}"/>
    <cellStyle name="Normal 30 3 4 3 3" xfId="5398" xr:uid="{00000000-0005-0000-0000-00001B650000}"/>
    <cellStyle name="Normal 30 3 4 3 3 2" xfId="18638" xr:uid="{00000000-0005-0000-0000-00001C650000}"/>
    <cellStyle name="Normal 30 3 4 3 4" xfId="18111" xr:uid="{00000000-0005-0000-0000-00001D650000}"/>
    <cellStyle name="Normal 30 3 4 4" xfId="5399" xr:uid="{00000000-0005-0000-0000-00001E650000}"/>
    <cellStyle name="Normal 30 3 4 4 2" xfId="5400" xr:uid="{00000000-0005-0000-0000-00001F650000}"/>
    <cellStyle name="Normal 30 3 4 4 2 2" xfId="18801" xr:uid="{00000000-0005-0000-0000-000020650000}"/>
    <cellStyle name="Normal 30 3 4 4 3" xfId="18274" xr:uid="{00000000-0005-0000-0000-000021650000}"/>
    <cellStyle name="Normal 30 3 4 5" xfId="5401" xr:uid="{00000000-0005-0000-0000-000022650000}"/>
    <cellStyle name="Normal 30 3 4 5 2" xfId="18521" xr:uid="{00000000-0005-0000-0000-000023650000}"/>
    <cellStyle name="Normal 30 3 4 6" xfId="17957" xr:uid="{00000000-0005-0000-0000-000024650000}"/>
    <cellStyle name="Normal 30 3 5" xfId="5402" xr:uid="{00000000-0005-0000-0000-000025650000}"/>
    <cellStyle name="Normal 30 3 5 2" xfId="5403" xr:uid="{00000000-0005-0000-0000-000026650000}"/>
    <cellStyle name="Normal 30 3 5 2 2" xfId="5404" xr:uid="{00000000-0005-0000-0000-000027650000}"/>
    <cellStyle name="Normal 30 3 5 2 2 2" xfId="5405" xr:uid="{00000000-0005-0000-0000-000028650000}"/>
    <cellStyle name="Normal 30 3 5 2 2 2 2" xfId="18957" xr:uid="{00000000-0005-0000-0000-000029650000}"/>
    <cellStyle name="Normal 30 3 5 2 2 3" xfId="18439" xr:uid="{00000000-0005-0000-0000-00002A650000}"/>
    <cellStyle name="Normal 30 3 5 2 3" xfId="5406" xr:uid="{00000000-0005-0000-0000-00002B650000}"/>
    <cellStyle name="Normal 30 3 5 2 3 2" xfId="18675" xr:uid="{00000000-0005-0000-0000-00002C650000}"/>
    <cellStyle name="Normal 30 3 5 2 4" xfId="18148" xr:uid="{00000000-0005-0000-0000-00002D650000}"/>
    <cellStyle name="Normal 30 3 5 3" xfId="5407" xr:uid="{00000000-0005-0000-0000-00002E650000}"/>
    <cellStyle name="Normal 30 3 5 3 2" xfId="5408" xr:uid="{00000000-0005-0000-0000-00002F650000}"/>
    <cellStyle name="Normal 30 3 5 3 2 2" xfId="18836" xr:uid="{00000000-0005-0000-0000-000030650000}"/>
    <cellStyle name="Normal 30 3 5 3 3" xfId="18315" xr:uid="{00000000-0005-0000-0000-000031650000}"/>
    <cellStyle name="Normal 30 3 5 4" xfId="5409" xr:uid="{00000000-0005-0000-0000-000032650000}"/>
    <cellStyle name="Normal 30 3 5 4 2" xfId="18558" xr:uid="{00000000-0005-0000-0000-000033650000}"/>
    <cellStyle name="Normal 30 3 5 5" xfId="17999" xr:uid="{00000000-0005-0000-0000-000034650000}"/>
    <cellStyle name="Normal 30 3 6" xfId="5410" xr:uid="{00000000-0005-0000-0000-000035650000}"/>
    <cellStyle name="Normal 30 3 6 2" xfId="5411" xr:uid="{00000000-0005-0000-0000-000036650000}"/>
    <cellStyle name="Normal 30 3 6 2 2" xfId="18760" xr:uid="{00000000-0005-0000-0000-000037650000}"/>
    <cellStyle name="Normal 30 3 6 3" xfId="18233" xr:uid="{00000000-0005-0000-0000-000038650000}"/>
    <cellStyle name="Normal 30 3 7" xfId="33408" xr:uid="{00000000-0005-0000-0000-000039650000}"/>
    <cellStyle name="Normal 30 4" xfId="5412" xr:uid="{00000000-0005-0000-0000-00003A650000}"/>
    <cellStyle name="Normal 30 4 2" xfId="10515" xr:uid="{00000000-0005-0000-0000-00003B650000}"/>
    <cellStyle name="Normal 30 4 3" xfId="33409" xr:uid="{00000000-0005-0000-0000-00003C650000}"/>
    <cellStyle name="Normal 30 5" xfId="5413" xr:uid="{00000000-0005-0000-0000-00003D650000}"/>
    <cellStyle name="Normal 30 5 2" xfId="10516" xr:uid="{00000000-0005-0000-0000-00003E650000}"/>
    <cellStyle name="Normal 30 5 3" xfId="40894" xr:uid="{00000000-0005-0000-0000-00003F650000}"/>
    <cellStyle name="Normal 30 6" xfId="5414" xr:uid="{00000000-0005-0000-0000-000040650000}"/>
    <cellStyle name="Normal 30 6 2" xfId="10517" xr:uid="{00000000-0005-0000-0000-000041650000}"/>
    <cellStyle name="Normal 30 7" xfId="5415" xr:uid="{00000000-0005-0000-0000-000042650000}"/>
    <cellStyle name="Normal 30 7 2" xfId="10518" xr:uid="{00000000-0005-0000-0000-000043650000}"/>
    <cellStyle name="Normal 30 8" xfId="5416" xr:uid="{00000000-0005-0000-0000-000044650000}"/>
    <cellStyle name="Normal 30 8 2" xfId="5417" xr:uid="{00000000-0005-0000-0000-000045650000}"/>
    <cellStyle name="Normal 30 8 2 2" xfId="5418" xr:uid="{00000000-0005-0000-0000-000046650000}"/>
    <cellStyle name="Normal 30 8 2 2 2" xfId="5419" xr:uid="{00000000-0005-0000-0000-000047650000}"/>
    <cellStyle name="Normal 30 8 2 2 2 2" xfId="5420" xr:uid="{00000000-0005-0000-0000-000048650000}"/>
    <cellStyle name="Normal 30 8 2 2 2 2 2" xfId="5421" xr:uid="{00000000-0005-0000-0000-000049650000}"/>
    <cellStyle name="Normal 30 8 2 2 2 2 2 2" xfId="18977" xr:uid="{00000000-0005-0000-0000-00004A650000}"/>
    <cellStyle name="Normal 30 8 2 2 2 2 3" xfId="18459" xr:uid="{00000000-0005-0000-0000-00004B650000}"/>
    <cellStyle name="Normal 30 8 2 2 2 3" xfId="5422" xr:uid="{00000000-0005-0000-0000-00004C650000}"/>
    <cellStyle name="Normal 30 8 2 2 2 3 2" xfId="18695" xr:uid="{00000000-0005-0000-0000-00004D650000}"/>
    <cellStyle name="Normal 30 8 2 2 2 4" xfId="18168" xr:uid="{00000000-0005-0000-0000-00004E650000}"/>
    <cellStyle name="Normal 30 8 2 2 3" xfId="5423" xr:uid="{00000000-0005-0000-0000-00004F650000}"/>
    <cellStyle name="Normal 30 8 2 2 3 2" xfId="5424" xr:uid="{00000000-0005-0000-0000-000050650000}"/>
    <cellStyle name="Normal 30 8 2 2 3 2 2" xfId="18856" xr:uid="{00000000-0005-0000-0000-000051650000}"/>
    <cellStyle name="Normal 30 8 2 2 3 3" xfId="18335" xr:uid="{00000000-0005-0000-0000-000052650000}"/>
    <cellStyle name="Normal 30 8 2 2 4" xfId="5425" xr:uid="{00000000-0005-0000-0000-000053650000}"/>
    <cellStyle name="Normal 30 8 2 2 4 2" xfId="18578" xr:uid="{00000000-0005-0000-0000-000054650000}"/>
    <cellStyle name="Normal 30 8 2 2 5" xfId="18020" xr:uid="{00000000-0005-0000-0000-000055650000}"/>
    <cellStyle name="Normal 30 8 2 3" xfId="5426" xr:uid="{00000000-0005-0000-0000-000056650000}"/>
    <cellStyle name="Normal 30 8 2 3 2" xfId="5427" xr:uid="{00000000-0005-0000-0000-000057650000}"/>
    <cellStyle name="Normal 30 8 2 3 2 2" xfId="5428" xr:uid="{00000000-0005-0000-0000-000058650000}"/>
    <cellStyle name="Normal 30 8 2 3 2 2 2" xfId="5429" xr:uid="{00000000-0005-0000-0000-000059650000}"/>
    <cellStyle name="Normal 30 8 2 3 2 2 2 2" xfId="18937" xr:uid="{00000000-0005-0000-0000-00005A650000}"/>
    <cellStyle name="Normal 30 8 2 3 2 2 3" xfId="18419" xr:uid="{00000000-0005-0000-0000-00005B650000}"/>
    <cellStyle name="Normal 30 8 2 3 2 3" xfId="5430" xr:uid="{00000000-0005-0000-0000-00005C650000}"/>
    <cellStyle name="Normal 30 8 2 3 2 3 2" xfId="18655" xr:uid="{00000000-0005-0000-0000-00005D650000}"/>
    <cellStyle name="Normal 30 8 2 3 2 4" xfId="18128" xr:uid="{00000000-0005-0000-0000-00005E650000}"/>
    <cellStyle name="Normal 30 8 2 3 3" xfId="5431" xr:uid="{00000000-0005-0000-0000-00005F650000}"/>
    <cellStyle name="Normal 30 8 2 3 3 2" xfId="5432" xr:uid="{00000000-0005-0000-0000-000060650000}"/>
    <cellStyle name="Normal 30 8 2 3 3 2 2" xfId="18823" xr:uid="{00000000-0005-0000-0000-000061650000}"/>
    <cellStyle name="Normal 30 8 2 3 3 3" xfId="18302" xr:uid="{00000000-0005-0000-0000-000062650000}"/>
    <cellStyle name="Normal 30 8 2 3 4" xfId="5433" xr:uid="{00000000-0005-0000-0000-000063650000}"/>
    <cellStyle name="Normal 30 8 2 3 4 2" xfId="18538" xr:uid="{00000000-0005-0000-0000-000064650000}"/>
    <cellStyle name="Normal 30 8 2 3 5" xfId="17974" xr:uid="{00000000-0005-0000-0000-000065650000}"/>
    <cellStyle name="Normal 30 8 2 4" xfId="5434" xr:uid="{00000000-0005-0000-0000-000066650000}"/>
    <cellStyle name="Normal 30 8 2 5" xfId="5435" xr:uid="{00000000-0005-0000-0000-000067650000}"/>
    <cellStyle name="Normal 30 8 2 5 2" xfId="5436" xr:uid="{00000000-0005-0000-0000-000068650000}"/>
    <cellStyle name="Normal 30 8 2 5 2 2" xfId="18781" xr:uid="{00000000-0005-0000-0000-000069650000}"/>
    <cellStyle name="Normal 30 8 2 5 3" xfId="18254" xr:uid="{00000000-0005-0000-0000-00006A650000}"/>
    <cellStyle name="Normal 30 8 3" xfId="5437" xr:uid="{00000000-0005-0000-0000-00006B650000}"/>
    <cellStyle name="Normal 30 8 4" xfId="5438" xr:uid="{00000000-0005-0000-0000-00006C650000}"/>
    <cellStyle name="Normal 30 8 4 2" xfId="5439" xr:uid="{00000000-0005-0000-0000-00006D650000}"/>
    <cellStyle name="Normal 30 8 4 2 2" xfId="5440" xr:uid="{00000000-0005-0000-0000-00006E650000}"/>
    <cellStyle name="Normal 30 8 4 2 2 2" xfId="5441" xr:uid="{00000000-0005-0000-0000-00006F650000}"/>
    <cellStyle name="Normal 30 8 4 2 2 2 2" xfId="5442" xr:uid="{00000000-0005-0000-0000-000070650000}"/>
    <cellStyle name="Normal 30 8 4 2 2 2 2 2" xfId="19008" xr:uid="{00000000-0005-0000-0000-000071650000}"/>
    <cellStyle name="Normal 30 8 4 2 2 2 3" xfId="18490" xr:uid="{00000000-0005-0000-0000-000072650000}"/>
    <cellStyle name="Normal 30 8 4 2 2 3" xfId="5443" xr:uid="{00000000-0005-0000-0000-000073650000}"/>
    <cellStyle name="Normal 30 8 4 2 2 3 2" xfId="18726" xr:uid="{00000000-0005-0000-0000-000074650000}"/>
    <cellStyle name="Normal 30 8 4 2 2 4" xfId="18199" xr:uid="{00000000-0005-0000-0000-000075650000}"/>
    <cellStyle name="Normal 30 8 4 2 3" xfId="5444" xr:uid="{00000000-0005-0000-0000-000076650000}"/>
    <cellStyle name="Normal 30 8 4 2 3 2" xfId="5445" xr:uid="{00000000-0005-0000-0000-000077650000}"/>
    <cellStyle name="Normal 30 8 4 2 3 2 2" xfId="18888" xr:uid="{00000000-0005-0000-0000-000078650000}"/>
    <cellStyle name="Normal 30 8 4 2 3 3" xfId="18369" xr:uid="{00000000-0005-0000-0000-000079650000}"/>
    <cellStyle name="Normal 30 8 4 2 4" xfId="5446" xr:uid="{00000000-0005-0000-0000-00007A650000}"/>
    <cellStyle name="Normal 30 8 4 2 4 2" xfId="18609" xr:uid="{00000000-0005-0000-0000-00007B650000}"/>
    <cellStyle name="Normal 30 8 4 2 5" xfId="18055" xr:uid="{00000000-0005-0000-0000-00007C650000}"/>
    <cellStyle name="Normal 30 8 4 3" xfId="5447" xr:uid="{00000000-0005-0000-0000-00007D650000}"/>
    <cellStyle name="Normal 30 8 4 3 2" xfId="5448" xr:uid="{00000000-0005-0000-0000-00007E650000}"/>
    <cellStyle name="Normal 30 8 4 3 2 2" xfId="5449" xr:uid="{00000000-0005-0000-0000-00007F650000}"/>
    <cellStyle name="Normal 30 8 4 3 2 2 2" xfId="18921" xr:uid="{00000000-0005-0000-0000-000080650000}"/>
    <cellStyle name="Normal 30 8 4 3 2 3" xfId="18403" xr:uid="{00000000-0005-0000-0000-000081650000}"/>
    <cellStyle name="Normal 30 8 4 3 3" xfId="5450" xr:uid="{00000000-0005-0000-0000-000082650000}"/>
    <cellStyle name="Normal 30 8 4 3 3 2" xfId="18639" xr:uid="{00000000-0005-0000-0000-000083650000}"/>
    <cellStyle name="Normal 30 8 4 3 4" xfId="18112" xr:uid="{00000000-0005-0000-0000-000084650000}"/>
    <cellStyle name="Normal 30 8 4 4" xfId="5451" xr:uid="{00000000-0005-0000-0000-000085650000}"/>
    <cellStyle name="Normal 30 8 4 4 2" xfId="5452" xr:uid="{00000000-0005-0000-0000-000086650000}"/>
    <cellStyle name="Normal 30 8 4 4 2 2" xfId="18802" xr:uid="{00000000-0005-0000-0000-000087650000}"/>
    <cellStyle name="Normal 30 8 4 4 3" xfId="18275" xr:uid="{00000000-0005-0000-0000-000088650000}"/>
    <cellStyle name="Normal 30 8 4 5" xfId="5453" xr:uid="{00000000-0005-0000-0000-000089650000}"/>
    <cellStyle name="Normal 30 8 4 5 2" xfId="18522" xr:uid="{00000000-0005-0000-0000-00008A650000}"/>
    <cellStyle name="Normal 30 8 4 6" xfId="17958" xr:uid="{00000000-0005-0000-0000-00008B650000}"/>
    <cellStyle name="Normal 30 8 5" xfId="5454" xr:uid="{00000000-0005-0000-0000-00008C650000}"/>
    <cellStyle name="Normal 30 8 5 2" xfId="5455" xr:uid="{00000000-0005-0000-0000-00008D650000}"/>
    <cellStyle name="Normal 30 8 5 2 2" xfId="5456" xr:uid="{00000000-0005-0000-0000-00008E650000}"/>
    <cellStyle name="Normal 30 8 5 2 2 2" xfId="5457" xr:uid="{00000000-0005-0000-0000-00008F650000}"/>
    <cellStyle name="Normal 30 8 5 2 2 2 2" xfId="18958" xr:uid="{00000000-0005-0000-0000-000090650000}"/>
    <cellStyle name="Normal 30 8 5 2 2 3" xfId="18440" xr:uid="{00000000-0005-0000-0000-000091650000}"/>
    <cellStyle name="Normal 30 8 5 2 3" xfId="5458" xr:uid="{00000000-0005-0000-0000-000092650000}"/>
    <cellStyle name="Normal 30 8 5 2 3 2" xfId="18676" xr:uid="{00000000-0005-0000-0000-000093650000}"/>
    <cellStyle name="Normal 30 8 5 2 4" xfId="18149" xr:uid="{00000000-0005-0000-0000-000094650000}"/>
    <cellStyle name="Normal 30 8 5 3" xfId="5459" xr:uid="{00000000-0005-0000-0000-000095650000}"/>
    <cellStyle name="Normal 30 8 5 3 2" xfId="5460" xr:uid="{00000000-0005-0000-0000-000096650000}"/>
    <cellStyle name="Normal 30 8 5 3 2 2" xfId="18837" xr:uid="{00000000-0005-0000-0000-000097650000}"/>
    <cellStyle name="Normal 30 8 5 3 3" xfId="18316" xr:uid="{00000000-0005-0000-0000-000098650000}"/>
    <cellStyle name="Normal 30 8 5 4" xfId="5461" xr:uid="{00000000-0005-0000-0000-000099650000}"/>
    <cellStyle name="Normal 30 8 5 4 2" xfId="18559" xr:uid="{00000000-0005-0000-0000-00009A650000}"/>
    <cellStyle name="Normal 30 8 5 5" xfId="18000" xr:uid="{00000000-0005-0000-0000-00009B650000}"/>
    <cellStyle name="Normal 30 8 6" xfId="5462" xr:uid="{00000000-0005-0000-0000-00009C650000}"/>
    <cellStyle name="Normal 30 8 6 2" xfId="5463" xr:uid="{00000000-0005-0000-0000-00009D650000}"/>
    <cellStyle name="Normal 30 8 6 2 2" xfId="18761" xr:uid="{00000000-0005-0000-0000-00009E650000}"/>
    <cellStyle name="Normal 30 8 6 3" xfId="18234" xr:uid="{00000000-0005-0000-0000-00009F650000}"/>
    <cellStyle name="Normal 30 9" xfId="10519" xr:uid="{00000000-0005-0000-0000-0000A0650000}"/>
    <cellStyle name="Normal 300" xfId="33410" xr:uid="{00000000-0005-0000-0000-0000A1650000}"/>
    <cellStyle name="Normal 300 2" xfId="33411" xr:uid="{00000000-0005-0000-0000-0000A2650000}"/>
    <cellStyle name="Normal 300 3" xfId="33412" xr:uid="{00000000-0005-0000-0000-0000A3650000}"/>
    <cellStyle name="Normal 301" xfId="33413" xr:uid="{00000000-0005-0000-0000-0000A4650000}"/>
    <cellStyle name="Normal 301 2" xfId="33414" xr:uid="{00000000-0005-0000-0000-0000A5650000}"/>
    <cellStyle name="Normal 301 3" xfId="33415" xr:uid="{00000000-0005-0000-0000-0000A6650000}"/>
    <cellStyle name="Normal 302" xfId="33416" xr:uid="{00000000-0005-0000-0000-0000A7650000}"/>
    <cellStyle name="Normal 302 2" xfId="33417" xr:uid="{00000000-0005-0000-0000-0000A8650000}"/>
    <cellStyle name="Normal 302 3" xfId="33418" xr:uid="{00000000-0005-0000-0000-0000A9650000}"/>
    <cellStyle name="Normal 303" xfId="33419" xr:uid="{00000000-0005-0000-0000-0000AA650000}"/>
    <cellStyle name="Normal 303 2" xfId="33420" xr:uid="{00000000-0005-0000-0000-0000AB650000}"/>
    <cellStyle name="Normal 303 3" xfId="33421" xr:uid="{00000000-0005-0000-0000-0000AC650000}"/>
    <cellStyle name="Normal 304" xfId="33422" xr:uid="{00000000-0005-0000-0000-0000AD650000}"/>
    <cellStyle name="Normal 304 2" xfId="33423" xr:uid="{00000000-0005-0000-0000-0000AE650000}"/>
    <cellStyle name="Normal 304 3" xfId="33424" xr:uid="{00000000-0005-0000-0000-0000AF650000}"/>
    <cellStyle name="Normal 305" xfId="33425" xr:uid="{00000000-0005-0000-0000-0000B0650000}"/>
    <cellStyle name="Normal 305 2" xfId="33426" xr:uid="{00000000-0005-0000-0000-0000B1650000}"/>
    <cellStyle name="Normal 305 3" xfId="33427" xr:uid="{00000000-0005-0000-0000-0000B2650000}"/>
    <cellStyle name="Normal 306" xfId="33428" xr:uid="{00000000-0005-0000-0000-0000B3650000}"/>
    <cellStyle name="Normal 306 2" xfId="33429" xr:uid="{00000000-0005-0000-0000-0000B4650000}"/>
    <cellStyle name="Normal 306 3" xfId="33430" xr:uid="{00000000-0005-0000-0000-0000B5650000}"/>
    <cellStyle name="Normal 307" xfId="33431" xr:uid="{00000000-0005-0000-0000-0000B6650000}"/>
    <cellStyle name="Normal 307 2" xfId="33432" xr:uid="{00000000-0005-0000-0000-0000B7650000}"/>
    <cellStyle name="Normal 307 3" xfId="33433" xr:uid="{00000000-0005-0000-0000-0000B8650000}"/>
    <cellStyle name="Normal 308" xfId="33434" xr:uid="{00000000-0005-0000-0000-0000B9650000}"/>
    <cellStyle name="Normal 308 2" xfId="33435" xr:uid="{00000000-0005-0000-0000-0000BA650000}"/>
    <cellStyle name="Normal 308 3" xfId="33436" xr:uid="{00000000-0005-0000-0000-0000BB650000}"/>
    <cellStyle name="Normal 309" xfId="33437" xr:uid="{00000000-0005-0000-0000-0000BC650000}"/>
    <cellStyle name="Normal 309 2" xfId="33438" xr:uid="{00000000-0005-0000-0000-0000BD650000}"/>
    <cellStyle name="Normal 309 3" xfId="33439" xr:uid="{00000000-0005-0000-0000-0000BE650000}"/>
    <cellStyle name="Normal 31" xfId="5464" xr:uid="{00000000-0005-0000-0000-0000BF650000}"/>
    <cellStyle name="Normal 31 2" xfId="5465" xr:uid="{00000000-0005-0000-0000-0000C0650000}"/>
    <cellStyle name="Normal 31 2 2" xfId="10520" xr:uid="{00000000-0005-0000-0000-0000C1650000}"/>
    <cellStyle name="Normal 31 2 2 2" xfId="33443" xr:uid="{00000000-0005-0000-0000-0000C2650000}"/>
    <cellStyle name="Normal 31 2 2 3" xfId="33444" xr:uid="{00000000-0005-0000-0000-0000C3650000}"/>
    <cellStyle name="Normal 31 2 2 4" xfId="33442" xr:uid="{00000000-0005-0000-0000-0000C4650000}"/>
    <cellStyle name="Normal 31 2 3" xfId="33445" xr:uid="{00000000-0005-0000-0000-0000C5650000}"/>
    <cellStyle name="Normal 31 2 4" xfId="33446" xr:uid="{00000000-0005-0000-0000-0000C6650000}"/>
    <cellStyle name="Normal 31 2 5" xfId="33447" xr:uid="{00000000-0005-0000-0000-0000C7650000}"/>
    <cellStyle name="Normal 31 2 6" xfId="33448" xr:uid="{00000000-0005-0000-0000-0000C8650000}"/>
    <cellStyle name="Normal 31 2 7" xfId="33449" xr:uid="{00000000-0005-0000-0000-0000C9650000}"/>
    <cellStyle name="Normal 31 2 8" xfId="40897" xr:uid="{00000000-0005-0000-0000-0000CA650000}"/>
    <cellStyle name="Normal 31 2 9" xfId="33441" xr:uid="{00000000-0005-0000-0000-0000CB650000}"/>
    <cellStyle name="Normal 31 3" xfId="5466" xr:uid="{00000000-0005-0000-0000-0000CC650000}"/>
    <cellStyle name="Normal 31 3 2" xfId="10521" xr:uid="{00000000-0005-0000-0000-0000CD650000}"/>
    <cellStyle name="Normal 31 3 2 2" xfId="33452" xr:uid="{00000000-0005-0000-0000-0000CE650000}"/>
    <cellStyle name="Normal 31 3 2 3" xfId="33453" xr:uid="{00000000-0005-0000-0000-0000CF650000}"/>
    <cellStyle name="Normal 31 3 2 4" xfId="33451" xr:uid="{00000000-0005-0000-0000-0000D0650000}"/>
    <cellStyle name="Normal 31 3 3" xfId="33454" xr:uid="{00000000-0005-0000-0000-0000D1650000}"/>
    <cellStyle name="Normal 31 3 4" xfId="33455" xr:uid="{00000000-0005-0000-0000-0000D2650000}"/>
    <cellStyle name="Normal 31 3 5" xfId="33450" xr:uid="{00000000-0005-0000-0000-0000D3650000}"/>
    <cellStyle name="Normal 31 4" xfId="5467" xr:uid="{00000000-0005-0000-0000-0000D4650000}"/>
    <cellStyle name="Normal 31 4 2" xfId="10522" xr:uid="{00000000-0005-0000-0000-0000D5650000}"/>
    <cellStyle name="Normal 31 5" xfId="5468" xr:uid="{00000000-0005-0000-0000-0000D6650000}"/>
    <cellStyle name="Normal 31 5 2" xfId="10523" xr:uid="{00000000-0005-0000-0000-0000D7650000}"/>
    <cellStyle name="Normal 31 6" xfId="5469" xr:uid="{00000000-0005-0000-0000-0000D8650000}"/>
    <cellStyle name="Normal 31 6 2" xfId="10524" xr:uid="{00000000-0005-0000-0000-0000D9650000}"/>
    <cellStyle name="Normal 31 6 3" xfId="33456" xr:uid="{00000000-0005-0000-0000-0000DA650000}"/>
    <cellStyle name="Normal 31 7" xfId="10525" xr:uid="{00000000-0005-0000-0000-0000DB650000}"/>
    <cellStyle name="Normal 31 7 2" xfId="33457" xr:uid="{00000000-0005-0000-0000-0000DC650000}"/>
    <cellStyle name="Normal 31 8" xfId="40896" xr:uid="{00000000-0005-0000-0000-0000DD650000}"/>
    <cellStyle name="Normal 31 9" xfId="33440" xr:uid="{00000000-0005-0000-0000-0000DE650000}"/>
    <cellStyle name="Normal 310" xfId="33458" xr:uid="{00000000-0005-0000-0000-0000DF650000}"/>
    <cellStyle name="Normal 310 2" xfId="33459" xr:uid="{00000000-0005-0000-0000-0000E0650000}"/>
    <cellStyle name="Normal 310 3" xfId="33460" xr:uid="{00000000-0005-0000-0000-0000E1650000}"/>
    <cellStyle name="Normal 311" xfId="33461" xr:uid="{00000000-0005-0000-0000-0000E2650000}"/>
    <cellStyle name="Normal 311 2" xfId="33462" xr:uid="{00000000-0005-0000-0000-0000E3650000}"/>
    <cellStyle name="Normal 311 3" xfId="33463" xr:uid="{00000000-0005-0000-0000-0000E4650000}"/>
    <cellStyle name="Normal 312" xfId="33464" xr:uid="{00000000-0005-0000-0000-0000E5650000}"/>
    <cellStyle name="Normal 312 2" xfId="33465" xr:uid="{00000000-0005-0000-0000-0000E6650000}"/>
    <cellStyle name="Normal 312 3" xfId="33466" xr:uid="{00000000-0005-0000-0000-0000E7650000}"/>
    <cellStyle name="Normal 313" xfId="33467" xr:uid="{00000000-0005-0000-0000-0000E8650000}"/>
    <cellStyle name="Normal 313 2" xfId="33468" xr:uid="{00000000-0005-0000-0000-0000E9650000}"/>
    <cellStyle name="Normal 313 3" xfId="33469" xr:uid="{00000000-0005-0000-0000-0000EA650000}"/>
    <cellStyle name="Normal 314" xfId="33470" xr:uid="{00000000-0005-0000-0000-0000EB650000}"/>
    <cellStyle name="Normal 314 2" xfId="33471" xr:uid="{00000000-0005-0000-0000-0000EC650000}"/>
    <cellStyle name="Normal 314 3" xfId="33472" xr:uid="{00000000-0005-0000-0000-0000ED650000}"/>
    <cellStyle name="Normal 315" xfId="33473" xr:uid="{00000000-0005-0000-0000-0000EE650000}"/>
    <cellStyle name="Normal 315 2" xfId="33474" xr:uid="{00000000-0005-0000-0000-0000EF650000}"/>
    <cellStyle name="Normal 315 3" xfId="33475" xr:uid="{00000000-0005-0000-0000-0000F0650000}"/>
    <cellStyle name="Normal 316" xfId="33476" xr:uid="{00000000-0005-0000-0000-0000F1650000}"/>
    <cellStyle name="Normal 316 2" xfId="33477" xr:uid="{00000000-0005-0000-0000-0000F2650000}"/>
    <cellStyle name="Normal 316 3" xfId="33478" xr:uid="{00000000-0005-0000-0000-0000F3650000}"/>
    <cellStyle name="Normal 317" xfId="33479" xr:uid="{00000000-0005-0000-0000-0000F4650000}"/>
    <cellStyle name="Normal 317 2" xfId="33480" xr:uid="{00000000-0005-0000-0000-0000F5650000}"/>
    <cellStyle name="Normal 317 3" xfId="33481" xr:uid="{00000000-0005-0000-0000-0000F6650000}"/>
    <cellStyle name="Normal 318" xfId="33482" xr:uid="{00000000-0005-0000-0000-0000F7650000}"/>
    <cellStyle name="Normal 318 2" xfId="33483" xr:uid="{00000000-0005-0000-0000-0000F8650000}"/>
    <cellStyle name="Normal 318 3" xfId="33484" xr:uid="{00000000-0005-0000-0000-0000F9650000}"/>
    <cellStyle name="Normal 319" xfId="33485" xr:uid="{00000000-0005-0000-0000-0000FA650000}"/>
    <cellStyle name="Normal 319 2" xfId="33486" xr:uid="{00000000-0005-0000-0000-0000FB650000}"/>
    <cellStyle name="Normal 319 3" xfId="33487" xr:uid="{00000000-0005-0000-0000-0000FC650000}"/>
    <cellStyle name="Normal 32" xfId="5470" xr:uid="{00000000-0005-0000-0000-0000FD650000}"/>
    <cellStyle name="Normal 32 2" xfId="5471" xr:uid="{00000000-0005-0000-0000-0000FE650000}"/>
    <cellStyle name="Normal 32 2 2" xfId="10526" xr:uid="{00000000-0005-0000-0000-0000FF650000}"/>
    <cellStyle name="Normal 32 2 2 2" xfId="33491" xr:uid="{00000000-0005-0000-0000-000000660000}"/>
    <cellStyle name="Normal 32 2 2 3" xfId="33492" xr:uid="{00000000-0005-0000-0000-000001660000}"/>
    <cellStyle name="Normal 32 2 2 4" xfId="33490" xr:uid="{00000000-0005-0000-0000-000002660000}"/>
    <cellStyle name="Normal 32 2 3" xfId="33493" xr:uid="{00000000-0005-0000-0000-000003660000}"/>
    <cellStyle name="Normal 32 2 4" xfId="33494" xr:uid="{00000000-0005-0000-0000-000004660000}"/>
    <cellStyle name="Normal 32 2 5" xfId="33495" xr:uid="{00000000-0005-0000-0000-000005660000}"/>
    <cellStyle name="Normal 32 2 6" xfId="33496" xr:uid="{00000000-0005-0000-0000-000006660000}"/>
    <cellStyle name="Normal 32 2 7" xfId="33497" xr:uid="{00000000-0005-0000-0000-000007660000}"/>
    <cellStyle name="Normal 32 2 8" xfId="40898" xr:uid="{00000000-0005-0000-0000-000008660000}"/>
    <cellStyle name="Normal 32 2 9" xfId="33489" xr:uid="{00000000-0005-0000-0000-000009660000}"/>
    <cellStyle name="Normal 32 3" xfId="5472" xr:uid="{00000000-0005-0000-0000-00000A660000}"/>
    <cellStyle name="Normal 32 3 2" xfId="10527" xr:uid="{00000000-0005-0000-0000-00000B660000}"/>
    <cellStyle name="Normal 32 3 2 2" xfId="33500" xr:uid="{00000000-0005-0000-0000-00000C660000}"/>
    <cellStyle name="Normal 32 3 2 3" xfId="33501" xr:uid="{00000000-0005-0000-0000-00000D660000}"/>
    <cellStyle name="Normal 32 3 2 4" xfId="33499" xr:uid="{00000000-0005-0000-0000-00000E660000}"/>
    <cellStyle name="Normal 32 3 3" xfId="33502" xr:uid="{00000000-0005-0000-0000-00000F660000}"/>
    <cellStyle name="Normal 32 3 4" xfId="33503" xr:uid="{00000000-0005-0000-0000-000010660000}"/>
    <cellStyle name="Normal 32 3 5" xfId="33504" xr:uid="{00000000-0005-0000-0000-000011660000}"/>
    <cellStyle name="Normal 32 3 6" xfId="40899" xr:uid="{00000000-0005-0000-0000-000012660000}"/>
    <cellStyle name="Normal 32 3 7" xfId="33498" xr:uid="{00000000-0005-0000-0000-000013660000}"/>
    <cellStyle name="Normal 32 4" xfId="10528" xr:uid="{00000000-0005-0000-0000-000014660000}"/>
    <cellStyle name="Normal 32 5" xfId="33505" xr:uid="{00000000-0005-0000-0000-000015660000}"/>
    <cellStyle name="Normal 32 6" xfId="33506" xr:uid="{00000000-0005-0000-0000-000016660000}"/>
    <cellStyle name="Normal 32 7" xfId="33507" xr:uid="{00000000-0005-0000-0000-000017660000}"/>
    <cellStyle name="Normal 32 8" xfId="33488" xr:uid="{00000000-0005-0000-0000-000018660000}"/>
    <cellStyle name="Normal 320" xfId="33508" xr:uid="{00000000-0005-0000-0000-000019660000}"/>
    <cellStyle name="Normal 320 2" xfId="33509" xr:uid="{00000000-0005-0000-0000-00001A660000}"/>
    <cellStyle name="Normal 320 3" xfId="33510" xr:uid="{00000000-0005-0000-0000-00001B660000}"/>
    <cellStyle name="Normal 321" xfId="33511" xr:uid="{00000000-0005-0000-0000-00001C660000}"/>
    <cellStyle name="Normal 321 2" xfId="33512" xr:uid="{00000000-0005-0000-0000-00001D660000}"/>
    <cellStyle name="Normal 321 3" xfId="33513" xr:uid="{00000000-0005-0000-0000-00001E660000}"/>
    <cellStyle name="Normal 322" xfId="33514" xr:uid="{00000000-0005-0000-0000-00001F660000}"/>
    <cellStyle name="Normal 322 2" xfId="33515" xr:uid="{00000000-0005-0000-0000-000020660000}"/>
    <cellStyle name="Normal 322 3" xfId="33516" xr:uid="{00000000-0005-0000-0000-000021660000}"/>
    <cellStyle name="Normal 323" xfId="33517" xr:uid="{00000000-0005-0000-0000-000022660000}"/>
    <cellStyle name="Normal 323 2" xfId="33518" xr:uid="{00000000-0005-0000-0000-000023660000}"/>
    <cellStyle name="Normal 323 3" xfId="33519" xr:uid="{00000000-0005-0000-0000-000024660000}"/>
    <cellStyle name="Normal 324" xfId="33520" xr:uid="{00000000-0005-0000-0000-000025660000}"/>
    <cellStyle name="Normal 324 2" xfId="33521" xr:uid="{00000000-0005-0000-0000-000026660000}"/>
    <cellStyle name="Normal 324 3" xfId="33522" xr:uid="{00000000-0005-0000-0000-000027660000}"/>
    <cellStyle name="Normal 325" xfId="33523" xr:uid="{00000000-0005-0000-0000-000028660000}"/>
    <cellStyle name="Normal 325 2" xfId="33524" xr:uid="{00000000-0005-0000-0000-000029660000}"/>
    <cellStyle name="Normal 325 3" xfId="33525" xr:uid="{00000000-0005-0000-0000-00002A660000}"/>
    <cellStyle name="Normal 326" xfId="33526" xr:uid="{00000000-0005-0000-0000-00002B660000}"/>
    <cellStyle name="Normal 326 2" xfId="33527" xr:uid="{00000000-0005-0000-0000-00002C660000}"/>
    <cellStyle name="Normal 326 3" xfId="33528" xr:uid="{00000000-0005-0000-0000-00002D660000}"/>
    <cellStyle name="Normal 327" xfId="33529" xr:uid="{00000000-0005-0000-0000-00002E660000}"/>
    <cellStyle name="Normal 327 2" xfId="33530" xr:uid="{00000000-0005-0000-0000-00002F660000}"/>
    <cellStyle name="Normal 327 3" xfId="33531" xr:uid="{00000000-0005-0000-0000-000030660000}"/>
    <cellStyle name="Normal 328" xfId="33532" xr:uid="{00000000-0005-0000-0000-000031660000}"/>
    <cellStyle name="Normal 328 2" xfId="33533" xr:uid="{00000000-0005-0000-0000-000032660000}"/>
    <cellStyle name="Normal 328 3" xfId="33534" xr:uid="{00000000-0005-0000-0000-000033660000}"/>
    <cellStyle name="Normal 329" xfId="33535" xr:uid="{00000000-0005-0000-0000-000034660000}"/>
    <cellStyle name="Normal 329 2" xfId="33536" xr:uid="{00000000-0005-0000-0000-000035660000}"/>
    <cellStyle name="Normal 329 3" xfId="33537" xr:uid="{00000000-0005-0000-0000-000036660000}"/>
    <cellStyle name="Normal 33" xfId="19" xr:uid="{00000000-0005-0000-0000-000037660000}"/>
    <cellStyle name="Normal 33 2" xfId="5474" xr:uid="{00000000-0005-0000-0000-000038660000}"/>
    <cellStyle name="Normal 33 2 2" xfId="10529" xr:uid="{00000000-0005-0000-0000-000039660000}"/>
    <cellStyle name="Normal 33 2 2 2" xfId="40902" xr:uid="{00000000-0005-0000-0000-00003A660000}"/>
    <cellStyle name="Normal 33 2 2 3" xfId="33540" xr:uid="{00000000-0005-0000-0000-00003B660000}"/>
    <cellStyle name="Normal 33 2 3" xfId="40901" xr:uid="{00000000-0005-0000-0000-00003C660000}"/>
    <cellStyle name="Normal 33 2 4" xfId="33539" xr:uid="{00000000-0005-0000-0000-00003D660000}"/>
    <cellStyle name="Normal 33 3" xfId="5475" xr:uid="{00000000-0005-0000-0000-00003E660000}"/>
    <cellStyle name="Normal 33 3 2" xfId="10530" xr:uid="{00000000-0005-0000-0000-00003F660000}"/>
    <cellStyle name="Normal 33 3 2 2" xfId="40903" xr:uid="{00000000-0005-0000-0000-000040660000}"/>
    <cellStyle name="Normal 33 3 3" xfId="33541" xr:uid="{00000000-0005-0000-0000-000041660000}"/>
    <cellStyle name="Normal 33 4" xfId="5476" xr:uid="{00000000-0005-0000-0000-000042660000}"/>
    <cellStyle name="Normal 33 4 2" xfId="10531" xr:uid="{00000000-0005-0000-0000-000043660000}"/>
    <cellStyle name="Normal 33 4 2 2" xfId="40904" xr:uid="{00000000-0005-0000-0000-000044660000}"/>
    <cellStyle name="Normal 33 4 3" xfId="33542" xr:uid="{00000000-0005-0000-0000-000045660000}"/>
    <cellStyle name="Normal 33 5" xfId="10532" xr:uid="{00000000-0005-0000-0000-000046660000}"/>
    <cellStyle name="Normal 33 6" xfId="40900" xr:uid="{00000000-0005-0000-0000-000047660000}"/>
    <cellStyle name="Normal 33 7" xfId="33538" xr:uid="{00000000-0005-0000-0000-000048660000}"/>
    <cellStyle name="Normal 33 8" xfId="5473" xr:uid="{00000000-0005-0000-0000-000049660000}"/>
    <cellStyle name="Normal 330" xfId="33543" xr:uid="{00000000-0005-0000-0000-00004A660000}"/>
    <cellStyle name="Normal 330 2" xfId="33544" xr:uid="{00000000-0005-0000-0000-00004B660000}"/>
    <cellStyle name="Normal 330 3" xfId="33545" xr:uid="{00000000-0005-0000-0000-00004C660000}"/>
    <cellStyle name="Normal 331" xfId="33546" xr:uid="{00000000-0005-0000-0000-00004D660000}"/>
    <cellStyle name="Normal 331 2" xfId="33547" xr:uid="{00000000-0005-0000-0000-00004E660000}"/>
    <cellStyle name="Normal 331 3" xfId="33548" xr:uid="{00000000-0005-0000-0000-00004F660000}"/>
    <cellStyle name="Normal 332" xfId="33549" xr:uid="{00000000-0005-0000-0000-000050660000}"/>
    <cellStyle name="Normal 332 2" xfId="33550" xr:uid="{00000000-0005-0000-0000-000051660000}"/>
    <cellStyle name="Normal 332 3" xfId="33551" xr:uid="{00000000-0005-0000-0000-000052660000}"/>
    <cellStyle name="Normal 333" xfId="33552" xr:uid="{00000000-0005-0000-0000-000053660000}"/>
    <cellStyle name="Normal 333 2" xfId="33553" xr:uid="{00000000-0005-0000-0000-000054660000}"/>
    <cellStyle name="Normal 333 3" xfId="33554" xr:uid="{00000000-0005-0000-0000-000055660000}"/>
    <cellStyle name="Normal 334" xfId="33555" xr:uid="{00000000-0005-0000-0000-000056660000}"/>
    <cellStyle name="Normal 334 2" xfId="33556" xr:uid="{00000000-0005-0000-0000-000057660000}"/>
    <cellStyle name="Normal 334 3" xfId="33557" xr:uid="{00000000-0005-0000-0000-000058660000}"/>
    <cellStyle name="Normal 335" xfId="33558" xr:uid="{00000000-0005-0000-0000-000059660000}"/>
    <cellStyle name="Normal 335 2" xfId="33559" xr:uid="{00000000-0005-0000-0000-00005A660000}"/>
    <cellStyle name="Normal 335 3" xfId="33560" xr:uid="{00000000-0005-0000-0000-00005B660000}"/>
    <cellStyle name="Normal 336" xfId="33561" xr:uid="{00000000-0005-0000-0000-00005C660000}"/>
    <cellStyle name="Normal 336 2" xfId="33562" xr:uid="{00000000-0005-0000-0000-00005D660000}"/>
    <cellStyle name="Normal 336 3" xfId="33563" xr:uid="{00000000-0005-0000-0000-00005E660000}"/>
    <cellStyle name="Normal 337" xfId="33564" xr:uid="{00000000-0005-0000-0000-00005F660000}"/>
    <cellStyle name="Normal 337 2" xfId="33565" xr:uid="{00000000-0005-0000-0000-000060660000}"/>
    <cellStyle name="Normal 337 3" xfId="33566" xr:uid="{00000000-0005-0000-0000-000061660000}"/>
    <cellStyle name="Normal 338" xfId="33567" xr:uid="{00000000-0005-0000-0000-000062660000}"/>
    <cellStyle name="Normal 338 2" xfId="33568" xr:uid="{00000000-0005-0000-0000-000063660000}"/>
    <cellStyle name="Normal 338 3" xfId="33569" xr:uid="{00000000-0005-0000-0000-000064660000}"/>
    <cellStyle name="Normal 339" xfId="33570" xr:uid="{00000000-0005-0000-0000-000065660000}"/>
    <cellStyle name="Normal 339 2" xfId="33571" xr:uid="{00000000-0005-0000-0000-000066660000}"/>
    <cellStyle name="Normal 339 3" xfId="33572" xr:uid="{00000000-0005-0000-0000-000067660000}"/>
    <cellStyle name="Normal 34" xfId="22" xr:uid="{00000000-0005-0000-0000-000068660000}"/>
    <cellStyle name="Normal 34 10" xfId="5477" xr:uid="{00000000-0005-0000-0000-000069660000}"/>
    <cellStyle name="Normal 34 2" xfId="5478" xr:uid="{00000000-0005-0000-0000-00006A660000}"/>
    <cellStyle name="Normal 34 2 2" xfId="10533" xr:uid="{00000000-0005-0000-0000-00006B660000}"/>
    <cellStyle name="Normal 34 2 2 2" xfId="33576" xr:uid="{00000000-0005-0000-0000-00006C660000}"/>
    <cellStyle name="Normal 34 2 2 3" xfId="33577" xr:uid="{00000000-0005-0000-0000-00006D660000}"/>
    <cellStyle name="Normal 34 2 2 4" xfId="33578" xr:uid="{00000000-0005-0000-0000-00006E660000}"/>
    <cellStyle name="Normal 34 2 2 5" xfId="40906" xr:uid="{00000000-0005-0000-0000-00006F660000}"/>
    <cellStyle name="Normal 34 2 2 6" xfId="33575" xr:uid="{00000000-0005-0000-0000-000070660000}"/>
    <cellStyle name="Normal 34 2 3" xfId="33579" xr:uid="{00000000-0005-0000-0000-000071660000}"/>
    <cellStyle name="Normal 34 2 3 2" xfId="33580" xr:uid="{00000000-0005-0000-0000-000072660000}"/>
    <cellStyle name="Normal 34 2 3 3" xfId="40907" xr:uid="{00000000-0005-0000-0000-000073660000}"/>
    <cellStyle name="Normal 34 2 4" xfId="33581" xr:uid="{00000000-0005-0000-0000-000074660000}"/>
    <cellStyle name="Normal 34 2 5" xfId="33582" xr:uid="{00000000-0005-0000-0000-000075660000}"/>
    <cellStyle name="Normal 34 2 6" xfId="33583" xr:uid="{00000000-0005-0000-0000-000076660000}"/>
    <cellStyle name="Normal 34 2 7" xfId="33584" xr:uid="{00000000-0005-0000-0000-000077660000}"/>
    <cellStyle name="Normal 34 2 8" xfId="33574" xr:uid="{00000000-0005-0000-0000-000078660000}"/>
    <cellStyle name="Normal 34 3" xfId="5479" xr:uid="{00000000-0005-0000-0000-000079660000}"/>
    <cellStyle name="Normal 34 3 2" xfId="10534" xr:uid="{00000000-0005-0000-0000-00007A660000}"/>
    <cellStyle name="Normal 34 3 2 2" xfId="33587" xr:uid="{00000000-0005-0000-0000-00007B660000}"/>
    <cellStyle name="Normal 34 3 2 3" xfId="33588" xr:uid="{00000000-0005-0000-0000-00007C660000}"/>
    <cellStyle name="Normal 34 3 2 4" xfId="33586" xr:uid="{00000000-0005-0000-0000-00007D660000}"/>
    <cellStyle name="Normal 34 3 3" xfId="33589" xr:uid="{00000000-0005-0000-0000-00007E660000}"/>
    <cellStyle name="Normal 34 3 4" xfId="33590" xr:uid="{00000000-0005-0000-0000-00007F660000}"/>
    <cellStyle name="Normal 34 3 5" xfId="33591" xr:uid="{00000000-0005-0000-0000-000080660000}"/>
    <cellStyle name="Normal 34 3 6" xfId="40908" xr:uid="{00000000-0005-0000-0000-000081660000}"/>
    <cellStyle name="Normal 34 3 7" xfId="33585" xr:uid="{00000000-0005-0000-0000-000082660000}"/>
    <cellStyle name="Normal 34 4" xfId="5480" xr:uid="{00000000-0005-0000-0000-000083660000}"/>
    <cellStyle name="Normal 34 4 2" xfId="10535" xr:uid="{00000000-0005-0000-0000-000084660000}"/>
    <cellStyle name="Normal 34 5" xfId="5481" xr:uid="{00000000-0005-0000-0000-000085660000}"/>
    <cellStyle name="Normal 34 5 2" xfId="10536" xr:uid="{00000000-0005-0000-0000-000086660000}"/>
    <cellStyle name="Normal 34 6" xfId="5482" xr:uid="{00000000-0005-0000-0000-000087660000}"/>
    <cellStyle name="Normal 34 6 2" xfId="10537" xr:uid="{00000000-0005-0000-0000-000088660000}"/>
    <cellStyle name="Normal 34 6 3" xfId="33592" xr:uid="{00000000-0005-0000-0000-000089660000}"/>
    <cellStyle name="Normal 34 7" xfId="10538" xr:uid="{00000000-0005-0000-0000-00008A660000}"/>
    <cellStyle name="Normal 34 7 2" xfId="33593" xr:uid="{00000000-0005-0000-0000-00008B660000}"/>
    <cellStyle name="Normal 34 8" xfId="40905" xr:uid="{00000000-0005-0000-0000-00008C660000}"/>
    <cellStyle name="Normal 34 9" xfId="33573" xr:uid="{00000000-0005-0000-0000-00008D660000}"/>
    <cellStyle name="Normal 340" xfId="33594" xr:uid="{00000000-0005-0000-0000-00008E660000}"/>
    <cellStyle name="Normal 340 2" xfId="33595" xr:uid="{00000000-0005-0000-0000-00008F660000}"/>
    <cellStyle name="Normal 340 3" xfId="33596" xr:uid="{00000000-0005-0000-0000-000090660000}"/>
    <cellStyle name="Normal 341" xfId="33597" xr:uid="{00000000-0005-0000-0000-000091660000}"/>
    <cellStyle name="Normal 341 2" xfId="33598" xr:uid="{00000000-0005-0000-0000-000092660000}"/>
    <cellStyle name="Normal 341 3" xfId="33599" xr:uid="{00000000-0005-0000-0000-000093660000}"/>
    <cellStyle name="Normal 342" xfId="33600" xr:uid="{00000000-0005-0000-0000-000094660000}"/>
    <cellStyle name="Normal 342 2" xfId="33601" xr:uid="{00000000-0005-0000-0000-000095660000}"/>
    <cellStyle name="Normal 342 3" xfId="33602" xr:uid="{00000000-0005-0000-0000-000096660000}"/>
    <cellStyle name="Normal 343" xfId="33603" xr:uid="{00000000-0005-0000-0000-000097660000}"/>
    <cellStyle name="Normal 343 2" xfId="33604" xr:uid="{00000000-0005-0000-0000-000098660000}"/>
    <cellStyle name="Normal 343 3" xfId="33605" xr:uid="{00000000-0005-0000-0000-000099660000}"/>
    <cellStyle name="Normal 344" xfId="33606" xr:uid="{00000000-0005-0000-0000-00009A660000}"/>
    <cellStyle name="Normal 344 2" xfId="33607" xr:uid="{00000000-0005-0000-0000-00009B660000}"/>
    <cellStyle name="Normal 344 3" xfId="33608" xr:uid="{00000000-0005-0000-0000-00009C660000}"/>
    <cellStyle name="Normal 345" xfId="33609" xr:uid="{00000000-0005-0000-0000-00009D660000}"/>
    <cellStyle name="Normal 345 2" xfId="33610" xr:uid="{00000000-0005-0000-0000-00009E660000}"/>
    <cellStyle name="Normal 345 3" xfId="33611" xr:uid="{00000000-0005-0000-0000-00009F660000}"/>
    <cellStyle name="Normal 346" xfId="33612" xr:uid="{00000000-0005-0000-0000-0000A0660000}"/>
    <cellStyle name="Normal 346 2" xfId="33613" xr:uid="{00000000-0005-0000-0000-0000A1660000}"/>
    <cellStyle name="Normal 346 3" xfId="33614" xr:uid="{00000000-0005-0000-0000-0000A2660000}"/>
    <cellStyle name="Normal 347" xfId="33615" xr:uid="{00000000-0005-0000-0000-0000A3660000}"/>
    <cellStyle name="Normal 347 2" xfId="33616" xr:uid="{00000000-0005-0000-0000-0000A4660000}"/>
    <cellStyle name="Normal 347 3" xfId="33617" xr:uid="{00000000-0005-0000-0000-0000A5660000}"/>
    <cellStyle name="Normal 348" xfId="33618" xr:uid="{00000000-0005-0000-0000-0000A6660000}"/>
    <cellStyle name="Normal 348 2" xfId="33619" xr:uid="{00000000-0005-0000-0000-0000A7660000}"/>
    <cellStyle name="Normal 348 3" xfId="33620" xr:uid="{00000000-0005-0000-0000-0000A8660000}"/>
    <cellStyle name="Normal 349" xfId="33621" xr:uid="{00000000-0005-0000-0000-0000A9660000}"/>
    <cellStyle name="Normal 349 2" xfId="33622" xr:uid="{00000000-0005-0000-0000-0000AA660000}"/>
    <cellStyle name="Normal 349 3" xfId="33623" xr:uid="{00000000-0005-0000-0000-0000AB660000}"/>
    <cellStyle name="Normal 35" xfId="23" xr:uid="{00000000-0005-0000-0000-0000AC660000}"/>
    <cellStyle name="Normal 35 2" xfId="5484" xr:uid="{00000000-0005-0000-0000-0000AD660000}"/>
    <cellStyle name="Normal 35 2 2" xfId="10539" xr:uid="{00000000-0005-0000-0000-0000AE660000}"/>
    <cellStyle name="Normal 35 2 3" xfId="40910" xr:uid="{00000000-0005-0000-0000-0000AF660000}"/>
    <cellStyle name="Normal 35 2 4" xfId="33625" xr:uid="{00000000-0005-0000-0000-0000B0660000}"/>
    <cellStyle name="Normal 35 3" xfId="5485" xr:uid="{00000000-0005-0000-0000-0000B1660000}"/>
    <cellStyle name="Normal 35 3 2" xfId="10540" xr:uid="{00000000-0005-0000-0000-0000B2660000}"/>
    <cellStyle name="Normal 35 4" xfId="5486" xr:uid="{00000000-0005-0000-0000-0000B3660000}"/>
    <cellStyle name="Normal 35 4 2" xfId="10541" xr:uid="{00000000-0005-0000-0000-0000B4660000}"/>
    <cellStyle name="Normal 35 5" xfId="10542" xr:uid="{00000000-0005-0000-0000-0000B5660000}"/>
    <cellStyle name="Normal 35 6" xfId="40909" xr:uid="{00000000-0005-0000-0000-0000B6660000}"/>
    <cellStyle name="Normal 35 7" xfId="33624" xr:uid="{00000000-0005-0000-0000-0000B7660000}"/>
    <cellStyle name="Normal 35 8" xfId="5483" xr:uid="{00000000-0005-0000-0000-0000B8660000}"/>
    <cellStyle name="Normal 350" xfId="33626" xr:uid="{00000000-0005-0000-0000-0000B9660000}"/>
    <cellStyle name="Normal 350 2" xfId="33627" xr:uid="{00000000-0005-0000-0000-0000BA660000}"/>
    <cellStyle name="Normal 350 3" xfId="33628" xr:uid="{00000000-0005-0000-0000-0000BB660000}"/>
    <cellStyle name="Normal 351" xfId="33629" xr:uid="{00000000-0005-0000-0000-0000BC660000}"/>
    <cellStyle name="Normal 351 2" xfId="33630" xr:uid="{00000000-0005-0000-0000-0000BD660000}"/>
    <cellStyle name="Normal 351 3" xfId="33631" xr:uid="{00000000-0005-0000-0000-0000BE660000}"/>
    <cellStyle name="Normal 352" xfId="33632" xr:uid="{00000000-0005-0000-0000-0000BF660000}"/>
    <cellStyle name="Normal 352 2" xfId="33633" xr:uid="{00000000-0005-0000-0000-0000C0660000}"/>
    <cellStyle name="Normal 352 3" xfId="33634" xr:uid="{00000000-0005-0000-0000-0000C1660000}"/>
    <cellStyle name="Normal 353" xfId="33635" xr:uid="{00000000-0005-0000-0000-0000C2660000}"/>
    <cellStyle name="Normal 353 2" xfId="33636" xr:uid="{00000000-0005-0000-0000-0000C3660000}"/>
    <cellStyle name="Normal 353 3" xfId="33637" xr:uid="{00000000-0005-0000-0000-0000C4660000}"/>
    <cellStyle name="Normal 354" xfId="33638" xr:uid="{00000000-0005-0000-0000-0000C5660000}"/>
    <cellStyle name="Normal 354 2" xfId="33639" xr:uid="{00000000-0005-0000-0000-0000C6660000}"/>
    <cellStyle name="Normal 354 3" xfId="33640" xr:uid="{00000000-0005-0000-0000-0000C7660000}"/>
    <cellStyle name="Normal 355" xfId="33641" xr:uid="{00000000-0005-0000-0000-0000C8660000}"/>
    <cellStyle name="Normal 355 2" xfId="33642" xr:uid="{00000000-0005-0000-0000-0000C9660000}"/>
    <cellStyle name="Normal 355 3" xfId="33643" xr:uid="{00000000-0005-0000-0000-0000CA660000}"/>
    <cellStyle name="Normal 356" xfId="33644" xr:uid="{00000000-0005-0000-0000-0000CB660000}"/>
    <cellStyle name="Normal 356 2" xfId="33645" xr:uid="{00000000-0005-0000-0000-0000CC660000}"/>
    <cellStyle name="Normal 356 3" xfId="33646" xr:uid="{00000000-0005-0000-0000-0000CD660000}"/>
    <cellStyle name="Normal 357" xfId="33647" xr:uid="{00000000-0005-0000-0000-0000CE660000}"/>
    <cellStyle name="Normal 357 2" xfId="33648" xr:uid="{00000000-0005-0000-0000-0000CF660000}"/>
    <cellStyle name="Normal 357 3" xfId="33649" xr:uid="{00000000-0005-0000-0000-0000D0660000}"/>
    <cellStyle name="Normal 358" xfId="33650" xr:uid="{00000000-0005-0000-0000-0000D1660000}"/>
    <cellStyle name="Normal 358 2" xfId="33651" xr:uid="{00000000-0005-0000-0000-0000D2660000}"/>
    <cellStyle name="Normal 358 3" xfId="33652" xr:uid="{00000000-0005-0000-0000-0000D3660000}"/>
    <cellStyle name="Normal 359" xfId="33653" xr:uid="{00000000-0005-0000-0000-0000D4660000}"/>
    <cellStyle name="Normal 359 2" xfId="33654" xr:uid="{00000000-0005-0000-0000-0000D5660000}"/>
    <cellStyle name="Normal 359 3" xfId="33655" xr:uid="{00000000-0005-0000-0000-0000D6660000}"/>
    <cellStyle name="Normal 36" xfId="24" xr:uid="{00000000-0005-0000-0000-0000D7660000}"/>
    <cellStyle name="Normal 36 2" xfId="5488" xr:uid="{00000000-0005-0000-0000-0000D8660000}"/>
    <cellStyle name="Normal 36 2 2" xfId="10543" xr:uid="{00000000-0005-0000-0000-0000D9660000}"/>
    <cellStyle name="Normal 36 2 3" xfId="40912" xr:uid="{00000000-0005-0000-0000-0000DA660000}"/>
    <cellStyle name="Normal 36 2 4" xfId="33657" xr:uid="{00000000-0005-0000-0000-0000DB660000}"/>
    <cellStyle name="Normal 36 3" xfId="5489" xr:uid="{00000000-0005-0000-0000-0000DC660000}"/>
    <cellStyle name="Normal 36 3 2" xfId="10544" xr:uid="{00000000-0005-0000-0000-0000DD660000}"/>
    <cellStyle name="Normal 36 4" xfId="5490" xr:uid="{00000000-0005-0000-0000-0000DE660000}"/>
    <cellStyle name="Normal 36 4 2" xfId="10545" xr:uid="{00000000-0005-0000-0000-0000DF660000}"/>
    <cellStyle name="Normal 36 5" xfId="5491" xr:uid="{00000000-0005-0000-0000-0000E0660000}"/>
    <cellStyle name="Normal 36 5 2" xfId="5492" xr:uid="{00000000-0005-0000-0000-0000E1660000}"/>
    <cellStyle name="Normal 36 6" xfId="40911" xr:uid="{00000000-0005-0000-0000-0000E2660000}"/>
    <cellStyle name="Normal 36 7" xfId="33656" xr:uid="{00000000-0005-0000-0000-0000E3660000}"/>
    <cellStyle name="Normal 36 8" xfId="5487" xr:uid="{00000000-0005-0000-0000-0000E4660000}"/>
    <cellStyle name="Normal 360" xfId="33658" xr:uid="{00000000-0005-0000-0000-0000E5660000}"/>
    <cellStyle name="Normal 360 2" xfId="33659" xr:uid="{00000000-0005-0000-0000-0000E6660000}"/>
    <cellStyle name="Normal 360 3" xfId="33660" xr:uid="{00000000-0005-0000-0000-0000E7660000}"/>
    <cellStyle name="Normal 361" xfId="33661" xr:uid="{00000000-0005-0000-0000-0000E8660000}"/>
    <cellStyle name="Normal 361 2" xfId="33662" xr:uid="{00000000-0005-0000-0000-0000E9660000}"/>
    <cellStyle name="Normal 361 3" xfId="33663" xr:uid="{00000000-0005-0000-0000-0000EA660000}"/>
    <cellStyle name="Normal 362" xfId="33664" xr:uid="{00000000-0005-0000-0000-0000EB660000}"/>
    <cellStyle name="Normal 362 2" xfId="33665" xr:uid="{00000000-0005-0000-0000-0000EC660000}"/>
    <cellStyle name="Normal 362 3" xfId="33666" xr:uid="{00000000-0005-0000-0000-0000ED660000}"/>
    <cellStyle name="Normal 363" xfId="33667" xr:uid="{00000000-0005-0000-0000-0000EE660000}"/>
    <cellStyle name="Normal 363 2" xfId="33668" xr:uid="{00000000-0005-0000-0000-0000EF660000}"/>
    <cellStyle name="Normal 363 3" xfId="33669" xr:uid="{00000000-0005-0000-0000-0000F0660000}"/>
    <cellStyle name="Normal 364" xfId="33670" xr:uid="{00000000-0005-0000-0000-0000F1660000}"/>
    <cellStyle name="Normal 364 2" xfId="33671" xr:uid="{00000000-0005-0000-0000-0000F2660000}"/>
    <cellStyle name="Normal 364 3" xfId="33672" xr:uid="{00000000-0005-0000-0000-0000F3660000}"/>
    <cellStyle name="Normal 365" xfId="33673" xr:uid="{00000000-0005-0000-0000-0000F4660000}"/>
    <cellStyle name="Normal 365 2" xfId="33674" xr:uid="{00000000-0005-0000-0000-0000F5660000}"/>
    <cellStyle name="Normal 365 3" xfId="33675" xr:uid="{00000000-0005-0000-0000-0000F6660000}"/>
    <cellStyle name="Normal 366" xfId="33676" xr:uid="{00000000-0005-0000-0000-0000F7660000}"/>
    <cellStyle name="Normal 366 2" xfId="33677" xr:uid="{00000000-0005-0000-0000-0000F8660000}"/>
    <cellStyle name="Normal 366 3" xfId="33678" xr:uid="{00000000-0005-0000-0000-0000F9660000}"/>
    <cellStyle name="Normal 367" xfId="33679" xr:uid="{00000000-0005-0000-0000-0000FA660000}"/>
    <cellStyle name="Normal 367 2" xfId="33680" xr:uid="{00000000-0005-0000-0000-0000FB660000}"/>
    <cellStyle name="Normal 367 3" xfId="33681" xr:uid="{00000000-0005-0000-0000-0000FC660000}"/>
    <cellStyle name="Normal 368" xfId="33682" xr:uid="{00000000-0005-0000-0000-0000FD660000}"/>
    <cellStyle name="Normal 368 2" xfId="33683" xr:uid="{00000000-0005-0000-0000-0000FE660000}"/>
    <cellStyle name="Normal 368 3" xfId="33684" xr:uid="{00000000-0005-0000-0000-0000FF660000}"/>
    <cellStyle name="Normal 369" xfId="33685" xr:uid="{00000000-0005-0000-0000-000000670000}"/>
    <cellStyle name="Normal 369 2" xfId="33686" xr:uid="{00000000-0005-0000-0000-000001670000}"/>
    <cellStyle name="Normal 37" xfId="25" xr:uid="{00000000-0005-0000-0000-000002670000}"/>
    <cellStyle name="Normal 37 2" xfId="5494" xr:uid="{00000000-0005-0000-0000-000003670000}"/>
    <cellStyle name="Normal 37 2 2" xfId="5495" xr:uid="{00000000-0005-0000-0000-000004670000}"/>
    <cellStyle name="Normal 37 2 2 2" xfId="10546" xr:uid="{00000000-0005-0000-0000-000005670000}"/>
    <cellStyle name="Normal 37 2 3" xfId="5496" xr:uid="{00000000-0005-0000-0000-000006670000}"/>
    <cellStyle name="Normal 37 2 3 2" xfId="10547" xr:uid="{00000000-0005-0000-0000-000007670000}"/>
    <cellStyle name="Normal 37 2 3 3" xfId="40914" xr:uid="{00000000-0005-0000-0000-000008670000}"/>
    <cellStyle name="Normal 37 2 4" xfId="5497" xr:uid="{00000000-0005-0000-0000-000009670000}"/>
    <cellStyle name="Normal 37 2 4 2" xfId="5498" xr:uid="{00000000-0005-0000-0000-00000A670000}"/>
    <cellStyle name="Normal 37 2 4 2 2" xfId="5499" xr:uid="{00000000-0005-0000-0000-00000B670000}"/>
    <cellStyle name="Normal 37 2 4 2 2 2" xfId="5500" xr:uid="{00000000-0005-0000-0000-00000C670000}"/>
    <cellStyle name="Normal 37 2 4 2 2 2 2" xfId="5501" xr:uid="{00000000-0005-0000-0000-00000D670000}"/>
    <cellStyle name="Normal 37 2 4 2 2 2 2 2" xfId="18978" xr:uid="{00000000-0005-0000-0000-00000E670000}"/>
    <cellStyle name="Normal 37 2 4 2 2 2 3" xfId="18460" xr:uid="{00000000-0005-0000-0000-00000F670000}"/>
    <cellStyle name="Normal 37 2 4 2 2 3" xfId="5502" xr:uid="{00000000-0005-0000-0000-000010670000}"/>
    <cellStyle name="Normal 37 2 4 2 2 3 2" xfId="18696" xr:uid="{00000000-0005-0000-0000-000011670000}"/>
    <cellStyle name="Normal 37 2 4 2 2 4" xfId="18169" xr:uid="{00000000-0005-0000-0000-000012670000}"/>
    <cellStyle name="Normal 37 2 4 2 3" xfId="5503" xr:uid="{00000000-0005-0000-0000-000013670000}"/>
    <cellStyle name="Normal 37 2 4 2 3 2" xfId="5504" xr:uid="{00000000-0005-0000-0000-000014670000}"/>
    <cellStyle name="Normal 37 2 4 2 3 2 2" xfId="18857" xr:uid="{00000000-0005-0000-0000-000015670000}"/>
    <cellStyle name="Normal 37 2 4 2 3 3" xfId="18336" xr:uid="{00000000-0005-0000-0000-000016670000}"/>
    <cellStyle name="Normal 37 2 4 2 4" xfId="5505" xr:uid="{00000000-0005-0000-0000-000017670000}"/>
    <cellStyle name="Normal 37 2 4 2 4 2" xfId="18579" xr:uid="{00000000-0005-0000-0000-000018670000}"/>
    <cellStyle name="Normal 37 2 4 2 5" xfId="18021" xr:uid="{00000000-0005-0000-0000-000019670000}"/>
    <cellStyle name="Normal 37 2 4 3" xfId="5506" xr:uid="{00000000-0005-0000-0000-00001A670000}"/>
    <cellStyle name="Normal 37 2 4 3 2" xfId="5507" xr:uid="{00000000-0005-0000-0000-00001B670000}"/>
    <cellStyle name="Normal 37 2 4 3 2 2" xfId="5508" xr:uid="{00000000-0005-0000-0000-00001C670000}"/>
    <cellStyle name="Normal 37 2 4 3 2 2 2" xfId="5509" xr:uid="{00000000-0005-0000-0000-00001D670000}"/>
    <cellStyle name="Normal 37 2 4 3 2 2 2 2" xfId="18938" xr:uid="{00000000-0005-0000-0000-00001E670000}"/>
    <cellStyle name="Normal 37 2 4 3 2 2 3" xfId="18420" xr:uid="{00000000-0005-0000-0000-00001F670000}"/>
    <cellStyle name="Normal 37 2 4 3 2 3" xfId="5510" xr:uid="{00000000-0005-0000-0000-000020670000}"/>
    <cellStyle name="Normal 37 2 4 3 2 3 2" xfId="18656" xr:uid="{00000000-0005-0000-0000-000021670000}"/>
    <cellStyle name="Normal 37 2 4 3 2 4" xfId="18129" xr:uid="{00000000-0005-0000-0000-000022670000}"/>
    <cellStyle name="Normal 37 2 4 3 3" xfId="5511" xr:uid="{00000000-0005-0000-0000-000023670000}"/>
    <cellStyle name="Normal 37 2 4 3 3 2" xfId="5512" xr:uid="{00000000-0005-0000-0000-000024670000}"/>
    <cellStyle name="Normal 37 2 4 3 3 2 2" xfId="18824" xr:uid="{00000000-0005-0000-0000-000025670000}"/>
    <cellStyle name="Normal 37 2 4 3 3 3" xfId="18303" xr:uid="{00000000-0005-0000-0000-000026670000}"/>
    <cellStyle name="Normal 37 2 4 3 4" xfId="5513" xr:uid="{00000000-0005-0000-0000-000027670000}"/>
    <cellStyle name="Normal 37 2 4 3 4 2" xfId="18539" xr:uid="{00000000-0005-0000-0000-000028670000}"/>
    <cellStyle name="Normal 37 2 4 3 5" xfId="17975" xr:uid="{00000000-0005-0000-0000-000029670000}"/>
    <cellStyle name="Normal 37 2 4 4" xfId="5514" xr:uid="{00000000-0005-0000-0000-00002A670000}"/>
    <cellStyle name="Normal 37 2 4 5" xfId="5515" xr:uid="{00000000-0005-0000-0000-00002B670000}"/>
    <cellStyle name="Normal 37 2 4 5 2" xfId="5516" xr:uid="{00000000-0005-0000-0000-00002C670000}"/>
    <cellStyle name="Normal 37 2 4 5 2 2" xfId="18782" xr:uid="{00000000-0005-0000-0000-00002D670000}"/>
    <cellStyle name="Normal 37 2 4 5 3" xfId="18255" xr:uid="{00000000-0005-0000-0000-00002E670000}"/>
    <cellStyle name="Normal 37 2 5" xfId="5517" xr:uid="{00000000-0005-0000-0000-00002F670000}"/>
    <cellStyle name="Normal 37 2 6" xfId="5518" xr:uid="{00000000-0005-0000-0000-000030670000}"/>
    <cellStyle name="Normal 37 2 6 2" xfId="5519" xr:uid="{00000000-0005-0000-0000-000031670000}"/>
    <cellStyle name="Normal 37 2 6 2 2" xfId="5520" xr:uid="{00000000-0005-0000-0000-000032670000}"/>
    <cellStyle name="Normal 37 2 6 2 2 2" xfId="5521" xr:uid="{00000000-0005-0000-0000-000033670000}"/>
    <cellStyle name="Normal 37 2 6 2 2 2 2" xfId="5522" xr:uid="{00000000-0005-0000-0000-000034670000}"/>
    <cellStyle name="Normal 37 2 6 2 2 2 2 2" xfId="19009" xr:uid="{00000000-0005-0000-0000-000035670000}"/>
    <cellStyle name="Normal 37 2 6 2 2 2 3" xfId="18491" xr:uid="{00000000-0005-0000-0000-000036670000}"/>
    <cellStyle name="Normal 37 2 6 2 2 3" xfId="5523" xr:uid="{00000000-0005-0000-0000-000037670000}"/>
    <cellStyle name="Normal 37 2 6 2 2 3 2" xfId="18727" xr:uid="{00000000-0005-0000-0000-000038670000}"/>
    <cellStyle name="Normal 37 2 6 2 2 4" xfId="18200" xr:uid="{00000000-0005-0000-0000-000039670000}"/>
    <cellStyle name="Normal 37 2 6 2 3" xfId="5524" xr:uid="{00000000-0005-0000-0000-00003A670000}"/>
    <cellStyle name="Normal 37 2 6 2 3 2" xfId="5525" xr:uid="{00000000-0005-0000-0000-00003B670000}"/>
    <cellStyle name="Normal 37 2 6 2 3 2 2" xfId="18889" xr:uid="{00000000-0005-0000-0000-00003C670000}"/>
    <cellStyle name="Normal 37 2 6 2 3 3" xfId="18370" xr:uid="{00000000-0005-0000-0000-00003D670000}"/>
    <cellStyle name="Normal 37 2 6 2 4" xfId="5526" xr:uid="{00000000-0005-0000-0000-00003E670000}"/>
    <cellStyle name="Normal 37 2 6 2 4 2" xfId="18610" xr:uid="{00000000-0005-0000-0000-00003F670000}"/>
    <cellStyle name="Normal 37 2 6 2 5" xfId="18056" xr:uid="{00000000-0005-0000-0000-000040670000}"/>
    <cellStyle name="Normal 37 2 6 3" xfId="5527" xr:uid="{00000000-0005-0000-0000-000041670000}"/>
    <cellStyle name="Normal 37 2 6 3 2" xfId="5528" xr:uid="{00000000-0005-0000-0000-000042670000}"/>
    <cellStyle name="Normal 37 2 6 3 2 2" xfId="5529" xr:uid="{00000000-0005-0000-0000-000043670000}"/>
    <cellStyle name="Normal 37 2 6 3 2 2 2" xfId="18922" xr:uid="{00000000-0005-0000-0000-000044670000}"/>
    <cellStyle name="Normal 37 2 6 3 2 3" xfId="18404" xr:uid="{00000000-0005-0000-0000-000045670000}"/>
    <cellStyle name="Normal 37 2 6 3 3" xfId="5530" xr:uid="{00000000-0005-0000-0000-000046670000}"/>
    <cellStyle name="Normal 37 2 6 3 3 2" xfId="18640" xr:uid="{00000000-0005-0000-0000-000047670000}"/>
    <cellStyle name="Normal 37 2 6 3 4" xfId="18113" xr:uid="{00000000-0005-0000-0000-000048670000}"/>
    <cellStyle name="Normal 37 2 6 4" xfId="5531" xr:uid="{00000000-0005-0000-0000-000049670000}"/>
    <cellStyle name="Normal 37 2 6 4 2" xfId="5532" xr:uid="{00000000-0005-0000-0000-00004A670000}"/>
    <cellStyle name="Normal 37 2 6 4 2 2" xfId="18803" xr:uid="{00000000-0005-0000-0000-00004B670000}"/>
    <cellStyle name="Normal 37 2 6 4 3" xfId="18276" xr:uid="{00000000-0005-0000-0000-00004C670000}"/>
    <cellStyle name="Normal 37 2 6 5" xfId="5533" xr:uid="{00000000-0005-0000-0000-00004D670000}"/>
    <cellStyle name="Normal 37 2 6 5 2" xfId="18523" xr:uid="{00000000-0005-0000-0000-00004E670000}"/>
    <cellStyle name="Normal 37 2 6 6" xfId="17959" xr:uid="{00000000-0005-0000-0000-00004F670000}"/>
    <cellStyle name="Normal 37 2 7" xfId="5534" xr:uid="{00000000-0005-0000-0000-000050670000}"/>
    <cellStyle name="Normal 37 2 7 2" xfId="5535" xr:uid="{00000000-0005-0000-0000-000051670000}"/>
    <cellStyle name="Normal 37 2 7 2 2" xfId="5536" xr:uid="{00000000-0005-0000-0000-000052670000}"/>
    <cellStyle name="Normal 37 2 7 2 2 2" xfId="5537" xr:uid="{00000000-0005-0000-0000-000053670000}"/>
    <cellStyle name="Normal 37 2 7 2 2 2 2" xfId="18959" xr:uid="{00000000-0005-0000-0000-000054670000}"/>
    <cellStyle name="Normal 37 2 7 2 2 3" xfId="18441" xr:uid="{00000000-0005-0000-0000-000055670000}"/>
    <cellStyle name="Normal 37 2 7 2 3" xfId="5538" xr:uid="{00000000-0005-0000-0000-000056670000}"/>
    <cellStyle name="Normal 37 2 7 2 3 2" xfId="18677" xr:uid="{00000000-0005-0000-0000-000057670000}"/>
    <cellStyle name="Normal 37 2 7 2 4" xfId="18150" xr:uid="{00000000-0005-0000-0000-000058670000}"/>
    <cellStyle name="Normal 37 2 7 3" xfId="5539" xr:uid="{00000000-0005-0000-0000-000059670000}"/>
    <cellStyle name="Normal 37 2 7 3 2" xfId="5540" xr:uid="{00000000-0005-0000-0000-00005A670000}"/>
    <cellStyle name="Normal 37 2 7 3 2 2" xfId="18838" xr:uid="{00000000-0005-0000-0000-00005B670000}"/>
    <cellStyle name="Normal 37 2 7 3 3" xfId="18317" xr:uid="{00000000-0005-0000-0000-00005C670000}"/>
    <cellStyle name="Normal 37 2 7 4" xfId="5541" xr:uid="{00000000-0005-0000-0000-00005D670000}"/>
    <cellStyle name="Normal 37 2 7 4 2" xfId="18560" xr:uid="{00000000-0005-0000-0000-00005E670000}"/>
    <cellStyle name="Normal 37 2 7 5" xfId="18001" xr:uid="{00000000-0005-0000-0000-00005F670000}"/>
    <cellStyle name="Normal 37 2 8" xfId="5542" xr:uid="{00000000-0005-0000-0000-000060670000}"/>
    <cellStyle name="Normal 37 2 8 2" xfId="5543" xr:uid="{00000000-0005-0000-0000-000061670000}"/>
    <cellStyle name="Normal 37 2 8 2 2" xfId="18762" xr:uid="{00000000-0005-0000-0000-000062670000}"/>
    <cellStyle name="Normal 37 2 8 3" xfId="18235" xr:uid="{00000000-0005-0000-0000-000063670000}"/>
    <cellStyle name="Normal 37 2 9" xfId="33688" xr:uid="{00000000-0005-0000-0000-000064670000}"/>
    <cellStyle name="Normal 37 3" xfId="5544" xr:uid="{00000000-0005-0000-0000-000065670000}"/>
    <cellStyle name="Normal 37 3 2" xfId="10548" xr:uid="{00000000-0005-0000-0000-000066670000}"/>
    <cellStyle name="Normal 37 4" xfId="5545" xr:uid="{00000000-0005-0000-0000-000067670000}"/>
    <cellStyle name="Normal 37 4 2" xfId="5546" xr:uid="{00000000-0005-0000-0000-000068670000}"/>
    <cellStyle name="Normal 37 4 2 2" xfId="5547" xr:uid="{00000000-0005-0000-0000-000069670000}"/>
    <cellStyle name="Normal 37 4 2 2 2" xfId="5548" xr:uid="{00000000-0005-0000-0000-00006A670000}"/>
    <cellStyle name="Normal 37 4 2 2 2 2" xfId="5549" xr:uid="{00000000-0005-0000-0000-00006B670000}"/>
    <cellStyle name="Normal 37 4 2 2 2 2 2" xfId="5550" xr:uid="{00000000-0005-0000-0000-00006C670000}"/>
    <cellStyle name="Normal 37 4 2 2 2 2 2 2" xfId="18979" xr:uid="{00000000-0005-0000-0000-00006D670000}"/>
    <cellStyle name="Normal 37 4 2 2 2 2 3" xfId="18461" xr:uid="{00000000-0005-0000-0000-00006E670000}"/>
    <cellStyle name="Normal 37 4 2 2 2 3" xfId="5551" xr:uid="{00000000-0005-0000-0000-00006F670000}"/>
    <cellStyle name="Normal 37 4 2 2 2 3 2" xfId="18697" xr:uid="{00000000-0005-0000-0000-000070670000}"/>
    <cellStyle name="Normal 37 4 2 2 2 4" xfId="18170" xr:uid="{00000000-0005-0000-0000-000071670000}"/>
    <cellStyle name="Normal 37 4 2 2 3" xfId="5552" xr:uid="{00000000-0005-0000-0000-000072670000}"/>
    <cellStyle name="Normal 37 4 2 2 3 2" xfId="5553" xr:uid="{00000000-0005-0000-0000-000073670000}"/>
    <cellStyle name="Normal 37 4 2 2 3 2 2" xfId="18858" xr:uid="{00000000-0005-0000-0000-000074670000}"/>
    <cellStyle name="Normal 37 4 2 2 3 3" xfId="18337" xr:uid="{00000000-0005-0000-0000-000075670000}"/>
    <cellStyle name="Normal 37 4 2 2 4" xfId="5554" xr:uid="{00000000-0005-0000-0000-000076670000}"/>
    <cellStyle name="Normal 37 4 2 2 4 2" xfId="18580" xr:uid="{00000000-0005-0000-0000-000077670000}"/>
    <cellStyle name="Normal 37 4 2 2 5" xfId="18022" xr:uid="{00000000-0005-0000-0000-000078670000}"/>
    <cellStyle name="Normal 37 4 2 3" xfId="5555" xr:uid="{00000000-0005-0000-0000-000079670000}"/>
    <cellStyle name="Normal 37 4 2 3 2" xfId="5556" xr:uid="{00000000-0005-0000-0000-00007A670000}"/>
    <cellStyle name="Normal 37 4 2 3 2 2" xfId="5557" xr:uid="{00000000-0005-0000-0000-00007B670000}"/>
    <cellStyle name="Normal 37 4 2 3 2 2 2" xfId="5558" xr:uid="{00000000-0005-0000-0000-00007C670000}"/>
    <cellStyle name="Normal 37 4 2 3 2 2 2 2" xfId="18939" xr:uid="{00000000-0005-0000-0000-00007D670000}"/>
    <cellStyle name="Normal 37 4 2 3 2 2 3" xfId="18421" xr:uid="{00000000-0005-0000-0000-00007E670000}"/>
    <cellStyle name="Normal 37 4 2 3 2 3" xfId="5559" xr:uid="{00000000-0005-0000-0000-00007F670000}"/>
    <cellStyle name="Normal 37 4 2 3 2 3 2" xfId="18657" xr:uid="{00000000-0005-0000-0000-000080670000}"/>
    <cellStyle name="Normal 37 4 2 3 2 4" xfId="18130" xr:uid="{00000000-0005-0000-0000-000081670000}"/>
    <cellStyle name="Normal 37 4 2 3 3" xfId="5560" xr:uid="{00000000-0005-0000-0000-000082670000}"/>
    <cellStyle name="Normal 37 4 2 3 3 2" xfId="5561" xr:uid="{00000000-0005-0000-0000-000083670000}"/>
    <cellStyle name="Normal 37 4 2 3 3 2 2" xfId="18825" xr:uid="{00000000-0005-0000-0000-000084670000}"/>
    <cellStyle name="Normal 37 4 2 3 3 3" xfId="18304" xr:uid="{00000000-0005-0000-0000-000085670000}"/>
    <cellStyle name="Normal 37 4 2 3 4" xfId="5562" xr:uid="{00000000-0005-0000-0000-000086670000}"/>
    <cellStyle name="Normal 37 4 2 3 4 2" xfId="18540" xr:uid="{00000000-0005-0000-0000-000087670000}"/>
    <cellStyle name="Normal 37 4 2 3 5" xfId="17976" xr:uid="{00000000-0005-0000-0000-000088670000}"/>
    <cellStyle name="Normal 37 4 2 4" xfId="5563" xr:uid="{00000000-0005-0000-0000-000089670000}"/>
    <cellStyle name="Normal 37 4 2 5" xfId="5564" xr:uid="{00000000-0005-0000-0000-00008A670000}"/>
    <cellStyle name="Normal 37 4 2 5 2" xfId="5565" xr:uid="{00000000-0005-0000-0000-00008B670000}"/>
    <cellStyle name="Normal 37 4 2 5 2 2" xfId="18783" xr:uid="{00000000-0005-0000-0000-00008C670000}"/>
    <cellStyle name="Normal 37 4 2 5 3" xfId="18256" xr:uid="{00000000-0005-0000-0000-00008D670000}"/>
    <cellStyle name="Normal 37 4 3" xfId="5566" xr:uid="{00000000-0005-0000-0000-00008E670000}"/>
    <cellStyle name="Normal 37 4 4" xfId="5567" xr:uid="{00000000-0005-0000-0000-00008F670000}"/>
    <cellStyle name="Normal 37 4 4 2" xfId="5568" xr:uid="{00000000-0005-0000-0000-000090670000}"/>
    <cellStyle name="Normal 37 4 4 2 2" xfId="5569" xr:uid="{00000000-0005-0000-0000-000091670000}"/>
    <cellStyle name="Normal 37 4 4 2 2 2" xfId="5570" xr:uid="{00000000-0005-0000-0000-000092670000}"/>
    <cellStyle name="Normal 37 4 4 2 2 2 2" xfId="5571" xr:uid="{00000000-0005-0000-0000-000093670000}"/>
    <cellStyle name="Normal 37 4 4 2 2 2 2 2" xfId="19010" xr:uid="{00000000-0005-0000-0000-000094670000}"/>
    <cellStyle name="Normal 37 4 4 2 2 2 3" xfId="18492" xr:uid="{00000000-0005-0000-0000-000095670000}"/>
    <cellStyle name="Normal 37 4 4 2 2 3" xfId="5572" xr:uid="{00000000-0005-0000-0000-000096670000}"/>
    <cellStyle name="Normal 37 4 4 2 2 3 2" xfId="18728" xr:uid="{00000000-0005-0000-0000-000097670000}"/>
    <cellStyle name="Normal 37 4 4 2 2 4" xfId="18201" xr:uid="{00000000-0005-0000-0000-000098670000}"/>
    <cellStyle name="Normal 37 4 4 2 3" xfId="5573" xr:uid="{00000000-0005-0000-0000-000099670000}"/>
    <cellStyle name="Normal 37 4 4 2 3 2" xfId="5574" xr:uid="{00000000-0005-0000-0000-00009A670000}"/>
    <cellStyle name="Normal 37 4 4 2 3 2 2" xfId="18890" xr:uid="{00000000-0005-0000-0000-00009B670000}"/>
    <cellStyle name="Normal 37 4 4 2 3 3" xfId="18371" xr:uid="{00000000-0005-0000-0000-00009C670000}"/>
    <cellStyle name="Normal 37 4 4 2 4" xfId="5575" xr:uid="{00000000-0005-0000-0000-00009D670000}"/>
    <cellStyle name="Normal 37 4 4 2 4 2" xfId="18611" xr:uid="{00000000-0005-0000-0000-00009E670000}"/>
    <cellStyle name="Normal 37 4 4 2 5" xfId="18057" xr:uid="{00000000-0005-0000-0000-00009F670000}"/>
    <cellStyle name="Normal 37 4 4 3" xfId="5576" xr:uid="{00000000-0005-0000-0000-0000A0670000}"/>
    <cellStyle name="Normal 37 4 4 3 2" xfId="5577" xr:uid="{00000000-0005-0000-0000-0000A1670000}"/>
    <cellStyle name="Normal 37 4 4 3 2 2" xfId="5578" xr:uid="{00000000-0005-0000-0000-0000A2670000}"/>
    <cellStyle name="Normal 37 4 4 3 2 2 2" xfId="18923" xr:uid="{00000000-0005-0000-0000-0000A3670000}"/>
    <cellStyle name="Normal 37 4 4 3 2 3" xfId="18405" xr:uid="{00000000-0005-0000-0000-0000A4670000}"/>
    <cellStyle name="Normal 37 4 4 3 3" xfId="5579" xr:uid="{00000000-0005-0000-0000-0000A5670000}"/>
    <cellStyle name="Normal 37 4 4 3 3 2" xfId="18641" xr:uid="{00000000-0005-0000-0000-0000A6670000}"/>
    <cellStyle name="Normal 37 4 4 3 4" xfId="18114" xr:uid="{00000000-0005-0000-0000-0000A7670000}"/>
    <cellStyle name="Normal 37 4 4 4" xfId="5580" xr:uid="{00000000-0005-0000-0000-0000A8670000}"/>
    <cellStyle name="Normal 37 4 4 4 2" xfId="5581" xr:uid="{00000000-0005-0000-0000-0000A9670000}"/>
    <cellStyle name="Normal 37 4 4 4 2 2" xfId="18804" xr:uid="{00000000-0005-0000-0000-0000AA670000}"/>
    <cellStyle name="Normal 37 4 4 4 3" xfId="18277" xr:uid="{00000000-0005-0000-0000-0000AB670000}"/>
    <cellStyle name="Normal 37 4 4 5" xfId="5582" xr:uid="{00000000-0005-0000-0000-0000AC670000}"/>
    <cellStyle name="Normal 37 4 4 5 2" xfId="18524" xr:uid="{00000000-0005-0000-0000-0000AD670000}"/>
    <cellStyle name="Normal 37 4 4 6" xfId="17960" xr:uid="{00000000-0005-0000-0000-0000AE670000}"/>
    <cellStyle name="Normal 37 4 5" xfId="5583" xr:uid="{00000000-0005-0000-0000-0000AF670000}"/>
    <cellStyle name="Normal 37 4 5 2" xfId="5584" xr:uid="{00000000-0005-0000-0000-0000B0670000}"/>
    <cellStyle name="Normal 37 4 5 2 2" xfId="5585" xr:uid="{00000000-0005-0000-0000-0000B1670000}"/>
    <cellStyle name="Normal 37 4 5 2 2 2" xfId="5586" xr:uid="{00000000-0005-0000-0000-0000B2670000}"/>
    <cellStyle name="Normal 37 4 5 2 2 2 2" xfId="18960" xr:uid="{00000000-0005-0000-0000-0000B3670000}"/>
    <cellStyle name="Normal 37 4 5 2 2 3" xfId="18442" xr:uid="{00000000-0005-0000-0000-0000B4670000}"/>
    <cellStyle name="Normal 37 4 5 2 3" xfId="5587" xr:uid="{00000000-0005-0000-0000-0000B5670000}"/>
    <cellStyle name="Normal 37 4 5 2 3 2" xfId="18678" xr:uid="{00000000-0005-0000-0000-0000B6670000}"/>
    <cellStyle name="Normal 37 4 5 2 4" xfId="18151" xr:uid="{00000000-0005-0000-0000-0000B7670000}"/>
    <cellStyle name="Normal 37 4 5 3" xfId="5588" xr:uid="{00000000-0005-0000-0000-0000B8670000}"/>
    <cellStyle name="Normal 37 4 5 3 2" xfId="5589" xr:uid="{00000000-0005-0000-0000-0000B9670000}"/>
    <cellStyle name="Normal 37 4 5 3 2 2" xfId="18839" xr:uid="{00000000-0005-0000-0000-0000BA670000}"/>
    <cellStyle name="Normal 37 4 5 3 3" xfId="18318" xr:uid="{00000000-0005-0000-0000-0000BB670000}"/>
    <cellStyle name="Normal 37 4 5 4" xfId="5590" xr:uid="{00000000-0005-0000-0000-0000BC670000}"/>
    <cellStyle name="Normal 37 4 5 4 2" xfId="18561" xr:uid="{00000000-0005-0000-0000-0000BD670000}"/>
    <cellStyle name="Normal 37 4 5 5" xfId="18002" xr:uid="{00000000-0005-0000-0000-0000BE670000}"/>
    <cellStyle name="Normal 37 4 6" xfId="5591" xr:uid="{00000000-0005-0000-0000-0000BF670000}"/>
    <cellStyle name="Normal 37 4 6 2" xfId="5592" xr:uid="{00000000-0005-0000-0000-0000C0670000}"/>
    <cellStyle name="Normal 37 4 6 2 2" xfId="18763" xr:uid="{00000000-0005-0000-0000-0000C1670000}"/>
    <cellStyle name="Normal 37 4 6 3" xfId="18236" xr:uid="{00000000-0005-0000-0000-0000C2670000}"/>
    <cellStyle name="Normal 37 4 7" xfId="33689" xr:uid="{00000000-0005-0000-0000-0000C3670000}"/>
    <cellStyle name="Normal 37 5" xfId="5593" xr:uid="{00000000-0005-0000-0000-0000C4670000}"/>
    <cellStyle name="Normal 37 5 2" xfId="10549" xr:uid="{00000000-0005-0000-0000-0000C5670000}"/>
    <cellStyle name="Normal 37 6" xfId="5594" xr:uid="{00000000-0005-0000-0000-0000C6670000}"/>
    <cellStyle name="Normal 37 6 2" xfId="5595" xr:uid="{00000000-0005-0000-0000-0000C7670000}"/>
    <cellStyle name="Normal 37 6 3" xfId="40913" xr:uid="{00000000-0005-0000-0000-0000C8670000}"/>
    <cellStyle name="Normal 37 7" xfId="33687" xr:uid="{00000000-0005-0000-0000-0000C9670000}"/>
    <cellStyle name="Normal 37 8" xfId="5493" xr:uid="{00000000-0005-0000-0000-0000CA670000}"/>
    <cellStyle name="Normal 370" xfId="33690" xr:uid="{00000000-0005-0000-0000-0000CB670000}"/>
    <cellStyle name="Normal 370 2" xfId="33691" xr:uid="{00000000-0005-0000-0000-0000CC670000}"/>
    <cellStyle name="Normal 371" xfId="33692" xr:uid="{00000000-0005-0000-0000-0000CD670000}"/>
    <cellStyle name="Normal 371 2" xfId="33693" xr:uid="{00000000-0005-0000-0000-0000CE670000}"/>
    <cellStyle name="Normal 372" xfId="33694" xr:uid="{00000000-0005-0000-0000-0000CF670000}"/>
    <cellStyle name="Normal 372 2" xfId="33695" xr:uid="{00000000-0005-0000-0000-0000D0670000}"/>
    <cellStyle name="Normal 373" xfId="33696" xr:uid="{00000000-0005-0000-0000-0000D1670000}"/>
    <cellStyle name="Normal 374" xfId="33697" xr:uid="{00000000-0005-0000-0000-0000D2670000}"/>
    <cellStyle name="Normal 375" xfId="33698" xr:uid="{00000000-0005-0000-0000-0000D3670000}"/>
    <cellStyle name="Normal 376" xfId="33699" xr:uid="{00000000-0005-0000-0000-0000D4670000}"/>
    <cellStyle name="Normal 377" xfId="33700" xr:uid="{00000000-0005-0000-0000-0000D5670000}"/>
    <cellStyle name="Normal 378" xfId="33701" xr:uid="{00000000-0005-0000-0000-0000D6670000}"/>
    <cellStyle name="Normal 379" xfId="33702" xr:uid="{00000000-0005-0000-0000-0000D7670000}"/>
    <cellStyle name="Normal 38" xfId="5596" xr:uid="{00000000-0005-0000-0000-0000D8670000}"/>
    <cellStyle name="Normal 38 2" xfId="5597" xr:uid="{00000000-0005-0000-0000-0000D9670000}"/>
    <cellStyle name="Normal 38 2 2" xfId="10550" xr:uid="{00000000-0005-0000-0000-0000DA670000}"/>
    <cellStyle name="Normal 38 2 2 2" xfId="33706" xr:uid="{00000000-0005-0000-0000-0000DB670000}"/>
    <cellStyle name="Normal 38 2 2 3" xfId="33707" xr:uid="{00000000-0005-0000-0000-0000DC670000}"/>
    <cellStyle name="Normal 38 2 2 4" xfId="33705" xr:uid="{00000000-0005-0000-0000-0000DD670000}"/>
    <cellStyle name="Normal 38 2 3" xfId="33708" xr:uid="{00000000-0005-0000-0000-0000DE670000}"/>
    <cellStyle name="Normal 38 2 4" xfId="33709" xr:uid="{00000000-0005-0000-0000-0000DF670000}"/>
    <cellStyle name="Normal 38 2 5" xfId="33710" xr:uid="{00000000-0005-0000-0000-0000E0670000}"/>
    <cellStyle name="Normal 38 2 6" xfId="40916" xr:uid="{00000000-0005-0000-0000-0000E1670000}"/>
    <cellStyle name="Normal 38 2 7" xfId="33704" xr:uid="{00000000-0005-0000-0000-0000E2670000}"/>
    <cellStyle name="Normal 38 3" xfId="5598" xr:uid="{00000000-0005-0000-0000-0000E3670000}"/>
    <cellStyle name="Normal 38 3 2" xfId="10551" xr:uid="{00000000-0005-0000-0000-0000E4670000}"/>
    <cellStyle name="Normal 38 4" xfId="5599" xr:uid="{00000000-0005-0000-0000-0000E5670000}"/>
    <cellStyle name="Normal 38 4 2" xfId="5600" xr:uid="{00000000-0005-0000-0000-0000E6670000}"/>
    <cellStyle name="Normal 38 4 2 2" xfId="5601" xr:uid="{00000000-0005-0000-0000-0000E7670000}"/>
    <cellStyle name="Normal 38 4 2 2 2" xfId="5602" xr:uid="{00000000-0005-0000-0000-0000E8670000}"/>
    <cellStyle name="Normal 38 4 2 2 2 2" xfId="5603" xr:uid="{00000000-0005-0000-0000-0000E9670000}"/>
    <cellStyle name="Normal 38 4 2 2 2 2 2" xfId="18980" xr:uid="{00000000-0005-0000-0000-0000EA670000}"/>
    <cellStyle name="Normal 38 4 2 2 2 3" xfId="18462" xr:uid="{00000000-0005-0000-0000-0000EB670000}"/>
    <cellStyle name="Normal 38 4 2 2 3" xfId="5604" xr:uid="{00000000-0005-0000-0000-0000EC670000}"/>
    <cellStyle name="Normal 38 4 2 2 3 2" xfId="18698" xr:uid="{00000000-0005-0000-0000-0000ED670000}"/>
    <cellStyle name="Normal 38 4 2 2 4" xfId="18171" xr:uid="{00000000-0005-0000-0000-0000EE670000}"/>
    <cellStyle name="Normal 38 4 2 3" xfId="5605" xr:uid="{00000000-0005-0000-0000-0000EF670000}"/>
    <cellStyle name="Normal 38 4 2 3 2" xfId="5606" xr:uid="{00000000-0005-0000-0000-0000F0670000}"/>
    <cellStyle name="Normal 38 4 2 3 2 2" xfId="18859" xr:uid="{00000000-0005-0000-0000-0000F1670000}"/>
    <cellStyle name="Normal 38 4 2 3 3" xfId="18338" xr:uid="{00000000-0005-0000-0000-0000F2670000}"/>
    <cellStyle name="Normal 38 4 2 4" xfId="5607" xr:uid="{00000000-0005-0000-0000-0000F3670000}"/>
    <cellStyle name="Normal 38 4 2 4 2" xfId="18581" xr:uid="{00000000-0005-0000-0000-0000F4670000}"/>
    <cellStyle name="Normal 38 4 2 5" xfId="18023" xr:uid="{00000000-0005-0000-0000-0000F5670000}"/>
    <cellStyle name="Normal 38 4 3" xfId="5608" xr:uid="{00000000-0005-0000-0000-0000F6670000}"/>
    <cellStyle name="Normal 38 4 3 2" xfId="5609" xr:uid="{00000000-0005-0000-0000-0000F7670000}"/>
    <cellStyle name="Normal 38 4 3 2 2" xfId="5610" xr:uid="{00000000-0005-0000-0000-0000F8670000}"/>
    <cellStyle name="Normal 38 4 3 2 2 2" xfId="5611" xr:uid="{00000000-0005-0000-0000-0000F9670000}"/>
    <cellStyle name="Normal 38 4 3 2 2 2 2" xfId="18940" xr:uid="{00000000-0005-0000-0000-0000FA670000}"/>
    <cellStyle name="Normal 38 4 3 2 2 3" xfId="18422" xr:uid="{00000000-0005-0000-0000-0000FB670000}"/>
    <cellStyle name="Normal 38 4 3 2 3" xfId="5612" xr:uid="{00000000-0005-0000-0000-0000FC670000}"/>
    <cellStyle name="Normal 38 4 3 2 3 2" xfId="18658" xr:uid="{00000000-0005-0000-0000-0000FD670000}"/>
    <cellStyle name="Normal 38 4 3 2 4" xfId="18131" xr:uid="{00000000-0005-0000-0000-0000FE670000}"/>
    <cellStyle name="Normal 38 4 3 3" xfId="5613" xr:uid="{00000000-0005-0000-0000-0000FF670000}"/>
    <cellStyle name="Normal 38 4 3 3 2" xfId="5614" xr:uid="{00000000-0005-0000-0000-000000680000}"/>
    <cellStyle name="Normal 38 4 3 3 2 2" xfId="18826" xr:uid="{00000000-0005-0000-0000-000001680000}"/>
    <cellStyle name="Normal 38 4 3 3 3" xfId="18305" xr:uid="{00000000-0005-0000-0000-000002680000}"/>
    <cellStyle name="Normal 38 4 3 4" xfId="5615" xr:uid="{00000000-0005-0000-0000-000003680000}"/>
    <cellStyle name="Normal 38 4 3 4 2" xfId="18541" xr:uid="{00000000-0005-0000-0000-000004680000}"/>
    <cellStyle name="Normal 38 4 3 5" xfId="17977" xr:uid="{00000000-0005-0000-0000-000005680000}"/>
    <cellStyle name="Normal 38 4 4" xfId="5616" xr:uid="{00000000-0005-0000-0000-000006680000}"/>
    <cellStyle name="Normal 38 4 5" xfId="5617" xr:uid="{00000000-0005-0000-0000-000007680000}"/>
    <cellStyle name="Normal 38 4 5 2" xfId="5618" xr:uid="{00000000-0005-0000-0000-000008680000}"/>
    <cellStyle name="Normal 38 4 5 2 2" xfId="18784" xr:uid="{00000000-0005-0000-0000-000009680000}"/>
    <cellStyle name="Normal 38 4 5 3" xfId="18257" xr:uid="{00000000-0005-0000-0000-00000A680000}"/>
    <cellStyle name="Normal 38 4 6" xfId="33711" xr:uid="{00000000-0005-0000-0000-00000B680000}"/>
    <cellStyle name="Normal 38 5" xfId="5619" xr:uid="{00000000-0005-0000-0000-00000C680000}"/>
    <cellStyle name="Normal 38 5 2" xfId="33712" xr:uid="{00000000-0005-0000-0000-00000D680000}"/>
    <cellStyle name="Normal 38 6" xfId="5620" xr:uid="{00000000-0005-0000-0000-00000E680000}"/>
    <cellStyle name="Normal 38 6 2" xfId="5621" xr:uid="{00000000-0005-0000-0000-00000F680000}"/>
    <cellStyle name="Normal 38 6 2 2" xfId="5622" xr:uid="{00000000-0005-0000-0000-000010680000}"/>
    <cellStyle name="Normal 38 6 2 2 2" xfId="5623" xr:uid="{00000000-0005-0000-0000-000011680000}"/>
    <cellStyle name="Normal 38 6 2 2 2 2" xfId="5624" xr:uid="{00000000-0005-0000-0000-000012680000}"/>
    <cellStyle name="Normal 38 6 2 2 2 2 2" xfId="19011" xr:uid="{00000000-0005-0000-0000-000013680000}"/>
    <cellStyle name="Normal 38 6 2 2 2 3" xfId="18493" xr:uid="{00000000-0005-0000-0000-000014680000}"/>
    <cellStyle name="Normal 38 6 2 2 3" xfId="5625" xr:uid="{00000000-0005-0000-0000-000015680000}"/>
    <cellStyle name="Normal 38 6 2 2 3 2" xfId="18729" xr:uid="{00000000-0005-0000-0000-000016680000}"/>
    <cellStyle name="Normal 38 6 2 2 4" xfId="18202" xr:uid="{00000000-0005-0000-0000-000017680000}"/>
    <cellStyle name="Normal 38 6 2 3" xfId="5626" xr:uid="{00000000-0005-0000-0000-000018680000}"/>
    <cellStyle name="Normal 38 6 2 3 2" xfId="5627" xr:uid="{00000000-0005-0000-0000-000019680000}"/>
    <cellStyle name="Normal 38 6 2 3 2 2" xfId="18891" xr:uid="{00000000-0005-0000-0000-00001A680000}"/>
    <cellStyle name="Normal 38 6 2 3 3" xfId="18372" xr:uid="{00000000-0005-0000-0000-00001B680000}"/>
    <cellStyle name="Normal 38 6 2 4" xfId="5628" xr:uid="{00000000-0005-0000-0000-00001C680000}"/>
    <cellStyle name="Normal 38 6 2 4 2" xfId="18612" xr:uid="{00000000-0005-0000-0000-00001D680000}"/>
    <cellStyle name="Normal 38 6 2 5" xfId="18058" xr:uid="{00000000-0005-0000-0000-00001E680000}"/>
    <cellStyle name="Normal 38 6 3" xfId="5629" xr:uid="{00000000-0005-0000-0000-00001F680000}"/>
    <cellStyle name="Normal 38 6 3 2" xfId="5630" xr:uid="{00000000-0005-0000-0000-000020680000}"/>
    <cellStyle name="Normal 38 6 3 2 2" xfId="5631" xr:uid="{00000000-0005-0000-0000-000021680000}"/>
    <cellStyle name="Normal 38 6 3 2 2 2" xfId="18924" xr:uid="{00000000-0005-0000-0000-000022680000}"/>
    <cellStyle name="Normal 38 6 3 2 3" xfId="18406" xr:uid="{00000000-0005-0000-0000-000023680000}"/>
    <cellStyle name="Normal 38 6 3 3" xfId="5632" xr:uid="{00000000-0005-0000-0000-000024680000}"/>
    <cellStyle name="Normal 38 6 3 3 2" xfId="18642" xr:uid="{00000000-0005-0000-0000-000025680000}"/>
    <cellStyle name="Normal 38 6 3 4" xfId="18115" xr:uid="{00000000-0005-0000-0000-000026680000}"/>
    <cellStyle name="Normal 38 6 4" xfId="5633" xr:uid="{00000000-0005-0000-0000-000027680000}"/>
    <cellStyle name="Normal 38 6 4 2" xfId="5634" xr:uid="{00000000-0005-0000-0000-000028680000}"/>
    <cellStyle name="Normal 38 6 4 2 2" xfId="18805" xr:uid="{00000000-0005-0000-0000-000029680000}"/>
    <cellStyle name="Normal 38 6 4 3" xfId="18278" xr:uid="{00000000-0005-0000-0000-00002A680000}"/>
    <cellStyle name="Normal 38 6 5" xfId="5635" xr:uid="{00000000-0005-0000-0000-00002B680000}"/>
    <cellStyle name="Normal 38 6 5 2" xfId="18525" xr:uid="{00000000-0005-0000-0000-00002C680000}"/>
    <cellStyle name="Normal 38 6 6" xfId="17961" xr:uid="{00000000-0005-0000-0000-00002D680000}"/>
    <cellStyle name="Normal 38 6 7" xfId="33713" xr:uid="{00000000-0005-0000-0000-00002E680000}"/>
    <cellStyle name="Normal 38 7" xfId="5636" xr:uid="{00000000-0005-0000-0000-00002F680000}"/>
    <cellStyle name="Normal 38 7 2" xfId="5637" xr:uid="{00000000-0005-0000-0000-000030680000}"/>
    <cellStyle name="Normal 38 7 2 2" xfId="5638" xr:uid="{00000000-0005-0000-0000-000031680000}"/>
    <cellStyle name="Normal 38 7 2 2 2" xfId="5639" xr:uid="{00000000-0005-0000-0000-000032680000}"/>
    <cellStyle name="Normal 38 7 2 2 2 2" xfId="18961" xr:uid="{00000000-0005-0000-0000-000033680000}"/>
    <cellStyle name="Normal 38 7 2 2 3" xfId="18443" xr:uid="{00000000-0005-0000-0000-000034680000}"/>
    <cellStyle name="Normal 38 7 2 3" xfId="5640" xr:uid="{00000000-0005-0000-0000-000035680000}"/>
    <cellStyle name="Normal 38 7 2 3 2" xfId="18679" xr:uid="{00000000-0005-0000-0000-000036680000}"/>
    <cellStyle name="Normal 38 7 2 4" xfId="18152" xr:uid="{00000000-0005-0000-0000-000037680000}"/>
    <cellStyle name="Normal 38 7 3" xfId="5641" xr:uid="{00000000-0005-0000-0000-000038680000}"/>
    <cellStyle name="Normal 38 7 3 2" xfId="5642" xr:uid="{00000000-0005-0000-0000-000039680000}"/>
    <cellStyle name="Normal 38 7 3 2 2" xfId="18840" xr:uid="{00000000-0005-0000-0000-00003A680000}"/>
    <cellStyle name="Normal 38 7 3 3" xfId="18319" xr:uid="{00000000-0005-0000-0000-00003B680000}"/>
    <cellStyle name="Normal 38 7 4" xfId="5643" xr:uid="{00000000-0005-0000-0000-00003C680000}"/>
    <cellStyle name="Normal 38 7 4 2" xfId="18562" xr:uid="{00000000-0005-0000-0000-00003D680000}"/>
    <cellStyle name="Normal 38 7 5" xfId="18003" xr:uid="{00000000-0005-0000-0000-00003E680000}"/>
    <cellStyle name="Normal 38 7 6" xfId="40915" xr:uid="{00000000-0005-0000-0000-00003F680000}"/>
    <cellStyle name="Normal 38 8" xfId="5644" xr:uid="{00000000-0005-0000-0000-000040680000}"/>
    <cellStyle name="Normal 38 8 2" xfId="5645" xr:uid="{00000000-0005-0000-0000-000041680000}"/>
    <cellStyle name="Normal 38 8 2 2" xfId="18764" xr:uid="{00000000-0005-0000-0000-000042680000}"/>
    <cellStyle name="Normal 38 8 3" xfId="18237" xr:uid="{00000000-0005-0000-0000-000043680000}"/>
    <cellStyle name="Normal 38 9" xfId="33703" xr:uid="{00000000-0005-0000-0000-000044680000}"/>
    <cellStyle name="Normal 380" xfId="33714" xr:uid="{00000000-0005-0000-0000-000045680000}"/>
    <cellStyle name="Normal 381" xfId="33715" xr:uid="{00000000-0005-0000-0000-000046680000}"/>
    <cellStyle name="Normal 382" xfId="33716" xr:uid="{00000000-0005-0000-0000-000047680000}"/>
    <cellStyle name="Normal 383" xfId="33717" xr:uid="{00000000-0005-0000-0000-000048680000}"/>
    <cellStyle name="Normal 384" xfId="33718" xr:uid="{00000000-0005-0000-0000-000049680000}"/>
    <cellStyle name="Normal 385" xfId="33719" xr:uid="{00000000-0005-0000-0000-00004A680000}"/>
    <cellStyle name="Normal 386" xfId="33720" xr:uid="{00000000-0005-0000-0000-00004B680000}"/>
    <cellStyle name="Normal 387" xfId="33721" xr:uid="{00000000-0005-0000-0000-00004C680000}"/>
    <cellStyle name="Normal 388" xfId="33722" xr:uid="{00000000-0005-0000-0000-00004D680000}"/>
    <cellStyle name="Normal 389" xfId="33723" xr:uid="{00000000-0005-0000-0000-00004E680000}"/>
    <cellStyle name="Normal 39" xfId="5646" xr:uid="{00000000-0005-0000-0000-00004F680000}"/>
    <cellStyle name="Normal 39 2" xfId="5647" xr:uid="{00000000-0005-0000-0000-000050680000}"/>
    <cellStyle name="Normal 39 2 2" xfId="10552" xr:uid="{00000000-0005-0000-0000-000051680000}"/>
    <cellStyle name="Normal 39 2 2 2" xfId="33727" xr:uid="{00000000-0005-0000-0000-000052680000}"/>
    <cellStyle name="Normal 39 2 2 3" xfId="33728" xr:uid="{00000000-0005-0000-0000-000053680000}"/>
    <cellStyle name="Normal 39 2 2 4" xfId="33726" xr:uid="{00000000-0005-0000-0000-000054680000}"/>
    <cellStyle name="Normal 39 2 3" xfId="33729" xr:uid="{00000000-0005-0000-0000-000055680000}"/>
    <cellStyle name="Normal 39 2 4" xfId="33730" xr:uid="{00000000-0005-0000-0000-000056680000}"/>
    <cellStyle name="Normal 39 2 5" xfId="33731" xr:uid="{00000000-0005-0000-0000-000057680000}"/>
    <cellStyle name="Normal 39 2 6" xfId="40918" xr:uid="{00000000-0005-0000-0000-000058680000}"/>
    <cellStyle name="Normal 39 2 7" xfId="33725" xr:uid="{00000000-0005-0000-0000-000059680000}"/>
    <cellStyle name="Normal 39 3" xfId="5648" xr:uid="{00000000-0005-0000-0000-00005A680000}"/>
    <cellStyle name="Normal 39 3 2" xfId="10553" xr:uid="{00000000-0005-0000-0000-00005B680000}"/>
    <cellStyle name="Normal 39 4" xfId="5649" xr:uid="{00000000-0005-0000-0000-00005C680000}"/>
    <cellStyle name="Normal 39 4 2" xfId="5650" xr:uid="{00000000-0005-0000-0000-00005D680000}"/>
    <cellStyle name="Normal 39 4 2 2" xfId="5651" xr:uid="{00000000-0005-0000-0000-00005E680000}"/>
    <cellStyle name="Normal 39 4 2 2 2" xfId="5652" xr:uid="{00000000-0005-0000-0000-00005F680000}"/>
    <cellStyle name="Normal 39 4 2 2 2 2" xfId="5653" xr:uid="{00000000-0005-0000-0000-000060680000}"/>
    <cellStyle name="Normal 39 4 2 2 2 2 2" xfId="18981" xr:uid="{00000000-0005-0000-0000-000061680000}"/>
    <cellStyle name="Normal 39 4 2 2 2 3" xfId="18463" xr:uid="{00000000-0005-0000-0000-000062680000}"/>
    <cellStyle name="Normal 39 4 2 2 3" xfId="5654" xr:uid="{00000000-0005-0000-0000-000063680000}"/>
    <cellStyle name="Normal 39 4 2 2 3 2" xfId="18699" xr:uid="{00000000-0005-0000-0000-000064680000}"/>
    <cellStyle name="Normal 39 4 2 2 4" xfId="18172" xr:uid="{00000000-0005-0000-0000-000065680000}"/>
    <cellStyle name="Normal 39 4 2 3" xfId="5655" xr:uid="{00000000-0005-0000-0000-000066680000}"/>
    <cellStyle name="Normal 39 4 2 3 2" xfId="5656" xr:uid="{00000000-0005-0000-0000-000067680000}"/>
    <cellStyle name="Normal 39 4 2 3 2 2" xfId="18860" xr:uid="{00000000-0005-0000-0000-000068680000}"/>
    <cellStyle name="Normal 39 4 2 3 3" xfId="18339" xr:uid="{00000000-0005-0000-0000-000069680000}"/>
    <cellStyle name="Normal 39 4 2 4" xfId="5657" xr:uid="{00000000-0005-0000-0000-00006A680000}"/>
    <cellStyle name="Normal 39 4 2 4 2" xfId="18582" xr:uid="{00000000-0005-0000-0000-00006B680000}"/>
    <cellStyle name="Normal 39 4 2 5" xfId="18024" xr:uid="{00000000-0005-0000-0000-00006C680000}"/>
    <cellStyle name="Normal 39 4 3" xfId="5658" xr:uid="{00000000-0005-0000-0000-00006D680000}"/>
    <cellStyle name="Normal 39 4 3 2" xfId="5659" xr:uid="{00000000-0005-0000-0000-00006E680000}"/>
    <cellStyle name="Normal 39 4 3 2 2" xfId="5660" xr:uid="{00000000-0005-0000-0000-00006F680000}"/>
    <cellStyle name="Normal 39 4 3 2 2 2" xfId="5661" xr:uid="{00000000-0005-0000-0000-000070680000}"/>
    <cellStyle name="Normal 39 4 3 2 2 2 2" xfId="18941" xr:uid="{00000000-0005-0000-0000-000071680000}"/>
    <cellStyle name="Normal 39 4 3 2 2 3" xfId="18423" xr:uid="{00000000-0005-0000-0000-000072680000}"/>
    <cellStyle name="Normal 39 4 3 2 3" xfId="5662" xr:uid="{00000000-0005-0000-0000-000073680000}"/>
    <cellStyle name="Normal 39 4 3 2 3 2" xfId="18659" xr:uid="{00000000-0005-0000-0000-000074680000}"/>
    <cellStyle name="Normal 39 4 3 2 4" xfId="18132" xr:uid="{00000000-0005-0000-0000-000075680000}"/>
    <cellStyle name="Normal 39 4 3 3" xfId="5663" xr:uid="{00000000-0005-0000-0000-000076680000}"/>
    <cellStyle name="Normal 39 4 3 3 2" xfId="5664" xr:uid="{00000000-0005-0000-0000-000077680000}"/>
    <cellStyle name="Normal 39 4 3 3 2 2" xfId="18827" xr:uid="{00000000-0005-0000-0000-000078680000}"/>
    <cellStyle name="Normal 39 4 3 3 3" xfId="18306" xr:uid="{00000000-0005-0000-0000-000079680000}"/>
    <cellStyle name="Normal 39 4 3 4" xfId="5665" xr:uid="{00000000-0005-0000-0000-00007A680000}"/>
    <cellStyle name="Normal 39 4 3 4 2" xfId="18542" xr:uid="{00000000-0005-0000-0000-00007B680000}"/>
    <cellStyle name="Normal 39 4 3 5" xfId="17978" xr:uid="{00000000-0005-0000-0000-00007C680000}"/>
    <cellStyle name="Normal 39 4 4" xfId="5666" xr:uid="{00000000-0005-0000-0000-00007D680000}"/>
    <cellStyle name="Normal 39 4 5" xfId="5667" xr:uid="{00000000-0005-0000-0000-00007E680000}"/>
    <cellStyle name="Normal 39 4 5 2" xfId="5668" xr:uid="{00000000-0005-0000-0000-00007F680000}"/>
    <cellStyle name="Normal 39 4 5 2 2" xfId="18785" xr:uid="{00000000-0005-0000-0000-000080680000}"/>
    <cellStyle name="Normal 39 4 5 3" xfId="18258" xr:uid="{00000000-0005-0000-0000-000081680000}"/>
    <cellStyle name="Normal 39 4 6" xfId="33732" xr:uid="{00000000-0005-0000-0000-000082680000}"/>
    <cellStyle name="Normal 39 5" xfId="5669" xr:uid="{00000000-0005-0000-0000-000083680000}"/>
    <cellStyle name="Normal 39 5 2" xfId="33733" xr:uid="{00000000-0005-0000-0000-000084680000}"/>
    <cellStyle name="Normal 39 6" xfId="5670" xr:uid="{00000000-0005-0000-0000-000085680000}"/>
    <cellStyle name="Normal 39 6 2" xfId="5671" xr:uid="{00000000-0005-0000-0000-000086680000}"/>
    <cellStyle name="Normal 39 6 2 2" xfId="5672" xr:uid="{00000000-0005-0000-0000-000087680000}"/>
    <cellStyle name="Normal 39 6 2 2 2" xfId="5673" xr:uid="{00000000-0005-0000-0000-000088680000}"/>
    <cellStyle name="Normal 39 6 2 2 2 2" xfId="5674" xr:uid="{00000000-0005-0000-0000-000089680000}"/>
    <cellStyle name="Normal 39 6 2 2 2 2 2" xfId="19012" xr:uid="{00000000-0005-0000-0000-00008A680000}"/>
    <cellStyle name="Normal 39 6 2 2 2 3" xfId="18494" xr:uid="{00000000-0005-0000-0000-00008B680000}"/>
    <cellStyle name="Normal 39 6 2 2 3" xfId="5675" xr:uid="{00000000-0005-0000-0000-00008C680000}"/>
    <cellStyle name="Normal 39 6 2 2 3 2" xfId="18730" xr:uid="{00000000-0005-0000-0000-00008D680000}"/>
    <cellStyle name="Normal 39 6 2 2 4" xfId="18203" xr:uid="{00000000-0005-0000-0000-00008E680000}"/>
    <cellStyle name="Normal 39 6 2 3" xfId="5676" xr:uid="{00000000-0005-0000-0000-00008F680000}"/>
    <cellStyle name="Normal 39 6 2 3 2" xfId="5677" xr:uid="{00000000-0005-0000-0000-000090680000}"/>
    <cellStyle name="Normal 39 6 2 3 2 2" xfId="18892" xr:uid="{00000000-0005-0000-0000-000091680000}"/>
    <cellStyle name="Normal 39 6 2 3 3" xfId="18373" xr:uid="{00000000-0005-0000-0000-000092680000}"/>
    <cellStyle name="Normal 39 6 2 4" xfId="5678" xr:uid="{00000000-0005-0000-0000-000093680000}"/>
    <cellStyle name="Normal 39 6 2 4 2" xfId="18613" xr:uid="{00000000-0005-0000-0000-000094680000}"/>
    <cellStyle name="Normal 39 6 2 5" xfId="18059" xr:uid="{00000000-0005-0000-0000-000095680000}"/>
    <cellStyle name="Normal 39 6 3" xfId="5679" xr:uid="{00000000-0005-0000-0000-000096680000}"/>
    <cellStyle name="Normal 39 6 3 2" xfId="5680" xr:uid="{00000000-0005-0000-0000-000097680000}"/>
    <cellStyle name="Normal 39 6 3 2 2" xfId="5681" xr:uid="{00000000-0005-0000-0000-000098680000}"/>
    <cellStyle name="Normal 39 6 3 2 2 2" xfId="18925" xr:uid="{00000000-0005-0000-0000-000099680000}"/>
    <cellStyle name="Normal 39 6 3 2 3" xfId="18407" xr:uid="{00000000-0005-0000-0000-00009A680000}"/>
    <cellStyle name="Normal 39 6 3 3" xfId="5682" xr:uid="{00000000-0005-0000-0000-00009B680000}"/>
    <cellStyle name="Normal 39 6 3 3 2" xfId="18643" xr:uid="{00000000-0005-0000-0000-00009C680000}"/>
    <cellStyle name="Normal 39 6 3 4" xfId="18116" xr:uid="{00000000-0005-0000-0000-00009D680000}"/>
    <cellStyle name="Normal 39 6 4" xfId="5683" xr:uid="{00000000-0005-0000-0000-00009E680000}"/>
    <cellStyle name="Normal 39 6 4 2" xfId="5684" xr:uid="{00000000-0005-0000-0000-00009F680000}"/>
    <cellStyle name="Normal 39 6 4 2 2" xfId="18806" xr:uid="{00000000-0005-0000-0000-0000A0680000}"/>
    <cellStyle name="Normal 39 6 4 3" xfId="18279" xr:uid="{00000000-0005-0000-0000-0000A1680000}"/>
    <cellStyle name="Normal 39 6 5" xfId="5685" xr:uid="{00000000-0005-0000-0000-0000A2680000}"/>
    <cellStyle name="Normal 39 6 5 2" xfId="18526" xr:uid="{00000000-0005-0000-0000-0000A3680000}"/>
    <cellStyle name="Normal 39 6 6" xfId="17962" xr:uid="{00000000-0005-0000-0000-0000A4680000}"/>
    <cellStyle name="Normal 39 6 7" xfId="40917" xr:uid="{00000000-0005-0000-0000-0000A5680000}"/>
    <cellStyle name="Normal 39 7" xfId="5686" xr:uid="{00000000-0005-0000-0000-0000A6680000}"/>
    <cellStyle name="Normal 39 7 2" xfId="5687" xr:uid="{00000000-0005-0000-0000-0000A7680000}"/>
    <cellStyle name="Normal 39 7 2 2" xfId="5688" xr:uid="{00000000-0005-0000-0000-0000A8680000}"/>
    <cellStyle name="Normal 39 7 2 2 2" xfId="5689" xr:uid="{00000000-0005-0000-0000-0000A9680000}"/>
    <cellStyle name="Normal 39 7 2 2 2 2" xfId="18962" xr:uid="{00000000-0005-0000-0000-0000AA680000}"/>
    <cellStyle name="Normal 39 7 2 2 3" xfId="18444" xr:uid="{00000000-0005-0000-0000-0000AB680000}"/>
    <cellStyle name="Normal 39 7 2 3" xfId="5690" xr:uid="{00000000-0005-0000-0000-0000AC680000}"/>
    <cellStyle name="Normal 39 7 2 3 2" xfId="18680" xr:uid="{00000000-0005-0000-0000-0000AD680000}"/>
    <cellStyle name="Normal 39 7 2 4" xfId="18153" xr:uid="{00000000-0005-0000-0000-0000AE680000}"/>
    <cellStyle name="Normal 39 7 3" xfId="5691" xr:uid="{00000000-0005-0000-0000-0000AF680000}"/>
    <cellStyle name="Normal 39 7 3 2" xfId="5692" xr:uid="{00000000-0005-0000-0000-0000B0680000}"/>
    <cellStyle name="Normal 39 7 3 2 2" xfId="18841" xr:uid="{00000000-0005-0000-0000-0000B1680000}"/>
    <cellStyle name="Normal 39 7 3 3" xfId="18320" xr:uid="{00000000-0005-0000-0000-0000B2680000}"/>
    <cellStyle name="Normal 39 7 4" xfId="5693" xr:uid="{00000000-0005-0000-0000-0000B3680000}"/>
    <cellStyle name="Normal 39 7 4 2" xfId="18563" xr:uid="{00000000-0005-0000-0000-0000B4680000}"/>
    <cellStyle name="Normal 39 7 5" xfId="18004" xr:uid="{00000000-0005-0000-0000-0000B5680000}"/>
    <cellStyle name="Normal 39 8" xfId="5694" xr:uid="{00000000-0005-0000-0000-0000B6680000}"/>
    <cellStyle name="Normal 39 8 2" xfId="5695" xr:uid="{00000000-0005-0000-0000-0000B7680000}"/>
    <cellStyle name="Normal 39 8 2 2" xfId="18765" xr:uid="{00000000-0005-0000-0000-0000B8680000}"/>
    <cellStyle name="Normal 39 8 3" xfId="18238" xr:uid="{00000000-0005-0000-0000-0000B9680000}"/>
    <cellStyle name="Normal 39 9" xfId="33724" xr:uid="{00000000-0005-0000-0000-0000BA680000}"/>
    <cellStyle name="Normal 390" xfId="33734" xr:uid="{00000000-0005-0000-0000-0000BB680000}"/>
    <cellStyle name="Normal 391" xfId="33735" xr:uid="{00000000-0005-0000-0000-0000BC680000}"/>
    <cellStyle name="Normal 392" xfId="33736" xr:uid="{00000000-0005-0000-0000-0000BD680000}"/>
    <cellStyle name="Normal 393" xfId="33737" xr:uid="{00000000-0005-0000-0000-0000BE680000}"/>
    <cellStyle name="Normal 394" xfId="33738" xr:uid="{00000000-0005-0000-0000-0000BF680000}"/>
    <cellStyle name="Normal 395" xfId="33739" xr:uid="{00000000-0005-0000-0000-0000C0680000}"/>
    <cellStyle name="Normal 396" xfId="33740" xr:uid="{00000000-0005-0000-0000-0000C1680000}"/>
    <cellStyle name="Normal 397" xfId="33741" xr:uid="{00000000-0005-0000-0000-0000C2680000}"/>
    <cellStyle name="Normal 398" xfId="33742" xr:uid="{00000000-0005-0000-0000-0000C3680000}"/>
    <cellStyle name="Normal 399" xfId="33743" xr:uid="{00000000-0005-0000-0000-0000C4680000}"/>
    <cellStyle name="Normal 4" xfId="18" xr:uid="{00000000-0005-0000-0000-0000C5680000}"/>
    <cellStyle name="Normal 4 10" xfId="5697" xr:uid="{00000000-0005-0000-0000-0000C6680000}"/>
    <cellStyle name="Normal 4 10 10" xfId="33745" xr:uid="{00000000-0005-0000-0000-0000C7680000}"/>
    <cellStyle name="Normal 4 10 11" xfId="33746" xr:uid="{00000000-0005-0000-0000-0000C8680000}"/>
    <cellStyle name="Normal 4 10 12" xfId="40919" xr:uid="{00000000-0005-0000-0000-0000C9680000}"/>
    <cellStyle name="Normal 4 10 13" xfId="33744" xr:uid="{00000000-0005-0000-0000-0000CA680000}"/>
    <cellStyle name="Normal 4 10 2" xfId="10554" xr:uid="{00000000-0005-0000-0000-0000CB680000}"/>
    <cellStyle name="Normal 4 10 2 10" xfId="33748" xr:uid="{00000000-0005-0000-0000-0000CC680000}"/>
    <cellStyle name="Normal 4 10 2 10 2" xfId="40921" xr:uid="{00000000-0005-0000-0000-0000CD680000}"/>
    <cellStyle name="Normal 4 10 2 11" xfId="33749" xr:uid="{00000000-0005-0000-0000-0000CE680000}"/>
    <cellStyle name="Normal 4 10 2 11 2" xfId="40922" xr:uid="{00000000-0005-0000-0000-0000CF680000}"/>
    <cellStyle name="Normal 4 10 2 12" xfId="40920" xr:uid="{00000000-0005-0000-0000-0000D0680000}"/>
    <cellStyle name="Normal 4 10 2 13" xfId="33747" xr:uid="{00000000-0005-0000-0000-0000D1680000}"/>
    <cellStyle name="Normal 4 10 2 2" xfId="33750" xr:uid="{00000000-0005-0000-0000-0000D2680000}"/>
    <cellStyle name="Normal 4 10 2 2 2" xfId="33751" xr:uid="{00000000-0005-0000-0000-0000D3680000}"/>
    <cellStyle name="Normal 4 10 2 2 2 2" xfId="33752" xr:uid="{00000000-0005-0000-0000-0000D4680000}"/>
    <cellStyle name="Normal 4 10 2 2 2 2 2" xfId="40925" xr:uid="{00000000-0005-0000-0000-0000D5680000}"/>
    <cellStyle name="Normal 4 10 2 2 2 3" xfId="40924" xr:uid="{00000000-0005-0000-0000-0000D6680000}"/>
    <cellStyle name="Normal 4 10 2 2 3" xfId="33753" xr:uid="{00000000-0005-0000-0000-0000D7680000}"/>
    <cellStyle name="Normal 4 10 2 2 3 2" xfId="40926" xr:uid="{00000000-0005-0000-0000-0000D8680000}"/>
    <cellStyle name="Normal 4 10 2 2 4" xfId="33754" xr:uid="{00000000-0005-0000-0000-0000D9680000}"/>
    <cellStyle name="Normal 4 10 2 2 4 2" xfId="40927" xr:uid="{00000000-0005-0000-0000-0000DA680000}"/>
    <cellStyle name="Normal 4 10 2 2 5" xfId="40923" xr:uid="{00000000-0005-0000-0000-0000DB680000}"/>
    <cellStyle name="Normal 4 10 2 3" xfId="33755" xr:uid="{00000000-0005-0000-0000-0000DC680000}"/>
    <cellStyle name="Normal 4 10 2 3 2" xfId="40928" xr:uid="{00000000-0005-0000-0000-0000DD680000}"/>
    <cellStyle name="Normal 4 10 2 4" xfId="33756" xr:uid="{00000000-0005-0000-0000-0000DE680000}"/>
    <cellStyle name="Normal 4 10 2 4 2" xfId="40929" xr:uid="{00000000-0005-0000-0000-0000DF680000}"/>
    <cellStyle name="Normal 4 10 2 5" xfId="33757" xr:uid="{00000000-0005-0000-0000-0000E0680000}"/>
    <cellStyle name="Normal 4 10 2 5 2" xfId="40930" xr:uid="{00000000-0005-0000-0000-0000E1680000}"/>
    <cellStyle name="Normal 4 10 2 6" xfId="33758" xr:uid="{00000000-0005-0000-0000-0000E2680000}"/>
    <cellStyle name="Normal 4 10 2 6 2" xfId="40931" xr:uid="{00000000-0005-0000-0000-0000E3680000}"/>
    <cellStyle name="Normal 4 10 2 7" xfId="33759" xr:uid="{00000000-0005-0000-0000-0000E4680000}"/>
    <cellStyle name="Normal 4 10 2 7 2" xfId="40932" xr:uid="{00000000-0005-0000-0000-0000E5680000}"/>
    <cellStyle name="Normal 4 10 2 8" xfId="33760" xr:uid="{00000000-0005-0000-0000-0000E6680000}"/>
    <cellStyle name="Normal 4 10 2 8 2" xfId="40933" xr:uid="{00000000-0005-0000-0000-0000E7680000}"/>
    <cellStyle name="Normal 4 10 2 9" xfId="33761" xr:uid="{00000000-0005-0000-0000-0000E8680000}"/>
    <cellStyle name="Normal 4 10 2 9 2" xfId="40934" xr:uid="{00000000-0005-0000-0000-0000E9680000}"/>
    <cellStyle name="Normal 4 10 3" xfId="33762" xr:uid="{00000000-0005-0000-0000-0000EA680000}"/>
    <cellStyle name="Normal 4 10 3 2" xfId="33763" xr:uid="{00000000-0005-0000-0000-0000EB680000}"/>
    <cellStyle name="Normal 4 10 3 2 2" xfId="40936" xr:uid="{00000000-0005-0000-0000-0000EC680000}"/>
    <cellStyle name="Normal 4 10 3 3" xfId="33764" xr:uid="{00000000-0005-0000-0000-0000ED680000}"/>
    <cellStyle name="Normal 4 10 3 3 2" xfId="40937" xr:uid="{00000000-0005-0000-0000-0000EE680000}"/>
    <cellStyle name="Normal 4 10 3 4" xfId="33765" xr:uid="{00000000-0005-0000-0000-0000EF680000}"/>
    <cellStyle name="Normal 4 10 3 4 2" xfId="40938" xr:uid="{00000000-0005-0000-0000-0000F0680000}"/>
    <cellStyle name="Normal 4 10 3 5" xfId="40935" xr:uid="{00000000-0005-0000-0000-0000F1680000}"/>
    <cellStyle name="Normal 4 10 4" xfId="33766" xr:uid="{00000000-0005-0000-0000-0000F2680000}"/>
    <cellStyle name="Normal 4 10 4 2" xfId="33767" xr:uid="{00000000-0005-0000-0000-0000F3680000}"/>
    <cellStyle name="Normal 4 10 4 2 2" xfId="40940" xr:uid="{00000000-0005-0000-0000-0000F4680000}"/>
    <cellStyle name="Normal 4 10 4 3" xfId="40939" xr:uid="{00000000-0005-0000-0000-0000F5680000}"/>
    <cellStyle name="Normal 4 10 5" xfId="33768" xr:uid="{00000000-0005-0000-0000-0000F6680000}"/>
    <cellStyle name="Normal 4 10 5 2" xfId="40941" xr:uid="{00000000-0005-0000-0000-0000F7680000}"/>
    <cellStyle name="Normal 4 10 6" xfId="33769" xr:uid="{00000000-0005-0000-0000-0000F8680000}"/>
    <cellStyle name="Normal 4 10 6 2" xfId="40942" xr:uid="{00000000-0005-0000-0000-0000F9680000}"/>
    <cellStyle name="Normal 4 10 7" xfId="33770" xr:uid="{00000000-0005-0000-0000-0000FA680000}"/>
    <cellStyle name="Normal 4 10 7 2" xfId="40943" xr:uid="{00000000-0005-0000-0000-0000FB680000}"/>
    <cellStyle name="Normal 4 10 8" xfId="33771" xr:uid="{00000000-0005-0000-0000-0000FC680000}"/>
    <cellStyle name="Normal 4 10 8 2" xfId="40944" xr:uid="{00000000-0005-0000-0000-0000FD680000}"/>
    <cellStyle name="Normal 4 10 9" xfId="33772" xr:uid="{00000000-0005-0000-0000-0000FE680000}"/>
    <cellStyle name="Normal 4 10 9 2" xfId="40945" xr:uid="{00000000-0005-0000-0000-0000FF680000}"/>
    <cellStyle name="Normal 4 11" xfId="5698" xr:uid="{00000000-0005-0000-0000-000000690000}"/>
    <cellStyle name="Normal 4 11 10" xfId="33774" xr:uid="{00000000-0005-0000-0000-000001690000}"/>
    <cellStyle name="Normal 4 11 10 2" xfId="40947" xr:uid="{00000000-0005-0000-0000-000002690000}"/>
    <cellStyle name="Normal 4 11 11" xfId="33775" xr:uid="{00000000-0005-0000-0000-000003690000}"/>
    <cellStyle name="Normal 4 11 11 2" xfId="40948" xr:uid="{00000000-0005-0000-0000-000004690000}"/>
    <cellStyle name="Normal 4 11 12" xfId="33776" xr:uid="{00000000-0005-0000-0000-000005690000}"/>
    <cellStyle name="Normal 4 11 13" xfId="40946" xr:uid="{00000000-0005-0000-0000-000006690000}"/>
    <cellStyle name="Normal 4 11 14" xfId="33773" xr:uid="{00000000-0005-0000-0000-000007690000}"/>
    <cellStyle name="Normal 4 11 2" xfId="10555" xr:uid="{00000000-0005-0000-0000-000008690000}"/>
    <cellStyle name="Normal 4 11 2 2" xfId="33778" xr:uid="{00000000-0005-0000-0000-000009690000}"/>
    <cellStyle name="Normal 4 11 2 2 2" xfId="33779" xr:uid="{00000000-0005-0000-0000-00000A690000}"/>
    <cellStyle name="Normal 4 11 2 2 2 2" xfId="40951" xr:uid="{00000000-0005-0000-0000-00000B690000}"/>
    <cellStyle name="Normal 4 11 2 2 3" xfId="33780" xr:uid="{00000000-0005-0000-0000-00000C690000}"/>
    <cellStyle name="Normal 4 11 2 2 3 2" xfId="40952" xr:uid="{00000000-0005-0000-0000-00000D690000}"/>
    <cellStyle name="Normal 4 11 2 2 4" xfId="40950" xr:uid="{00000000-0005-0000-0000-00000E690000}"/>
    <cellStyle name="Normal 4 11 2 3" xfId="33781" xr:uid="{00000000-0005-0000-0000-00000F690000}"/>
    <cellStyle name="Normal 4 11 2 3 2" xfId="40953" xr:uid="{00000000-0005-0000-0000-000010690000}"/>
    <cellStyle name="Normal 4 11 2 4" xfId="33782" xr:uid="{00000000-0005-0000-0000-000011690000}"/>
    <cellStyle name="Normal 4 11 2 4 2" xfId="40954" xr:uid="{00000000-0005-0000-0000-000012690000}"/>
    <cellStyle name="Normal 4 11 2 5" xfId="33783" xr:uid="{00000000-0005-0000-0000-000013690000}"/>
    <cellStyle name="Normal 4 11 2 5 2" xfId="40955" xr:uid="{00000000-0005-0000-0000-000014690000}"/>
    <cellStyle name="Normal 4 11 2 6" xfId="33784" xr:uid="{00000000-0005-0000-0000-000015690000}"/>
    <cellStyle name="Normal 4 11 2 6 2" xfId="40956" xr:uid="{00000000-0005-0000-0000-000016690000}"/>
    <cellStyle name="Normal 4 11 2 7" xfId="33785" xr:uid="{00000000-0005-0000-0000-000017690000}"/>
    <cellStyle name="Normal 4 11 2 7 2" xfId="40957" xr:uid="{00000000-0005-0000-0000-000018690000}"/>
    <cellStyle name="Normal 4 11 2 8" xfId="40949" xr:uid="{00000000-0005-0000-0000-000019690000}"/>
    <cellStyle name="Normal 4 11 2 9" xfId="33777" xr:uid="{00000000-0005-0000-0000-00001A690000}"/>
    <cellStyle name="Normal 4 11 3" xfId="33786" xr:uid="{00000000-0005-0000-0000-00001B690000}"/>
    <cellStyle name="Normal 4 11 3 2" xfId="33787" xr:uid="{00000000-0005-0000-0000-00001C690000}"/>
    <cellStyle name="Normal 4 11 3 2 2" xfId="40959" xr:uid="{00000000-0005-0000-0000-00001D690000}"/>
    <cellStyle name="Normal 4 11 3 3" xfId="40958" xr:uid="{00000000-0005-0000-0000-00001E690000}"/>
    <cellStyle name="Normal 4 11 4" xfId="33788" xr:uid="{00000000-0005-0000-0000-00001F690000}"/>
    <cellStyle name="Normal 4 11 4 2" xfId="33789" xr:uid="{00000000-0005-0000-0000-000020690000}"/>
    <cellStyle name="Normal 4 11 4 2 2" xfId="40961" xr:uid="{00000000-0005-0000-0000-000021690000}"/>
    <cellStyle name="Normal 4 11 4 3" xfId="40960" xr:uid="{00000000-0005-0000-0000-000022690000}"/>
    <cellStyle name="Normal 4 11 5" xfId="33790" xr:uid="{00000000-0005-0000-0000-000023690000}"/>
    <cellStyle name="Normal 4 11 5 2" xfId="40962" xr:uid="{00000000-0005-0000-0000-000024690000}"/>
    <cellStyle name="Normal 4 11 6" xfId="33791" xr:uid="{00000000-0005-0000-0000-000025690000}"/>
    <cellStyle name="Normal 4 11 6 2" xfId="40963" xr:uid="{00000000-0005-0000-0000-000026690000}"/>
    <cellStyle name="Normal 4 11 7" xfId="33792" xr:uid="{00000000-0005-0000-0000-000027690000}"/>
    <cellStyle name="Normal 4 11 7 2" xfId="40964" xr:uid="{00000000-0005-0000-0000-000028690000}"/>
    <cellStyle name="Normal 4 11 8" xfId="33793" xr:uid="{00000000-0005-0000-0000-000029690000}"/>
    <cellStyle name="Normal 4 11 8 2" xfId="40965" xr:uid="{00000000-0005-0000-0000-00002A690000}"/>
    <cellStyle name="Normal 4 11 9" xfId="33794" xr:uid="{00000000-0005-0000-0000-00002B690000}"/>
    <cellStyle name="Normal 4 11 9 2" xfId="40966" xr:uid="{00000000-0005-0000-0000-00002C690000}"/>
    <cellStyle name="Normal 4 12" xfId="5699" xr:uid="{00000000-0005-0000-0000-00002D690000}"/>
    <cellStyle name="Normal 4 12 2" xfId="33796" xr:uid="{00000000-0005-0000-0000-00002E690000}"/>
    <cellStyle name="Normal 4 12 2 2" xfId="33797" xr:uid="{00000000-0005-0000-0000-00002F690000}"/>
    <cellStyle name="Normal 4 12 2 2 2" xfId="40969" xr:uid="{00000000-0005-0000-0000-000030690000}"/>
    <cellStyle name="Normal 4 12 2 3" xfId="33798" xr:uid="{00000000-0005-0000-0000-000031690000}"/>
    <cellStyle name="Normal 4 12 2 3 2" xfId="40970" xr:uid="{00000000-0005-0000-0000-000032690000}"/>
    <cellStyle name="Normal 4 12 2 4" xfId="33799" xr:uid="{00000000-0005-0000-0000-000033690000}"/>
    <cellStyle name="Normal 4 12 2 4 2" xfId="40971" xr:uid="{00000000-0005-0000-0000-000034690000}"/>
    <cellStyle name="Normal 4 12 2 5" xfId="33800" xr:uid="{00000000-0005-0000-0000-000035690000}"/>
    <cellStyle name="Normal 4 12 2 5 2" xfId="40972" xr:uid="{00000000-0005-0000-0000-000036690000}"/>
    <cellStyle name="Normal 4 12 2 6" xfId="33801" xr:uid="{00000000-0005-0000-0000-000037690000}"/>
    <cellStyle name="Normal 4 12 2 6 2" xfId="40973" xr:uid="{00000000-0005-0000-0000-000038690000}"/>
    <cellStyle name="Normal 4 12 2 7" xfId="40968" xr:uid="{00000000-0005-0000-0000-000039690000}"/>
    <cellStyle name="Normal 4 12 3" xfId="33802" xr:uid="{00000000-0005-0000-0000-00003A690000}"/>
    <cellStyle name="Normal 4 12 3 2" xfId="33803" xr:uid="{00000000-0005-0000-0000-00003B690000}"/>
    <cellStyle name="Normal 4 12 3 2 2" xfId="40975" xr:uid="{00000000-0005-0000-0000-00003C690000}"/>
    <cellStyle name="Normal 4 12 3 3" xfId="40974" xr:uid="{00000000-0005-0000-0000-00003D690000}"/>
    <cellStyle name="Normal 4 12 4" xfId="33804" xr:uid="{00000000-0005-0000-0000-00003E690000}"/>
    <cellStyle name="Normal 4 12 4 2" xfId="33805" xr:uid="{00000000-0005-0000-0000-00003F690000}"/>
    <cellStyle name="Normal 4 12 4 2 2" xfId="40977" xr:uid="{00000000-0005-0000-0000-000040690000}"/>
    <cellStyle name="Normal 4 12 4 3" xfId="40976" xr:uid="{00000000-0005-0000-0000-000041690000}"/>
    <cellStyle name="Normal 4 12 5" xfId="33806" xr:uid="{00000000-0005-0000-0000-000042690000}"/>
    <cellStyle name="Normal 4 12 5 2" xfId="40978" xr:uid="{00000000-0005-0000-0000-000043690000}"/>
    <cellStyle name="Normal 4 12 6" xfId="33807" xr:uid="{00000000-0005-0000-0000-000044690000}"/>
    <cellStyle name="Normal 4 12 6 2" xfId="40979" xr:uid="{00000000-0005-0000-0000-000045690000}"/>
    <cellStyle name="Normal 4 12 7" xfId="33808" xr:uid="{00000000-0005-0000-0000-000046690000}"/>
    <cellStyle name="Normal 4 12 7 2" xfId="40980" xr:uid="{00000000-0005-0000-0000-000047690000}"/>
    <cellStyle name="Normal 4 12 8" xfId="40967" xr:uid="{00000000-0005-0000-0000-000048690000}"/>
    <cellStyle name="Normal 4 12 9" xfId="33795" xr:uid="{00000000-0005-0000-0000-000049690000}"/>
    <cellStyle name="Normal 4 13" xfId="5700" xr:uid="{00000000-0005-0000-0000-00004A690000}"/>
    <cellStyle name="Normal 4 13 2" xfId="33810" xr:uid="{00000000-0005-0000-0000-00004B690000}"/>
    <cellStyle name="Normal 4 13 2 2" xfId="33811" xr:uid="{00000000-0005-0000-0000-00004C690000}"/>
    <cellStyle name="Normal 4 13 2 2 2" xfId="40983" xr:uid="{00000000-0005-0000-0000-00004D690000}"/>
    <cellStyle name="Normal 4 13 2 3" xfId="33812" xr:uid="{00000000-0005-0000-0000-00004E690000}"/>
    <cellStyle name="Normal 4 13 2 3 2" xfId="40984" xr:uid="{00000000-0005-0000-0000-00004F690000}"/>
    <cellStyle name="Normal 4 13 2 4" xfId="33813" xr:uid="{00000000-0005-0000-0000-000050690000}"/>
    <cellStyle name="Normal 4 13 2 4 2" xfId="40985" xr:uid="{00000000-0005-0000-0000-000051690000}"/>
    <cellStyle name="Normal 4 13 2 5" xfId="33814" xr:uid="{00000000-0005-0000-0000-000052690000}"/>
    <cellStyle name="Normal 4 13 2 5 2" xfId="40986" xr:uid="{00000000-0005-0000-0000-000053690000}"/>
    <cellStyle name="Normal 4 13 2 6" xfId="33815" xr:uid="{00000000-0005-0000-0000-000054690000}"/>
    <cellStyle name="Normal 4 13 2 6 2" xfId="40987" xr:uid="{00000000-0005-0000-0000-000055690000}"/>
    <cellStyle name="Normal 4 13 2 7" xfId="40982" xr:uid="{00000000-0005-0000-0000-000056690000}"/>
    <cellStyle name="Normal 4 13 3" xfId="33816" xr:uid="{00000000-0005-0000-0000-000057690000}"/>
    <cellStyle name="Normal 4 13 3 2" xfId="33817" xr:uid="{00000000-0005-0000-0000-000058690000}"/>
    <cellStyle name="Normal 4 13 3 2 2" xfId="40989" xr:uid="{00000000-0005-0000-0000-000059690000}"/>
    <cellStyle name="Normal 4 13 3 3" xfId="40988" xr:uid="{00000000-0005-0000-0000-00005A690000}"/>
    <cellStyle name="Normal 4 13 4" xfId="33818" xr:uid="{00000000-0005-0000-0000-00005B690000}"/>
    <cellStyle name="Normal 4 13 4 2" xfId="33819" xr:uid="{00000000-0005-0000-0000-00005C690000}"/>
    <cellStyle name="Normal 4 13 4 2 2" xfId="40991" xr:uid="{00000000-0005-0000-0000-00005D690000}"/>
    <cellStyle name="Normal 4 13 4 3" xfId="40990" xr:uid="{00000000-0005-0000-0000-00005E690000}"/>
    <cellStyle name="Normal 4 13 5" xfId="33820" xr:uid="{00000000-0005-0000-0000-00005F690000}"/>
    <cellStyle name="Normal 4 13 5 2" xfId="40992" xr:uid="{00000000-0005-0000-0000-000060690000}"/>
    <cellStyle name="Normal 4 13 6" xfId="33821" xr:uid="{00000000-0005-0000-0000-000061690000}"/>
    <cellStyle name="Normal 4 13 6 2" xfId="40993" xr:uid="{00000000-0005-0000-0000-000062690000}"/>
    <cellStyle name="Normal 4 13 7" xfId="40981" xr:uid="{00000000-0005-0000-0000-000063690000}"/>
    <cellStyle name="Normal 4 13 8" xfId="33809" xr:uid="{00000000-0005-0000-0000-000064690000}"/>
    <cellStyle name="Normal 4 14" xfId="33822" xr:uid="{00000000-0005-0000-0000-000065690000}"/>
    <cellStyle name="Normal 4 14 2" xfId="33823" xr:uid="{00000000-0005-0000-0000-000066690000}"/>
    <cellStyle name="Normal 4 14 2 2" xfId="33824" xr:uid="{00000000-0005-0000-0000-000067690000}"/>
    <cellStyle name="Normal 4 14 2 2 2" xfId="40996" xr:uid="{00000000-0005-0000-0000-000068690000}"/>
    <cellStyle name="Normal 4 14 2 3" xfId="33825" xr:uid="{00000000-0005-0000-0000-000069690000}"/>
    <cellStyle name="Normal 4 14 2 3 2" xfId="40997" xr:uid="{00000000-0005-0000-0000-00006A690000}"/>
    <cellStyle name="Normal 4 14 2 4" xfId="33826" xr:uid="{00000000-0005-0000-0000-00006B690000}"/>
    <cellStyle name="Normal 4 14 2 4 2" xfId="40998" xr:uid="{00000000-0005-0000-0000-00006C690000}"/>
    <cellStyle name="Normal 4 14 2 5" xfId="33827" xr:uid="{00000000-0005-0000-0000-00006D690000}"/>
    <cellStyle name="Normal 4 14 2 5 2" xfId="40999" xr:uid="{00000000-0005-0000-0000-00006E690000}"/>
    <cellStyle name="Normal 4 14 2 6" xfId="40995" xr:uid="{00000000-0005-0000-0000-00006F690000}"/>
    <cellStyle name="Normal 4 14 3" xfId="33828" xr:uid="{00000000-0005-0000-0000-000070690000}"/>
    <cellStyle name="Normal 4 14 3 2" xfId="33829" xr:uid="{00000000-0005-0000-0000-000071690000}"/>
    <cellStyle name="Normal 4 14 3 2 2" xfId="41001" xr:uid="{00000000-0005-0000-0000-000072690000}"/>
    <cellStyle name="Normal 4 14 3 3" xfId="41000" xr:uid="{00000000-0005-0000-0000-000073690000}"/>
    <cellStyle name="Normal 4 14 4" xfId="33830" xr:uid="{00000000-0005-0000-0000-000074690000}"/>
    <cellStyle name="Normal 4 14 4 2" xfId="33831" xr:uid="{00000000-0005-0000-0000-000075690000}"/>
    <cellStyle name="Normal 4 14 4 2 2" xfId="41003" xr:uid="{00000000-0005-0000-0000-000076690000}"/>
    <cellStyle name="Normal 4 14 4 3" xfId="41002" xr:uid="{00000000-0005-0000-0000-000077690000}"/>
    <cellStyle name="Normal 4 14 5" xfId="33832" xr:uid="{00000000-0005-0000-0000-000078690000}"/>
    <cellStyle name="Normal 4 14 5 2" xfId="41004" xr:uid="{00000000-0005-0000-0000-000079690000}"/>
    <cellStyle name="Normal 4 14 6" xfId="33833" xr:uid="{00000000-0005-0000-0000-00007A690000}"/>
    <cellStyle name="Normal 4 14 6 2" xfId="41005" xr:uid="{00000000-0005-0000-0000-00007B690000}"/>
    <cellStyle name="Normal 4 14 7" xfId="40994" xr:uid="{00000000-0005-0000-0000-00007C690000}"/>
    <cellStyle name="Normal 4 15" xfId="33834" xr:uid="{00000000-0005-0000-0000-00007D690000}"/>
    <cellStyle name="Normal 4 15 2" xfId="33835" xr:uid="{00000000-0005-0000-0000-00007E690000}"/>
    <cellStyle name="Normal 4 15 2 2" xfId="33836" xr:uid="{00000000-0005-0000-0000-00007F690000}"/>
    <cellStyle name="Normal 4 15 2 2 2" xfId="41008" xr:uid="{00000000-0005-0000-0000-000080690000}"/>
    <cellStyle name="Normal 4 15 2 3" xfId="33837" xr:uid="{00000000-0005-0000-0000-000081690000}"/>
    <cellStyle name="Normal 4 15 2 3 2" xfId="41009" xr:uid="{00000000-0005-0000-0000-000082690000}"/>
    <cellStyle name="Normal 4 15 2 4" xfId="33838" xr:uid="{00000000-0005-0000-0000-000083690000}"/>
    <cellStyle name="Normal 4 15 2 4 2" xfId="41010" xr:uid="{00000000-0005-0000-0000-000084690000}"/>
    <cellStyle name="Normal 4 15 2 5" xfId="33839" xr:uid="{00000000-0005-0000-0000-000085690000}"/>
    <cellStyle name="Normal 4 15 2 5 2" xfId="41011" xr:uid="{00000000-0005-0000-0000-000086690000}"/>
    <cellStyle name="Normal 4 15 2 6" xfId="41007" xr:uid="{00000000-0005-0000-0000-000087690000}"/>
    <cellStyle name="Normal 4 15 3" xfId="33840" xr:uid="{00000000-0005-0000-0000-000088690000}"/>
    <cellStyle name="Normal 4 15 3 2" xfId="33841" xr:uid="{00000000-0005-0000-0000-000089690000}"/>
    <cellStyle name="Normal 4 15 3 2 2" xfId="41013" xr:uid="{00000000-0005-0000-0000-00008A690000}"/>
    <cellStyle name="Normal 4 15 3 3" xfId="41012" xr:uid="{00000000-0005-0000-0000-00008B690000}"/>
    <cellStyle name="Normal 4 15 4" xfId="33842" xr:uid="{00000000-0005-0000-0000-00008C690000}"/>
    <cellStyle name="Normal 4 15 4 2" xfId="33843" xr:uid="{00000000-0005-0000-0000-00008D690000}"/>
    <cellStyle name="Normal 4 15 4 2 2" xfId="41015" xr:uid="{00000000-0005-0000-0000-00008E690000}"/>
    <cellStyle name="Normal 4 15 4 3" xfId="41014" xr:uid="{00000000-0005-0000-0000-00008F690000}"/>
    <cellStyle name="Normal 4 15 5" xfId="33844" xr:uid="{00000000-0005-0000-0000-000090690000}"/>
    <cellStyle name="Normal 4 15 5 2" xfId="41016" xr:uid="{00000000-0005-0000-0000-000091690000}"/>
    <cellStyle name="Normal 4 15 6" xfId="33845" xr:uid="{00000000-0005-0000-0000-000092690000}"/>
    <cellStyle name="Normal 4 15 6 2" xfId="41017" xr:uid="{00000000-0005-0000-0000-000093690000}"/>
    <cellStyle name="Normal 4 15 7" xfId="41006" xr:uid="{00000000-0005-0000-0000-000094690000}"/>
    <cellStyle name="Normal 4 16" xfId="33846" xr:uid="{00000000-0005-0000-0000-000095690000}"/>
    <cellStyle name="Normal 4 16 2" xfId="33847" xr:uid="{00000000-0005-0000-0000-000096690000}"/>
    <cellStyle name="Normal 4 16 2 2" xfId="33848" xr:uid="{00000000-0005-0000-0000-000097690000}"/>
    <cellStyle name="Normal 4 16 2 2 2" xfId="41020" xr:uid="{00000000-0005-0000-0000-000098690000}"/>
    <cellStyle name="Normal 4 16 2 3" xfId="41019" xr:uid="{00000000-0005-0000-0000-000099690000}"/>
    <cellStyle name="Normal 4 16 3" xfId="33849" xr:uid="{00000000-0005-0000-0000-00009A690000}"/>
    <cellStyle name="Normal 4 16 3 2" xfId="33850" xr:uid="{00000000-0005-0000-0000-00009B690000}"/>
    <cellStyle name="Normal 4 16 3 2 2" xfId="41022" xr:uid="{00000000-0005-0000-0000-00009C690000}"/>
    <cellStyle name="Normal 4 16 3 3" xfId="41021" xr:uid="{00000000-0005-0000-0000-00009D690000}"/>
    <cellStyle name="Normal 4 16 4" xfId="33851" xr:uid="{00000000-0005-0000-0000-00009E690000}"/>
    <cellStyle name="Normal 4 16 4 2" xfId="33852" xr:uid="{00000000-0005-0000-0000-00009F690000}"/>
    <cellStyle name="Normal 4 16 4 2 2" xfId="41024" xr:uid="{00000000-0005-0000-0000-0000A0690000}"/>
    <cellStyle name="Normal 4 16 4 3" xfId="41023" xr:uid="{00000000-0005-0000-0000-0000A1690000}"/>
    <cellStyle name="Normal 4 16 5" xfId="33853" xr:uid="{00000000-0005-0000-0000-0000A2690000}"/>
    <cellStyle name="Normal 4 16 5 2" xfId="41025" xr:uid="{00000000-0005-0000-0000-0000A3690000}"/>
    <cellStyle name="Normal 4 16 6" xfId="33854" xr:uid="{00000000-0005-0000-0000-0000A4690000}"/>
    <cellStyle name="Normal 4 16 6 2" xfId="41026" xr:uid="{00000000-0005-0000-0000-0000A5690000}"/>
    <cellStyle name="Normal 4 16 7" xfId="41018" xr:uid="{00000000-0005-0000-0000-0000A6690000}"/>
    <cellStyle name="Normal 4 17" xfId="33855" xr:uid="{00000000-0005-0000-0000-0000A7690000}"/>
    <cellStyle name="Normal 4 17 2" xfId="33856" xr:uid="{00000000-0005-0000-0000-0000A8690000}"/>
    <cellStyle name="Normal 4 17 2 2" xfId="33857" xr:uid="{00000000-0005-0000-0000-0000A9690000}"/>
    <cellStyle name="Normal 4 17 2 2 2" xfId="41029" xr:uid="{00000000-0005-0000-0000-0000AA690000}"/>
    <cellStyle name="Normal 4 17 2 3" xfId="41028" xr:uid="{00000000-0005-0000-0000-0000AB690000}"/>
    <cellStyle name="Normal 4 17 3" xfId="33858" xr:uid="{00000000-0005-0000-0000-0000AC690000}"/>
    <cellStyle name="Normal 4 17 3 2" xfId="33859" xr:uid="{00000000-0005-0000-0000-0000AD690000}"/>
    <cellStyle name="Normal 4 17 3 2 2" xfId="41031" xr:uid="{00000000-0005-0000-0000-0000AE690000}"/>
    <cellStyle name="Normal 4 17 3 3" xfId="41030" xr:uid="{00000000-0005-0000-0000-0000AF690000}"/>
    <cellStyle name="Normal 4 17 4" xfId="33860" xr:uid="{00000000-0005-0000-0000-0000B0690000}"/>
    <cellStyle name="Normal 4 17 4 2" xfId="33861" xr:uid="{00000000-0005-0000-0000-0000B1690000}"/>
    <cellStyle name="Normal 4 17 4 2 2" xfId="41033" xr:uid="{00000000-0005-0000-0000-0000B2690000}"/>
    <cellStyle name="Normal 4 17 4 3" xfId="41032" xr:uid="{00000000-0005-0000-0000-0000B3690000}"/>
    <cellStyle name="Normal 4 17 5" xfId="33862" xr:uid="{00000000-0005-0000-0000-0000B4690000}"/>
    <cellStyle name="Normal 4 17 5 2" xfId="41034" xr:uid="{00000000-0005-0000-0000-0000B5690000}"/>
    <cellStyle name="Normal 4 17 6" xfId="33863" xr:uid="{00000000-0005-0000-0000-0000B6690000}"/>
    <cellStyle name="Normal 4 17 6 2" xfId="41035" xr:uid="{00000000-0005-0000-0000-0000B7690000}"/>
    <cellStyle name="Normal 4 17 7" xfId="41027" xr:uid="{00000000-0005-0000-0000-0000B8690000}"/>
    <cellStyle name="Normal 4 18" xfId="33864" xr:uid="{00000000-0005-0000-0000-0000B9690000}"/>
    <cellStyle name="Normal 4 18 2" xfId="33865" xr:uid="{00000000-0005-0000-0000-0000BA690000}"/>
    <cellStyle name="Normal 4 18 2 2" xfId="41037" xr:uid="{00000000-0005-0000-0000-0000BB690000}"/>
    <cellStyle name="Normal 4 18 3" xfId="33866" xr:uid="{00000000-0005-0000-0000-0000BC690000}"/>
    <cellStyle name="Normal 4 18 3 2" xfId="41038" xr:uid="{00000000-0005-0000-0000-0000BD690000}"/>
    <cellStyle name="Normal 4 18 4" xfId="33867" xr:uid="{00000000-0005-0000-0000-0000BE690000}"/>
    <cellStyle name="Normal 4 18 4 2" xfId="41039" xr:uid="{00000000-0005-0000-0000-0000BF690000}"/>
    <cellStyle name="Normal 4 18 5" xfId="33868" xr:uid="{00000000-0005-0000-0000-0000C0690000}"/>
    <cellStyle name="Normal 4 18 5 2" xfId="41040" xr:uid="{00000000-0005-0000-0000-0000C1690000}"/>
    <cellStyle name="Normal 4 18 6" xfId="33869" xr:uid="{00000000-0005-0000-0000-0000C2690000}"/>
    <cellStyle name="Normal 4 18 6 2" xfId="41041" xr:uid="{00000000-0005-0000-0000-0000C3690000}"/>
    <cellStyle name="Normal 4 18 7" xfId="41036" xr:uid="{00000000-0005-0000-0000-0000C4690000}"/>
    <cellStyle name="Normal 4 19" xfId="33870" xr:uid="{00000000-0005-0000-0000-0000C5690000}"/>
    <cellStyle name="Normal 4 19 2" xfId="33871" xr:uid="{00000000-0005-0000-0000-0000C6690000}"/>
    <cellStyle name="Normal 4 19 2 2" xfId="41043" xr:uid="{00000000-0005-0000-0000-0000C7690000}"/>
    <cellStyle name="Normal 4 19 3" xfId="33872" xr:uid="{00000000-0005-0000-0000-0000C8690000}"/>
    <cellStyle name="Normal 4 19 3 2" xfId="41044" xr:uid="{00000000-0005-0000-0000-0000C9690000}"/>
    <cellStyle name="Normal 4 19 4" xfId="33873" xr:uid="{00000000-0005-0000-0000-0000CA690000}"/>
    <cellStyle name="Normal 4 19 4 2" xfId="41045" xr:uid="{00000000-0005-0000-0000-0000CB690000}"/>
    <cellStyle name="Normal 4 19 5" xfId="33874" xr:uid="{00000000-0005-0000-0000-0000CC690000}"/>
    <cellStyle name="Normal 4 19 5 2" xfId="41046" xr:uid="{00000000-0005-0000-0000-0000CD690000}"/>
    <cellStyle name="Normal 4 19 6" xfId="33875" xr:uid="{00000000-0005-0000-0000-0000CE690000}"/>
    <cellStyle name="Normal 4 19 6 2" xfId="41047" xr:uid="{00000000-0005-0000-0000-0000CF690000}"/>
    <cellStyle name="Normal 4 19 7" xfId="41042" xr:uid="{00000000-0005-0000-0000-0000D0690000}"/>
    <cellStyle name="Normal 4 2" xfId="5701" xr:uid="{00000000-0005-0000-0000-0000D1690000}"/>
    <cellStyle name="Normal 4 2 10" xfId="33876" xr:uid="{00000000-0005-0000-0000-0000D2690000}"/>
    <cellStyle name="Normal 4 2 10 2" xfId="33877" xr:uid="{00000000-0005-0000-0000-0000D3690000}"/>
    <cellStyle name="Normal 4 2 10 3" xfId="41048" xr:uid="{00000000-0005-0000-0000-0000D4690000}"/>
    <cellStyle name="Normal 4 2 11" xfId="33878" xr:uid="{00000000-0005-0000-0000-0000D5690000}"/>
    <cellStyle name="Normal 4 2 11 2" xfId="41049" xr:uid="{00000000-0005-0000-0000-0000D6690000}"/>
    <cellStyle name="Normal 4 2 12" xfId="33879" xr:uid="{00000000-0005-0000-0000-0000D7690000}"/>
    <cellStyle name="Normal 4 2 2" xfId="5702" xr:uid="{00000000-0005-0000-0000-0000D8690000}"/>
    <cellStyle name="Normal 4 2 2 10" xfId="41050" xr:uid="{00000000-0005-0000-0000-0000D9690000}"/>
    <cellStyle name="Normal 4 2 2 11" xfId="33880" xr:uid="{00000000-0005-0000-0000-0000DA690000}"/>
    <cellStyle name="Normal 4 2 2 2" xfId="10556" xr:uid="{00000000-0005-0000-0000-0000DB690000}"/>
    <cellStyle name="Normal 4 2 2 2 2" xfId="33882" xr:uid="{00000000-0005-0000-0000-0000DC690000}"/>
    <cellStyle name="Normal 4 2 2 2 2 2" xfId="33883" xr:uid="{00000000-0005-0000-0000-0000DD690000}"/>
    <cellStyle name="Normal 4 2 2 2 2 2 2" xfId="41053" xr:uid="{00000000-0005-0000-0000-0000DE690000}"/>
    <cellStyle name="Normal 4 2 2 2 2 3" xfId="33884" xr:uid="{00000000-0005-0000-0000-0000DF690000}"/>
    <cellStyle name="Normal 4 2 2 2 2 3 2" xfId="41054" xr:uid="{00000000-0005-0000-0000-0000E0690000}"/>
    <cellStyle name="Normal 4 2 2 2 2 4" xfId="33885" xr:uid="{00000000-0005-0000-0000-0000E1690000}"/>
    <cellStyle name="Normal 4 2 2 2 2 5" xfId="33886" xr:uid="{00000000-0005-0000-0000-0000E2690000}"/>
    <cellStyle name="Normal 4 2 2 2 2 6" xfId="41052" xr:uid="{00000000-0005-0000-0000-0000E3690000}"/>
    <cellStyle name="Normal 4 2 2 2 3" xfId="33887" xr:uid="{00000000-0005-0000-0000-0000E4690000}"/>
    <cellStyle name="Normal 4 2 2 2 3 2" xfId="41055" xr:uid="{00000000-0005-0000-0000-0000E5690000}"/>
    <cellStyle name="Normal 4 2 2 2 4" xfId="33888" xr:uid="{00000000-0005-0000-0000-0000E6690000}"/>
    <cellStyle name="Normal 4 2 2 2 4 2" xfId="41056" xr:uid="{00000000-0005-0000-0000-0000E7690000}"/>
    <cellStyle name="Normal 4 2 2 2 5" xfId="33889" xr:uid="{00000000-0005-0000-0000-0000E8690000}"/>
    <cellStyle name="Normal 4 2 2 2 6" xfId="33890" xr:uid="{00000000-0005-0000-0000-0000E9690000}"/>
    <cellStyle name="Normal 4 2 2 2 7" xfId="41051" xr:uid="{00000000-0005-0000-0000-0000EA690000}"/>
    <cellStyle name="Normal 4 2 2 2 8" xfId="33881" xr:uid="{00000000-0005-0000-0000-0000EB690000}"/>
    <cellStyle name="Normal 4 2 2 3" xfId="33891" xr:uid="{00000000-0005-0000-0000-0000EC690000}"/>
    <cellStyle name="Normal 4 2 2 3 2" xfId="33892" xr:uid="{00000000-0005-0000-0000-0000ED690000}"/>
    <cellStyle name="Normal 4 2 2 3 2 2" xfId="41058" xr:uid="{00000000-0005-0000-0000-0000EE690000}"/>
    <cellStyle name="Normal 4 2 2 3 3" xfId="33893" xr:uid="{00000000-0005-0000-0000-0000EF690000}"/>
    <cellStyle name="Normal 4 2 2 3 3 2" xfId="41059" xr:uid="{00000000-0005-0000-0000-0000F0690000}"/>
    <cellStyle name="Normal 4 2 2 3 4" xfId="33894" xr:uid="{00000000-0005-0000-0000-0000F1690000}"/>
    <cellStyle name="Normal 4 2 2 3 5" xfId="33895" xr:uid="{00000000-0005-0000-0000-0000F2690000}"/>
    <cellStyle name="Normal 4 2 2 3 6" xfId="41057" xr:uid="{00000000-0005-0000-0000-0000F3690000}"/>
    <cellStyle name="Normal 4 2 2 4" xfId="33896" xr:uid="{00000000-0005-0000-0000-0000F4690000}"/>
    <cellStyle name="Normal 4 2 2 4 2" xfId="41060" xr:uid="{00000000-0005-0000-0000-0000F5690000}"/>
    <cellStyle name="Normal 4 2 2 5" xfId="33897" xr:uid="{00000000-0005-0000-0000-0000F6690000}"/>
    <cellStyle name="Normal 4 2 2 5 2" xfId="41061" xr:uid="{00000000-0005-0000-0000-0000F7690000}"/>
    <cellStyle name="Normal 4 2 2 6" xfId="33898" xr:uid="{00000000-0005-0000-0000-0000F8690000}"/>
    <cellStyle name="Normal 4 2 2 7" xfId="33899" xr:uid="{00000000-0005-0000-0000-0000F9690000}"/>
    <cellStyle name="Normal 4 2 2 7 2" xfId="33900" xr:uid="{00000000-0005-0000-0000-0000FA690000}"/>
    <cellStyle name="Normal 4 2 2 7 3" xfId="33901" xr:uid="{00000000-0005-0000-0000-0000FB690000}"/>
    <cellStyle name="Normal 4 2 2 8" xfId="33902" xr:uid="{00000000-0005-0000-0000-0000FC690000}"/>
    <cellStyle name="Normal 4 2 2 9" xfId="33903" xr:uid="{00000000-0005-0000-0000-0000FD690000}"/>
    <cellStyle name="Normal 4 2 3" xfId="10557" xr:uid="{00000000-0005-0000-0000-0000FE690000}"/>
    <cellStyle name="Normal 4 2 3 2" xfId="33905" xr:uid="{00000000-0005-0000-0000-0000FF690000}"/>
    <cellStyle name="Normal 4 2 3 2 2" xfId="33906" xr:uid="{00000000-0005-0000-0000-0000006A0000}"/>
    <cellStyle name="Normal 4 2 3 2 2 2" xfId="41064" xr:uid="{00000000-0005-0000-0000-0000016A0000}"/>
    <cellStyle name="Normal 4 2 3 2 3" xfId="33907" xr:uid="{00000000-0005-0000-0000-0000026A0000}"/>
    <cellStyle name="Normal 4 2 3 2 3 2" xfId="41065" xr:uid="{00000000-0005-0000-0000-0000036A0000}"/>
    <cellStyle name="Normal 4 2 3 2 4" xfId="33908" xr:uid="{00000000-0005-0000-0000-0000046A0000}"/>
    <cellStyle name="Normal 4 2 3 2 5" xfId="33909" xr:uid="{00000000-0005-0000-0000-0000056A0000}"/>
    <cellStyle name="Normal 4 2 3 2 6" xfId="41063" xr:uid="{00000000-0005-0000-0000-0000066A0000}"/>
    <cellStyle name="Normal 4 2 3 3" xfId="33910" xr:uid="{00000000-0005-0000-0000-0000076A0000}"/>
    <cellStyle name="Normal 4 2 3 3 2" xfId="41066" xr:uid="{00000000-0005-0000-0000-0000086A0000}"/>
    <cellStyle name="Normal 4 2 3 4" xfId="33911" xr:uid="{00000000-0005-0000-0000-0000096A0000}"/>
    <cellStyle name="Normal 4 2 3 4 2" xfId="41067" xr:uid="{00000000-0005-0000-0000-00000A6A0000}"/>
    <cellStyle name="Normal 4 2 3 5" xfId="33912" xr:uid="{00000000-0005-0000-0000-00000B6A0000}"/>
    <cellStyle name="Normal 4 2 3 6" xfId="33913" xr:uid="{00000000-0005-0000-0000-00000C6A0000}"/>
    <cellStyle name="Normal 4 2 3 7" xfId="41062" xr:uid="{00000000-0005-0000-0000-00000D6A0000}"/>
    <cellStyle name="Normal 4 2 3 8" xfId="33904" xr:uid="{00000000-0005-0000-0000-00000E6A0000}"/>
    <cellStyle name="Normal 4 2 4" xfId="33914" xr:uid="{00000000-0005-0000-0000-00000F6A0000}"/>
    <cellStyle name="Normal 4 2 4 2" xfId="33915" xr:uid="{00000000-0005-0000-0000-0000106A0000}"/>
    <cellStyle name="Normal 4 2 4 2 2" xfId="41069" xr:uid="{00000000-0005-0000-0000-0000116A0000}"/>
    <cellStyle name="Normal 4 2 4 3" xfId="33916" xr:uid="{00000000-0005-0000-0000-0000126A0000}"/>
    <cellStyle name="Normal 4 2 4 3 2" xfId="41070" xr:uid="{00000000-0005-0000-0000-0000136A0000}"/>
    <cellStyle name="Normal 4 2 4 4" xfId="33917" xr:uid="{00000000-0005-0000-0000-0000146A0000}"/>
    <cellStyle name="Normal 4 2 4 5" xfId="33918" xr:uid="{00000000-0005-0000-0000-0000156A0000}"/>
    <cellStyle name="Normal 4 2 4 6" xfId="41068" xr:uid="{00000000-0005-0000-0000-0000166A0000}"/>
    <cellStyle name="Normal 4 2 5" xfId="33919" xr:uid="{00000000-0005-0000-0000-0000176A0000}"/>
    <cellStyle name="Normal 4 2 5 2" xfId="33920" xr:uid="{00000000-0005-0000-0000-0000186A0000}"/>
    <cellStyle name="Normal 4 2 5 2 2" xfId="33921" xr:uid="{00000000-0005-0000-0000-0000196A0000}"/>
    <cellStyle name="Normal 4 2 5 2 2 2" xfId="33922" xr:uid="{00000000-0005-0000-0000-00001A6A0000}"/>
    <cellStyle name="Normal 4 2 5 2 2 2 2" xfId="33923" xr:uid="{00000000-0005-0000-0000-00001B6A0000}"/>
    <cellStyle name="Normal 4 2 5 2 2 2 3" xfId="41074" xr:uid="{00000000-0005-0000-0000-00001C6A0000}"/>
    <cellStyle name="Normal 4 2 5 2 2 3" xfId="33924" xr:uid="{00000000-0005-0000-0000-00001D6A0000}"/>
    <cellStyle name="Normal 4 2 5 2 2 4" xfId="33925" xr:uid="{00000000-0005-0000-0000-00001E6A0000}"/>
    <cellStyle name="Normal 4 2 5 2 2 5" xfId="41073" xr:uid="{00000000-0005-0000-0000-00001F6A0000}"/>
    <cellStyle name="Normal 4 2 5 2 3" xfId="33926" xr:uid="{00000000-0005-0000-0000-0000206A0000}"/>
    <cellStyle name="Normal 4 2 5 2 3 2" xfId="33927" xr:uid="{00000000-0005-0000-0000-0000216A0000}"/>
    <cellStyle name="Normal 4 2 5 2 3 3" xfId="41075" xr:uid="{00000000-0005-0000-0000-0000226A0000}"/>
    <cellStyle name="Normal 4 2 5 2 4" xfId="33928" xr:uid="{00000000-0005-0000-0000-0000236A0000}"/>
    <cellStyle name="Normal 4 2 5 2 5" xfId="33929" xr:uid="{00000000-0005-0000-0000-0000246A0000}"/>
    <cellStyle name="Normal 4 2 5 2 6" xfId="41072" xr:uid="{00000000-0005-0000-0000-0000256A0000}"/>
    <cellStyle name="Normal 4 2 5 3" xfId="33930" xr:uid="{00000000-0005-0000-0000-0000266A0000}"/>
    <cellStyle name="Normal 4 2 5 3 2" xfId="33931" xr:uid="{00000000-0005-0000-0000-0000276A0000}"/>
    <cellStyle name="Normal 4 2 5 3 2 2" xfId="41077" xr:uid="{00000000-0005-0000-0000-0000286A0000}"/>
    <cellStyle name="Normal 4 2 5 3 3" xfId="41076" xr:uid="{00000000-0005-0000-0000-0000296A0000}"/>
    <cellStyle name="Normal 4 2 5 4" xfId="33932" xr:uid="{00000000-0005-0000-0000-00002A6A0000}"/>
    <cellStyle name="Normal 4 2 5 4 2" xfId="33933" xr:uid="{00000000-0005-0000-0000-00002B6A0000}"/>
    <cellStyle name="Normal 4 2 5 4 3" xfId="41078" xr:uid="{00000000-0005-0000-0000-00002C6A0000}"/>
    <cellStyle name="Normal 4 2 5 5" xfId="33934" xr:uid="{00000000-0005-0000-0000-00002D6A0000}"/>
    <cellStyle name="Normal 4 2 5 5 2" xfId="33935" xr:uid="{00000000-0005-0000-0000-00002E6A0000}"/>
    <cellStyle name="Normal 4 2 5 5 3" xfId="41079" xr:uid="{00000000-0005-0000-0000-00002F6A0000}"/>
    <cellStyle name="Normal 4 2 5 6" xfId="33936" xr:uid="{00000000-0005-0000-0000-0000306A0000}"/>
    <cellStyle name="Normal 4 2 5 7" xfId="33937" xr:uid="{00000000-0005-0000-0000-0000316A0000}"/>
    <cellStyle name="Normal 4 2 5 8" xfId="41071" xr:uid="{00000000-0005-0000-0000-0000326A0000}"/>
    <cellStyle name="Normal 4 2 6" xfId="33938" xr:uid="{00000000-0005-0000-0000-0000336A0000}"/>
    <cellStyle name="Normal 4 2 6 2" xfId="33939" xr:uid="{00000000-0005-0000-0000-0000346A0000}"/>
    <cellStyle name="Normal 4 2 6 3" xfId="41080" xr:uid="{00000000-0005-0000-0000-0000356A0000}"/>
    <cellStyle name="Normal 4 2 7" xfId="33940" xr:uid="{00000000-0005-0000-0000-0000366A0000}"/>
    <cellStyle name="Normal 4 2 7 2" xfId="41081" xr:uid="{00000000-0005-0000-0000-0000376A0000}"/>
    <cellStyle name="Normal 4 2 8" xfId="33941" xr:uid="{00000000-0005-0000-0000-0000386A0000}"/>
    <cellStyle name="Normal 4 2 8 2" xfId="33942" xr:uid="{00000000-0005-0000-0000-0000396A0000}"/>
    <cellStyle name="Normal 4 2 8 3" xfId="41082" xr:uid="{00000000-0005-0000-0000-00003A6A0000}"/>
    <cellStyle name="Normal 4 2 9" xfId="33943" xr:uid="{00000000-0005-0000-0000-00003B6A0000}"/>
    <cellStyle name="Normal 4 2 9 2" xfId="33944" xr:uid="{00000000-0005-0000-0000-00003C6A0000}"/>
    <cellStyle name="Normal 4 2 9 3" xfId="41083" xr:uid="{00000000-0005-0000-0000-00003D6A0000}"/>
    <cellStyle name="Normal 4 20" xfId="33945" xr:uid="{00000000-0005-0000-0000-00003E6A0000}"/>
    <cellStyle name="Normal 4 20 2" xfId="33946" xr:uid="{00000000-0005-0000-0000-00003F6A0000}"/>
    <cellStyle name="Normal 4 20 2 2" xfId="33947" xr:uid="{00000000-0005-0000-0000-0000406A0000}"/>
    <cellStyle name="Normal 4 20 2 2 2" xfId="33948" xr:uid="{00000000-0005-0000-0000-0000416A0000}"/>
    <cellStyle name="Normal 4 20 2 2 2 2" xfId="41087" xr:uid="{00000000-0005-0000-0000-0000426A0000}"/>
    <cellStyle name="Normal 4 20 2 2 3" xfId="41086" xr:uid="{00000000-0005-0000-0000-0000436A0000}"/>
    <cellStyle name="Normal 4 20 2 3" xfId="33949" xr:uid="{00000000-0005-0000-0000-0000446A0000}"/>
    <cellStyle name="Normal 4 20 2 3 2" xfId="41088" xr:uid="{00000000-0005-0000-0000-0000456A0000}"/>
    <cellStyle name="Normal 4 20 2 4" xfId="33950" xr:uid="{00000000-0005-0000-0000-0000466A0000}"/>
    <cellStyle name="Normal 4 20 2 4 2" xfId="41089" xr:uid="{00000000-0005-0000-0000-0000476A0000}"/>
    <cellStyle name="Normal 4 20 2 5" xfId="41085" xr:uid="{00000000-0005-0000-0000-0000486A0000}"/>
    <cellStyle name="Normal 4 20 3" xfId="33951" xr:uid="{00000000-0005-0000-0000-0000496A0000}"/>
    <cellStyle name="Normal 4 20 3 2" xfId="33952" xr:uid="{00000000-0005-0000-0000-00004A6A0000}"/>
    <cellStyle name="Normal 4 20 3 2 2" xfId="41091" xr:uid="{00000000-0005-0000-0000-00004B6A0000}"/>
    <cellStyle name="Normal 4 20 3 3" xfId="41090" xr:uid="{00000000-0005-0000-0000-00004C6A0000}"/>
    <cellStyle name="Normal 4 20 4" xfId="33953" xr:uid="{00000000-0005-0000-0000-00004D6A0000}"/>
    <cellStyle name="Normal 4 20 4 2" xfId="41092" xr:uid="{00000000-0005-0000-0000-00004E6A0000}"/>
    <cellStyle name="Normal 4 20 5" xfId="33954" xr:uid="{00000000-0005-0000-0000-00004F6A0000}"/>
    <cellStyle name="Normal 4 20 5 2" xfId="41093" xr:uid="{00000000-0005-0000-0000-0000506A0000}"/>
    <cellStyle name="Normal 4 20 6" xfId="41084" xr:uid="{00000000-0005-0000-0000-0000516A0000}"/>
    <cellStyle name="Normal 4 21" xfId="33955" xr:uid="{00000000-0005-0000-0000-0000526A0000}"/>
    <cellStyle name="Normal 4 21 2" xfId="33956" xr:uid="{00000000-0005-0000-0000-0000536A0000}"/>
    <cellStyle name="Normal 4 21 2 2" xfId="33957" xr:uid="{00000000-0005-0000-0000-0000546A0000}"/>
    <cellStyle name="Normal 4 21 2 2 2" xfId="41096" xr:uid="{00000000-0005-0000-0000-0000556A0000}"/>
    <cellStyle name="Normal 4 21 2 3" xfId="33958" xr:uid="{00000000-0005-0000-0000-0000566A0000}"/>
    <cellStyle name="Normal 4 21 2 3 2" xfId="41097" xr:uid="{00000000-0005-0000-0000-0000576A0000}"/>
    <cellStyle name="Normal 4 21 2 4" xfId="41095" xr:uid="{00000000-0005-0000-0000-0000586A0000}"/>
    <cellStyle name="Normal 4 21 3" xfId="33959" xr:uid="{00000000-0005-0000-0000-0000596A0000}"/>
    <cellStyle name="Normal 4 21 3 2" xfId="33960" xr:uid="{00000000-0005-0000-0000-00005A6A0000}"/>
    <cellStyle name="Normal 4 21 3 2 2" xfId="41099" xr:uid="{00000000-0005-0000-0000-00005B6A0000}"/>
    <cellStyle name="Normal 4 21 3 3" xfId="41098" xr:uid="{00000000-0005-0000-0000-00005C6A0000}"/>
    <cellStyle name="Normal 4 21 4" xfId="33961" xr:uid="{00000000-0005-0000-0000-00005D6A0000}"/>
    <cellStyle name="Normal 4 21 4 2" xfId="41100" xr:uid="{00000000-0005-0000-0000-00005E6A0000}"/>
    <cellStyle name="Normal 4 21 5" xfId="33962" xr:uid="{00000000-0005-0000-0000-00005F6A0000}"/>
    <cellStyle name="Normal 4 21 5 2" xfId="41101" xr:uid="{00000000-0005-0000-0000-0000606A0000}"/>
    <cellStyle name="Normal 4 21 6" xfId="41094" xr:uid="{00000000-0005-0000-0000-0000616A0000}"/>
    <cellStyle name="Normal 4 22" xfId="33963" xr:uid="{00000000-0005-0000-0000-0000626A0000}"/>
    <cellStyle name="Normal 4 22 2" xfId="33964" xr:uid="{00000000-0005-0000-0000-0000636A0000}"/>
    <cellStyle name="Normal 4 22 2 2" xfId="33965" xr:uid="{00000000-0005-0000-0000-0000646A0000}"/>
    <cellStyle name="Normal 4 22 2 2 2" xfId="41104" xr:uid="{00000000-0005-0000-0000-0000656A0000}"/>
    <cellStyle name="Normal 4 22 2 3" xfId="41103" xr:uid="{00000000-0005-0000-0000-0000666A0000}"/>
    <cellStyle name="Normal 4 22 3" xfId="33966" xr:uid="{00000000-0005-0000-0000-0000676A0000}"/>
    <cellStyle name="Normal 4 22 3 2" xfId="41105" xr:uid="{00000000-0005-0000-0000-0000686A0000}"/>
    <cellStyle name="Normal 4 22 4" xfId="33967" xr:uid="{00000000-0005-0000-0000-0000696A0000}"/>
    <cellStyle name="Normal 4 22 4 2" xfId="41106" xr:uid="{00000000-0005-0000-0000-00006A6A0000}"/>
    <cellStyle name="Normal 4 22 5" xfId="41102" xr:uid="{00000000-0005-0000-0000-00006B6A0000}"/>
    <cellStyle name="Normal 4 23" xfId="33968" xr:uid="{00000000-0005-0000-0000-00006C6A0000}"/>
    <cellStyle name="Normal 4 23 2" xfId="33969" xr:uid="{00000000-0005-0000-0000-00006D6A0000}"/>
    <cellStyle name="Normal 4 23 2 2" xfId="41108" xr:uid="{00000000-0005-0000-0000-00006E6A0000}"/>
    <cellStyle name="Normal 4 23 3" xfId="41107" xr:uid="{00000000-0005-0000-0000-00006F6A0000}"/>
    <cellStyle name="Normal 4 24" xfId="33970" xr:uid="{00000000-0005-0000-0000-0000706A0000}"/>
    <cellStyle name="Normal 4 24 2" xfId="41109" xr:uid="{00000000-0005-0000-0000-0000716A0000}"/>
    <cellStyle name="Normal 4 25" xfId="33971" xr:uid="{00000000-0005-0000-0000-0000726A0000}"/>
    <cellStyle name="Normal 4 25 2" xfId="41110" xr:uid="{00000000-0005-0000-0000-0000736A0000}"/>
    <cellStyle name="Normal 4 26" xfId="33972" xr:uid="{00000000-0005-0000-0000-0000746A0000}"/>
    <cellStyle name="Normal 4 26 2" xfId="41111" xr:uid="{00000000-0005-0000-0000-0000756A0000}"/>
    <cellStyle name="Normal 4 27" xfId="33973" xr:uid="{00000000-0005-0000-0000-0000766A0000}"/>
    <cellStyle name="Normal 4 27 2" xfId="41112" xr:uid="{00000000-0005-0000-0000-0000776A0000}"/>
    <cellStyle name="Normal 4 28" xfId="33974" xr:uid="{00000000-0005-0000-0000-0000786A0000}"/>
    <cellStyle name="Normal 4 28 2" xfId="41113" xr:uid="{00000000-0005-0000-0000-0000796A0000}"/>
    <cellStyle name="Normal 4 29" xfId="33975" xr:uid="{00000000-0005-0000-0000-00007A6A0000}"/>
    <cellStyle name="Normal 4 29 2" xfId="41114" xr:uid="{00000000-0005-0000-0000-00007B6A0000}"/>
    <cellStyle name="Normal 4 3" xfId="5703" xr:uid="{00000000-0005-0000-0000-00007C6A0000}"/>
    <cellStyle name="Normal 4 3 10" xfId="33976" xr:uid="{00000000-0005-0000-0000-00007D6A0000}"/>
    <cellStyle name="Normal 4 3 10 2" xfId="41115" xr:uid="{00000000-0005-0000-0000-00007E6A0000}"/>
    <cellStyle name="Normal 4 3 11" xfId="33977" xr:uid="{00000000-0005-0000-0000-00007F6A0000}"/>
    <cellStyle name="Normal 4 3 11 2" xfId="41116" xr:uid="{00000000-0005-0000-0000-0000806A0000}"/>
    <cellStyle name="Normal 4 3 2" xfId="5704" xr:uid="{00000000-0005-0000-0000-0000816A0000}"/>
    <cellStyle name="Normal 4 3 2 10" xfId="33978" xr:uid="{00000000-0005-0000-0000-0000826A0000}"/>
    <cellStyle name="Normal 4 3 2 2" xfId="10558" xr:uid="{00000000-0005-0000-0000-0000836A0000}"/>
    <cellStyle name="Normal 4 3 2 2 2" xfId="33980" xr:uid="{00000000-0005-0000-0000-0000846A0000}"/>
    <cellStyle name="Normal 4 3 2 2 2 2" xfId="33981" xr:uid="{00000000-0005-0000-0000-0000856A0000}"/>
    <cellStyle name="Normal 4 3 2 2 2 2 2" xfId="41120" xr:uid="{00000000-0005-0000-0000-0000866A0000}"/>
    <cellStyle name="Normal 4 3 2 2 2 3" xfId="33982" xr:uid="{00000000-0005-0000-0000-0000876A0000}"/>
    <cellStyle name="Normal 4 3 2 2 2 3 2" xfId="41121" xr:uid="{00000000-0005-0000-0000-0000886A0000}"/>
    <cellStyle name="Normal 4 3 2 2 2 4" xfId="41119" xr:uid="{00000000-0005-0000-0000-0000896A0000}"/>
    <cellStyle name="Normal 4 3 2 2 3" xfId="33983" xr:uid="{00000000-0005-0000-0000-00008A6A0000}"/>
    <cellStyle name="Normal 4 3 2 2 3 2" xfId="33984" xr:uid="{00000000-0005-0000-0000-00008B6A0000}"/>
    <cellStyle name="Normal 4 3 2 2 3 2 2" xfId="41123" xr:uid="{00000000-0005-0000-0000-00008C6A0000}"/>
    <cellStyle name="Normal 4 3 2 2 3 3" xfId="41122" xr:uid="{00000000-0005-0000-0000-00008D6A0000}"/>
    <cellStyle name="Normal 4 3 2 2 4" xfId="33985" xr:uid="{00000000-0005-0000-0000-00008E6A0000}"/>
    <cellStyle name="Normal 4 3 2 2 4 2" xfId="33986" xr:uid="{00000000-0005-0000-0000-00008F6A0000}"/>
    <cellStyle name="Normal 4 3 2 2 4 3" xfId="41124" xr:uid="{00000000-0005-0000-0000-0000906A0000}"/>
    <cellStyle name="Normal 4 3 2 2 5" xfId="33987" xr:uid="{00000000-0005-0000-0000-0000916A0000}"/>
    <cellStyle name="Normal 4 3 2 2 6" xfId="41118" xr:uid="{00000000-0005-0000-0000-0000926A0000}"/>
    <cellStyle name="Normal 4 3 2 2 7" xfId="33979" xr:uid="{00000000-0005-0000-0000-0000936A0000}"/>
    <cellStyle name="Normal 4 3 2 3" xfId="33988" xr:uid="{00000000-0005-0000-0000-0000946A0000}"/>
    <cellStyle name="Normal 4 3 2 3 2" xfId="33989" xr:uid="{00000000-0005-0000-0000-0000956A0000}"/>
    <cellStyle name="Normal 4 3 2 3 2 2" xfId="33990" xr:uid="{00000000-0005-0000-0000-0000966A0000}"/>
    <cellStyle name="Normal 4 3 2 3 2 2 2" xfId="41127" xr:uid="{00000000-0005-0000-0000-0000976A0000}"/>
    <cellStyle name="Normal 4 3 2 3 2 3" xfId="41126" xr:uid="{00000000-0005-0000-0000-0000986A0000}"/>
    <cellStyle name="Normal 4 3 2 3 3" xfId="33991" xr:uid="{00000000-0005-0000-0000-0000996A0000}"/>
    <cellStyle name="Normal 4 3 2 3 3 2" xfId="41128" xr:uid="{00000000-0005-0000-0000-00009A6A0000}"/>
    <cellStyle name="Normal 4 3 2 3 4" xfId="41125" xr:uid="{00000000-0005-0000-0000-00009B6A0000}"/>
    <cellStyle name="Normal 4 3 2 4" xfId="33992" xr:uid="{00000000-0005-0000-0000-00009C6A0000}"/>
    <cellStyle name="Normal 4 3 2 4 2" xfId="33993" xr:uid="{00000000-0005-0000-0000-00009D6A0000}"/>
    <cellStyle name="Normal 4 3 2 4 2 2" xfId="41130" xr:uid="{00000000-0005-0000-0000-00009E6A0000}"/>
    <cellStyle name="Normal 4 3 2 4 3" xfId="41129" xr:uid="{00000000-0005-0000-0000-00009F6A0000}"/>
    <cellStyle name="Normal 4 3 2 5" xfId="33994" xr:uid="{00000000-0005-0000-0000-0000A06A0000}"/>
    <cellStyle name="Normal 4 3 2 5 2" xfId="33995" xr:uid="{00000000-0005-0000-0000-0000A16A0000}"/>
    <cellStyle name="Normal 4 3 2 5 3" xfId="41131" xr:uid="{00000000-0005-0000-0000-0000A26A0000}"/>
    <cellStyle name="Normal 4 3 2 6" xfId="33996" xr:uid="{00000000-0005-0000-0000-0000A36A0000}"/>
    <cellStyle name="Normal 4 3 2 6 2" xfId="33997" xr:uid="{00000000-0005-0000-0000-0000A46A0000}"/>
    <cellStyle name="Normal 4 3 2 6 3" xfId="41132" xr:uid="{00000000-0005-0000-0000-0000A56A0000}"/>
    <cellStyle name="Normal 4 3 2 7" xfId="33998" xr:uid="{00000000-0005-0000-0000-0000A66A0000}"/>
    <cellStyle name="Normal 4 3 2 7 2" xfId="41133" xr:uid="{00000000-0005-0000-0000-0000A76A0000}"/>
    <cellStyle name="Normal 4 3 2 8" xfId="33999" xr:uid="{00000000-0005-0000-0000-0000A86A0000}"/>
    <cellStyle name="Normal 4 3 2 8 2" xfId="41134" xr:uid="{00000000-0005-0000-0000-0000A96A0000}"/>
    <cellStyle name="Normal 4 3 2 9" xfId="41117" xr:uid="{00000000-0005-0000-0000-0000AA6A0000}"/>
    <cellStyle name="Normal 4 3 3" xfId="10559" xr:uid="{00000000-0005-0000-0000-0000AB6A0000}"/>
    <cellStyle name="Normal 4 3 3 2" xfId="34001" xr:uid="{00000000-0005-0000-0000-0000AC6A0000}"/>
    <cellStyle name="Normal 4 3 3 2 2" xfId="34002" xr:uid="{00000000-0005-0000-0000-0000AD6A0000}"/>
    <cellStyle name="Normal 4 3 3 2 2 2" xfId="41137" xr:uid="{00000000-0005-0000-0000-0000AE6A0000}"/>
    <cellStyle name="Normal 4 3 3 2 3" xfId="34003" xr:uid="{00000000-0005-0000-0000-0000AF6A0000}"/>
    <cellStyle name="Normal 4 3 3 2 3 2" xfId="41138" xr:uid="{00000000-0005-0000-0000-0000B06A0000}"/>
    <cellStyle name="Normal 4 3 3 2 4" xfId="41136" xr:uid="{00000000-0005-0000-0000-0000B16A0000}"/>
    <cellStyle name="Normal 4 3 3 3" xfId="34004" xr:uid="{00000000-0005-0000-0000-0000B26A0000}"/>
    <cellStyle name="Normal 4 3 3 3 2" xfId="34005" xr:uid="{00000000-0005-0000-0000-0000B36A0000}"/>
    <cellStyle name="Normal 4 3 3 3 2 2" xfId="41140" xr:uid="{00000000-0005-0000-0000-0000B46A0000}"/>
    <cellStyle name="Normal 4 3 3 3 3" xfId="41139" xr:uid="{00000000-0005-0000-0000-0000B56A0000}"/>
    <cellStyle name="Normal 4 3 3 4" xfId="34006" xr:uid="{00000000-0005-0000-0000-0000B66A0000}"/>
    <cellStyle name="Normal 4 3 3 4 2" xfId="34007" xr:uid="{00000000-0005-0000-0000-0000B76A0000}"/>
    <cellStyle name="Normal 4 3 3 4 3" xfId="41141" xr:uid="{00000000-0005-0000-0000-0000B86A0000}"/>
    <cellStyle name="Normal 4 3 3 5" xfId="34008" xr:uid="{00000000-0005-0000-0000-0000B96A0000}"/>
    <cellStyle name="Normal 4 3 3 5 2" xfId="34009" xr:uid="{00000000-0005-0000-0000-0000BA6A0000}"/>
    <cellStyle name="Normal 4 3 3 5 3" xfId="41142" xr:uid="{00000000-0005-0000-0000-0000BB6A0000}"/>
    <cellStyle name="Normal 4 3 3 6" xfId="41135" xr:uid="{00000000-0005-0000-0000-0000BC6A0000}"/>
    <cellStyle name="Normal 4 3 3 7" xfId="34000" xr:uid="{00000000-0005-0000-0000-0000BD6A0000}"/>
    <cellStyle name="Normal 4 3 4" xfId="34010" xr:uid="{00000000-0005-0000-0000-0000BE6A0000}"/>
    <cellStyle name="Normal 4 3 4 2" xfId="34011" xr:uid="{00000000-0005-0000-0000-0000BF6A0000}"/>
    <cellStyle name="Normal 4 3 4 2 2" xfId="34012" xr:uid="{00000000-0005-0000-0000-0000C06A0000}"/>
    <cellStyle name="Normal 4 3 4 2 2 2" xfId="41145" xr:uid="{00000000-0005-0000-0000-0000C16A0000}"/>
    <cellStyle name="Normal 4 3 4 2 3" xfId="41144" xr:uid="{00000000-0005-0000-0000-0000C26A0000}"/>
    <cellStyle name="Normal 4 3 4 3" xfId="34013" xr:uid="{00000000-0005-0000-0000-0000C36A0000}"/>
    <cellStyle name="Normal 4 3 4 3 2" xfId="41146" xr:uid="{00000000-0005-0000-0000-0000C46A0000}"/>
    <cellStyle name="Normal 4 3 4 4" xfId="34014" xr:uid="{00000000-0005-0000-0000-0000C56A0000}"/>
    <cellStyle name="Normal 4 3 4 4 2" xfId="41147" xr:uid="{00000000-0005-0000-0000-0000C66A0000}"/>
    <cellStyle name="Normal 4 3 4 5" xfId="41143" xr:uid="{00000000-0005-0000-0000-0000C76A0000}"/>
    <cellStyle name="Normal 4 3 5" xfId="34015" xr:uid="{00000000-0005-0000-0000-0000C86A0000}"/>
    <cellStyle name="Normal 4 3 5 2" xfId="34016" xr:uid="{00000000-0005-0000-0000-0000C96A0000}"/>
    <cellStyle name="Normal 4 3 5 2 2" xfId="34017" xr:uid="{00000000-0005-0000-0000-0000CA6A0000}"/>
    <cellStyle name="Normal 4 3 5 2 2 2" xfId="34018" xr:uid="{00000000-0005-0000-0000-0000CB6A0000}"/>
    <cellStyle name="Normal 4 3 5 2 2 2 2" xfId="41151" xr:uid="{00000000-0005-0000-0000-0000CC6A0000}"/>
    <cellStyle name="Normal 4 3 5 2 2 3" xfId="41150" xr:uid="{00000000-0005-0000-0000-0000CD6A0000}"/>
    <cellStyle name="Normal 4 3 5 2 3" xfId="34019" xr:uid="{00000000-0005-0000-0000-0000CE6A0000}"/>
    <cellStyle name="Normal 4 3 5 2 3 2" xfId="41152" xr:uid="{00000000-0005-0000-0000-0000CF6A0000}"/>
    <cellStyle name="Normal 4 3 5 2 4" xfId="34020" xr:uid="{00000000-0005-0000-0000-0000D06A0000}"/>
    <cellStyle name="Normal 4 3 5 2 4 2" xfId="41153" xr:uid="{00000000-0005-0000-0000-0000D16A0000}"/>
    <cellStyle name="Normal 4 3 5 2 5" xfId="41149" xr:uid="{00000000-0005-0000-0000-0000D26A0000}"/>
    <cellStyle name="Normal 4 3 5 3" xfId="34021" xr:uid="{00000000-0005-0000-0000-0000D36A0000}"/>
    <cellStyle name="Normal 4 3 5 3 2" xfId="34022" xr:uid="{00000000-0005-0000-0000-0000D46A0000}"/>
    <cellStyle name="Normal 4 3 5 3 2 2" xfId="41155" xr:uid="{00000000-0005-0000-0000-0000D56A0000}"/>
    <cellStyle name="Normal 4 3 5 3 3" xfId="41154" xr:uid="{00000000-0005-0000-0000-0000D66A0000}"/>
    <cellStyle name="Normal 4 3 5 4" xfId="34023" xr:uid="{00000000-0005-0000-0000-0000D76A0000}"/>
    <cellStyle name="Normal 4 3 5 4 2" xfId="41156" xr:uid="{00000000-0005-0000-0000-0000D86A0000}"/>
    <cellStyle name="Normal 4 3 5 5" xfId="34024" xr:uid="{00000000-0005-0000-0000-0000D96A0000}"/>
    <cellStyle name="Normal 4 3 5 5 2" xfId="41157" xr:uid="{00000000-0005-0000-0000-0000DA6A0000}"/>
    <cellStyle name="Normal 4 3 5 6" xfId="41148" xr:uid="{00000000-0005-0000-0000-0000DB6A0000}"/>
    <cellStyle name="Normal 4 3 6" xfId="34025" xr:uid="{00000000-0005-0000-0000-0000DC6A0000}"/>
    <cellStyle name="Normal 4 3 6 2" xfId="34026" xr:uid="{00000000-0005-0000-0000-0000DD6A0000}"/>
    <cellStyle name="Normal 4 3 6 2 2" xfId="41159" xr:uid="{00000000-0005-0000-0000-0000DE6A0000}"/>
    <cellStyle name="Normal 4 3 6 3" xfId="34027" xr:uid="{00000000-0005-0000-0000-0000DF6A0000}"/>
    <cellStyle name="Normal 4 3 6 4" xfId="41158" xr:uid="{00000000-0005-0000-0000-0000E06A0000}"/>
    <cellStyle name="Normal 4 3 7" xfId="34028" xr:uid="{00000000-0005-0000-0000-0000E16A0000}"/>
    <cellStyle name="Normal 4 3 7 2" xfId="34029" xr:uid="{00000000-0005-0000-0000-0000E26A0000}"/>
    <cellStyle name="Normal 4 3 7 3" xfId="34030" xr:uid="{00000000-0005-0000-0000-0000E36A0000}"/>
    <cellStyle name="Normal 4 3 7 4" xfId="34031" xr:uid="{00000000-0005-0000-0000-0000E46A0000}"/>
    <cellStyle name="Normal 4 3 7 5" xfId="41160" xr:uid="{00000000-0005-0000-0000-0000E56A0000}"/>
    <cellStyle name="Normal 4 3 8" xfId="34032" xr:uid="{00000000-0005-0000-0000-0000E66A0000}"/>
    <cellStyle name="Normal 4 3 8 2" xfId="34033" xr:uid="{00000000-0005-0000-0000-0000E76A0000}"/>
    <cellStyle name="Normal 4 3 8 3" xfId="41161" xr:uid="{00000000-0005-0000-0000-0000E86A0000}"/>
    <cellStyle name="Normal 4 3 9" xfId="34034" xr:uid="{00000000-0005-0000-0000-0000E96A0000}"/>
    <cellStyle name="Normal 4 3 9 2" xfId="34035" xr:uid="{00000000-0005-0000-0000-0000EA6A0000}"/>
    <cellStyle name="Normal 4 3 9 3" xfId="41162" xr:uid="{00000000-0005-0000-0000-0000EB6A0000}"/>
    <cellStyle name="Normal 4 30" xfId="5696" xr:uid="{00000000-0005-0000-0000-0000EC6A0000}"/>
    <cellStyle name="Normal 4 4" xfId="5705" xr:uid="{00000000-0005-0000-0000-0000ED6A0000}"/>
    <cellStyle name="Normal 4 4 2" xfId="5706" xr:uid="{00000000-0005-0000-0000-0000EE6A0000}"/>
    <cellStyle name="Normal 4 4 2 2" xfId="10560" xr:uid="{00000000-0005-0000-0000-0000EF6A0000}"/>
    <cellStyle name="Normal 4 4 2 2 2" xfId="41164" xr:uid="{00000000-0005-0000-0000-0000F06A0000}"/>
    <cellStyle name="Normal 4 4 2 2 3" xfId="34037" xr:uid="{00000000-0005-0000-0000-0000F16A0000}"/>
    <cellStyle name="Normal 4 4 2 3" xfId="34038" xr:uid="{00000000-0005-0000-0000-0000F26A0000}"/>
    <cellStyle name="Normal 4 4 2 3 2" xfId="41165" xr:uid="{00000000-0005-0000-0000-0000F36A0000}"/>
    <cellStyle name="Normal 4 4 2 4" xfId="34039" xr:uid="{00000000-0005-0000-0000-0000F46A0000}"/>
    <cellStyle name="Normal 4 4 2 5" xfId="34040" xr:uid="{00000000-0005-0000-0000-0000F56A0000}"/>
    <cellStyle name="Normal 4 4 2 6" xfId="41163" xr:uid="{00000000-0005-0000-0000-0000F66A0000}"/>
    <cellStyle name="Normal 4 4 2 7" xfId="34036" xr:uid="{00000000-0005-0000-0000-0000F76A0000}"/>
    <cellStyle name="Normal 4 4 3" xfId="10561" xr:uid="{00000000-0005-0000-0000-0000F86A0000}"/>
    <cellStyle name="Normal 4 4 3 2" xfId="34042" xr:uid="{00000000-0005-0000-0000-0000F96A0000}"/>
    <cellStyle name="Normal 4 4 3 2 2" xfId="41167" xr:uid="{00000000-0005-0000-0000-0000FA6A0000}"/>
    <cellStyle name="Normal 4 4 3 3" xfId="41166" xr:uid="{00000000-0005-0000-0000-0000FB6A0000}"/>
    <cellStyle name="Normal 4 4 3 4" xfId="34041" xr:uid="{00000000-0005-0000-0000-0000FC6A0000}"/>
    <cellStyle name="Normal 4 4 4" xfId="34043" xr:uid="{00000000-0005-0000-0000-0000FD6A0000}"/>
    <cellStyle name="Normal 4 4 4 2" xfId="34044" xr:uid="{00000000-0005-0000-0000-0000FE6A0000}"/>
    <cellStyle name="Normal 4 4 4 2 2" xfId="41169" xr:uid="{00000000-0005-0000-0000-0000FF6A0000}"/>
    <cellStyle name="Normal 4 4 4 3" xfId="41168" xr:uid="{00000000-0005-0000-0000-0000006B0000}"/>
    <cellStyle name="Normal 4 4 5" xfId="34045" xr:uid="{00000000-0005-0000-0000-0000016B0000}"/>
    <cellStyle name="Normal 4 4 5 2" xfId="34046" xr:uid="{00000000-0005-0000-0000-0000026B0000}"/>
    <cellStyle name="Normal 4 4 5 2 2" xfId="34047" xr:uid="{00000000-0005-0000-0000-0000036B0000}"/>
    <cellStyle name="Normal 4 4 5 2 2 2" xfId="34048" xr:uid="{00000000-0005-0000-0000-0000046B0000}"/>
    <cellStyle name="Normal 4 4 5 2 2 2 2" xfId="41173" xr:uid="{00000000-0005-0000-0000-0000056B0000}"/>
    <cellStyle name="Normal 4 4 5 2 2 3" xfId="41172" xr:uid="{00000000-0005-0000-0000-0000066B0000}"/>
    <cellStyle name="Normal 4 4 5 2 3" xfId="34049" xr:uid="{00000000-0005-0000-0000-0000076B0000}"/>
    <cellStyle name="Normal 4 4 5 2 3 2" xfId="41174" xr:uid="{00000000-0005-0000-0000-0000086B0000}"/>
    <cellStyle name="Normal 4 4 5 2 4" xfId="41171" xr:uid="{00000000-0005-0000-0000-0000096B0000}"/>
    <cellStyle name="Normal 4 4 5 3" xfId="34050" xr:uid="{00000000-0005-0000-0000-00000A6B0000}"/>
    <cellStyle name="Normal 4 4 5 3 2" xfId="34051" xr:uid="{00000000-0005-0000-0000-00000B6B0000}"/>
    <cellStyle name="Normal 4 4 5 3 2 2" xfId="41176" xr:uid="{00000000-0005-0000-0000-00000C6B0000}"/>
    <cellStyle name="Normal 4 4 5 3 3" xfId="41175" xr:uid="{00000000-0005-0000-0000-00000D6B0000}"/>
    <cellStyle name="Normal 4 4 5 4" xfId="34052" xr:uid="{00000000-0005-0000-0000-00000E6B0000}"/>
    <cellStyle name="Normal 4 4 5 4 2" xfId="41177" xr:uid="{00000000-0005-0000-0000-00000F6B0000}"/>
    <cellStyle name="Normal 4 4 5 5" xfId="34053" xr:uid="{00000000-0005-0000-0000-0000106B0000}"/>
    <cellStyle name="Normal 4 4 5 5 2" xfId="41178" xr:uid="{00000000-0005-0000-0000-0000116B0000}"/>
    <cellStyle name="Normal 4 4 5 6" xfId="34054" xr:uid="{00000000-0005-0000-0000-0000126B0000}"/>
    <cellStyle name="Normal 4 4 5 7" xfId="41170" xr:uid="{00000000-0005-0000-0000-0000136B0000}"/>
    <cellStyle name="Normal 4 4 6" xfId="34055" xr:uid="{00000000-0005-0000-0000-0000146B0000}"/>
    <cellStyle name="Normal 4 4 6 2" xfId="34056" xr:uid="{00000000-0005-0000-0000-0000156B0000}"/>
    <cellStyle name="Normal 4 4 6 3" xfId="41179" xr:uid="{00000000-0005-0000-0000-0000166B0000}"/>
    <cellStyle name="Normal 4 4 7" xfId="34057" xr:uid="{00000000-0005-0000-0000-0000176B0000}"/>
    <cellStyle name="Normal 4 4 7 2" xfId="41180" xr:uid="{00000000-0005-0000-0000-0000186B0000}"/>
    <cellStyle name="Normal 4 4 8" xfId="34058" xr:uid="{00000000-0005-0000-0000-0000196B0000}"/>
    <cellStyle name="Normal 4 4 8 2" xfId="41181" xr:uid="{00000000-0005-0000-0000-00001A6B0000}"/>
    <cellStyle name="Normal 4 5" xfId="5707" xr:uid="{00000000-0005-0000-0000-00001B6B0000}"/>
    <cellStyle name="Normal 4 5 10" xfId="34060" xr:uid="{00000000-0005-0000-0000-00001C6B0000}"/>
    <cellStyle name="Normal 4 5 10 2" xfId="41182" xr:uid="{00000000-0005-0000-0000-00001D6B0000}"/>
    <cellStyle name="Normal 4 5 11" xfId="34061" xr:uid="{00000000-0005-0000-0000-00001E6B0000}"/>
    <cellStyle name="Normal 4 5 11 2" xfId="41183" xr:uid="{00000000-0005-0000-0000-00001F6B0000}"/>
    <cellStyle name="Normal 4 5 12" xfId="34062" xr:uid="{00000000-0005-0000-0000-0000206B0000}"/>
    <cellStyle name="Normal 4 5 13" xfId="34059" xr:uid="{00000000-0005-0000-0000-0000216B0000}"/>
    <cellStyle name="Normal 4 5 2" xfId="5708" xr:uid="{00000000-0005-0000-0000-0000226B0000}"/>
    <cellStyle name="Normal 4 5 2 10" xfId="41184" xr:uid="{00000000-0005-0000-0000-0000236B0000}"/>
    <cellStyle name="Normal 4 5 2 11" xfId="34063" xr:uid="{00000000-0005-0000-0000-0000246B0000}"/>
    <cellStyle name="Normal 4 5 2 2" xfId="10562" xr:uid="{00000000-0005-0000-0000-0000256B0000}"/>
    <cellStyle name="Normal 4 5 2 2 2" xfId="34065" xr:uid="{00000000-0005-0000-0000-0000266B0000}"/>
    <cellStyle name="Normal 4 5 2 2 2 2" xfId="34066" xr:uid="{00000000-0005-0000-0000-0000276B0000}"/>
    <cellStyle name="Normal 4 5 2 2 2 2 2" xfId="41187" xr:uid="{00000000-0005-0000-0000-0000286B0000}"/>
    <cellStyle name="Normal 4 5 2 2 2 3" xfId="34067" xr:uid="{00000000-0005-0000-0000-0000296B0000}"/>
    <cellStyle name="Normal 4 5 2 2 2 3 2" xfId="41188" xr:uid="{00000000-0005-0000-0000-00002A6B0000}"/>
    <cellStyle name="Normal 4 5 2 2 2 4" xfId="41186" xr:uid="{00000000-0005-0000-0000-00002B6B0000}"/>
    <cellStyle name="Normal 4 5 2 2 3" xfId="34068" xr:uid="{00000000-0005-0000-0000-00002C6B0000}"/>
    <cellStyle name="Normal 4 5 2 2 3 2" xfId="34069" xr:uid="{00000000-0005-0000-0000-00002D6B0000}"/>
    <cellStyle name="Normal 4 5 2 2 3 2 2" xfId="41190" xr:uid="{00000000-0005-0000-0000-00002E6B0000}"/>
    <cellStyle name="Normal 4 5 2 2 3 3" xfId="41189" xr:uid="{00000000-0005-0000-0000-00002F6B0000}"/>
    <cellStyle name="Normal 4 5 2 2 4" xfId="34070" xr:uid="{00000000-0005-0000-0000-0000306B0000}"/>
    <cellStyle name="Normal 4 5 2 2 4 2" xfId="41191" xr:uid="{00000000-0005-0000-0000-0000316B0000}"/>
    <cellStyle name="Normal 4 5 2 2 5" xfId="34071" xr:uid="{00000000-0005-0000-0000-0000326B0000}"/>
    <cellStyle name="Normal 4 5 2 2 6" xfId="41185" xr:uid="{00000000-0005-0000-0000-0000336B0000}"/>
    <cellStyle name="Normal 4 5 2 2 7" xfId="34064" xr:uid="{00000000-0005-0000-0000-0000346B0000}"/>
    <cellStyle name="Normal 4 5 2 3" xfId="34072" xr:uid="{00000000-0005-0000-0000-0000356B0000}"/>
    <cellStyle name="Normal 4 5 2 3 2" xfId="34073" xr:uid="{00000000-0005-0000-0000-0000366B0000}"/>
    <cellStyle name="Normal 4 5 2 3 2 2" xfId="34074" xr:uid="{00000000-0005-0000-0000-0000376B0000}"/>
    <cellStyle name="Normal 4 5 2 3 2 2 2" xfId="41194" xr:uid="{00000000-0005-0000-0000-0000386B0000}"/>
    <cellStyle name="Normal 4 5 2 3 2 3" xfId="41193" xr:uid="{00000000-0005-0000-0000-0000396B0000}"/>
    <cellStyle name="Normal 4 5 2 3 3" xfId="34075" xr:uid="{00000000-0005-0000-0000-00003A6B0000}"/>
    <cellStyle name="Normal 4 5 2 3 3 2" xfId="41195" xr:uid="{00000000-0005-0000-0000-00003B6B0000}"/>
    <cellStyle name="Normal 4 5 2 3 4" xfId="34076" xr:uid="{00000000-0005-0000-0000-00003C6B0000}"/>
    <cellStyle name="Normal 4 5 2 3 5" xfId="41192" xr:uid="{00000000-0005-0000-0000-00003D6B0000}"/>
    <cellStyle name="Normal 4 5 2 4" xfId="34077" xr:uid="{00000000-0005-0000-0000-00003E6B0000}"/>
    <cellStyle name="Normal 4 5 2 4 2" xfId="34078" xr:uid="{00000000-0005-0000-0000-00003F6B0000}"/>
    <cellStyle name="Normal 4 5 2 4 2 2" xfId="41197" xr:uid="{00000000-0005-0000-0000-0000406B0000}"/>
    <cellStyle name="Normal 4 5 2 4 3" xfId="41196" xr:uid="{00000000-0005-0000-0000-0000416B0000}"/>
    <cellStyle name="Normal 4 5 2 5" xfId="34079" xr:uid="{00000000-0005-0000-0000-0000426B0000}"/>
    <cellStyle name="Normal 4 5 2 5 2" xfId="41198" xr:uid="{00000000-0005-0000-0000-0000436B0000}"/>
    <cellStyle name="Normal 4 5 2 6" xfId="34080" xr:uid="{00000000-0005-0000-0000-0000446B0000}"/>
    <cellStyle name="Normal 4 5 2 6 2" xfId="41199" xr:uid="{00000000-0005-0000-0000-0000456B0000}"/>
    <cellStyle name="Normal 4 5 2 7" xfId="34081" xr:uid="{00000000-0005-0000-0000-0000466B0000}"/>
    <cellStyle name="Normal 4 5 2 7 2" xfId="41200" xr:uid="{00000000-0005-0000-0000-0000476B0000}"/>
    <cellStyle name="Normal 4 5 2 8" xfId="34082" xr:uid="{00000000-0005-0000-0000-0000486B0000}"/>
    <cellStyle name="Normal 4 5 2 8 2" xfId="41201" xr:uid="{00000000-0005-0000-0000-0000496B0000}"/>
    <cellStyle name="Normal 4 5 2 9" xfId="34083" xr:uid="{00000000-0005-0000-0000-00004A6B0000}"/>
    <cellStyle name="Normal 4 5 3" xfId="10563" xr:uid="{00000000-0005-0000-0000-00004B6B0000}"/>
    <cellStyle name="Normal 4 5 3 2" xfId="34085" xr:uid="{00000000-0005-0000-0000-00004C6B0000}"/>
    <cellStyle name="Normal 4 5 3 2 2" xfId="34086" xr:uid="{00000000-0005-0000-0000-00004D6B0000}"/>
    <cellStyle name="Normal 4 5 3 2 2 2" xfId="41204" xr:uid="{00000000-0005-0000-0000-00004E6B0000}"/>
    <cellStyle name="Normal 4 5 3 2 3" xfId="34087" xr:uid="{00000000-0005-0000-0000-00004F6B0000}"/>
    <cellStyle name="Normal 4 5 3 2 3 2" xfId="41205" xr:uid="{00000000-0005-0000-0000-0000506B0000}"/>
    <cellStyle name="Normal 4 5 3 2 4" xfId="34088" xr:uid="{00000000-0005-0000-0000-0000516B0000}"/>
    <cellStyle name="Normal 4 5 3 2 5" xfId="41203" xr:uid="{00000000-0005-0000-0000-0000526B0000}"/>
    <cellStyle name="Normal 4 5 3 3" xfId="34089" xr:uid="{00000000-0005-0000-0000-0000536B0000}"/>
    <cellStyle name="Normal 4 5 3 3 2" xfId="34090" xr:uid="{00000000-0005-0000-0000-0000546B0000}"/>
    <cellStyle name="Normal 4 5 3 3 2 2" xfId="41207" xr:uid="{00000000-0005-0000-0000-0000556B0000}"/>
    <cellStyle name="Normal 4 5 3 3 3" xfId="34091" xr:uid="{00000000-0005-0000-0000-0000566B0000}"/>
    <cellStyle name="Normal 4 5 3 3 4" xfId="41206" xr:uid="{00000000-0005-0000-0000-0000576B0000}"/>
    <cellStyle name="Normal 4 5 3 4" xfId="34092" xr:uid="{00000000-0005-0000-0000-0000586B0000}"/>
    <cellStyle name="Normal 4 5 3 4 2" xfId="41208" xr:uid="{00000000-0005-0000-0000-0000596B0000}"/>
    <cellStyle name="Normal 4 5 3 5" xfId="34093" xr:uid="{00000000-0005-0000-0000-00005A6B0000}"/>
    <cellStyle name="Normal 4 5 3 5 2" xfId="41209" xr:uid="{00000000-0005-0000-0000-00005B6B0000}"/>
    <cellStyle name="Normal 4 5 3 6" xfId="34094" xr:uid="{00000000-0005-0000-0000-00005C6B0000}"/>
    <cellStyle name="Normal 4 5 3 7" xfId="41202" xr:uid="{00000000-0005-0000-0000-00005D6B0000}"/>
    <cellStyle name="Normal 4 5 3 8" xfId="34084" xr:uid="{00000000-0005-0000-0000-00005E6B0000}"/>
    <cellStyle name="Normal 4 5 4" xfId="34095" xr:uid="{00000000-0005-0000-0000-00005F6B0000}"/>
    <cellStyle name="Normal 4 5 4 2" xfId="34096" xr:uid="{00000000-0005-0000-0000-0000606B0000}"/>
    <cellStyle name="Normal 4 5 4 2 2" xfId="34097" xr:uid="{00000000-0005-0000-0000-0000616B0000}"/>
    <cellStyle name="Normal 4 5 4 2 2 2" xfId="41212" xr:uid="{00000000-0005-0000-0000-0000626B0000}"/>
    <cellStyle name="Normal 4 5 4 2 3" xfId="41211" xr:uid="{00000000-0005-0000-0000-0000636B0000}"/>
    <cellStyle name="Normal 4 5 4 3" xfId="34098" xr:uid="{00000000-0005-0000-0000-0000646B0000}"/>
    <cellStyle name="Normal 4 5 4 3 2" xfId="41213" xr:uid="{00000000-0005-0000-0000-0000656B0000}"/>
    <cellStyle name="Normal 4 5 4 4" xfId="34099" xr:uid="{00000000-0005-0000-0000-0000666B0000}"/>
    <cellStyle name="Normal 4 5 4 4 2" xfId="41214" xr:uid="{00000000-0005-0000-0000-0000676B0000}"/>
    <cellStyle name="Normal 4 5 4 5" xfId="34100" xr:uid="{00000000-0005-0000-0000-0000686B0000}"/>
    <cellStyle name="Normal 4 5 4 6" xfId="41210" xr:uid="{00000000-0005-0000-0000-0000696B0000}"/>
    <cellStyle name="Normal 4 5 5" xfId="34101" xr:uid="{00000000-0005-0000-0000-00006A6B0000}"/>
    <cellStyle name="Normal 4 5 5 2" xfId="34102" xr:uid="{00000000-0005-0000-0000-00006B6B0000}"/>
    <cellStyle name="Normal 4 5 5 2 2" xfId="34103" xr:uid="{00000000-0005-0000-0000-00006C6B0000}"/>
    <cellStyle name="Normal 4 5 5 2 2 2" xfId="34104" xr:uid="{00000000-0005-0000-0000-00006D6B0000}"/>
    <cellStyle name="Normal 4 5 5 2 2 2 2" xfId="41218" xr:uid="{00000000-0005-0000-0000-00006E6B0000}"/>
    <cellStyle name="Normal 4 5 5 2 2 3" xfId="41217" xr:uid="{00000000-0005-0000-0000-00006F6B0000}"/>
    <cellStyle name="Normal 4 5 5 2 3" xfId="34105" xr:uid="{00000000-0005-0000-0000-0000706B0000}"/>
    <cellStyle name="Normal 4 5 5 2 3 2" xfId="41219" xr:uid="{00000000-0005-0000-0000-0000716B0000}"/>
    <cellStyle name="Normal 4 5 5 2 4" xfId="34106" xr:uid="{00000000-0005-0000-0000-0000726B0000}"/>
    <cellStyle name="Normal 4 5 5 2 4 2" xfId="41220" xr:uid="{00000000-0005-0000-0000-0000736B0000}"/>
    <cellStyle name="Normal 4 5 5 2 5" xfId="41216" xr:uid="{00000000-0005-0000-0000-0000746B0000}"/>
    <cellStyle name="Normal 4 5 5 3" xfId="34107" xr:uid="{00000000-0005-0000-0000-0000756B0000}"/>
    <cellStyle name="Normal 4 5 5 3 2" xfId="34108" xr:uid="{00000000-0005-0000-0000-0000766B0000}"/>
    <cellStyle name="Normal 4 5 5 3 2 2" xfId="41222" xr:uid="{00000000-0005-0000-0000-0000776B0000}"/>
    <cellStyle name="Normal 4 5 5 3 3" xfId="41221" xr:uid="{00000000-0005-0000-0000-0000786B0000}"/>
    <cellStyle name="Normal 4 5 5 4" xfId="34109" xr:uid="{00000000-0005-0000-0000-0000796B0000}"/>
    <cellStyle name="Normal 4 5 5 4 2" xfId="41223" xr:uid="{00000000-0005-0000-0000-00007A6B0000}"/>
    <cellStyle name="Normal 4 5 5 5" xfId="34110" xr:uid="{00000000-0005-0000-0000-00007B6B0000}"/>
    <cellStyle name="Normal 4 5 5 5 2" xfId="41224" xr:uid="{00000000-0005-0000-0000-00007C6B0000}"/>
    <cellStyle name="Normal 4 5 5 6" xfId="34111" xr:uid="{00000000-0005-0000-0000-00007D6B0000}"/>
    <cellStyle name="Normal 4 5 5 7" xfId="41215" xr:uid="{00000000-0005-0000-0000-00007E6B0000}"/>
    <cellStyle name="Normal 4 5 6" xfId="34112" xr:uid="{00000000-0005-0000-0000-00007F6B0000}"/>
    <cellStyle name="Normal 4 5 6 2" xfId="41225" xr:uid="{00000000-0005-0000-0000-0000806B0000}"/>
    <cellStyle name="Normal 4 5 7" xfId="34113" xr:uid="{00000000-0005-0000-0000-0000816B0000}"/>
    <cellStyle name="Normal 4 5 7 2" xfId="41226" xr:uid="{00000000-0005-0000-0000-0000826B0000}"/>
    <cellStyle name="Normal 4 5 8" xfId="34114" xr:uid="{00000000-0005-0000-0000-0000836B0000}"/>
    <cellStyle name="Normal 4 5 8 2" xfId="41227" xr:uid="{00000000-0005-0000-0000-0000846B0000}"/>
    <cellStyle name="Normal 4 5 9" xfId="34115" xr:uid="{00000000-0005-0000-0000-0000856B0000}"/>
    <cellStyle name="Normal 4 5 9 2" xfId="41228" xr:uid="{00000000-0005-0000-0000-0000866B0000}"/>
    <cellStyle name="Normal 4 6" xfId="5709" xr:uid="{00000000-0005-0000-0000-0000876B0000}"/>
    <cellStyle name="Normal 4 6 10" xfId="34116" xr:uid="{00000000-0005-0000-0000-0000886B0000}"/>
    <cellStyle name="Normal 4 6 2" xfId="10564" xr:uid="{00000000-0005-0000-0000-0000896B0000}"/>
    <cellStyle name="Normal 4 6 2 2" xfId="34118" xr:uid="{00000000-0005-0000-0000-00008A6B0000}"/>
    <cellStyle name="Normal 4 6 2 2 2" xfId="41230" xr:uid="{00000000-0005-0000-0000-00008B6B0000}"/>
    <cellStyle name="Normal 4 6 2 3" xfId="34119" xr:uid="{00000000-0005-0000-0000-00008C6B0000}"/>
    <cellStyle name="Normal 4 6 2 4" xfId="41229" xr:uid="{00000000-0005-0000-0000-00008D6B0000}"/>
    <cellStyle name="Normal 4 6 2 5" xfId="34117" xr:uid="{00000000-0005-0000-0000-00008E6B0000}"/>
    <cellStyle name="Normal 4 6 3" xfId="34120" xr:uid="{00000000-0005-0000-0000-00008F6B0000}"/>
    <cellStyle name="Normal 4 6 3 2" xfId="34121" xr:uid="{00000000-0005-0000-0000-0000906B0000}"/>
    <cellStyle name="Normal 4 6 3 2 2" xfId="41232" xr:uid="{00000000-0005-0000-0000-0000916B0000}"/>
    <cellStyle name="Normal 4 6 3 3" xfId="34122" xr:uid="{00000000-0005-0000-0000-0000926B0000}"/>
    <cellStyle name="Normal 4 6 3 4" xfId="41231" xr:uid="{00000000-0005-0000-0000-0000936B0000}"/>
    <cellStyle name="Normal 4 6 4" xfId="34123" xr:uid="{00000000-0005-0000-0000-0000946B0000}"/>
    <cellStyle name="Normal 4 6 4 2" xfId="34124" xr:uid="{00000000-0005-0000-0000-0000956B0000}"/>
    <cellStyle name="Normal 4 6 4 2 2" xfId="41234" xr:uid="{00000000-0005-0000-0000-0000966B0000}"/>
    <cellStyle name="Normal 4 6 4 3" xfId="41233" xr:uid="{00000000-0005-0000-0000-0000976B0000}"/>
    <cellStyle name="Normal 4 6 5" xfId="34125" xr:uid="{00000000-0005-0000-0000-0000986B0000}"/>
    <cellStyle name="Normal 4 6 5 2" xfId="34126" xr:uid="{00000000-0005-0000-0000-0000996B0000}"/>
    <cellStyle name="Normal 4 6 5 2 2" xfId="34127" xr:uid="{00000000-0005-0000-0000-00009A6B0000}"/>
    <cellStyle name="Normal 4 6 5 2 2 2" xfId="34128" xr:uid="{00000000-0005-0000-0000-00009B6B0000}"/>
    <cellStyle name="Normal 4 6 5 2 2 2 2" xfId="41238" xr:uid="{00000000-0005-0000-0000-00009C6B0000}"/>
    <cellStyle name="Normal 4 6 5 2 2 3" xfId="41237" xr:uid="{00000000-0005-0000-0000-00009D6B0000}"/>
    <cellStyle name="Normal 4 6 5 2 3" xfId="34129" xr:uid="{00000000-0005-0000-0000-00009E6B0000}"/>
    <cellStyle name="Normal 4 6 5 2 3 2" xfId="41239" xr:uid="{00000000-0005-0000-0000-00009F6B0000}"/>
    <cellStyle name="Normal 4 6 5 2 4" xfId="41236" xr:uid="{00000000-0005-0000-0000-0000A06B0000}"/>
    <cellStyle name="Normal 4 6 5 3" xfId="34130" xr:uid="{00000000-0005-0000-0000-0000A16B0000}"/>
    <cellStyle name="Normal 4 6 5 3 2" xfId="34131" xr:uid="{00000000-0005-0000-0000-0000A26B0000}"/>
    <cellStyle name="Normal 4 6 5 3 2 2" xfId="41241" xr:uid="{00000000-0005-0000-0000-0000A36B0000}"/>
    <cellStyle name="Normal 4 6 5 3 3" xfId="41240" xr:uid="{00000000-0005-0000-0000-0000A46B0000}"/>
    <cellStyle name="Normal 4 6 5 4" xfId="34132" xr:uid="{00000000-0005-0000-0000-0000A56B0000}"/>
    <cellStyle name="Normal 4 6 5 4 2" xfId="41242" xr:uid="{00000000-0005-0000-0000-0000A66B0000}"/>
    <cellStyle name="Normal 4 6 5 5" xfId="34133" xr:uid="{00000000-0005-0000-0000-0000A76B0000}"/>
    <cellStyle name="Normal 4 6 5 5 2" xfId="41243" xr:uid="{00000000-0005-0000-0000-0000A86B0000}"/>
    <cellStyle name="Normal 4 6 5 6" xfId="41235" xr:uid="{00000000-0005-0000-0000-0000A96B0000}"/>
    <cellStyle name="Normal 4 6 6" xfId="34134" xr:uid="{00000000-0005-0000-0000-0000AA6B0000}"/>
    <cellStyle name="Normal 4 6 6 2" xfId="41244" xr:uid="{00000000-0005-0000-0000-0000AB6B0000}"/>
    <cellStyle name="Normal 4 6 7" xfId="34135" xr:uid="{00000000-0005-0000-0000-0000AC6B0000}"/>
    <cellStyle name="Normal 4 6 7 2" xfId="41245" xr:uid="{00000000-0005-0000-0000-0000AD6B0000}"/>
    <cellStyle name="Normal 4 6 8" xfId="34136" xr:uid="{00000000-0005-0000-0000-0000AE6B0000}"/>
    <cellStyle name="Normal 4 6 8 2" xfId="41246" xr:uid="{00000000-0005-0000-0000-0000AF6B0000}"/>
    <cellStyle name="Normal 4 6 9" xfId="34137" xr:uid="{00000000-0005-0000-0000-0000B06B0000}"/>
    <cellStyle name="Normal 4 7" xfId="5710" xr:uid="{00000000-0005-0000-0000-0000B16B0000}"/>
    <cellStyle name="Normal 4 7 10" xfId="34139" xr:uid="{00000000-0005-0000-0000-0000B26B0000}"/>
    <cellStyle name="Normal 4 7 10 2" xfId="41247" xr:uid="{00000000-0005-0000-0000-0000B36B0000}"/>
    <cellStyle name="Normal 4 7 11" xfId="34140" xr:uid="{00000000-0005-0000-0000-0000B46B0000}"/>
    <cellStyle name="Normal 4 7 11 2" xfId="41248" xr:uid="{00000000-0005-0000-0000-0000B56B0000}"/>
    <cellStyle name="Normal 4 7 12" xfId="34141" xr:uid="{00000000-0005-0000-0000-0000B66B0000}"/>
    <cellStyle name="Normal 4 7 13" xfId="34142" xr:uid="{00000000-0005-0000-0000-0000B76B0000}"/>
    <cellStyle name="Normal 4 7 14" xfId="34138" xr:uid="{00000000-0005-0000-0000-0000B86B0000}"/>
    <cellStyle name="Normal 4 7 2" xfId="10565" xr:uid="{00000000-0005-0000-0000-0000B96B0000}"/>
    <cellStyle name="Normal 4 7 2 10" xfId="34143" xr:uid="{00000000-0005-0000-0000-0000BA6B0000}"/>
    <cellStyle name="Normal 4 7 2 2" xfId="34144" xr:uid="{00000000-0005-0000-0000-0000BB6B0000}"/>
    <cellStyle name="Normal 4 7 2 2 2" xfId="34145" xr:uid="{00000000-0005-0000-0000-0000BC6B0000}"/>
    <cellStyle name="Normal 4 7 2 2 2 2" xfId="34146" xr:uid="{00000000-0005-0000-0000-0000BD6B0000}"/>
    <cellStyle name="Normal 4 7 2 2 2 2 2" xfId="41252" xr:uid="{00000000-0005-0000-0000-0000BE6B0000}"/>
    <cellStyle name="Normal 4 7 2 2 2 3" xfId="34147" xr:uid="{00000000-0005-0000-0000-0000BF6B0000}"/>
    <cellStyle name="Normal 4 7 2 2 2 3 2" xfId="41253" xr:uid="{00000000-0005-0000-0000-0000C06B0000}"/>
    <cellStyle name="Normal 4 7 2 2 2 4" xfId="41251" xr:uid="{00000000-0005-0000-0000-0000C16B0000}"/>
    <cellStyle name="Normal 4 7 2 2 3" xfId="34148" xr:uid="{00000000-0005-0000-0000-0000C26B0000}"/>
    <cellStyle name="Normal 4 7 2 2 3 2" xfId="34149" xr:uid="{00000000-0005-0000-0000-0000C36B0000}"/>
    <cellStyle name="Normal 4 7 2 2 3 2 2" xfId="41255" xr:uid="{00000000-0005-0000-0000-0000C46B0000}"/>
    <cellStyle name="Normal 4 7 2 2 3 3" xfId="41254" xr:uid="{00000000-0005-0000-0000-0000C56B0000}"/>
    <cellStyle name="Normal 4 7 2 2 4" xfId="34150" xr:uid="{00000000-0005-0000-0000-0000C66B0000}"/>
    <cellStyle name="Normal 4 7 2 2 4 2" xfId="41256" xr:uid="{00000000-0005-0000-0000-0000C76B0000}"/>
    <cellStyle name="Normal 4 7 2 2 5" xfId="41250" xr:uid="{00000000-0005-0000-0000-0000C86B0000}"/>
    <cellStyle name="Normal 4 7 2 3" xfId="34151" xr:uid="{00000000-0005-0000-0000-0000C96B0000}"/>
    <cellStyle name="Normal 4 7 2 3 2" xfId="34152" xr:uid="{00000000-0005-0000-0000-0000CA6B0000}"/>
    <cellStyle name="Normal 4 7 2 3 2 2" xfId="34153" xr:uid="{00000000-0005-0000-0000-0000CB6B0000}"/>
    <cellStyle name="Normal 4 7 2 3 2 2 2" xfId="41259" xr:uid="{00000000-0005-0000-0000-0000CC6B0000}"/>
    <cellStyle name="Normal 4 7 2 3 2 3" xfId="41258" xr:uid="{00000000-0005-0000-0000-0000CD6B0000}"/>
    <cellStyle name="Normal 4 7 2 3 3" xfId="34154" xr:uid="{00000000-0005-0000-0000-0000CE6B0000}"/>
    <cellStyle name="Normal 4 7 2 3 3 2" xfId="41260" xr:uid="{00000000-0005-0000-0000-0000CF6B0000}"/>
    <cellStyle name="Normal 4 7 2 3 4" xfId="41257" xr:uid="{00000000-0005-0000-0000-0000D06B0000}"/>
    <cellStyle name="Normal 4 7 2 4" xfId="34155" xr:uid="{00000000-0005-0000-0000-0000D16B0000}"/>
    <cellStyle name="Normal 4 7 2 4 2" xfId="34156" xr:uid="{00000000-0005-0000-0000-0000D26B0000}"/>
    <cellStyle name="Normal 4 7 2 4 2 2" xfId="41262" xr:uid="{00000000-0005-0000-0000-0000D36B0000}"/>
    <cellStyle name="Normal 4 7 2 4 3" xfId="41261" xr:uid="{00000000-0005-0000-0000-0000D46B0000}"/>
    <cellStyle name="Normal 4 7 2 5" xfId="34157" xr:uid="{00000000-0005-0000-0000-0000D56B0000}"/>
    <cellStyle name="Normal 4 7 2 5 2" xfId="41263" xr:uid="{00000000-0005-0000-0000-0000D66B0000}"/>
    <cellStyle name="Normal 4 7 2 6" xfId="34158" xr:uid="{00000000-0005-0000-0000-0000D76B0000}"/>
    <cellStyle name="Normal 4 7 2 6 2" xfId="41264" xr:uid="{00000000-0005-0000-0000-0000D86B0000}"/>
    <cellStyle name="Normal 4 7 2 7" xfId="34159" xr:uid="{00000000-0005-0000-0000-0000D96B0000}"/>
    <cellStyle name="Normal 4 7 2 7 2" xfId="41265" xr:uid="{00000000-0005-0000-0000-0000DA6B0000}"/>
    <cellStyle name="Normal 4 7 2 8" xfId="34160" xr:uid="{00000000-0005-0000-0000-0000DB6B0000}"/>
    <cellStyle name="Normal 4 7 2 8 2" xfId="41266" xr:uid="{00000000-0005-0000-0000-0000DC6B0000}"/>
    <cellStyle name="Normal 4 7 2 9" xfId="41249" xr:uid="{00000000-0005-0000-0000-0000DD6B0000}"/>
    <cellStyle name="Normal 4 7 3" xfId="34161" xr:uid="{00000000-0005-0000-0000-0000DE6B0000}"/>
    <cellStyle name="Normal 4 7 3 2" xfId="34162" xr:uid="{00000000-0005-0000-0000-0000DF6B0000}"/>
    <cellStyle name="Normal 4 7 3 2 2" xfId="34163" xr:uid="{00000000-0005-0000-0000-0000E06B0000}"/>
    <cellStyle name="Normal 4 7 3 2 2 2" xfId="41269" xr:uid="{00000000-0005-0000-0000-0000E16B0000}"/>
    <cellStyle name="Normal 4 7 3 2 3" xfId="34164" xr:uid="{00000000-0005-0000-0000-0000E26B0000}"/>
    <cellStyle name="Normal 4 7 3 2 3 2" xfId="41270" xr:uid="{00000000-0005-0000-0000-0000E36B0000}"/>
    <cellStyle name="Normal 4 7 3 2 4" xfId="41268" xr:uid="{00000000-0005-0000-0000-0000E46B0000}"/>
    <cellStyle name="Normal 4 7 3 3" xfId="34165" xr:uid="{00000000-0005-0000-0000-0000E56B0000}"/>
    <cellStyle name="Normal 4 7 3 3 2" xfId="34166" xr:uid="{00000000-0005-0000-0000-0000E66B0000}"/>
    <cellStyle name="Normal 4 7 3 3 2 2" xfId="41272" xr:uid="{00000000-0005-0000-0000-0000E76B0000}"/>
    <cellStyle name="Normal 4 7 3 3 3" xfId="41271" xr:uid="{00000000-0005-0000-0000-0000E86B0000}"/>
    <cellStyle name="Normal 4 7 3 4" xfId="34167" xr:uid="{00000000-0005-0000-0000-0000E96B0000}"/>
    <cellStyle name="Normal 4 7 3 4 2" xfId="41273" xr:uid="{00000000-0005-0000-0000-0000EA6B0000}"/>
    <cellStyle name="Normal 4 7 3 5" xfId="34168" xr:uid="{00000000-0005-0000-0000-0000EB6B0000}"/>
    <cellStyle name="Normal 4 7 3 5 2" xfId="41274" xr:uid="{00000000-0005-0000-0000-0000EC6B0000}"/>
    <cellStyle name="Normal 4 7 3 6" xfId="41267" xr:uid="{00000000-0005-0000-0000-0000ED6B0000}"/>
    <cellStyle name="Normal 4 7 4" xfId="34169" xr:uid="{00000000-0005-0000-0000-0000EE6B0000}"/>
    <cellStyle name="Normal 4 7 4 2" xfId="34170" xr:uid="{00000000-0005-0000-0000-0000EF6B0000}"/>
    <cellStyle name="Normal 4 7 4 2 2" xfId="34171" xr:uid="{00000000-0005-0000-0000-0000F06B0000}"/>
    <cellStyle name="Normal 4 7 4 2 2 2" xfId="41277" xr:uid="{00000000-0005-0000-0000-0000F16B0000}"/>
    <cellStyle name="Normal 4 7 4 2 3" xfId="41276" xr:uid="{00000000-0005-0000-0000-0000F26B0000}"/>
    <cellStyle name="Normal 4 7 4 3" xfId="34172" xr:uid="{00000000-0005-0000-0000-0000F36B0000}"/>
    <cellStyle name="Normal 4 7 4 3 2" xfId="41278" xr:uid="{00000000-0005-0000-0000-0000F46B0000}"/>
    <cellStyle name="Normal 4 7 4 4" xfId="34173" xr:uid="{00000000-0005-0000-0000-0000F56B0000}"/>
    <cellStyle name="Normal 4 7 4 4 2" xfId="41279" xr:uid="{00000000-0005-0000-0000-0000F66B0000}"/>
    <cellStyle name="Normal 4 7 4 5" xfId="41275" xr:uid="{00000000-0005-0000-0000-0000F76B0000}"/>
    <cellStyle name="Normal 4 7 5" xfId="34174" xr:uid="{00000000-0005-0000-0000-0000F86B0000}"/>
    <cellStyle name="Normal 4 7 5 2" xfId="34175" xr:uid="{00000000-0005-0000-0000-0000F96B0000}"/>
    <cellStyle name="Normal 4 7 5 2 2" xfId="34176" xr:uid="{00000000-0005-0000-0000-0000FA6B0000}"/>
    <cellStyle name="Normal 4 7 5 2 2 2" xfId="34177" xr:uid="{00000000-0005-0000-0000-0000FB6B0000}"/>
    <cellStyle name="Normal 4 7 5 2 2 2 2" xfId="41283" xr:uid="{00000000-0005-0000-0000-0000FC6B0000}"/>
    <cellStyle name="Normal 4 7 5 2 2 3" xfId="41282" xr:uid="{00000000-0005-0000-0000-0000FD6B0000}"/>
    <cellStyle name="Normal 4 7 5 2 3" xfId="34178" xr:uid="{00000000-0005-0000-0000-0000FE6B0000}"/>
    <cellStyle name="Normal 4 7 5 2 3 2" xfId="41284" xr:uid="{00000000-0005-0000-0000-0000FF6B0000}"/>
    <cellStyle name="Normal 4 7 5 2 4" xfId="34179" xr:uid="{00000000-0005-0000-0000-0000006C0000}"/>
    <cellStyle name="Normal 4 7 5 2 4 2" xfId="41285" xr:uid="{00000000-0005-0000-0000-0000016C0000}"/>
    <cellStyle name="Normal 4 7 5 2 5" xfId="41281" xr:uid="{00000000-0005-0000-0000-0000026C0000}"/>
    <cellStyle name="Normal 4 7 5 3" xfId="34180" xr:uid="{00000000-0005-0000-0000-0000036C0000}"/>
    <cellStyle name="Normal 4 7 5 3 2" xfId="34181" xr:uid="{00000000-0005-0000-0000-0000046C0000}"/>
    <cellStyle name="Normal 4 7 5 3 2 2" xfId="41287" xr:uid="{00000000-0005-0000-0000-0000056C0000}"/>
    <cellStyle name="Normal 4 7 5 3 3" xfId="41286" xr:uid="{00000000-0005-0000-0000-0000066C0000}"/>
    <cellStyle name="Normal 4 7 5 4" xfId="34182" xr:uid="{00000000-0005-0000-0000-0000076C0000}"/>
    <cellStyle name="Normal 4 7 5 4 2" xfId="41288" xr:uid="{00000000-0005-0000-0000-0000086C0000}"/>
    <cellStyle name="Normal 4 7 5 5" xfId="34183" xr:uid="{00000000-0005-0000-0000-0000096C0000}"/>
    <cellStyle name="Normal 4 7 5 5 2" xfId="41289" xr:uid="{00000000-0005-0000-0000-00000A6C0000}"/>
    <cellStyle name="Normal 4 7 5 6" xfId="41280" xr:uid="{00000000-0005-0000-0000-00000B6C0000}"/>
    <cellStyle name="Normal 4 7 6" xfId="34184" xr:uid="{00000000-0005-0000-0000-00000C6C0000}"/>
    <cellStyle name="Normal 4 7 6 2" xfId="41290" xr:uid="{00000000-0005-0000-0000-00000D6C0000}"/>
    <cellStyle name="Normal 4 7 7" xfId="34185" xr:uid="{00000000-0005-0000-0000-00000E6C0000}"/>
    <cellStyle name="Normal 4 7 7 2" xfId="41291" xr:uid="{00000000-0005-0000-0000-00000F6C0000}"/>
    <cellStyle name="Normal 4 7 8" xfId="34186" xr:uid="{00000000-0005-0000-0000-0000106C0000}"/>
    <cellStyle name="Normal 4 7 8 2" xfId="41292" xr:uid="{00000000-0005-0000-0000-0000116C0000}"/>
    <cellStyle name="Normal 4 7 9" xfId="34187" xr:uid="{00000000-0005-0000-0000-0000126C0000}"/>
    <cellStyle name="Normal 4 7 9 2" xfId="41293" xr:uid="{00000000-0005-0000-0000-0000136C0000}"/>
    <cellStyle name="Normal 4 8" xfId="5711" xr:uid="{00000000-0005-0000-0000-0000146C0000}"/>
    <cellStyle name="Normal 4 8 10" xfId="34189" xr:uid="{00000000-0005-0000-0000-0000156C0000}"/>
    <cellStyle name="Normal 4 8 10 2" xfId="41294" xr:uid="{00000000-0005-0000-0000-0000166C0000}"/>
    <cellStyle name="Normal 4 8 11" xfId="34190" xr:uid="{00000000-0005-0000-0000-0000176C0000}"/>
    <cellStyle name="Normal 4 8 12" xfId="34188" xr:uid="{00000000-0005-0000-0000-0000186C0000}"/>
    <cellStyle name="Normal 4 8 2" xfId="10566" xr:uid="{00000000-0005-0000-0000-0000196C0000}"/>
    <cellStyle name="Normal 4 8 2 2" xfId="34192" xr:uid="{00000000-0005-0000-0000-00001A6C0000}"/>
    <cellStyle name="Normal 4 8 2 2 2" xfId="34193" xr:uid="{00000000-0005-0000-0000-00001B6C0000}"/>
    <cellStyle name="Normal 4 8 2 2 2 2" xfId="41297" xr:uid="{00000000-0005-0000-0000-00001C6C0000}"/>
    <cellStyle name="Normal 4 8 2 2 3" xfId="34194" xr:uid="{00000000-0005-0000-0000-00001D6C0000}"/>
    <cellStyle name="Normal 4 8 2 2 3 2" xfId="41298" xr:uid="{00000000-0005-0000-0000-00001E6C0000}"/>
    <cellStyle name="Normal 4 8 2 2 4" xfId="41296" xr:uid="{00000000-0005-0000-0000-00001F6C0000}"/>
    <cellStyle name="Normal 4 8 2 3" xfId="34195" xr:uid="{00000000-0005-0000-0000-0000206C0000}"/>
    <cellStyle name="Normal 4 8 2 3 2" xfId="34196" xr:uid="{00000000-0005-0000-0000-0000216C0000}"/>
    <cellStyle name="Normal 4 8 2 3 2 2" xfId="41300" xr:uid="{00000000-0005-0000-0000-0000226C0000}"/>
    <cellStyle name="Normal 4 8 2 3 3" xfId="41299" xr:uid="{00000000-0005-0000-0000-0000236C0000}"/>
    <cellStyle name="Normal 4 8 2 4" xfId="34197" xr:uid="{00000000-0005-0000-0000-0000246C0000}"/>
    <cellStyle name="Normal 4 8 2 4 2" xfId="41301" xr:uid="{00000000-0005-0000-0000-0000256C0000}"/>
    <cellStyle name="Normal 4 8 2 5" xfId="34198" xr:uid="{00000000-0005-0000-0000-0000266C0000}"/>
    <cellStyle name="Normal 4 8 2 5 2" xfId="41302" xr:uid="{00000000-0005-0000-0000-0000276C0000}"/>
    <cellStyle name="Normal 4 8 2 6" xfId="34199" xr:uid="{00000000-0005-0000-0000-0000286C0000}"/>
    <cellStyle name="Normal 4 8 2 6 2" xfId="41303" xr:uid="{00000000-0005-0000-0000-0000296C0000}"/>
    <cellStyle name="Normal 4 8 2 7" xfId="34200" xr:uid="{00000000-0005-0000-0000-00002A6C0000}"/>
    <cellStyle name="Normal 4 8 2 7 2" xfId="41304" xr:uid="{00000000-0005-0000-0000-00002B6C0000}"/>
    <cellStyle name="Normal 4 8 2 8" xfId="41295" xr:uid="{00000000-0005-0000-0000-00002C6C0000}"/>
    <cellStyle name="Normal 4 8 2 9" xfId="34191" xr:uid="{00000000-0005-0000-0000-00002D6C0000}"/>
    <cellStyle name="Normal 4 8 3" xfId="34201" xr:uid="{00000000-0005-0000-0000-00002E6C0000}"/>
    <cellStyle name="Normal 4 8 3 2" xfId="34202" xr:uid="{00000000-0005-0000-0000-00002F6C0000}"/>
    <cellStyle name="Normal 4 8 3 2 2" xfId="34203" xr:uid="{00000000-0005-0000-0000-0000306C0000}"/>
    <cellStyle name="Normal 4 8 3 2 2 2" xfId="41307" xr:uid="{00000000-0005-0000-0000-0000316C0000}"/>
    <cellStyle name="Normal 4 8 3 2 3" xfId="41306" xr:uid="{00000000-0005-0000-0000-0000326C0000}"/>
    <cellStyle name="Normal 4 8 3 3" xfId="34204" xr:uid="{00000000-0005-0000-0000-0000336C0000}"/>
    <cellStyle name="Normal 4 8 3 3 2" xfId="41308" xr:uid="{00000000-0005-0000-0000-0000346C0000}"/>
    <cellStyle name="Normal 4 8 3 4" xfId="34205" xr:uid="{00000000-0005-0000-0000-0000356C0000}"/>
    <cellStyle name="Normal 4 8 3 4 2" xfId="41309" xr:uid="{00000000-0005-0000-0000-0000366C0000}"/>
    <cellStyle name="Normal 4 8 3 5" xfId="41305" xr:uid="{00000000-0005-0000-0000-0000376C0000}"/>
    <cellStyle name="Normal 4 8 4" xfId="34206" xr:uid="{00000000-0005-0000-0000-0000386C0000}"/>
    <cellStyle name="Normal 4 8 4 2" xfId="34207" xr:uid="{00000000-0005-0000-0000-0000396C0000}"/>
    <cellStyle name="Normal 4 8 4 2 2" xfId="41311" xr:uid="{00000000-0005-0000-0000-00003A6C0000}"/>
    <cellStyle name="Normal 4 8 4 3" xfId="34208" xr:uid="{00000000-0005-0000-0000-00003B6C0000}"/>
    <cellStyle name="Normal 4 8 4 3 2" xfId="41312" xr:uid="{00000000-0005-0000-0000-00003C6C0000}"/>
    <cellStyle name="Normal 4 8 4 4" xfId="41310" xr:uid="{00000000-0005-0000-0000-00003D6C0000}"/>
    <cellStyle name="Normal 4 8 5" xfId="34209" xr:uid="{00000000-0005-0000-0000-00003E6C0000}"/>
    <cellStyle name="Normal 4 8 5 2" xfId="34210" xr:uid="{00000000-0005-0000-0000-00003F6C0000}"/>
    <cellStyle name="Normal 4 8 5 2 2" xfId="34211" xr:uid="{00000000-0005-0000-0000-0000406C0000}"/>
    <cellStyle name="Normal 4 8 5 2 2 2" xfId="34212" xr:uid="{00000000-0005-0000-0000-0000416C0000}"/>
    <cellStyle name="Normal 4 8 5 2 2 2 2" xfId="41316" xr:uid="{00000000-0005-0000-0000-0000426C0000}"/>
    <cellStyle name="Normal 4 8 5 2 2 3" xfId="41315" xr:uid="{00000000-0005-0000-0000-0000436C0000}"/>
    <cellStyle name="Normal 4 8 5 2 3" xfId="34213" xr:uid="{00000000-0005-0000-0000-0000446C0000}"/>
    <cellStyle name="Normal 4 8 5 2 3 2" xfId="41317" xr:uid="{00000000-0005-0000-0000-0000456C0000}"/>
    <cellStyle name="Normal 4 8 5 2 4" xfId="41314" xr:uid="{00000000-0005-0000-0000-0000466C0000}"/>
    <cellStyle name="Normal 4 8 5 3" xfId="34214" xr:uid="{00000000-0005-0000-0000-0000476C0000}"/>
    <cellStyle name="Normal 4 8 5 3 2" xfId="34215" xr:uid="{00000000-0005-0000-0000-0000486C0000}"/>
    <cellStyle name="Normal 4 8 5 3 2 2" xfId="41319" xr:uid="{00000000-0005-0000-0000-0000496C0000}"/>
    <cellStyle name="Normal 4 8 5 3 3" xfId="41318" xr:uid="{00000000-0005-0000-0000-00004A6C0000}"/>
    <cellStyle name="Normal 4 8 5 4" xfId="34216" xr:uid="{00000000-0005-0000-0000-00004B6C0000}"/>
    <cellStyle name="Normal 4 8 5 4 2" xfId="41320" xr:uid="{00000000-0005-0000-0000-00004C6C0000}"/>
    <cellStyle name="Normal 4 8 5 5" xfId="34217" xr:uid="{00000000-0005-0000-0000-00004D6C0000}"/>
    <cellStyle name="Normal 4 8 5 5 2" xfId="41321" xr:uid="{00000000-0005-0000-0000-00004E6C0000}"/>
    <cellStyle name="Normal 4 8 5 6" xfId="41313" xr:uid="{00000000-0005-0000-0000-00004F6C0000}"/>
    <cellStyle name="Normal 4 8 6" xfId="34218" xr:uid="{00000000-0005-0000-0000-0000506C0000}"/>
    <cellStyle name="Normal 4 8 6 2" xfId="41322" xr:uid="{00000000-0005-0000-0000-0000516C0000}"/>
    <cellStyle name="Normal 4 8 7" xfId="34219" xr:uid="{00000000-0005-0000-0000-0000526C0000}"/>
    <cellStyle name="Normal 4 8 7 2" xfId="41323" xr:uid="{00000000-0005-0000-0000-0000536C0000}"/>
    <cellStyle name="Normal 4 8 8" xfId="34220" xr:uid="{00000000-0005-0000-0000-0000546C0000}"/>
    <cellStyle name="Normal 4 8 8 2" xfId="41324" xr:uid="{00000000-0005-0000-0000-0000556C0000}"/>
    <cellStyle name="Normal 4 8 9" xfId="34221" xr:uid="{00000000-0005-0000-0000-0000566C0000}"/>
    <cellStyle name="Normal 4 8 9 2" xfId="41325" xr:uid="{00000000-0005-0000-0000-0000576C0000}"/>
    <cellStyle name="Normal 4 9" xfId="5712" xr:uid="{00000000-0005-0000-0000-0000586C0000}"/>
    <cellStyle name="Normal 4 9 10" xfId="34223" xr:uid="{00000000-0005-0000-0000-0000596C0000}"/>
    <cellStyle name="Normal 4 9 10 2" xfId="41326" xr:uid="{00000000-0005-0000-0000-00005A6C0000}"/>
    <cellStyle name="Normal 4 9 11" xfId="34224" xr:uid="{00000000-0005-0000-0000-00005B6C0000}"/>
    <cellStyle name="Normal 4 9 12" xfId="34222" xr:uid="{00000000-0005-0000-0000-00005C6C0000}"/>
    <cellStyle name="Normal 4 9 2" xfId="10567" xr:uid="{00000000-0005-0000-0000-00005D6C0000}"/>
    <cellStyle name="Normal 4 9 2 2" xfId="34226" xr:uid="{00000000-0005-0000-0000-00005E6C0000}"/>
    <cellStyle name="Normal 4 9 2 2 2" xfId="34227" xr:uid="{00000000-0005-0000-0000-00005F6C0000}"/>
    <cellStyle name="Normal 4 9 2 2 2 2" xfId="41329" xr:uid="{00000000-0005-0000-0000-0000606C0000}"/>
    <cellStyle name="Normal 4 9 2 2 3" xfId="34228" xr:uid="{00000000-0005-0000-0000-0000616C0000}"/>
    <cellStyle name="Normal 4 9 2 2 3 2" xfId="41330" xr:uid="{00000000-0005-0000-0000-0000626C0000}"/>
    <cellStyle name="Normal 4 9 2 2 4" xfId="41328" xr:uid="{00000000-0005-0000-0000-0000636C0000}"/>
    <cellStyle name="Normal 4 9 2 3" xfId="34229" xr:uid="{00000000-0005-0000-0000-0000646C0000}"/>
    <cellStyle name="Normal 4 9 2 3 2" xfId="41331" xr:uid="{00000000-0005-0000-0000-0000656C0000}"/>
    <cellStyle name="Normal 4 9 2 4" xfId="34230" xr:uid="{00000000-0005-0000-0000-0000666C0000}"/>
    <cellStyle name="Normal 4 9 2 4 2" xfId="41332" xr:uid="{00000000-0005-0000-0000-0000676C0000}"/>
    <cellStyle name="Normal 4 9 2 5" xfId="34231" xr:uid="{00000000-0005-0000-0000-0000686C0000}"/>
    <cellStyle name="Normal 4 9 2 5 2" xfId="41333" xr:uid="{00000000-0005-0000-0000-0000696C0000}"/>
    <cellStyle name="Normal 4 9 2 6" xfId="34232" xr:uid="{00000000-0005-0000-0000-00006A6C0000}"/>
    <cellStyle name="Normal 4 9 2 6 2" xfId="41334" xr:uid="{00000000-0005-0000-0000-00006B6C0000}"/>
    <cellStyle name="Normal 4 9 2 7" xfId="34233" xr:uid="{00000000-0005-0000-0000-00006C6C0000}"/>
    <cellStyle name="Normal 4 9 2 7 2" xfId="41335" xr:uid="{00000000-0005-0000-0000-00006D6C0000}"/>
    <cellStyle name="Normal 4 9 2 8" xfId="41327" xr:uid="{00000000-0005-0000-0000-00006E6C0000}"/>
    <cellStyle name="Normal 4 9 2 9" xfId="34225" xr:uid="{00000000-0005-0000-0000-00006F6C0000}"/>
    <cellStyle name="Normal 4 9 3" xfId="34234" xr:uid="{00000000-0005-0000-0000-0000706C0000}"/>
    <cellStyle name="Normal 4 9 3 2" xfId="34235" xr:uid="{00000000-0005-0000-0000-0000716C0000}"/>
    <cellStyle name="Normal 4 9 3 2 2" xfId="41337" xr:uid="{00000000-0005-0000-0000-0000726C0000}"/>
    <cellStyle name="Normal 4 9 3 3" xfId="34236" xr:uid="{00000000-0005-0000-0000-0000736C0000}"/>
    <cellStyle name="Normal 4 9 3 3 2" xfId="41338" xr:uid="{00000000-0005-0000-0000-0000746C0000}"/>
    <cellStyle name="Normal 4 9 3 4" xfId="34237" xr:uid="{00000000-0005-0000-0000-0000756C0000}"/>
    <cellStyle name="Normal 4 9 3 4 2" xfId="41339" xr:uid="{00000000-0005-0000-0000-0000766C0000}"/>
    <cellStyle name="Normal 4 9 3 5" xfId="41336" xr:uid="{00000000-0005-0000-0000-0000776C0000}"/>
    <cellStyle name="Normal 4 9 4" xfId="34238" xr:uid="{00000000-0005-0000-0000-0000786C0000}"/>
    <cellStyle name="Normal 4 9 4 2" xfId="34239" xr:uid="{00000000-0005-0000-0000-0000796C0000}"/>
    <cellStyle name="Normal 4 9 4 2 2" xfId="41341" xr:uid="{00000000-0005-0000-0000-00007A6C0000}"/>
    <cellStyle name="Normal 4 9 4 3" xfId="34240" xr:uid="{00000000-0005-0000-0000-00007B6C0000}"/>
    <cellStyle name="Normal 4 9 4 3 2" xfId="41342" xr:uid="{00000000-0005-0000-0000-00007C6C0000}"/>
    <cellStyle name="Normal 4 9 4 4" xfId="41340" xr:uid="{00000000-0005-0000-0000-00007D6C0000}"/>
    <cellStyle name="Normal 4 9 5" xfId="34241" xr:uid="{00000000-0005-0000-0000-00007E6C0000}"/>
    <cellStyle name="Normal 4 9 5 2" xfId="41343" xr:uid="{00000000-0005-0000-0000-00007F6C0000}"/>
    <cellStyle name="Normal 4 9 6" xfId="34242" xr:uid="{00000000-0005-0000-0000-0000806C0000}"/>
    <cellStyle name="Normal 4 9 6 2" xfId="41344" xr:uid="{00000000-0005-0000-0000-0000816C0000}"/>
    <cellStyle name="Normal 4 9 7" xfId="34243" xr:uid="{00000000-0005-0000-0000-0000826C0000}"/>
    <cellStyle name="Normal 4 9 7 2" xfId="41345" xr:uid="{00000000-0005-0000-0000-0000836C0000}"/>
    <cellStyle name="Normal 4 9 8" xfId="34244" xr:uid="{00000000-0005-0000-0000-0000846C0000}"/>
    <cellStyle name="Normal 4 9 8 2" xfId="41346" xr:uid="{00000000-0005-0000-0000-0000856C0000}"/>
    <cellStyle name="Normal 4 9 9" xfId="34245" xr:uid="{00000000-0005-0000-0000-0000866C0000}"/>
    <cellStyle name="Normal 4 9 9 2" xfId="41347" xr:uid="{00000000-0005-0000-0000-0000876C0000}"/>
    <cellStyle name="Normal 40" xfId="5713" xr:uid="{00000000-0005-0000-0000-0000886C0000}"/>
    <cellStyle name="Normal 40 2" xfId="5714" xr:uid="{00000000-0005-0000-0000-0000896C0000}"/>
    <cellStyle name="Normal 40 2 2" xfId="10568" xr:uid="{00000000-0005-0000-0000-00008A6C0000}"/>
    <cellStyle name="Normal 40 2 2 2" xfId="34249" xr:uid="{00000000-0005-0000-0000-00008B6C0000}"/>
    <cellStyle name="Normal 40 2 2 3" xfId="34250" xr:uid="{00000000-0005-0000-0000-00008C6C0000}"/>
    <cellStyle name="Normal 40 2 2 4" xfId="34248" xr:uid="{00000000-0005-0000-0000-00008D6C0000}"/>
    <cellStyle name="Normal 40 2 3" xfId="34251" xr:uid="{00000000-0005-0000-0000-00008E6C0000}"/>
    <cellStyle name="Normal 40 2 4" xfId="34252" xr:uid="{00000000-0005-0000-0000-00008F6C0000}"/>
    <cellStyle name="Normal 40 2 5" xfId="34253" xr:uid="{00000000-0005-0000-0000-0000906C0000}"/>
    <cellStyle name="Normal 40 2 6" xfId="41349" xr:uid="{00000000-0005-0000-0000-0000916C0000}"/>
    <cellStyle name="Normal 40 2 7" xfId="34247" xr:uid="{00000000-0005-0000-0000-0000926C0000}"/>
    <cellStyle name="Normal 40 3" xfId="5715" xr:uid="{00000000-0005-0000-0000-0000936C0000}"/>
    <cellStyle name="Normal 40 3 2" xfId="10569" xr:uid="{00000000-0005-0000-0000-0000946C0000}"/>
    <cellStyle name="Normal 40 4" xfId="5716" xr:uid="{00000000-0005-0000-0000-0000956C0000}"/>
    <cellStyle name="Normal 40 4 2" xfId="5717" xr:uid="{00000000-0005-0000-0000-0000966C0000}"/>
    <cellStyle name="Normal 40 4 2 2" xfId="5718" xr:uid="{00000000-0005-0000-0000-0000976C0000}"/>
    <cellStyle name="Normal 40 4 2 2 2" xfId="5719" xr:uid="{00000000-0005-0000-0000-0000986C0000}"/>
    <cellStyle name="Normal 40 4 2 2 2 2" xfId="5720" xr:uid="{00000000-0005-0000-0000-0000996C0000}"/>
    <cellStyle name="Normal 40 4 2 2 2 2 2" xfId="18982" xr:uid="{00000000-0005-0000-0000-00009A6C0000}"/>
    <cellStyle name="Normal 40 4 2 2 2 3" xfId="18464" xr:uid="{00000000-0005-0000-0000-00009B6C0000}"/>
    <cellStyle name="Normal 40 4 2 2 3" xfId="5721" xr:uid="{00000000-0005-0000-0000-00009C6C0000}"/>
    <cellStyle name="Normal 40 4 2 2 3 2" xfId="18700" xr:uid="{00000000-0005-0000-0000-00009D6C0000}"/>
    <cellStyle name="Normal 40 4 2 2 4" xfId="18173" xr:uid="{00000000-0005-0000-0000-00009E6C0000}"/>
    <cellStyle name="Normal 40 4 2 3" xfId="5722" xr:uid="{00000000-0005-0000-0000-00009F6C0000}"/>
    <cellStyle name="Normal 40 4 2 3 2" xfId="5723" xr:uid="{00000000-0005-0000-0000-0000A06C0000}"/>
    <cellStyle name="Normal 40 4 2 3 2 2" xfId="18861" xr:uid="{00000000-0005-0000-0000-0000A16C0000}"/>
    <cellStyle name="Normal 40 4 2 3 3" xfId="18340" xr:uid="{00000000-0005-0000-0000-0000A26C0000}"/>
    <cellStyle name="Normal 40 4 2 4" xfId="5724" xr:uid="{00000000-0005-0000-0000-0000A36C0000}"/>
    <cellStyle name="Normal 40 4 2 4 2" xfId="18583" xr:uid="{00000000-0005-0000-0000-0000A46C0000}"/>
    <cellStyle name="Normal 40 4 2 5" xfId="18025" xr:uid="{00000000-0005-0000-0000-0000A56C0000}"/>
    <cellStyle name="Normal 40 4 3" xfId="5725" xr:uid="{00000000-0005-0000-0000-0000A66C0000}"/>
    <cellStyle name="Normal 40 4 3 2" xfId="5726" xr:uid="{00000000-0005-0000-0000-0000A76C0000}"/>
    <cellStyle name="Normal 40 4 3 2 2" xfId="5727" xr:uid="{00000000-0005-0000-0000-0000A86C0000}"/>
    <cellStyle name="Normal 40 4 3 2 2 2" xfId="5728" xr:uid="{00000000-0005-0000-0000-0000A96C0000}"/>
    <cellStyle name="Normal 40 4 3 2 2 2 2" xfId="18942" xr:uid="{00000000-0005-0000-0000-0000AA6C0000}"/>
    <cellStyle name="Normal 40 4 3 2 2 3" xfId="18424" xr:uid="{00000000-0005-0000-0000-0000AB6C0000}"/>
    <cellStyle name="Normal 40 4 3 2 3" xfId="5729" xr:uid="{00000000-0005-0000-0000-0000AC6C0000}"/>
    <cellStyle name="Normal 40 4 3 2 3 2" xfId="18660" xr:uid="{00000000-0005-0000-0000-0000AD6C0000}"/>
    <cellStyle name="Normal 40 4 3 2 4" xfId="18133" xr:uid="{00000000-0005-0000-0000-0000AE6C0000}"/>
    <cellStyle name="Normal 40 4 3 3" xfId="5730" xr:uid="{00000000-0005-0000-0000-0000AF6C0000}"/>
    <cellStyle name="Normal 40 4 3 3 2" xfId="5731" xr:uid="{00000000-0005-0000-0000-0000B06C0000}"/>
    <cellStyle name="Normal 40 4 3 3 2 2" xfId="18828" xr:uid="{00000000-0005-0000-0000-0000B16C0000}"/>
    <cellStyle name="Normal 40 4 3 3 3" xfId="18307" xr:uid="{00000000-0005-0000-0000-0000B26C0000}"/>
    <cellStyle name="Normal 40 4 3 4" xfId="5732" xr:uid="{00000000-0005-0000-0000-0000B36C0000}"/>
    <cellStyle name="Normal 40 4 3 4 2" xfId="18543" xr:uid="{00000000-0005-0000-0000-0000B46C0000}"/>
    <cellStyle name="Normal 40 4 3 5" xfId="17979" xr:uid="{00000000-0005-0000-0000-0000B56C0000}"/>
    <cellStyle name="Normal 40 4 4" xfId="5733" xr:uid="{00000000-0005-0000-0000-0000B66C0000}"/>
    <cellStyle name="Normal 40 4 5" xfId="5734" xr:uid="{00000000-0005-0000-0000-0000B76C0000}"/>
    <cellStyle name="Normal 40 4 5 2" xfId="5735" xr:uid="{00000000-0005-0000-0000-0000B86C0000}"/>
    <cellStyle name="Normal 40 4 5 2 2" xfId="18786" xr:uid="{00000000-0005-0000-0000-0000B96C0000}"/>
    <cellStyle name="Normal 40 4 5 3" xfId="18259" xr:uid="{00000000-0005-0000-0000-0000BA6C0000}"/>
    <cellStyle name="Normal 40 4 6" xfId="34254" xr:uid="{00000000-0005-0000-0000-0000BB6C0000}"/>
    <cellStyle name="Normal 40 5" xfId="5736" xr:uid="{00000000-0005-0000-0000-0000BC6C0000}"/>
    <cellStyle name="Normal 40 5 2" xfId="34255" xr:uid="{00000000-0005-0000-0000-0000BD6C0000}"/>
    <cellStyle name="Normal 40 6" xfId="5737" xr:uid="{00000000-0005-0000-0000-0000BE6C0000}"/>
    <cellStyle name="Normal 40 6 2" xfId="5738" xr:uid="{00000000-0005-0000-0000-0000BF6C0000}"/>
    <cellStyle name="Normal 40 6 2 2" xfId="5739" xr:uid="{00000000-0005-0000-0000-0000C06C0000}"/>
    <cellStyle name="Normal 40 6 2 2 2" xfId="5740" xr:uid="{00000000-0005-0000-0000-0000C16C0000}"/>
    <cellStyle name="Normal 40 6 2 2 2 2" xfId="5741" xr:uid="{00000000-0005-0000-0000-0000C26C0000}"/>
    <cellStyle name="Normal 40 6 2 2 2 2 2" xfId="19013" xr:uid="{00000000-0005-0000-0000-0000C36C0000}"/>
    <cellStyle name="Normal 40 6 2 2 2 3" xfId="18495" xr:uid="{00000000-0005-0000-0000-0000C46C0000}"/>
    <cellStyle name="Normal 40 6 2 2 3" xfId="5742" xr:uid="{00000000-0005-0000-0000-0000C56C0000}"/>
    <cellStyle name="Normal 40 6 2 2 3 2" xfId="18731" xr:uid="{00000000-0005-0000-0000-0000C66C0000}"/>
    <cellStyle name="Normal 40 6 2 2 4" xfId="18204" xr:uid="{00000000-0005-0000-0000-0000C76C0000}"/>
    <cellStyle name="Normal 40 6 2 3" xfId="5743" xr:uid="{00000000-0005-0000-0000-0000C86C0000}"/>
    <cellStyle name="Normal 40 6 2 3 2" xfId="5744" xr:uid="{00000000-0005-0000-0000-0000C96C0000}"/>
    <cellStyle name="Normal 40 6 2 3 2 2" xfId="18893" xr:uid="{00000000-0005-0000-0000-0000CA6C0000}"/>
    <cellStyle name="Normal 40 6 2 3 3" xfId="18374" xr:uid="{00000000-0005-0000-0000-0000CB6C0000}"/>
    <cellStyle name="Normal 40 6 2 4" xfId="5745" xr:uid="{00000000-0005-0000-0000-0000CC6C0000}"/>
    <cellStyle name="Normal 40 6 2 4 2" xfId="18614" xr:uid="{00000000-0005-0000-0000-0000CD6C0000}"/>
    <cellStyle name="Normal 40 6 2 5" xfId="18060" xr:uid="{00000000-0005-0000-0000-0000CE6C0000}"/>
    <cellStyle name="Normal 40 6 3" xfId="5746" xr:uid="{00000000-0005-0000-0000-0000CF6C0000}"/>
    <cellStyle name="Normal 40 6 3 2" xfId="5747" xr:uid="{00000000-0005-0000-0000-0000D06C0000}"/>
    <cellStyle name="Normal 40 6 3 2 2" xfId="5748" xr:uid="{00000000-0005-0000-0000-0000D16C0000}"/>
    <cellStyle name="Normal 40 6 3 2 2 2" xfId="18926" xr:uid="{00000000-0005-0000-0000-0000D26C0000}"/>
    <cellStyle name="Normal 40 6 3 2 3" xfId="18408" xr:uid="{00000000-0005-0000-0000-0000D36C0000}"/>
    <cellStyle name="Normal 40 6 3 3" xfId="5749" xr:uid="{00000000-0005-0000-0000-0000D46C0000}"/>
    <cellStyle name="Normal 40 6 3 3 2" xfId="18644" xr:uid="{00000000-0005-0000-0000-0000D56C0000}"/>
    <cellStyle name="Normal 40 6 3 4" xfId="18117" xr:uid="{00000000-0005-0000-0000-0000D66C0000}"/>
    <cellStyle name="Normal 40 6 4" xfId="5750" xr:uid="{00000000-0005-0000-0000-0000D76C0000}"/>
    <cellStyle name="Normal 40 6 4 2" xfId="5751" xr:uid="{00000000-0005-0000-0000-0000D86C0000}"/>
    <cellStyle name="Normal 40 6 4 2 2" xfId="18807" xr:uid="{00000000-0005-0000-0000-0000D96C0000}"/>
    <cellStyle name="Normal 40 6 4 3" xfId="18280" xr:uid="{00000000-0005-0000-0000-0000DA6C0000}"/>
    <cellStyle name="Normal 40 6 5" xfId="5752" xr:uid="{00000000-0005-0000-0000-0000DB6C0000}"/>
    <cellStyle name="Normal 40 6 5 2" xfId="18527" xr:uid="{00000000-0005-0000-0000-0000DC6C0000}"/>
    <cellStyle name="Normal 40 6 6" xfId="17963" xr:uid="{00000000-0005-0000-0000-0000DD6C0000}"/>
    <cellStyle name="Normal 40 6 7" xfId="41348" xr:uid="{00000000-0005-0000-0000-0000DE6C0000}"/>
    <cellStyle name="Normal 40 7" xfId="5753" xr:uid="{00000000-0005-0000-0000-0000DF6C0000}"/>
    <cellStyle name="Normal 40 7 2" xfId="5754" xr:uid="{00000000-0005-0000-0000-0000E06C0000}"/>
    <cellStyle name="Normal 40 7 2 2" xfId="5755" xr:uid="{00000000-0005-0000-0000-0000E16C0000}"/>
    <cellStyle name="Normal 40 7 2 2 2" xfId="5756" xr:uid="{00000000-0005-0000-0000-0000E26C0000}"/>
    <cellStyle name="Normal 40 7 2 2 2 2" xfId="18963" xr:uid="{00000000-0005-0000-0000-0000E36C0000}"/>
    <cellStyle name="Normal 40 7 2 2 3" xfId="18445" xr:uid="{00000000-0005-0000-0000-0000E46C0000}"/>
    <cellStyle name="Normal 40 7 2 3" xfId="5757" xr:uid="{00000000-0005-0000-0000-0000E56C0000}"/>
    <cellStyle name="Normal 40 7 2 3 2" xfId="18681" xr:uid="{00000000-0005-0000-0000-0000E66C0000}"/>
    <cellStyle name="Normal 40 7 2 4" xfId="18154" xr:uid="{00000000-0005-0000-0000-0000E76C0000}"/>
    <cellStyle name="Normal 40 7 3" xfId="5758" xr:uid="{00000000-0005-0000-0000-0000E86C0000}"/>
    <cellStyle name="Normal 40 7 3 2" xfId="5759" xr:uid="{00000000-0005-0000-0000-0000E96C0000}"/>
    <cellStyle name="Normal 40 7 3 2 2" xfId="18842" xr:uid="{00000000-0005-0000-0000-0000EA6C0000}"/>
    <cellStyle name="Normal 40 7 3 3" xfId="18321" xr:uid="{00000000-0005-0000-0000-0000EB6C0000}"/>
    <cellStyle name="Normal 40 7 4" xfId="5760" xr:uid="{00000000-0005-0000-0000-0000EC6C0000}"/>
    <cellStyle name="Normal 40 7 4 2" xfId="18564" xr:uid="{00000000-0005-0000-0000-0000ED6C0000}"/>
    <cellStyle name="Normal 40 7 5" xfId="18005" xr:uid="{00000000-0005-0000-0000-0000EE6C0000}"/>
    <cellStyle name="Normal 40 8" xfId="5761" xr:uid="{00000000-0005-0000-0000-0000EF6C0000}"/>
    <cellStyle name="Normal 40 8 2" xfId="5762" xr:uid="{00000000-0005-0000-0000-0000F06C0000}"/>
    <cellStyle name="Normal 40 8 2 2" xfId="18766" xr:uid="{00000000-0005-0000-0000-0000F16C0000}"/>
    <cellStyle name="Normal 40 8 3" xfId="18239" xr:uid="{00000000-0005-0000-0000-0000F26C0000}"/>
    <cellStyle name="Normal 40 9" xfId="34246" xr:uid="{00000000-0005-0000-0000-0000F36C0000}"/>
    <cellStyle name="Normal 400" xfId="34256" xr:uid="{00000000-0005-0000-0000-0000F46C0000}"/>
    <cellStyle name="Normal 401" xfId="34257" xr:uid="{00000000-0005-0000-0000-0000F56C0000}"/>
    <cellStyle name="Normal 401 2" xfId="34258" xr:uid="{00000000-0005-0000-0000-0000F66C0000}"/>
    <cellStyle name="Normal 402" xfId="34259" xr:uid="{00000000-0005-0000-0000-0000F76C0000}"/>
    <cellStyle name="Normal 402 2" xfId="34260" xr:uid="{00000000-0005-0000-0000-0000F86C0000}"/>
    <cellStyle name="Normal 403" xfId="34261" xr:uid="{00000000-0005-0000-0000-0000F96C0000}"/>
    <cellStyle name="Normal 403 2" xfId="34262" xr:uid="{00000000-0005-0000-0000-0000FA6C0000}"/>
    <cellStyle name="Normal 404" xfId="34263" xr:uid="{00000000-0005-0000-0000-0000FB6C0000}"/>
    <cellStyle name="Normal 404 2" xfId="34264" xr:uid="{00000000-0005-0000-0000-0000FC6C0000}"/>
    <cellStyle name="Normal 405" xfId="34265" xr:uid="{00000000-0005-0000-0000-0000FD6C0000}"/>
    <cellStyle name="Normal 405 2" xfId="34266" xr:uid="{00000000-0005-0000-0000-0000FE6C0000}"/>
    <cellStyle name="Normal 406" xfId="34267" xr:uid="{00000000-0005-0000-0000-0000FF6C0000}"/>
    <cellStyle name="Normal 406 2" xfId="34268" xr:uid="{00000000-0005-0000-0000-0000006D0000}"/>
    <cellStyle name="Normal 407" xfId="34269" xr:uid="{00000000-0005-0000-0000-0000016D0000}"/>
    <cellStyle name="Normal 407 2" xfId="34270" xr:uid="{00000000-0005-0000-0000-0000026D0000}"/>
    <cellStyle name="Normal 408" xfId="34271" xr:uid="{00000000-0005-0000-0000-0000036D0000}"/>
    <cellStyle name="Normal 408 2" xfId="34272" xr:uid="{00000000-0005-0000-0000-0000046D0000}"/>
    <cellStyle name="Normal 409" xfId="34273" xr:uid="{00000000-0005-0000-0000-0000056D0000}"/>
    <cellStyle name="Normal 409 2" xfId="34274" xr:uid="{00000000-0005-0000-0000-0000066D0000}"/>
    <cellStyle name="Normal 41" xfId="5763" xr:uid="{00000000-0005-0000-0000-0000076D0000}"/>
    <cellStyle name="Normal 41 2" xfId="5764" xr:uid="{00000000-0005-0000-0000-0000086D0000}"/>
    <cellStyle name="Normal 41 2 2" xfId="10570" xr:uid="{00000000-0005-0000-0000-0000096D0000}"/>
    <cellStyle name="Normal 41 2 2 2" xfId="34278" xr:uid="{00000000-0005-0000-0000-00000A6D0000}"/>
    <cellStyle name="Normal 41 2 2 3" xfId="34279" xr:uid="{00000000-0005-0000-0000-00000B6D0000}"/>
    <cellStyle name="Normal 41 2 2 4" xfId="34277" xr:uid="{00000000-0005-0000-0000-00000C6D0000}"/>
    <cellStyle name="Normal 41 2 3" xfId="34280" xr:uid="{00000000-0005-0000-0000-00000D6D0000}"/>
    <cellStyle name="Normal 41 2 4" xfId="34281" xr:uid="{00000000-0005-0000-0000-00000E6D0000}"/>
    <cellStyle name="Normal 41 2 5" xfId="34282" xr:uid="{00000000-0005-0000-0000-00000F6D0000}"/>
    <cellStyle name="Normal 41 2 6" xfId="41351" xr:uid="{00000000-0005-0000-0000-0000106D0000}"/>
    <cellStyle name="Normal 41 2 7" xfId="34276" xr:uid="{00000000-0005-0000-0000-0000116D0000}"/>
    <cellStyle name="Normal 41 3" xfId="5765" xr:uid="{00000000-0005-0000-0000-0000126D0000}"/>
    <cellStyle name="Normal 41 3 2" xfId="10571" xr:uid="{00000000-0005-0000-0000-0000136D0000}"/>
    <cellStyle name="Normal 41 3 3" xfId="41352" xr:uid="{00000000-0005-0000-0000-0000146D0000}"/>
    <cellStyle name="Normal 41 3 4" xfId="34283" xr:uid="{00000000-0005-0000-0000-0000156D0000}"/>
    <cellStyle name="Normal 41 4" xfId="10572" xr:uid="{00000000-0005-0000-0000-0000166D0000}"/>
    <cellStyle name="Normal 41 4 2" xfId="34284" xr:uid="{00000000-0005-0000-0000-0000176D0000}"/>
    <cellStyle name="Normal 41 5" xfId="34285" xr:uid="{00000000-0005-0000-0000-0000186D0000}"/>
    <cellStyle name="Normal 41 6" xfId="41350" xr:uid="{00000000-0005-0000-0000-0000196D0000}"/>
    <cellStyle name="Normal 41 7" xfId="34275" xr:uid="{00000000-0005-0000-0000-00001A6D0000}"/>
    <cellStyle name="Normal 410" xfId="34286" xr:uid="{00000000-0005-0000-0000-00001B6D0000}"/>
    <cellStyle name="Normal 410 2" xfId="34287" xr:uid="{00000000-0005-0000-0000-00001C6D0000}"/>
    <cellStyle name="Normal 411" xfId="34288" xr:uid="{00000000-0005-0000-0000-00001D6D0000}"/>
    <cellStyle name="Normal 411 2" xfId="34289" xr:uid="{00000000-0005-0000-0000-00001E6D0000}"/>
    <cellStyle name="Normal 412" xfId="34290" xr:uid="{00000000-0005-0000-0000-00001F6D0000}"/>
    <cellStyle name="Normal 412 2" xfId="34291" xr:uid="{00000000-0005-0000-0000-0000206D0000}"/>
    <cellStyle name="Normal 413" xfId="34292" xr:uid="{00000000-0005-0000-0000-0000216D0000}"/>
    <cellStyle name="Normal 413 2" xfId="34293" xr:uid="{00000000-0005-0000-0000-0000226D0000}"/>
    <cellStyle name="Normal 414" xfId="34294" xr:uid="{00000000-0005-0000-0000-0000236D0000}"/>
    <cellStyle name="Normal 414 2" xfId="34295" xr:uid="{00000000-0005-0000-0000-0000246D0000}"/>
    <cellStyle name="Normal 415" xfId="34296" xr:uid="{00000000-0005-0000-0000-0000256D0000}"/>
    <cellStyle name="Normal 415 2" xfId="34297" xr:uid="{00000000-0005-0000-0000-0000266D0000}"/>
    <cellStyle name="Normal 416" xfId="34298" xr:uid="{00000000-0005-0000-0000-0000276D0000}"/>
    <cellStyle name="Normal 416 2" xfId="34299" xr:uid="{00000000-0005-0000-0000-0000286D0000}"/>
    <cellStyle name="Normal 417" xfId="34300" xr:uid="{00000000-0005-0000-0000-0000296D0000}"/>
    <cellStyle name="Normal 417 2" xfId="34301" xr:uid="{00000000-0005-0000-0000-00002A6D0000}"/>
    <cellStyle name="Normal 418" xfId="34302" xr:uid="{00000000-0005-0000-0000-00002B6D0000}"/>
    <cellStyle name="Normal 418 2" xfId="34303" xr:uid="{00000000-0005-0000-0000-00002C6D0000}"/>
    <cellStyle name="Normal 419" xfId="34304" xr:uid="{00000000-0005-0000-0000-00002D6D0000}"/>
    <cellStyle name="Normal 419 2" xfId="34305" xr:uid="{00000000-0005-0000-0000-00002E6D0000}"/>
    <cellStyle name="Normal 42" xfId="5766" xr:uid="{00000000-0005-0000-0000-00002F6D0000}"/>
    <cellStyle name="Normal 42 2" xfId="10573" xr:uid="{00000000-0005-0000-0000-0000306D0000}"/>
    <cellStyle name="Normal 42 2 2" xfId="34308" xr:uid="{00000000-0005-0000-0000-0000316D0000}"/>
    <cellStyle name="Normal 42 2 2 2" xfId="34309" xr:uid="{00000000-0005-0000-0000-0000326D0000}"/>
    <cellStyle name="Normal 42 2 2 3" xfId="34310" xr:uid="{00000000-0005-0000-0000-0000336D0000}"/>
    <cellStyle name="Normal 42 2 3" xfId="34311" xr:uid="{00000000-0005-0000-0000-0000346D0000}"/>
    <cellStyle name="Normal 42 2 4" xfId="34312" xr:uid="{00000000-0005-0000-0000-0000356D0000}"/>
    <cellStyle name="Normal 42 2 5" xfId="34313" xr:uid="{00000000-0005-0000-0000-0000366D0000}"/>
    <cellStyle name="Normal 42 2 6" xfId="41354" xr:uid="{00000000-0005-0000-0000-0000376D0000}"/>
    <cellStyle name="Normal 42 2 7" xfId="34307" xr:uid="{00000000-0005-0000-0000-0000386D0000}"/>
    <cellStyle name="Normal 42 3" xfId="34314" xr:uid="{00000000-0005-0000-0000-0000396D0000}"/>
    <cellStyle name="Normal 42 3 2" xfId="34315" xr:uid="{00000000-0005-0000-0000-00003A6D0000}"/>
    <cellStyle name="Normal 42 3 3" xfId="41355" xr:uid="{00000000-0005-0000-0000-00003B6D0000}"/>
    <cellStyle name="Normal 42 4" xfId="34316" xr:uid="{00000000-0005-0000-0000-00003C6D0000}"/>
    <cellStyle name="Normal 42 5" xfId="34317" xr:uid="{00000000-0005-0000-0000-00003D6D0000}"/>
    <cellStyle name="Normal 42 6" xfId="41353" xr:uid="{00000000-0005-0000-0000-00003E6D0000}"/>
    <cellStyle name="Normal 42 7" xfId="34306" xr:uid="{00000000-0005-0000-0000-00003F6D0000}"/>
    <cellStyle name="Normal 420" xfId="34318" xr:uid="{00000000-0005-0000-0000-0000406D0000}"/>
    <cellStyle name="Normal 420 2" xfId="34319" xr:uid="{00000000-0005-0000-0000-0000416D0000}"/>
    <cellStyle name="Normal 421" xfId="34320" xr:uid="{00000000-0005-0000-0000-0000426D0000}"/>
    <cellStyle name="Normal 422" xfId="34321" xr:uid="{00000000-0005-0000-0000-0000436D0000}"/>
    <cellStyle name="Normal 423" xfId="34322" xr:uid="{00000000-0005-0000-0000-0000446D0000}"/>
    <cellStyle name="Normal 424" xfId="34323" xr:uid="{00000000-0005-0000-0000-0000456D0000}"/>
    <cellStyle name="Normal 425" xfId="34324" xr:uid="{00000000-0005-0000-0000-0000466D0000}"/>
    <cellStyle name="Normal 426" xfId="34325" xr:uid="{00000000-0005-0000-0000-0000476D0000}"/>
    <cellStyle name="Normal 427" xfId="34326" xr:uid="{00000000-0005-0000-0000-0000486D0000}"/>
    <cellStyle name="Normal 428" xfId="34327" xr:uid="{00000000-0005-0000-0000-0000496D0000}"/>
    <cellStyle name="Normal 429" xfId="34328" xr:uid="{00000000-0005-0000-0000-00004A6D0000}"/>
    <cellStyle name="Normal 43" xfId="5767" xr:uid="{00000000-0005-0000-0000-00004B6D0000}"/>
    <cellStyle name="Normal 43 2" xfId="10574" xr:uid="{00000000-0005-0000-0000-00004C6D0000}"/>
    <cellStyle name="Normal 43 2 2" xfId="34331" xr:uid="{00000000-0005-0000-0000-00004D6D0000}"/>
    <cellStyle name="Normal 43 2 2 2" xfId="34332" xr:uid="{00000000-0005-0000-0000-00004E6D0000}"/>
    <cellStyle name="Normal 43 2 2 3" xfId="34333" xr:uid="{00000000-0005-0000-0000-00004F6D0000}"/>
    <cellStyle name="Normal 43 2 3" xfId="34334" xr:uid="{00000000-0005-0000-0000-0000506D0000}"/>
    <cellStyle name="Normal 43 2 4" xfId="34335" xr:uid="{00000000-0005-0000-0000-0000516D0000}"/>
    <cellStyle name="Normal 43 2 5" xfId="34336" xr:uid="{00000000-0005-0000-0000-0000526D0000}"/>
    <cellStyle name="Normal 43 2 6" xfId="41357" xr:uid="{00000000-0005-0000-0000-0000536D0000}"/>
    <cellStyle name="Normal 43 2 7" xfId="34330" xr:uid="{00000000-0005-0000-0000-0000546D0000}"/>
    <cellStyle name="Normal 43 3" xfId="34337" xr:uid="{00000000-0005-0000-0000-0000556D0000}"/>
    <cellStyle name="Normal 43 4" xfId="34338" xr:uid="{00000000-0005-0000-0000-0000566D0000}"/>
    <cellStyle name="Normal 43 5" xfId="34339" xr:uid="{00000000-0005-0000-0000-0000576D0000}"/>
    <cellStyle name="Normal 43 6" xfId="41356" xr:uid="{00000000-0005-0000-0000-0000586D0000}"/>
    <cellStyle name="Normal 43 7" xfId="34329" xr:uid="{00000000-0005-0000-0000-0000596D0000}"/>
    <cellStyle name="Normal 430" xfId="34340" xr:uid="{00000000-0005-0000-0000-00005A6D0000}"/>
    <cellStyle name="Normal 431" xfId="34341" xr:uid="{00000000-0005-0000-0000-00005B6D0000}"/>
    <cellStyle name="Normal 431 2" xfId="34342" xr:uid="{00000000-0005-0000-0000-00005C6D0000}"/>
    <cellStyle name="Normal 432" xfId="34343" xr:uid="{00000000-0005-0000-0000-00005D6D0000}"/>
    <cellStyle name="Normal 432 2" xfId="34344" xr:uid="{00000000-0005-0000-0000-00005E6D0000}"/>
    <cellStyle name="Normal 433" xfId="34345" xr:uid="{00000000-0005-0000-0000-00005F6D0000}"/>
    <cellStyle name="Normal 433 2" xfId="34346" xr:uid="{00000000-0005-0000-0000-0000606D0000}"/>
    <cellStyle name="Normal 434" xfId="34347" xr:uid="{00000000-0005-0000-0000-0000616D0000}"/>
    <cellStyle name="Normal 435" xfId="34348" xr:uid="{00000000-0005-0000-0000-0000626D0000}"/>
    <cellStyle name="Normal 436" xfId="34349" xr:uid="{00000000-0005-0000-0000-0000636D0000}"/>
    <cellStyle name="Normal 437" xfId="34350" xr:uid="{00000000-0005-0000-0000-0000646D0000}"/>
    <cellStyle name="Normal 438" xfId="34351" xr:uid="{00000000-0005-0000-0000-0000656D0000}"/>
    <cellStyle name="Normal 439" xfId="34352" xr:uid="{00000000-0005-0000-0000-0000666D0000}"/>
    <cellStyle name="Normal 44" xfId="5768" xr:uid="{00000000-0005-0000-0000-0000676D0000}"/>
    <cellStyle name="Normal 44 2" xfId="10575" xr:uid="{00000000-0005-0000-0000-0000686D0000}"/>
    <cellStyle name="Normal 44 2 2" xfId="34355" xr:uid="{00000000-0005-0000-0000-0000696D0000}"/>
    <cellStyle name="Normal 44 2 2 2" xfId="34356" xr:uid="{00000000-0005-0000-0000-00006A6D0000}"/>
    <cellStyle name="Normal 44 2 2 3" xfId="34357" xr:uid="{00000000-0005-0000-0000-00006B6D0000}"/>
    <cellStyle name="Normal 44 2 3" xfId="34358" xr:uid="{00000000-0005-0000-0000-00006C6D0000}"/>
    <cellStyle name="Normal 44 2 4" xfId="34359" xr:uid="{00000000-0005-0000-0000-00006D6D0000}"/>
    <cellStyle name="Normal 44 2 5" xfId="34354" xr:uid="{00000000-0005-0000-0000-00006E6D0000}"/>
    <cellStyle name="Normal 44 3" xfId="34360" xr:uid="{00000000-0005-0000-0000-00006F6D0000}"/>
    <cellStyle name="Normal 44 3 2" xfId="41359" xr:uid="{00000000-0005-0000-0000-0000706D0000}"/>
    <cellStyle name="Normal 44 4" xfId="34361" xr:uid="{00000000-0005-0000-0000-0000716D0000}"/>
    <cellStyle name="Normal 44 5" xfId="34362" xr:uid="{00000000-0005-0000-0000-0000726D0000}"/>
    <cellStyle name="Normal 44 6" xfId="41358" xr:uid="{00000000-0005-0000-0000-0000736D0000}"/>
    <cellStyle name="Normal 44 7" xfId="34353" xr:uid="{00000000-0005-0000-0000-0000746D0000}"/>
    <cellStyle name="Normal 440" xfId="34363" xr:uid="{00000000-0005-0000-0000-0000756D0000}"/>
    <cellStyle name="Normal 441" xfId="34364" xr:uid="{00000000-0005-0000-0000-0000766D0000}"/>
    <cellStyle name="Normal 442" xfId="34365" xr:uid="{00000000-0005-0000-0000-0000776D0000}"/>
    <cellStyle name="Normal 443" xfId="34366" xr:uid="{00000000-0005-0000-0000-0000786D0000}"/>
    <cellStyle name="Normal 444" xfId="34367" xr:uid="{00000000-0005-0000-0000-0000796D0000}"/>
    <cellStyle name="Normal 445" xfId="34368" xr:uid="{00000000-0005-0000-0000-00007A6D0000}"/>
    <cellStyle name="Normal 446" xfId="34369" xr:uid="{00000000-0005-0000-0000-00007B6D0000}"/>
    <cellStyle name="Normal 447" xfId="34370" xr:uid="{00000000-0005-0000-0000-00007C6D0000}"/>
    <cellStyle name="Normal 448" xfId="34371" xr:uid="{00000000-0005-0000-0000-00007D6D0000}"/>
    <cellStyle name="Normal 449" xfId="34372" xr:uid="{00000000-0005-0000-0000-00007E6D0000}"/>
    <cellStyle name="Normal 45" xfId="5769" xr:uid="{00000000-0005-0000-0000-00007F6D0000}"/>
    <cellStyle name="Normal 45 2" xfId="10576" xr:uid="{00000000-0005-0000-0000-0000806D0000}"/>
    <cellStyle name="Normal 45 3" xfId="34374" xr:uid="{00000000-0005-0000-0000-0000816D0000}"/>
    <cellStyle name="Normal 45 3 2" xfId="41361" xr:uid="{00000000-0005-0000-0000-0000826D0000}"/>
    <cellStyle name="Normal 45 4" xfId="34375" xr:uid="{00000000-0005-0000-0000-0000836D0000}"/>
    <cellStyle name="Normal 45 5" xfId="34376" xr:uid="{00000000-0005-0000-0000-0000846D0000}"/>
    <cellStyle name="Normal 45 6" xfId="41360" xr:uid="{00000000-0005-0000-0000-0000856D0000}"/>
    <cellStyle name="Normal 45 7" xfId="34373" xr:uid="{00000000-0005-0000-0000-0000866D0000}"/>
    <cellStyle name="Normal 450" xfId="34377" xr:uid="{00000000-0005-0000-0000-0000876D0000}"/>
    <cellStyle name="Normal 451" xfId="34378" xr:uid="{00000000-0005-0000-0000-0000886D0000}"/>
    <cellStyle name="Normal 452" xfId="34379" xr:uid="{00000000-0005-0000-0000-0000896D0000}"/>
    <cellStyle name="Normal 452 2" xfId="41362" xr:uid="{00000000-0005-0000-0000-00008A6D0000}"/>
    <cellStyle name="Normal 453" xfId="34380" xr:uid="{00000000-0005-0000-0000-00008B6D0000}"/>
    <cellStyle name="Normal 453 2" xfId="41363" xr:uid="{00000000-0005-0000-0000-00008C6D0000}"/>
    <cellStyle name="Normal 454" xfId="34381" xr:uid="{00000000-0005-0000-0000-00008D6D0000}"/>
    <cellStyle name="Normal 454 2" xfId="41364" xr:uid="{00000000-0005-0000-0000-00008E6D0000}"/>
    <cellStyle name="Normal 455" xfId="34382" xr:uid="{00000000-0005-0000-0000-00008F6D0000}"/>
    <cellStyle name="Normal 455 2" xfId="41365" xr:uid="{00000000-0005-0000-0000-0000906D0000}"/>
    <cellStyle name="Normal 456" xfId="34383" xr:uid="{00000000-0005-0000-0000-0000916D0000}"/>
    <cellStyle name="Normal 456 2" xfId="41366" xr:uid="{00000000-0005-0000-0000-0000926D0000}"/>
    <cellStyle name="Normal 457" xfId="34384" xr:uid="{00000000-0005-0000-0000-0000936D0000}"/>
    <cellStyle name="Normal 457 2" xfId="41367" xr:uid="{00000000-0005-0000-0000-0000946D0000}"/>
    <cellStyle name="Normal 458" xfId="34385" xr:uid="{00000000-0005-0000-0000-0000956D0000}"/>
    <cellStyle name="Normal 458 2" xfId="41368" xr:uid="{00000000-0005-0000-0000-0000966D0000}"/>
    <cellStyle name="Normal 459" xfId="34386" xr:uid="{00000000-0005-0000-0000-0000976D0000}"/>
    <cellStyle name="Normal 459 2" xfId="41369" xr:uid="{00000000-0005-0000-0000-0000986D0000}"/>
    <cellStyle name="Normal 46" xfId="5770" xr:uid="{00000000-0005-0000-0000-0000996D0000}"/>
    <cellStyle name="Normal 46 2" xfId="10577" xr:uid="{00000000-0005-0000-0000-00009A6D0000}"/>
    <cellStyle name="Normal 46 3" xfId="34388" xr:uid="{00000000-0005-0000-0000-00009B6D0000}"/>
    <cellStyle name="Normal 46 3 2" xfId="41371" xr:uid="{00000000-0005-0000-0000-00009C6D0000}"/>
    <cellStyle name="Normal 46 4" xfId="34389" xr:uid="{00000000-0005-0000-0000-00009D6D0000}"/>
    <cellStyle name="Normal 46 5" xfId="34390" xr:uid="{00000000-0005-0000-0000-00009E6D0000}"/>
    <cellStyle name="Normal 46 6" xfId="41370" xr:uid="{00000000-0005-0000-0000-00009F6D0000}"/>
    <cellStyle name="Normal 46 7" xfId="34387" xr:uid="{00000000-0005-0000-0000-0000A06D0000}"/>
    <cellStyle name="Normal 460" xfId="34391" xr:uid="{00000000-0005-0000-0000-0000A16D0000}"/>
    <cellStyle name="Normal 460 2" xfId="41372" xr:uid="{00000000-0005-0000-0000-0000A26D0000}"/>
    <cellStyle name="Normal 461" xfId="34392" xr:uid="{00000000-0005-0000-0000-0000A36D0000}"/>
    <cellStyle name="Normal 461 2" xfId="41373" xr:uid="{00000000-0005-0000-0000-0000A46D0000}"/>
    <cellStyle name="Normal 462" xfId="34393" xr:uid="{00000000-0005-0000-0000-0000A56D0000}"/>
    <cellStyle name="Normal 462 2" xfId="41374" xr:uid="{00000000-0005-0000-0000-0000A66D0000}"/>
    <cellStyle name="Normal 463" xfId="34394" xr:uid="{00000000-0005-0000-0000-0000A76D0000}"/>
    <cellStyle name="Normal 463 2" xfId="41375" xr:uid="{00000000-0005-0000-0000-0000A86D0000}"/>
    <cellStyle name="Normal 464" xfId="34395" xr:uid="{00000000-0005-0000-0000-0000A96D0000}"/>
    <cellStyle name="Normal 464 2" xfId="41376" xr:uid="{00000000-0005-0000-0000-0000AA6D0000}"/>
    <cellStyle name="Normal 465" xfId="34396" xr:uid="{00000000-0005-0000-0000-0000AB6D0000}"/>
    <cellStyle name="Normal 465 2" xfId="41377" xr:uid="{00000000-0005-0000-0000-0000AC6D0000}"/>
    <cellStyle name="Normal 466" xfId="34397" xr:uid="{00000000-0005-0000-0000-0000AD6D0000}"/>
    <cellStyle name="Normal 466 2" xfId="41378" xr:uid="{00000000-0005-0000-0000-0000AE6D0000}"/>
    <cellStyle name="Normal 467" xfId="34398" xr:uid="{00000000-0005-0000-0000-0000AF6D0000}"/>
    <cellStyle name="Normal 467 2" xfId="41379" xr:uid="{00000000-0005-0000-0000-0000B06D0000}"/>
    <cellStyle name="Normal 468" xfId="34399" xr:uid="{00000000-0005-0000-0000-0000B16D0000}"/>
    <cellStyle name="Normal 468 2" xfId="41380" xr:uid="{00000000-0005-0000-0000-0000B26D0000}"/>
    <cellStyle name="Normal 469" xfId="34400" xr:uid="{00000000-0005-0000-0000-0000B36D0000}"/>
    <cellStyle name="Normal 469 2" xfId="41381" xr:uid="{00000000-0005-0000-0000-0000B46D0000}"/>
    <cellStyle name="Normal 47" xfId="5771" xr:uid="{00000000-0005-0000-0000-0000B56D0000}"/>
    <cellStyle name="Normal 47 2" xfId="10578" xr:uid="{00000000-0005-0000-0000-0000B66D0000}"/>
    <cellStyle name="Normal 47 3" xfId="34402" xr:uid="{00000000-0005-0000-0000-0000B76D0000}"/>
    <cellStyle name="Normal 47 3 2" xfId="41383" xr:uid="{00000000-0005-0000-0000-0000B86D0000}"/>
    <cellStyle name="Normal 47 4" xfId="34403" xr:uid="{00000000-0005-0000-0000-0000B96D0000}"/>
    <cellStyle name="Normal 47 5" xfId="41382" xr:uid="{00000000-0005-0000-0000-0000BA6D0000}"/>
    <cellStyle name="Normal 47 6" xfId="34401" xr:uid="{00000000-0005-0000-0000-0000BB6D0000}"/>
    <cellStyle name="Normal 470" xfId="34404" xr:uid="{00000000-0005-0000-0000-0000BC6D0000}"/>
    <cellStyle name="Normal 470 2" xfId="41384" xr:uid="{00000000-0005-0000-0000-0000BD6D0000}"/>
    <cellStyle name="Normal 471" xfId="34405" xr:uid="{00000000-0005-0000-0000-0000BE6D0000}"/>
    <cellStyle name="Normal 471 2" xfId="41385" xr:uid="{00000000-0005-0000-0000-0000BF6D0000}"/>
    <cellStyle name="Normal 472" xfId="34406" xr:uid="{00000000-0005-0000-0000-0000C06D0000}"/>
    <cellStyle name="Normal 472 2" xfId="41386" xr:uid="{00000000-0005-0000-0000-0000C16D0000}"/>
    <cellStyle name="Normal 473" xfId="34407" xr:uid="{00000000-0005-0000-0000-0000C26D0000}"/>
    <cellStyle name="Normal 473 2" xfId="41387" xr:uid="{00000000-0005-0000-0000-0000C36D0000}"/>
    <cellStyle name="Normal 474" xfId="34408" xr:uid="{00000000-0005-0000-0000-0000C46D0000}"/>
    <cellStyle name="Normal 474 2" xfId="41388" xr:uid="{00000000-0005-0000-0000-0000C56D0000}"/>
    <cellStyle name="Normal 475" xfId="34409" xr:uid="{00000000-0005-0000-0000-0000C66D0000}"/>
    <cellStyle name="Normal 475 2" xfId="41389" xr:uid="{00000000-0005-0000-0000-0000C76D0000}"/>
    <cellStyle name="Normal 476" xfId="34410" xr:uid="{00000000-0005-0000-0000-0000C86D0000}"/>
    <cellStyle name="Normal 476 2" xfId="41390" xr:uid="{00000000-0005-0000-0000-0000C96D0000}"/>
    <cellStyle name="Normal 477" xfId="34411" xr:uid="{00000000-0005-0000-0000-0000CA6D0000}"/>
    <cellStyle name="Normal 477 2" xfId="41391" xr:uid="{00000000-0005-0000-0000-0000CB6D0000}"/>
    <cellStyle name="Normal 478" xfId="34412" xr:uid="{00000000-0005-0000-0000-0000CC6D0000}"/>
    <cellStyle name="Normal 478 2" xfId="41392" xr:uid="{00000000-0005-0000-0000-0000CD6D0000}"/>
    <cellStyle name="Normal 479" xfId="34413" xr:uid="{00000000-0005-0000-0000-0000CE6D0000}"/>
    <cellStyle name="Normal 479 2" xfId="41393" xr:uid="{00000000-0005-0000-0000-0000CF6D0000}"/>
    <cellStyle name="Normal 48" xfId="5772" xr:uid="{00000000-0005-0000-0000-0000D06D0000}"/>
    <cellStyle name="Normal 48 2" xfId="10579" xr:uid="{00000000-0005-0000-0000-0000D16D0000}"/>
    <cellStyle name="Normal 48 2 2" xfId="41394" xr:uid="{00000000-0005-0000-0000-0000D26D0000}"/>
    <cellStyle name="Normal 48 3" xfId="34414" xr:uid="{00000000-0005-0000-0000-0000D36D0000}"/>
    <cellStyle name="Normal 480" xfId="34415" xr:uid="{00000000-0005-0000-0000-0000D46D0000}"/>
    <cellStyle name="Normal 480 2" xfId="41395" xr:uid="{00000000-0005-0000-0000-0000D56D0000}"/>
    <cellStyle name="Normal 481" xfId="34416" xr:uid="{00000000-0005-0000-0000-0000D66D0000}"/>
    <cellStyle name="Normal 481 2" xfId="41396" xr:uid="{00000000-0005-0000-0000-0000D76D0000}"/>
    <cellStyle name="Normal 482" xfId="34417" xr:uid="{00000000-0005-0000-0000-0000D86D0000}"/>
    <cellStyle name="Normal 482 2" xfId="41397" xr:uid="{00000000-0005-0000-0000-0000D96D0000}"/>
    <cellStyle name="Normal 483" xfId="34418" xr:uid="{00000000-0005-0000-0000-0000DA6D0000}"/>
    <cellStyle name="Normal 483 2" xfId="41398" xr:uid="{00000000-0005-0000-0000-0000DB6D0000}"/>
    <cellStyle name="Normal 484" xfId="34419" xr:uid="{00000000-0005-0000-0000-0000DC6D0000}"/>
    <cellStyle name="Normal 484 2" xfId="41399" xr:uid="{00000000-0005-0000-0000-0000DD6D0000}"/>
    <cellStyle name="Normal 485" xfId="34420" xr:uid="{00000000-0005-0000-0000-0000DE6D0000}"/>
    <cellStyle name="Normal 485 2" xfId="41400" xr:uid="{00000000-0005-0000-0000-0000DF6D0000}"/>
    <cellStyle name="Normal 486" xfId="34421" xr:uid="{00000000-0005-0000-0000-0000E06D0000}"/>
    <cellStyle name="Normal 486 2" xfId="41401" xr:uid="{00000000-0005-0000-0000-0000E16D0000}"/>
    <cellStyle name="Normal 487" xfId="34422" xr:uid="{00000000-0005-0000-0000-0000E26D0000}"/>
    <cellStyle name="Normal 487 2" xfId="41402" xr:uid="{00000000-0005-0000-0000-0000E36D0000}"/>
    <cellStyle name="Normal 488" xfId="34423" xr:uid="{00000000-0005-0000-0000-0000E46D0000}"/>
    <cellStyle name="Normal 488 2" xfId="41403" xr:uid="{00000000-0005-0000-0000-0000E56D0000}"/>
    <cellStyle name="Normal 489" xfId="34424" xr:uid="{00000000-0005-0000-0000-0000E66D0000}"/>
    <cellStyle name="Normal 489 2" xfId="41404" xr:uid="{00000000-0005-0000-0000-0000E76D0000}"/>
    <cellStyle name="Normal 49" xfId="5773" xr:uid="{00000000-0005-0000-0000-0000E86D0000}"/>
    <cellStyle name="Normal 49 2" xfId="10580" xr:uid="{00000000-0005-0000-0000-0000E96D0000}"/>
    <cellStyle name="Normal 49 2 2" xfId="41405" xr:uid="{00000000-0005-0000-0000-0000EA6D0000}"/>
    <cellStyle name="Normal 49 3" xfId="34425" xr:uid="{00000000-0005-0000-0000-0000EB6D0000}"/>
    <cellStyle name="Normal 490" xfId="34426" xr:uid="{00000000-0005-0000-0000-0000EC6D0000}"/>
    <cellStyle name="Normal 490 2" xfId="41406" xr:uid="{00000000-0005-0000-0000-0000ED6D0000}"/>
    <cellStyle name="Normal 491" xfId="34427" xr:uid="{00000000-0005-0000-0000-0000EE6D0000}"/>
    <cellStyle name="Normal 491 2" xfId="41407" xr:uid="{00000000-0005-0000-0000-0000EF6D0000}"/>
    <cellStyle name="Normal 492" xfId="34428" xr:uid="{00000000-0005-0000-0000-0000F06D0000}"/>
    <cellStyle name="Normal 492 2" xfId="41408" xr:uid="{00000000-0005-0000-0000-0000F16D0000}"/>
    <cellStyle name="Normal 493" xfId="34429" xr:uid="{00000000-0005-0000-0000-0000F26D0000}"/>
    <cellStyle name="Normal 493 2" xfId="41409" xr:uid="{00000000-0005-0000-0000-0000F36D0000}"/>
    <cellStyle name="Normal 494" xfId="34430" xr:uid="{00000000-0005-0000-0000-0000F46D0000}"/>
    <cellStyle name="Normal 494 2" xfId="41410" xr:uid="{00000000-0005-0000-0000-0000F56D0000}"/>
    <cellStyle name="Normal 495" xfId="34431" xr:uid="{00000000-0005-0000-0000-0000F66D0000}"/>
    <cellStyle name="Normal 495 2" xfId="41411" xr:uid="{00000000-0005-0000-0000-0000F76D0000}"/>
    <cellStyle name="Normal 496" xfId="34432" xr:uid="{00000000-0005-0000-0000-0000F86D0000}"/>
    <cellStyle name="Normal 496 2" xfId="41412" xr:uid="{00000000-0005-0000-0000-0000F96D0000}"/>
    <cellStyle name="Normal 497" xfId="34433" xr:uid="{00000000-0005-0000-0000-0000FA6D0000}"/>
    <cellStyle name="Normal 497 2" xfId="41413" xr:uid="{00000000-0005-0000-0000-0000FB6D0000}"/>
    <cellStyle name="Normal 498" xfId="34434" xr:uid="{00000000-0005-0000-0000-0000FC6D0000}"/>
    <cellStyle name="Normal 498 2" xfId="41414" xr:uid="{00000000-0005-0000-0000-0000FD6D0000}"/>
    <cellStyle name="Normal 499" xfId="34435" xr:uid="{00000000-0005-0000-0000-0000FE6D0000}"/>
    <cellStyle name="Normal 499 2" xfId="41415" xr:uid="{00000000-0005-0000-0000-0000FF6D0000}"/>
    <cellStyle name="Normal 5" xfId="37" xr:uid="{00000000-0005-0000-0000-0000006E0000}"/>
    <cellStyle name="Normal 5 10" xfId="5775" xr:uid="{00000000-0005-0000-0000-0000016E0000}"/>
    <cellStyle name="Normal 5 10 10" xfId="34438" xr:uid="{00000000-0005-0000-0000-0000026E0000}"/>
    <cellStyle name="Normal 5 10 11" xfId="41417" xr:uid="{00000000-0005-0000-0000-0000036E0000}"/>
    <cellStyle name="Normal 5 10 12" xfId="34437" xr:uid="{00000000-0005-0000-0000-0000046E0000}"/>
    <cellStyle name="Normal 5 10 2" xfId="5776" xr:uid="{00000000-0005-0000-0000-0000056E0000}"/>
    <cellStyle name="Normal 5 10 2 2" xfId="34440" xr:uid="{00000000-0005-0000-0000-0000066E0000}"/>
    <cellStyle name="Normal 5 10 2 2 2" xfId="34441" xr:uid="{00000000-0005-0000-0000-0000076E0000}"/>
    <cellStyle name="Normal 5 10 2 2 2 2" xfId="41420" xr:uid="{00000000-0005-0000-0000-0000086E0000}"/>
    <cellStyle name="Normal 5 10 2 2 3" xfId="34442" xr:uid="{00000000-0005-0000-0000-0000096E0000}"/>
    <cellStyle name="Normal 5 10 2 2 3 2" xfId="41421" xr:uid="{00000000-0005-0000-0000-00000A6E0000}"/>
    <cellStyle name="Normal 5 10 2 2 4" xfId="41419" xr:uid="{00000000-0005-0000-0000-00000B6E0000}"/>
    <cellStyle name="Normal 5 10 2 3" xfId="34443" xr:uid="{00000000-0005-0000-0000-00000C6E0000}"/>
    <cellStyle name="Normal 5 10 2 3 2" xfId="41422" xr:uid="{00000000-0005-0000-0000-00000D6E0000}"/>
    <cellStyle name="Normal 5 10 2 4" xfId="34444" xr:uid="{00000000-0005-0000-0000-00000E6E0000}"/>
    <cellStyle name="Normal 5 10 2 4 2" xfId="41423" xr:uid="{00000000-0005-0000-0000-00000F6E0000}"/>
    <cellStyle name="Normal 5 10 2 5" xfId="34445" xr:uid="{00000000-0005-0000-0000-0000106E0000}"/>
    <cellStyle name="Normal 5 10 2 5 2" xfId="41424" xr:uid="{00000000-0005-0000-0000-0000116E0000}"/>
    <cellStyle name="Normal 5 10 2 6" xfId="34446" xr:uid="{00000000-0005-0000-0000-0000126E0000}"/>
    <cellStyle name="Normal 5 10 2 6 2" xfId="41425" xr:uid="{00000000-0005-0000-0000-0000136E0000}"/>
    <cellStyle name="Normal 5 10 2 7" xfId="34447" xr:uid="{00000000-0005-0000-0000-0000146E0000}"/>
    <cellStyle name="Normal 5 10 2 7 2" xfId="41426" xr:uid="{00000000-0005-0000-0000-0000156E0000}"/>
    <cellStyle name="Normal 5 10 2 8" xfId="41418" xr:uid="{00000000-0005-0000-0000-0000166E0000}"/>
    <cellStyle name="Normal 5 10 2 9" xfId="34439" xr:uid="{00000000-0005-0000-0000-0000176E0000}"/>
    <cellStyle name="Normal 5 10 3" xfId="5777" xr:uid="{00000000-0005-0000-0000-0000186E0000}"/>
    <cellStyle name="Normal 5 10 3 2" xfId="34449" xr:uid="{00000000-0005-0000-0000-0000196E0000}"/>
    <cellStyle name="Normal 5 10 3 2 2" xfId="41428" xr:uid="{00000000-0005-0000-0000-00001A6E0000}"/>
    <cellStyle name="Normal 5 10 3 3" xfId="41427" xr:uid="{00000000-0005-0000-0000-00001B6E0000}"/>
    <cellStyle name="Normal 5 10 3 4" xfId="34448" xr:uid="{00000000-0005-0000-0000-00001C6E0000}"/>
    <cellStyle name="Normal 5 10 4" xfId="34450" xr:uid="{00000000-0005-0000-0000-00001D6E0000}"/>
    <cellStyle name="Normal 5 10 4 2" xfId="34451" xr:uid="{00000000-0005-0000-0000-00001E6E0000}"/>
    <cellStyle name="Normal 5 10 4 2 2" xfId="41430" xr:uid="{00000000-0005-0000-0000-00001F6E0000}"/>
    <cellStyle name="Normal 5 10 4 3" xfId="41429" xr:uid="{00000000-0005-0000-0000-0000206E0000}"/>
    <cellStyle name="Normal 5 10 5" xfId="34452" xr:uid="{00000000-0005-0000-0000-0000216E0000}"/>
    <cellStyle name="Normal 5 10 5 2" xfId="41431" xr:uid="{00000000-0005-0000-0000-0000226E0000}"/>
    <cellStyle name="Normal 5 10 6" xfId="34453" xr:uid="{00000000-0005-0000-0000-0000236E0000}"/>
    <cellStyle name="Normal 5 10 6 2" xfId="41432" xr:uid="{00000000-0005-0000-0000-0000246E0000}"/>
    <cellStyle name="Normal 5 10 7" xfId="34454" xr:uid="{00000000-0005-0000-0000-0000256E0000}"/>
    <cellStyle name="Normal 5 10 7 2" xfId="41433" xr:uid="{00000000-0005-0000-0000-0000266E0000}"/>
    <cellStyle name="Normal 5 10 8" xfId="34455" xr:uid="{00000000-0005-0000-0000-0000276E0000}"/>
    <cellStyle name="Normal 5 10 8 2" xfId="41434" xr:uid="{00000000-0005-0000-0000-0000286E0000}"/>
    <cellStyle name="Normal 5 10 9" xfId="34456" xr:uid="{00000000-0005-0000-0000-0000296E0000}"/>
    <cellStyle name="Normal 5 10 9 2" xfId="41435" xr:uid="{00000000-0005-0000-0000-00002A6E0000}"/>
    <cellStyle name="Normal 5 11" xfId="5778" xr:uid="{00000000-0005-0000-0000-00002B6E0000}"/>
    <cellStyle name="Normal 5 11 10" xfId="34457" xr:uid="{00000000-0005-0000-0000-00002C6E0000}"/>
    <cellStyle name="Normal 5 11 2" xfId="5779" xr:uid="{00000000-0005-0000-0000-00002D6E0000}"/>
    <cellStyle name="Normal 5 11 2 2" xfId="34459" xr:uid="{00000000-0005-0000-0000-00002E6E0000}"/>
    <cellStyle name="Normal 5 11 2 2 2" xfId="41438" xr:uid="{00000000-0005-0000-0000-00002F6E0000}"/>
    <cellStyle name="Normal 5 11 2 3" xfId="34460" xr:uid="{00000000-0005-0000-0000-0000306E0000}"/>
    <cellStyle name="Normal 5 11 2 3 2" xfId="41439" xr:uid="{00000000-0005-0000-0000-0000316E0000}"/>
    <cellStyle name="Normal 5 11 2 4" xfId="34461" xr:uid="{00000000-0005-0000-0000-0000326E0000}"/>
    <cellStyle name="Normal 5 11 2 4 2" xfId="41440" xr:uid="{00000000-0005-0000-0000-0000336E0000}"/>
    <cellStyle name="Normal 5 11 2 5" xfId="34462" xr:uid="{00000000-0005-0000-0000-0000346E0000}"/>
    <cellStyle name="Normal 5 11 2 5 2" xfId="41441" xr:uid="{00000000-0005-0000-0000-0000356E0000}"/>
    <cellStyle name="Normal 5 11 2 6" xfId="34463" xr:uid="{00000000-0005-0000-0000-0000366E0000}"/>
    <cellStyle name="Normal 5 11 2 6 2" xfId="41442" xr:uid="{00000000-0005-0000-0000-0000376E0000}"/>
    <cellStyle name="Normal 5 11 2 7" xfId="41437" xr:uid="{00000000-0005-0000-0000-0000386E0000}"/>
    <cellStyle name="Normal 5 11 2 8" xfId="34458" xr:uid="{00000000-0005-0000-0000-0000396E0000}"/>
    <cellStyle name="Normal 5 11 3" xfId="5780" xr:uid="{00000000-0005-0000-0000-00003A6E0000}"/>
    <cellStyle name="Normal 5 11 3 2" xfId="34465" xr:uid="{00000000-0005-0000-0000-00003B6E0000}"/>
    <cellStyle name="Normal 5 11 3 2 2" xfId="41444" xr:uid="{00000000-0005-0000-0000-00003C6E0000}"/>
    <cellStyle name="Normal 5 11 3 3" xfId="41443" xr:uid="{00000000-0005-0000-0000-00003D6E0000}"/>
    <cellStyle name="Normal 5 11 3 4" xfId="34464" xr:uid="{00000000-0005-0000-0000-00003E6E0000}"/>
    <cellStyle name="Normal 5 11 4" xfId="34466" xr:uid="{00000000-0005-0000-0000-00003F6E0000}"/>
    <cellStyle name="Normal 5 11 4 2" xfId="34467" xr:uid="{00000000-0005-0000-0000-0000406E0000}"/>
    <cellStyle name="Normal 5 11 4 2 2" xfId="41446" xr:uid="{00000000-0005-0000-0000-0000416E0000}"/>
    <cellStyle name="Normal 5 11 4 3" xfId="41445" xr:uid="{00000000-0005-0000-0000-0000426E0000}"/>
    <cellStyle name="Normal 5 11 5" xfId="34468" xr:uid="{00000000-0005-0000-0000-0000436E0000}"/>
    <cellStyle name="Normal 5 11 5 2" xfId="41447" xr:uid="{00000000-0005-0000-0000-0000446E0000}"/>
    <cellStyle name="Normal 5 11 6" xfId="34469" xr:uid="{00000000-0005-0000-0000-0000456E0000}"/>
    <cellStyle name="Normal 5 11 6 2" xfId="41448" xr:uid="{00000000-0005-0000-0000-0000466E0000}"/>
    <cellStyle name="Normal 5 11 7" xfId="34470" xr:uid="{00000000-0005-0000-0000-0000476E0000}"/>
    <cellStyle name="Normal 5 11 7 2" xfId="41449" xr:uid="{00000000-0005-0000-0000-0000486E0000}"/>
    <cellStyle name="Normal 5 11 8" xfId="34471" xr:uid="{00000000-0005-0000-0000-0000496E0000}"/>
    <cellStyle name="Normal 5 11 9" xfId="41436" xr:uid="{00000000-0005-0000-0000-00004A6E0000}"/>
    <cellStyle name="Normal 5 12" xfId="5781" xr:uid="{00000000-0005-0000-0000-00004B6E0000}"/>
    <cellStyle name="Normal 5 12 2" xfId="5782" xr:uid="{00000000-0005-0000-0000-00004C6E0000}"/>
    <cellStyle name="Normal 5 12 2 2" xfId="34474" xr:uid="{00000000-0005-0000-0000-00004D6E0000}"/>
    <cellStyle name="Normal 5 12 2 2 2" xfId="41452" xr:uid="{00000000-0005-0000-0000-00004E6E0000}"/>
    <cellStyle name="Normal 5 12 2 3" xfId="34475" xr:uid="{00000000-0005-0000-0000-00004F6E0000}"/>
    <cellStyle name="Normal 5 12 2 3 2" xfId="41453" xr:uid="{00000000-0005-0000-0000-0000506E0000}"/>
    <cellStyle name="Normal 5 12 2 4" xfId="34476" xr:uid="{00000000-0005-0000-0000-0000516E0000}"/>
    <cellStyle name="Normal 5 12 2 4 2" xfId="41454" xr:uid="{00000000-0005-0000-0000-0000526E0000}"/>
    <cellStyle name="Normal 5 12 2 5" xfId="34477" xr:uid="{00000000-0005-0000-0000-0000536E0000}"/>
    <cellStyle name="Normal 5 12 2 5 2" xfId="41455" xr:uid="{00000000-0005-0000-0000-0000546E0000}"/>
    <cellStyle name="Normal 5 12 2 6" xfId="34478" xr:uid="{00000000-0005-0000-0000-0000556E0000}"/>
    <cellStyle name="Normal 5 12 2 6 2" xfId="41456" xr:uid="{00000000-0005-0000-0000-0000566E0000}"/>
    <cellStyle name="Normal 5 12 2 7" xfId="41451" xr:uid="{00000000-0005-0000-0000-0000576E0000}"/>
    <cellStyle name="Normal 5 12 2 8" xfId="34473" xr:uid="{00000000-0005-0000-0000-0000586E0000}"/>
    <cellStyle name="Normal 5 12 3" xfId="5783" xr:uid="{00000000-0005-0000-0000-0000596E0000}"/>
    <cellStyle name="Normal 5 12 3 2" xfId="41457" xr:uid="{00000000-0005-0000-0000-00005A6E0000}"/>
    <cellStyle name="Normal 5 12 3 3" xfId="34479" xr:uid="{00000000-0005-0000-0000-00005B6E0000}"/>
    <cellStyle name="Normal 5 12 4" xfId="34480" xr:uid="{00000000-0005-0000-0000-00005C6E0000}"/>
    <cellStyle name="Normal 5 12 4 2" xfId="41458" xr:uid="{00000000-0005-0000-0000-00005D6E0000}"/>
    <cellStyle name="Normal 5 12 5" xfId="34481" xr:uid="{00000000-0005-0000-0000-00005E6E0000}"/>
    <cellStyle name="Normal 5 12 5 2" xfId="41459" xr:uid="{00000000-0005-0000-0000-00005F6E0000}"/>
    <cellStyle name="Normal 5 12 6" xfId="41450" xr:uid="{00000000-0005-0000-0000-0000606E0000}"/>
    <cellStyle name="Normal 5 12 7" xfId="34472" xr:uid="{00000000-0005-0000-0000-0000616E0000}"/>
    <cellStyle name="Normal 5 13" xfId="5784" xr:uid="{00000000-0005-0000-0000-0000626E0000}"/>
    <cellStyle name="Normal 5 13 2" xfId="5785" xr:uid="{00000000-0005-0000-0000-0000636E0000}"/>
    <cellStyle name="Normal 5 13 2 2" xfId="34484" xr:uid="{00000000-0005-0000-0000-0000646E0000}"/>
    <cellStyle name="Normal 5 13 2 2 2" xfId="41462" xr:uid="{00000000-0005-0000-0000-0000656E0000}"/>
    <cellStyle name="Normal 5 13 2 3" xfId="41461" xr:uid="{00000000-0005-0000-0000-0000666E0000}"/>
    <cellStyle name="Normal 5 13 2 4" xfId="34483" xr:uid="{00000000-0005-0000-0000-0000676E0000}"/>
    <cellStyle name="Normal 5 13 3" xfId="5786" xr:uid="{00000000-0005-0000-0000-0000686E0000}"/>
    <cellStyle name="Normal 5 13 3 2" xfId="41463" xr:uid="{00000000-0005-0000-0000-0000696E0000}"/>
    <cellStyle name="Normal 5 13 3 3" xfId="34485" xr:uid="{00000000-0005-0000-0000-00006A6E0000}"/>
    <cellStyle name="Normal 5 13 4" xfId="34486" xr:uid="{00000000-0005-0000-0000-00006B6E0000}"/>
    <cellStyle name="Normal 5 13 4 2" xfId="41464" xr:uid="{00000000-0005-0000-0000-00006C6E0000}"/>
    <cellStyle name="Normal 5 13 5" xfId="34487" xr:uid="{00000000-0005-0000-0000-00006D6E0000}"/>
    <cellStyle name="Normal 5 13 5 2" xfId="41465" xr:uid="{00000000-0005-0000-0000-00006E6E0000}"/>
    <cellStyle name="Normal 5 13 6" xfId="41460" xr:uid="{00000000-0005-0000-0000-00006F6E0000}"/>
    <cellStyle name="Normal 5 13 7" xfId="34482" xr:uid="{00000000-0005-0000-0000-0000706E0000}"/>
    <cellStyle name="Normal 5 14" xfId="5787" xr:uid="{00000000-0005-0000-0000-0000716E0000}"/>
    <cellStyle name="Normal 5 14 2" xfId="5788" xr:uid="{00000000-0005-0000-0000-0000726E0000}"/>
    <cellStyle name="Normal 5 14 2 2" xfId="34490" xr:uid="{00000000-0005-0000-0000-0000736E0000}"/>
    <cellStyle name="Normal 5 14 2 2 2" xfId="41468" xr:uid="{00000000-0005-0000-0000-0000746E0000}"/>
    <cellStyle name="Normal 5 14 2 3" xfId="41467" xr:uid="{00000000-0005-0000-0000-0000756E0000}"/>
    <cellStyle name="Normal 5 14 2 4" xfId="34489" xr:uid="{00000000-0005-0000-0000-0000766E0000}"/>
    <cellStyle name="Normal 5 14 3" xfId="5789" xr:uid="{00000000-0005-0000-0000-0000776E0000}"/>
    <cellStyle name="Normal 5 14 3 2" xfId="41469" xr:uid="{00000000-0005-0000-0000-0000786E0000}"/>
    <cellStyle name="Normal 5 14 3 3" xfId="34491" xr:uid="{00000000-0005-0000-0000-0000796E0000}"/>
    <cellStyle name="Normal 5 14 4" xfId="34492" xr:uid="{00000000-0005-0000-0000-00007A6E0000}"/>
    <cellStyle name="Normal 5 14 4 2" xfId="41470" xr:uid="{00000000-0005-0000-0000-00007B6E0000}"/>
    <cellStyle name="Normal 5 14 5" xfId="34493" xr:uid="{00000000-0005-0000-0000-00007C6E0000}"/>
    <cellStyle name="Normal 5 14 5 2" xfId="41471" xr:uid="{00000000-0005-0000-0000-00007D6E0000}"/>
    <cellStyle name="Normal 5 14 6" xfId="41466" xr:uid="{00000000-0005-0000-0000-00007E6E0000}"/>
    <cellStyle name="Normal 5 14 7" xfId="34488" xr:uid="{00000000-0005-0000-0000-00007F6E0000}"/>
    <cellStyle name="Normal 5 15" xfId="5790" xr:uid="{00000000-0005-0000-0000-0000806E0000}"/>
    <cellStyle name="Normal 5 15 2" xfId="10581" xr:uid="{00000000-0005-0000-0000-0000816E0000}"/>
    <cellStyle name="Normal 5 15 2 2" xfId="34496" xr:uid="{00000000-0005-0000-0000-0000826E0000}"/>
    <cellStyle name="Normal 5 15 2 2 2" xfId="41474" xr:uid="{00000000-0005-0000-0000-0000836E0000}"/>
    <cellStyle name="Normal 5 15 2 3" xfId="41473" xr:uid="{00000000-0005-0000-0000-0000846E0000}"/>
    <cellStyle name="Normal 5 15 2 4" xfId="34495" xr:uid="{00000000-0005-0000-0000-0000856E0000}"/>
    <cellStyle name="Normal 5 15 3" xfId="34497" xr:uid="{00000000-0005-0000-0000-0000866E0000}"/>
    <cellStyle name="Normal 5 15 3 2" xfId="41475" xr:uid="{00000000-0005-0000-0000-0000876E0000}"/>
    <cellStyle name="Normal 5 15 4" xfId="34498" xr:uid="{00000000-0005-0000-0000-0000886E0000}"/>
    <cellStyle name="Normal 5 15 4 2" xfId="41476" xr:uid="{00000000-0005-0000-0000-0000896E0000}"/>
    <cellStyle name="Normal 5 15 5" xfId="34499" xr:uid="{00000000-0005-0000-0000-00008A6E0000}"/>
    <cellStyle name="Normal 5 15 5 2" xfId="41477" xr:uid="{00000000-0005-0000-0000-00008B6E0000}"/>
    <cellStyle name="Normal 5 15 6" xfId="41472" xr:uid="{00000000-0005-0000-0000-00008C6E0000}"/>
    <cellStyle name="Normal 5 15 7" xfId="34494" xr:uid="{00000000-0005-0000-0000-00008D6E0000}"/>
    <cellStyle name="Normal 5 16" xfId="5791" xr:uid="{00000000-0005-0000-0000-00008E6E0000}"/>
    <cellStyle name="Normal 5 16 2" xfId="10582" xr:uid="{00000000-0005-0000-0000-00008F6E0000}"/>
    <cellStyle name="Normal 5 16 2 2" xfId="34502" xr:uid="{00000000-0005-0000-0000-0000906E0000}"/>
    <cellStyle name="Normal 5 16 2 2 2" xfId="41480" xr:uid="{00000000-0005-0000-0000-0000916E0000}"/>
    <cellStyle name="Normal 5 16 2 3" xfId="41479" xr:uid="{00000000-0005-0000-0000-0000926E0000}"/>
    <cellStyle name="Normal 5 16 2 4" xfId="34501" xr:uid="{00000000-0005-0000-0000-0000936E0000}"/>
    <cellStyle name="Normal 5 16 3" xfId="34503" xr:uid="{00000000-0005-0000-0000-0000946E0000}"/>
    <cellStyle name="Normal 5 16 3 2" xfId="41481" xr:uid="{00000000-0005-0000-0000-0000956E0000}"/>
    <cellStyle name="Normal 5 16 4" xfId="34504" xr:uid="{00000000-0005-0000-0000-0000966E0000}"/>
    <cellStyle name="Normal 5 16 4 2" xfId="41482" xr:uid="{00000000-0005-0000-0000-0000976E0000}"/>
    <cellStyle name="Normal 5 16 5" xfId="34505" xr:uid="{00000000-0005-0000-0000-0000986E0000}"/>
    <cellStyle name="Normal 5 16 5 2" xfId="41483" xr:uid="{00000000-0005-0000-0000-0000996E0000}"/>
    <cellStyle name="Normal 5 16 6" xfId="41478" xr:uid="{00000000-0005-0000-0000-00009A6E0000}"/>
    <cellStyle name="Normal 5 16 7" xfId="34500" xr:uid="{00000000-0005-0000-0000-00009B6E0000}"/>
    <cellStyle name="Normal 5 17" xfId="5792" xr:uid="{00000000-0005-0000-0000-00009C6E0000}"/>
    <cellStyle name="Normal 5 17 2" xfId="34507" xr:uid="{00000000-0005-0000-0000-00009D6E0000}"/>
    <cellStyle name="Normal 5 17 2 2" xfId="34508" xr:uid="{00000000-0005-0000-0000-00009E6E0000}"/>
    <cellStyle name="Normal 5 17 2 2 2" xfId="41486" xr:uid="{00000000-0005-0000-0000-00009F6E0000}"/>
    <cellStyle name="Normal 5 17 2 3" xfId="41485" xr:uid="{00000000-0005-0000-0000-0000A06E0000}"/>
    <cellStyle name="Normal 5 17 3" xfId="34509" xr:uid="{00000000-0005-0000-0000-0000A16E0000}"/>
    <cellStyle name="Normal 5 17 3 2" xfId="41487" xr:uid="{00000000-0005-0000-0000-0000A26E0000}"/>
    <cellStyle name="Normal 5 17 4" xfId="34510" xr:uid="{00000000-0005-0000-0000-0000A36E0000}"/>
    <cellStyle name="Normal 5 17 4 2" xfId="41488" xr:uid="{00000000-0005-0000-0000-0000A46E0000}"/>
    <cellStyle name="Normal 5 17 5" xfId="34511" xr:uid="{00000000-0005-0000-0000-0000A56E0000}"/>
    <cellStyle name="Normal 5 17 5 2" xfId="41489" xr:uid="{00000000-0005-0000-0000-0000A66E0000}"/>
    <cellStyle name="Normal 5 17 6" xfId="41484" xr:uid="{00000000-0005-0000-0000-0000A76E0000}"/>
    <cellStyle name="Normal 5 17 7" xfId="34506" xr:uid="{00000000-0005-0000-0000-0000A86E0000}"/>
    <cellStyle name="Normal 5 18" xfId="34512" xr:uid="{00000000-0005-0000-0000-0000A96E0000}"/>
    <cellStyle name="Normal 5 18 2" xfId="34513" xr:uid="{00000000-0005-0000-0000-0000AA6E0000}"/>
    <cellStyle name="Normal 5 18 2 2" xfId="41491" xr:uid="{00000000-0005-0000-0000-0000AB6E0000}"/>
    <cellStyle name="Normal 5 18 3" xfId="34514" xr:uid="{00000000-0005-0000-0000-0000AC6E0000}"/>
    <cellStyle name="Normal 5 18 3 2" xfId="41492" xr:uid="{00000000-0005-0000-0000-0000AD6E0000}"/>
    <cellStyle name="Normal 5 18 4" xfId="34515" xr:uid="{00000000-0005-0000-0000-0000AE6E0000}"/>
    <cellStyle name="Normal 5 18 4 2" xfId="41493" xr:uid="{00000000-0005-0000-0000-0000AF6E0000}"/>
    <cellStyle name="Normal 5 18 5" xfId="34516" xr:uid="{00000000-0005-0000-0000-0000B06E0000}"/>
    <cellStyle name="Normal 5 18 5 2" xfId="41494" xr:uid="{00000000-0005-0000-0000-0000B16E0000}"/>
    <cellStyle name="Normal 5 18 6" xfId="34517" xr:uid="{00000000-0005-0000-0000-0000B26E0000}"/>
    <cellStyle name="Normal 5 18 6 2" xfId="41495" xr:uid="{00000000-0005-0000-0000-0000B36E0000}"/>
    <cellStyle name="Normal 5 18 7" xfId="41490" xr:uid="{00000000-0005-0000-0000-0000B46E0000}"/>
    <cellStyle name="Normal 5 19" xfId="34518" xr:uid="{00000000-0005-0000-0000-0000B56E0000}"/>
    <cellStyle name="Normal 5 19 2" xfId="34519" xr:uid="{00000000-0005-0000-0000-0000B66E0000}"/>
    <cellStyle name="Normal 5 19 2 2" xfId="34520" xr:uid="{00000000-0005-0000-0000-0000B76E0000}"/>
    <cellStyle name="Normal 5 19 2 2 2" xfId="34521" xr:uid="{00000000-0005-0000-0000-0000B86E0000}"/>
    <cellStyle name="Normal 5 19 2 2 2 2" xfId="41499" xr:uid="{00000000-0005-0000-0000-0000B96E0000}"/>
    <cellStyle name="Normal 5 19 2 2 3" xfId="41498" xr:uid="{00000000-0005-0000-0000-0000BA6E0000}"/>
    <cellStyle name="Normal 5 19 2 3" xfId="34522" xr:uid="{00000000-0005-0000-0000-0000BB6E0000}"/>
    <cellStyle name="Normal 5 19 2 3 2" xfId="41500" xr:uid="{00000000-0005-0000-0000-0000BC6E0000}"/>
    <cellStyle name="Normal 5 19 2 4" xfId="34523" xr:uid="{00000000-0005-0000-0000-0000BD6E0000}"/>
    <cellStyle name="Normal 5 19 2 4 2" xfId="41501" xr:uid="{00000000-0005-0000-0000-0000BE6E0000}"/>
    <cellStyle name="Normal 5 19 2 5" xfId="41497" xr:uid="{00000000-0005-0000-0000-0000BF6E0000}"/>
    <cellStyle name="Normal 5 19 3" xfId="34524" xr:uid="{00000000-0005-0000-0000-0000C06E0000}"/>
    <cellStyle name="Normal 5 19 3 2" xfId="34525" xr:uid="{00000000-0005-0000-0000-0000C16E0000}"/>
    <cellStyle name="Normal 5 19 3 2 2" xfId="41503" xr:uid="{00000000-0005-0000-0000-0000C26E0000}"/>
    <cellStyle name="Normal 5 19 3 3" xfId="41502" xr:uid="{00000000-0005-0000-0000-0000C36E0000}"/>
    <cellStyle name="Normal 5 19 4" xfId="34526" xr:uid="{00000000-0005-0000-0000-0000C46E0000}"/>
    <cellStyle name="Normal 5 19 4 2" xfId="41504" xr:uid="{00000000-0005-0000-0000-0000C56E0000}"/>
    <cellStyle name="Normal 5 19 5" xfId="34527" xr:uid="{00000000-0005-0000-0000-0000C66E0000}"/>
    <cellStyle name="Normal 5 19 5 2" xfId="41505" xr:uid="{00000000-0005-0000-0000-0000C76E0000}"/>
    <cellStyle name="Normal 5 19 6" xfId="41496" xr:uid="{00000000-0005-0000-0000-0000C86E0000}"/>
    <cellStyle name="Normal 5 2" xfId="5793" xr:uid="{00000000-0005-0000-0000-0000C96E0000}"/>
    <cellStyle name="Normal 5 2 10" xfId="34529" xr:uid="{00000000-0005-0000-0000-0000CA6E0000}"/>
    <cellStyle name="Normal 5 2 10 2" xfId="34530" xr:uid="{00000000-0005-0000-0000-0000CB6E0000}"/>
    <cellStyle name="Normal 5 2 10 3" xfId="41507" xr:uid="{00000000-0005-0000-0000-0000CC6E0000}"/>
    <cellStyle name="Normal 5 2 11" xfId="34531" xr:uid="{00000000-0005-0000-0000-0000CD6E0000}"/>
    <cellStyle name="Normal 5 2 11 2" xfId="41508" xr:uid="{00000000-0005-0000-0000-0000CE6E0000}"/>
    <cellStyle name="Normal 5 2 12" xfId="41506" xr:uid="{00000000-0005-0000-0000-0000CF6E0000}"/>
    <cellStyle name="Normal 5 2 13" xfId="34528" xr:uid="{00000000-0005-0000-0000-0000D06E0000}"/>
    <cellStyle name="Normal 5 2 2" xfId="5794" xr:uid="{00000000-0005-0000-0000-0000D16E0000}"/>
    <cellStyle name="Normal 5 2 2 10" xfId="41509" xr:uid="{00000000-0005-0000-0000-0000D26E0000}"/>
    <cellStyle name="Normal 5 2 2 11" xfId="34532" xr:uid="{00000000-0005-0000-0000-0000D36E0000}"/>
    <cellStyle name="Normal 5 2 2 2" xfId="10583" xr:uid="{00000000-0005-0000-0000-0000D46E0000}"/>
    <cellStyle name="Normal 5 2 2 2 2" xfId="34534" xr:uid="{00000000-0005-0000-0000-0000D56E0000}"/>
    <cellStyle name="Normal 5 2 2 2 2 2" xfId="34535" xr:uid="{00000000-0005-0000-0000-0000D66E0000}"/>
    <cellStyle name="Normal 5 2 2 2 2 2 2" xfId="41512" xr:uid="{00000000-0005-0000-0000-0000D76E0000}"/>
    <cellStyle name="Normal 5 2 2 2 2 3" xfId="34536" xr:uid="{00000000-0005-0000-0000-0000D86E0000}"/>
    <cellStyle name="Normal 5 2 2 2 2 3 2" xfId="41513" xr:uid="{00000000-0005-0000-0000-0000D96E0000}"/>
    <cellStyle name="Normal 5 2 2 2 2 4" xfId="34537" xr:uid="{00000000-0005-0000-0000-0000DA6E0000}"/>
    <cellStyle name="Normal 5 2 2 2 2 5" xfId="34538" xr:uid="{00000000-0005-0000-0000-0000DB6E0000}"/>
    <cellStyle name="Normal 5 2 2 2 2 6" xfId="41511" xr:uid="{00000000-0005-0000-0000-0000DC6E0000}"/>
    <cellStyle name="Normal 5 2 2 2 3" xfId="34539" xr:uid="{00000000-0005-0000-0000-0000DD6E0000}"/>
    <cellStyle name="Normal 5 2 2 2 3 2" xfId="34540" xr:uid="{00000000-0005-0000-0000-0000DE6E0000}"/>
    <cellStyle name="Normal 5 2 2 2 3 2 2" xfId="41515" xr:uid="{00000000-0005-0000-0000-0000DF6E0000}"/>
    <cellStyle name="Normal 5 2 2 2 3 3" xfId="41514" xr:uid="{00000000-0005-0000-0000-0000E06E0000}"/>
    <cellStyle name="Normal 5 2 2 2 4" xfId="34541" xr:uid="{00000000-0005-0000-0000-0000E16E0000}"/>
    <cellStyle name="Normal 5 2 2 2 4 2" xfId="41516" xr:uid="{00000000-0005-0000-0000-0000E26E0000}"/>
    <cellStyle name="Normal 5 2 2 2 5" xfId="34542" xr:uid="{00000000-0005-0000-0000-0000E36E0000}"/>
    <cellStyle name="Normal 5 2 2 2 6" xfId="34543" xr:uid="{00000000-0005-0000-0000-0000E46E0000}"/>
    <cellStyle name="Normal 5 2 2 2 7" xfId="41510" xr:uid="{00000000-0005-0000-0000-0000E56E0000}"/>
    <cellStyle name="Normal 5 2 2 2 8" xfId="34533" xr:uid="{00000000-0005-0000-0000-0000E66E0000}"/>
    <cellStyle name="Normal 5 2 2 3" xfId="34544" xr:uid="{00000000-0005-0000-0000-0000E76E0000}"/>
    <cellStyle name="Normal 5 2 2 3 2" xfId="34545" xr:uid="{00000000-0005-0000-0000-0000E86E0000}"/>
    <cellStyle name="Normal 5 2 2 3 2 2" xfId="34546" xr:uid="{00000000-0005-0000-0000-0000E96E0000}"/>
    <cellStyle name="Normal 5 2 2 3 2 2 2" xfId="41519" xr:uid="{00000000-0005-0000-0000-0000EA6E0000}"/>
    <cellStyle name="Normal 5 2 2 3 2 3" xfId="41518" xr:uid="{00000000-0005-0000-0000-0000EB6E0000}"/>
    <cellStyle name="Normal 5 2 2 3 3" xfId="34547" xr:uid="{00000000-0005-0000-0000-0000EC6E0000}"/>
    <cellStyle name="Normal 5 2 2 3 3 2" xfId="41520" xr:uid="{00000000-0005-0000-0000-0000ED6E0000}"/>
    <cellStyle name="Normal 5 2 2 3 4" xfId="34548" xr:uid="{00000000-0005-0000-0000-0000EE6E0000}"/>
    <cellStyle name="Normal 5 2 2 3 5" xfId="34549" xr:uid="{00000000-0005-0000-0000-0000EF6E0000}"/>
    <cellStyle name="Normal 5 2 2 3 6" xfId="41517" xr:uid="{00000000-0005-0000-0000-0000F06E0000}"/>
    <cellStyle name="Normal 5 2 2 4" xfId="34550" xr:uid="{00000000-0005-0000-0000-0000F16E0000}"/>
    <cellStyle name="Normal 5 2 2 4 2" xfId="34551" xr:uid="{00000000-0005-0000-0000-0000F26E0000}"/>
    <cellStyle name="Normal 5 2 2 4 2 2" xfId="41522" xr:uid="{00000000-0005-0000-0000-0000F36E0000}"/>
    <cellStyle name="Normal 5 2 2 4 3" xfId="41521" xr:uid="{00000000-0005-0000-0000-0000F46E0000}"/>
    <cellStyle name="Normal 5 2 2 5" xfId="34552" xr:uid="{00000000-0005-0000-0000-0000F56E0000}"/>
    <cellStyle name="Normal 5 2 2 5 2" xfId="41523" xr:uid="{00000000-0005-0000-0000-0000F66E0000}"/>
    <cellStyle name="Normal 5 2 2 6" xfId="34553" xr:uid="{00000000-0005-0000-0000-0000F76E0000}"/>
    <cellStyle name="Normal 5 2 2 6 2" xfId="34554" xr:uid="{00000000-0005-0000-0000-0000F86E0000}"/>
    <cellStyle name="Normal 5 2 2 6 3" xfId="41524" xr:uid="{00000000-0005-0000-0000-0000F96E0000}"/>
    <cellStyle name="Normal 5 2 2 7" xfId="34555" xr:uid="{00000000-0005-0000-0000-0000FA6E0000}"/>
    <cellStyle name="Normal 5 2 2 7 2" xfId="34556" xr:uid="{00000000-0005-0000-0000-0000FB6E0000}"/>
    <cellStyle name="Normal 5 2 2 7 3" xfId="34557" xr:uid="{00000000-0005-0000-0000-0000FC6E0000}"/>
    <cellStyle name="Normal 5 2 2 7 4" xfId="34558" xr:uid="{00000000-0005-0000-0000-0000FD6E0000}"/>
    <cellStyle name="Normal 5 2 2 7 5" xfId="41525" xr:uid="{00000000-0005-0000-0000-0000FE6E0000}"/>
    <cellStyle name="Normal 5 2 2 8" xfId="34559" xr:uid="{00000000-0005-0000-0000-0000FF6E0000}"/>
    <cellStyle name="Normal 5 2 2 8 2" xfId="34560" xr:uid="{00000000-0005-0000-0000-0000006F0000}"/>
    <cellStyle name="Normal 5 2 2 8 3" xfId="41526" xr:uid="{00000000-0005-0000-0000-0000016F0000}"/>
    <cellStyle name="Normal 5 2 2 9" xfId="34561" xr:uid="{00000000-0005-0000-0000-0000026F0000}"/>
    <cellStyle name="Normal 5 2 3" xfId="5795" xr:uid="{00000000-0005-0000-0000-0000036F0000}"/>
    <cellStyle name="Normal 5 2 3 2" xfId="10584" xr:uid="{00000000-0005-0000-0000-0000046F0000}"/>
    <cellStyle name="Normal 5 2 3 2 2" xfId="34564" xr:uid="{00000000-0005-0000-0000-0000056F0000}"/>
    <cellStyle name="Normal 5 2 3 2 2 2" xfId="41529" xr:uid="{00000000-0005-0000-0000-0000066F0000}"/>
    <cellStyle name="Normal 5 2 3 2 3" xfId="34565" xr:uid="{00000000-0005-0000-0000-0000076F0000}"/>
    <cellStyle name="Normal 5 2 3 2 3 2" xfId="41530" xr:uid="{00000000-0005-0000-0000-0000086F0000}"/>
    <cellStyle name="Normal 5 2 3 2 4" xfId="34566" xr:uid="{00000000-0005-0000-0000-0000096F0000}"/>
    <cellStyle name="Normal 5 2 3 2 5" xfId="34567" xr:uid="{00000000-0005-0000-0000-00000A6F0000}"/>
    <cellStyle name="Normal 5 2 3 2 6" xfId="41528" xr:uid="{00000000-0005-0000-0000-00000B6F0000}"/>
    <cellStyle name="Normal 5 2 3 2 7" xfId="34563" xr:uid="{00000000-0005-0000-0000-00000C6F0000}"/>
    <cellStyle name="Normal 5 2 3 3" xfId="34568" xr:uid="{00000000-0005-0000-0000-00000D6F0000}"/>
    <cellStyle name="Normal 5 2 3 3 2" xfId="34569" xr:uid="{00000000-0005-0000-0000-00000E6F0000}"/>
    <cellStyle name="Normal 5 2 3 3 2 2" xfId="41532" xr:uid="{00000000-0005-0000-0000-00000F6F0000}"/>
    <cellStyle name="Normal 5 2 3 3 3" xfId="34570" xr:uid="{00000000-0005-0000-0000-0000106F0000}"/>
    <cellStyle name="Normal 5 2 3 3 3 2" xfId="41533" xr:uid="{00000000-0005-0000-0000-0000116F0000}"/>
    <cellStyle name="Normal 5 2 3 3 4" xfId="41531" xr:uid="{00000000-0005-0000-0000-0000126F0000}"/>
    <cellStyle name="Normal 5 2 3 4" xfId="34571" xr:uid="{00000000-0005-0000-0000-0000136F0000}"/>
    <cellStyle name="Normal 5 2 3 4 2" xfId="34572" xr:uid="{00000000-0005-0000-0000-0000146F0000}"/>
    <cellStyle name="Normal 5 2 3 4 2 2" xfId="41535" xr:uid="{00000000-0005-0000-0000-0000156F0000}"/>
    <cellStyle name="Normal 5 2 3 4 3" xfId="41534" xr:uid="{00000000-0005-0000-0000-0000166F0000}"/>
    <cellStyle name="Normal 5 2 3 5" xfId="34573" xr:uid="{00000000-0005-0000-0000-0000176F0000}"/>
    <cellStyle name="Normal 5 2 3 5 2" xfId="34574" xr:uid="{00000000-0005-0000-0000-0000186F0000}"/>
    <cellStyle name="Normal 5 2 3 5 3" xfId="41536" xr:uid="{00000000-0005-0000-0000-0000196F0000}"/>
    <cellStyle name="Normal 5 2 3 6" xfId="34575" xr:uid="{00000000-0005-0000-0000-00001A6F0000}"/>
    <cellStyle name="Normal 5 2 3 6 2" xfId="34576" xr:uid="{00000000-0005-0000-0000-00001B6F0000}"/>
    <cellStyle name="Normal 5 2 3 6 3" xfId="41537" xr:uid="{00000000-0005-0000-0000-00001C6F0000}"/>
    <cellStyle name="Normal 5 2 3 7" xfId="41527" xr:uid="{00000000-0005-0000-0000-00001D6F0000}"/>
    <cellStyle name="Normal 5 2 3 8" xfId="34562" xr:uid="{00000000-0005-0000-0000-00001E6F0000}"/>
    <cellStyle name="Normal 5 2 4" xfId="5796" xr:uid="{00000000-0005-0000-0000-00001F6F0000}"/>
    <cellStyle name="Normal 5 2 4 2" xfId="10585" xr:uid="{00000000-0005-0000-0000-0000206F0000}"/>
    <cellStyle name="Normal 5 2 4 2 2" xfId="34579" xr:uid="{00000000-0005-0000-0000-0000216F0000}"/>
    <cellStyle name="Normal 5 2 4 2 2 2" xfId="41540" xr:uid="{00000000-0005-0000-0000-0000226F0000}"/>
    <cellStyle name="Normal 5 2 4 2 3" xfId="34580" xr:uid="{00000000-0005-0000-0000-0000236F0000}"/>
    <cellStyle name="Normal 5 2 4 2 3 2" xfId="41541" xr:uid="{00000000-0005-0000-0000-0000246F0000}"/>
    <cellStyle name="Normal 5 2 4 2 4" xfId="41539" xr:uid="{00000000-0005-0000-0000-0000256F0000}"/>
    <cellStyle name="Normal 5 2 4 2 5" xfId="34578" xr:uid="{00000000-0005-0000-0000-0000266F0000}"/>
    <cellStyle name="Normal 5 2 4 3" xfId="34581" xr:uid="{00000000-0005-0000-0000-0000276F0000}"/>
    <cellStyle name="Normal 5 2 4 3 2" xfId="41542" xr:uid="{00000000-0005-0000-0000-0000286F0000}"/>
    <cellStyle name="Normal 5 2 4 4" xfId="34582" xr:uid="{00000000-0005-0000-0000-0000296F0000}"/>
    <cellStyle name="Normal 5 2 4 4 2" xfId="34583" xr:uid="{00000000-0005-0000-0000-00002A6F0000}"/>
    <cellStyle name="Normal 5 2 4 4 3" xfId="41543" xr:uid="{00000000-0005-0000-0000-00002B6F0000}"/>
    <cellStyle name="Normal 5 2 4 5" xfId="34584" xr:uid="{00000000-0005-0000-0000-00002C6F0000}"/>
    <cellStyle name="Normal 5 2 4 5 2" xfId="34585" xr:uid="{00000000-0005-0000-0000-00002D6F0000}"/>
    <cellStyle name="Normal 5 2 4 5 3" xfId="41544" xr:uid="{00000000-0005-0000-0000-00002E6F0000}"/>
    <cellStyle name="Normal 5 2 4 6" xfId="41538" xr:uid="{00000000-0005-0000-0000-00002F6F0000}"/>
    <cellStyle name="Normal 5 2 4 7" xfId="34577" xr:uid="{00000000-0005-0000-0000-0000306F0000}"/>
    <cellStyle name="Normal 5 2 5" xfId="5797" xr:uid="{00000000-0005-0000-0000-0000316F0000}"/>
    <cellStyle name="Normal 5 2 5 2" xfId="10586" xr:uid="{00000000-0005-0000-0000-0000326F0000}"/>
    <cellStyle name="Normal 5 2 5 2 2" xfId="34588" xr:uid="{00000000-0005-0000-0000-0000336F0000}"/>
    <cellStyle name="Normal 5 2 5 2 2 2" xfId="34589" xr:uid="{00000000-0005-0000-0000-0000346F0000}"/>
    <cellStyle name="Normal 5 2 5 2 2 2 2" xfId="34590" xr:uid="{00000000-0005-0000-0000-0000356F0000}"/>
    <cellStyle name="Normal 5 2 5 2 2 2 3" xfId="41548" xr:uid="{00000000-0005-0000-0000-0000366F0000}"/>
    <cellStyle name="Normal 5 2 5 2 2 3" xfId="34591" xr:uid="{00000000-0005-0000-0000-0000376F0000}"/>
    <cellStyle name="Normal 5 2 5 2 2 4" xfId="34592" xr:uid="{00000000-0005-0000-0000-0000386F0000}"/>
    <cellStyle name="Normal 5 2 5 2 2 5" xfId="41547" xr:uid="{00000000-0005-0000-0000-0000396F0000}"/>
    <cellStyle name="Normal 5 2 5 2 3" xfId="34593" xr:uid="{00000000-0005-0000-0000-00003A6F0000}"/>
    <cellStyle name="Normal 5 2 5 2 3 2" xfId="34594" xr:uid="{00000000-0005-0000-0000-00003B6F0000}"/>
    <cellStyle name="Normal 5 2 5 2 3 3" xfId="41549" xr:uid="{00000000-0005-0000-0000-00003C6F0000}"/>
    <cellStyle name="Normal 5 2 5 2 4" xfId="34595" xr:uid="{00000000-0005-0000-0000-00003D6F0000}"/>
    <cellStyle name="Normal 5 2 5 2 4 2" xfId="34596" xr:uid="{00000000-0005-0000-0000-00003E6F0000}"/>
    <cellStyle name="Normal 5 2 5 2 4 3" xfId="41550" xr:uid="{00000000-0005-0000-0000-00003F6F0000}"/>
    <cellStyle name="Normal 5 2 5 2 5" xfId="34597" xr:uid="{00000000-0005-0000-0000-0000406F0000}"/>
    <cellStyle name="Normal 5 2 5 2 6" xfId="41546" xr:uid="{00000000-0005-0000-0000-0000416F0000}"/>
    <cellStyle name="Normal 5 2 5 2 7" xfId="34587" xr:uid="{00000000-0005-0000-0000-0000426F0000}"/>
    <cellStyle name="Normal 5 2 5 3" xfId="34598" xr:uid="{00000000-0005-0000-0000-0000436F0000}"/>
    <cellStyle name="Normal 5 2 5 3 2" xfId="34599" xr:uid="{00000000-0005-0000-0000-0000446F0000}"/>
    <cellStyle name="Normal 5 2 5 3 2 2" xfId="41552" xr:uid="{00000000-0005-0000-0000-0000456F0000}"/>
    <cellStyle name="Normal 5 2 5 3 3" xfId="41551" xr:uid="{00000000-0005-0000-0000-0000466F0000}"/>
    <cellStyle name="Normal 5 2 5 4" xfId="34600" xr:uid="{00000000-0005-0000-0000-0000476F0000}"/>
    <cellStyle name="Normal 5 2 5 4 2" xfId="34601" xr:uid="{00000000-0005-0000-0000-0000486F0000}"/>
    <cellStyle name="Normal 5 2 5 4 3" xfId="41553" xr:uid="{00000000-0005-0000-0000-0000496F0000}"/>
    <cellStyle name="Normal 5 2 5 5" xfId="34602" xr:uid="{00000000-0005-0000-0000-00004A6F0000}"/>
    <cellStyle name="Normal 5 2 5 5 2" xfId="34603" xr:uid="{00000000-0005-0000-0000-00004B6F0000}"/>
    <cellStyle name="Normal 5 2 5 5 3" xfId="41554" xr:uid="{00000000-0005-0000-0000-00004C6F0000}"/>
    <cellStyle name="Normal 5 2 5 6" xfId="34604" xr:uid="{00000000-0005-0000-0000-00004D6F0000}"/>
    <cellStyle name="Normal 5 2 5 7" xfId="34605" xr:uid="{00000000-0005-0000-0000-00004E6F0000}"/>
    <cellStyle name="Normal 5 2 5 8" xfId="41545" xr:uid="{00000000-0005-0000-0000-00004F6F0000}"/>
    <cellStyle name="Normal 5 2 5 9" xfId="34586" xr:uid="{00000000-0005-0000-0000-0000506F0000}"/>
    <cellStyle name="Normal 5 2 6" xfId="5798" xr:uid="{00000000-0005-0000-0000-0000516F0000}"/>
    <cellStyle name="Normal 5 2 6 2" xfId="34607" xr:uid="{00000000-0005-0000-0000-0000526F0000}"/>
    <cellStyle name="Normal 5 2 6 3" xfId="41555" xr:uid="{00000000-0005-0000-0000-0000536F0000}"/>
    <cellStyle name="Normal 5 2 6 4" xfId="34606" xr:uid="{00000000-0005-0000-0000-0000546F0000}"/>
    <cellStyle name="Normal 5 2 7" xfId="5799" xr:uid="{00000000-0005-0000-0000-0000556F0000}"/>
    <cellStyle name="Normal 5 2 7 2" xfId="41556" xr:uid="{00000000-0005-0000-0000-0000566F0000}"/>
    <cellStyle name="Normal 5 2 7 3" xfId="34608" xr:uid="{00000000-0005-0000-0000-0000576F0000}"/>
    <cellStyle name="Normal 5 2 8" xfId="34609" xr:uid="{00000000-0005-0000-0000-0000586F0000}"/>
    <cellStyle name="Normal 5 2 8 2" xfId="34610" xr:uid="{00000000-0005-0000-0000-0000596F0000}"/>
    <cellStyle name="Normal 5 2 8 3" xfId="41557" xr:uid="{00000000-0005-0000-0000-00005A6F0000}"/>
    <cellStyle name="Normal 5 2 9" xfId="34611" xr:uid="{00000000-0005-0000-0000-00005B6F0000}"/>
    <cellStyle name="Normal 5 2 9 2" xfId="34612" xr:uid="{00000000-0005-0000-0000-00005C6F0000}"/>
    <cellStyle name="Normal 5 2 9 3" xfId="41558" xr:uid="{00000000-0005-0000-0000-00005D6F0000}"/>
    <cellStyle name="Normal 5 20" xfId="34613" xr:uid="{00000000-0005-0000-0000-00005E6F0000}"/>
    <cellStyle name="Normal 5 20 2" xfId="34614" xr:uid="{00000000-0005-0000-0000-00005F6F0000}"/>
    <cellStyle name="Normal 5 20 2 2" xfId="41560" xr:uid="{00000000-0005-0000-0000-0000606F0000}"/>
    <cellStyle name="Normal 5 20 3" xfId="34615" xr:uid="{00000000-0005-0000-0000-0000616F0000}"/>
    <cellStyle name="Normal 5 20 3 2" xfId="41561" xr:uid="{00000000-0005-0000-0000-0000626F0000}"/>
    <cellStyle name="Normal 5 20 4" xfId="41559" xr:uid="{00000000-0005-0000-0000-0000636F0000}"/>
    <cellStyle name="Normal 5 21" xfId="34616" xr:uid="{00000000-0005-0000-0000-0000646F0000}"/>
    <cellStyle name="Normal 5 21 2" xfId="34617" xr:uid="{00000000-0005-0000-0000-0000656F0000}"/>
    <cellStyle name="Normal 5 21 2 2" xfId="41563" xr:uid="{00000000-0005-0000-0000-0000666F0000}"/>
    <cellStyle name="Normal 5 21 3" xfId="34618" xr:uid="{00000000-0005-0000-0000-0000676F0000}"/>
    <cellStyle name="Normal 5 21 3 2" xfId="41564" xr:uid="{00000000-0005-0000-0000-0000686F0000}"/>
    <cellStyle name="Normal 5 21 4" xfId="41562" xr:uid="{00000000-0005-0000-0000-0000696F0000}"/>
    <cellStyle name="Normal 5 22" xfId="34619" xr:uid="{00000000-0005-0000-0000-00006A6F0000}"/>
    <cellStyle name="Normal 5 22 2" xfId="34620" xr:uid="{00000000-0005-0000-0000-00006B6F0000}"/>
    <cellStyle name="Normal 5 22 2 2" xfId="41566" xr:uid="{00000000-0005-0000-0000-00006C6F0000}"/>
    <cellStyle name="Normal 5 22 3" xfId="34621" xr:uid="{00000000-0005-0000-0000-00006D6F0000}"/>
    <cellStyle name="Normal 5 22 3 2" xfId="41567" xr:uid="{00000000-0005-0000-0000-00006E6F0000}"/>
    <cellStyle name="Normal 5 22 4" xfId="41565" xr:uid="{00000000-0005-0000-0000-00006F6F0000}"/>
    <cellStyle name="Normal 5 23" xfId="34622" xr:uid="{00000000-0005-0000-0000-0000706F0000}"/>
    <cellStyle name="Normal 5 23 2" xfId="34623" xr:uid="{00000000-0005-0000-0000-0000716F0000}"/>
    <cellStyle name="Normal 5 23 2 2" xfId="41569" xr:uid="{00000000-0005-0000-0000-0000726F0000}"/>
    <cellStyle name="Normal 5 23 3" xfId="41568" xr:uid="{00000000-0005-0000-0000-0000736F0000}"/>
    <cellStyle name="Normal 5 24" xfId="34624" xr:uid="{00000000-0005-0000-0000-0000746F0000}"/>
    <cellStyle name="Normal 5 24 2" xfId="34625" xr:uid="{00000000-0005-0000-0000-0000756F0000}"/>
    <cellStyle name="Normal 5 24 2 2" xfId="41571" xr:uid="{00000000-0005-0000-0000-0000766F0000}"/>
    <cellStyle name="Normal 5 24 3" xfId="41570" xr:uid="{00000000-0005-0000-0000-0000776F0000}"/>
    <cellStyle name="Normal 5 25" xfId="34626" xr:uid="{00000000-0005-0000-0000-0000786F0000}"/>
    <cellStyle name="Normal 5 25 2" xfId="41572" xr:uid="{00000000-0005-0000-0000-0000796F0000}"/>
    <cellStyle name="Normal 5 26" xfId="34627" xr:uid="{00000000-0005-0000-0000-00007A6F0000}"/>
    <cellStyle name="Normal 5 26 2" xfId="41573" xr:uid="{00000000-0005-0000-0000-00007B6F0000}"/>
    <cellStyle name="Normal 5 27" xfId="34628" xr:uid="{00000000-0005-0000-0000-00007C6F0000}"/>
    <cellStyle name="Normal 5 27 2" xfId="41574" xr:uid="{00000000-0005-0000-0000-00007D6F0000}"/>
    <cellStyle name="Normal 5 28" xfId="34629" xr:uid="{00000000-0005-0000-0000-00007E6F0000}"/>
    <cellStyle name="Normal 5 29" xfId="34630" xr:uid="{00000000-0005-0000-0000-00007F6F0000}"/>
    <cellStyle name="Normal 5 3" xfId="5800" xr:uid="{00000000-0005-0000-0000-0000806F0000}"/>
    <cellStyle name="Normal 5 3 10" xfId="41575" xr:uid="{00000000-0005-0000-0000-0000816F0000}"/>
    <cellStyle name="Normal 5 3 11" xfId="34631" xr:uid="{00000000-0005-0000-0000-0000826F0000}"/>
    <cellStyle name="Normal 5 3 2" xfId="5801" xr:uid="{00000000-0005-0000-0000-0000836F0000}"/>
    <cellStyle name="Normal 5 3 2 2" xfId="10587" xr:uid="{00000000-0005-0000-0000-0000846F0000}"/>
    <cellStyle name="Normal 5 3 2 2 2" xfId="34634" xr:uid="{00000000-0005-0000-0000-0000856F0000}"/>
    <cellStyle name="Normal 5 3 2 2 2 2" xfId="41578" xr:uid="{00000000-0005-0000-0000-0000866F0000}"/>
    <cellStyle name="Normal 5 3 2 2 3" xfId="34635" xr:uid="{00000000-0005-0000-0000-0000876F0000}"/>
    <cellStyle name="Normal 5 3 2 2 3 2" xfId="41579" xr:uid="{00000000-0005-0000-0000-0000886F0000}"/>
    <cellStyle name="Normal 5 3 2 2 4" xfId="34636" xr:uid="{00000000-0005-0000-0000-0000896F0000}"/>
    <cellStyle name="Normal 5 3 2 2 5" xfId="34637" xr:uid="{00000000-0005-0000-0000-00008A6F0000}"/>
    <cellStyle name="Normal 5 3 2 2 6" xfId="41577" xr:uid="{00000000-0005-0000-0000-00008B6F0000}"/>
    <cellStyle name="Normal 5 3 2 2 7" xfId="34633" xr:uid="{00000000-0005-0000-0000-00008C6F0000}"/>
    <cellStyle name="Normal 5 3 2 3" xfId="34638" xr:uid="{00000000-0005-0000-0000-00008D6F0000}"/>
    <cellStyle name="Normal 5 3 2 3 2" xfId="41580" xr:uid="{00000000-0005-0000-0000-00008E6F0000}"/>
    <cellStyle name="Normal 5 3 2 4" xfId="34639" xr:uid="{00000000-0005-0000-0000-00008F6F0000}"/>
    <cellStyle name="Normal 5 3 2 4 2" xfId="41581" xr:uid="{00000000-0005-0000-0000-0000906F0000}"/>
    <cellStyle name="Normal 5 3 2 5" xfId="34640" xr:uid="{00000000-0005-0000-0000-0000916F0000}"/>
    <cellStyle name="Normal 5 3 2 6" xfId="34641" xr:uid="{00000000-0005-0000-0000-0000926F0000}"/>
    <cellStyle name="Normal 5 3 2 7" xfId="41576" xr:uid="{00000000-0005-0000-0000-0000936F0000}"/>
    <cellStyle name="Normal 5 3 2 8" xfId="34632" xr:uid="{00000000-0005-0000-0000-0000946F0000}"/>
    <cellStyle name="Normal 5 3 3" xfId="10588" xr:uid="{00000000-0005-0000-0000-0000956F0000}"/>
    <cellStyle name="Normal 5 3 3 2" xfId="34643" xr:uid="{00000000-0005-0000-0000-0000966F0000}"/>
    <cellStyle name="Normal 5 3 3 2 2" xfId="41583" xr:uid="{00000000-0005-0000-0000-0000976F0000}"/>
    <cellStyle name="Normal 5 3 3 3" xfId="34644" xr:uid="{00000000-0005-0000-0000-0000986F0000}"/>
    <cellStyle name="Normal 5 3 3 3 2" xfId="41584" xr:uid="{00000000-0005-0000-0000-0000996F0000}"/>
    <cellStyle name="Normal 5 3 3 4" xfId="34645" xr:uid="{00000000-0005-0000-0000-00009A6F0000}"/>
    <cellStyle name="Normal 5 3 3 5" xfId="34646" xr:uid="{00000000-0005-0000-0000-00009B6F0000}"/>
    <cellStyle name="Normal 5 3 3 6" xfId="41582" xr:uid="{00000000-0005-0000-0000-00009C6F0000}"/>
    <cellStyle name="Normal 5 3 3 7" xfId="34642" xr:uid="{00000000-0005-0000-0000-00009D6F0000}"/>
    <cellStyle name="Normal 5 3 4" xfId="34647" xr:uid="{00000000-0005-0000-0000-00009E6F0000}"/>
    <cellStyle name="Normal 5 3 4 2" xfId="41585" xr:uid="{00000000-0005-0000-0000-00009F6F0000}"/>
    <cellStyle name="Normal 5 3 5" xfId="34648" xr:uid="{00000000-0005-0000-0000-0000A06F0000}"/>
    <cellStyle name="Normal 5 3 5 2" xfId="41586" xr:uid="{00000000-0005-0000-0000-0000A16F0000}"/>
    <cellStyle name="Normal 5 3 6" xfId="34649" xr:uid="{00000000-0005-0000-0000-0000A26F0000}"/>
    <cellStyle name="Normal 5 3 7" xfId="34650" xr:uid="{00000000-0005-0000-0000-0000A36F0000}"/>
    <cellStyle name="Normal 5 3 7 2" xfId="34651" xr:uid="{00000000-0005-0000-0000-0000A46F0000}"/>
    <cellStyle name="Normal 5 3 7 3" xfId="34652" xr:uid="{00000000-0005-0000-0000-0000A56F0000}"/>
    <cellStyle name="Normal 5 3 8" xfId="34653" xr:uid="{00000000-0005-0000-0000-0000A66F0000}"/>
    <cellStyle name="Normal 5 3 9" xfId="34654" xr:uid="{00000000-0005-0000-0000-0000A76F0000}"/>
    <cellStyle name="Normal 5 30" xfId="41416" xr:uid="{00000000-0005-0000-0000-0000A86F0000}"/>
    <cellStyle name="Normal 5 31" xfId="34436" xr:uid="{00000000-0005-0000-0000-0000A96F0000}"/>
    <cellStyle name="Normal 5 32" xfId="5774" xr:uid="{00000000-0005-0000-0000-0000AA6F0000}"/>
    <cellStyle name="Normal 5 4" xfId="5802" xr:uid="{00000000-0005-0000-0000-0000AB6F0000}"/>
    <cellStyle name="Normal 5 4 10" xfId="41587" xr:uid="{00000000-0005-0000-0000-0000AC6F0000}"/>
    <cellStyle name="Normal 5 4 11" xfId="34655" xr:uid="{00000000-0005-0000-0000-0000AD6F0000}"/>
    <cellStyle name="Normal 5 4 2" xfId="5803" xr:uid="{00000000-0005-0000-0000-0000AE6F0000}"/>
    <cellStyle name="Normal 5 4 2 10" xfId="34656" xr:uid="{00000000-0005-0000-0000-0000AF6F0000}"/>
    <cellStyle name="Normal 5 4 2 2" xfId="10589" xr:uid="{00000000-0005-0000-0000-0000B06F0000}"/>
    <cellStyle name="Normal 5 4 2 2 2" xfId="34658" xr:uid="{00000000-0005-0000-0000-0000B16F0000}"/>
    <cellStyle name="Normal 5 4 2 2 2 2" xfId="34659" xr:uid="{00000000-0005-0000-0000-0000B26F0000}"/>
    <cellStyle name="Normal 5 4 2 2 2 2 2" xfId="41591" xr:uid="{00000000-0005-0000-0000-0000B36F0000}"/>
    <cellStyle name="Normal 5 4 2 2 2 3" xfId="34660" xr:uid="{00000000-0005-0000-0000-0000B46F0000}"/>
    <cellStyle name="Normal 5 4 2 2 2 3 2" xfId="41592" xr:uid="{00000000-0005-0000-0000-0000B56F0000}"/>
    <cellStyle name="Normal 5 4 2 2 2 4" xfId="41590" xr:uid="{00000000-0005-0000-0000-0000B66F0000}"/>
    <cellStyle name="Normal 5 4 2 2 3" xfId="34661" xr:uid="{00000000-0005-0000-0000-0000B76F0000}"/>
    <cellStyle name="Normal 5 4 2 2 3 2" xfId="34662" xr:uid="{00000000-0005-0000-0000-0000B86F0000}"/>
    <cellStyle name="Normal 5 4 2 2 3 2 2" xfId="41594" xr:uid="{00000000-0005-0000-0000-0000B96F0000}"/>
    <cellStyle name="Normal 5 4 2 2 3 3" xfId="41593" xr:uid="{00000000-0005-0000-0000-0000BA6F0000}"/>
    <cellStyle name="Normal 5 4 2 2 4" xfId="34663" xr:uid="{00000000-0005-0000-0000-0000BB6F0000}"/>
    <cellStyle name="Normal 5 4 2 2 4 2" xfId="41595" xr:uid="{00000000-0005-0000-0000-0000BC6F0000}"/>
    <cellStyle name="Normal 5 4 2 2 5" xfId="41589" xr:uid="{00000000-0005-0000-0000-0000BD6F0000}"/>
    <cellStyle name="Normal 5 4 2 2 6" xfId="34657" xr:uid="{00000000-0005-0000-0000-0000BE6F0000}"/>
    <cellStyle name="Normal 5 4 2 3" xfId="34664" xr:uid="{00000000-0005-0000-0000-0000BF6F0000}"/>
    <cellStyle name="Normal 5 4 2 3 2" xfId="34665" xr:uid="{00000000-0005-0000-0000-0000C06F0000}"/>
    <cellStyle name="Normal 5 4 2 3 2 2" xfId="34666" xr:uid="{00000000-0005-0000-0000-0000C16F0000}"/>
    <cellStyle name="Normal 5 4 2 3 2 2 2" xfId="41598" xr:uid="{00000000-0005-0000-0000-0000C26F0000}"/>
    <cellStyle name="Normal 5 4 2 3 2 3" xfId="41597" xr:uid="{00000000-0005-0000-0000-0000C36F0000}"/>
    <cellStyle name="Normal 5 4 2 3 3" xfId="34667" xr:uid="{00000000-0005-0000-0000-0000C46F0000}"/>
    <cellStyle name="Normal 5 4 2 3 3 2" xfId="41599" xr:uid="{00000000-0005-0000-0000-0000C56F0000}"/>
    <cellStyle name="Normal 5 4 2 3 4" xfId="41596" xr:uid="{00000000-0005-0000-0000-0000C66F0000}"/>
    <cellStyle name="Normal 5 4 2 4" xfId="34668" xr:uid="{00000000-0005-0000-0000-0000C76F0000}"/>
    <cellStyle name="Normal 5 4 2 4 2" xfId="34669" xr:uid="{00000000-0005-0000-0000-0000C86F0000}"/>
    <cellStyle name="Normal 5 4 2 4 2 2" xfId="41601" xr:uid="{00000000-0005-0000-0000-0000C96F0000}"/>
    <cellStyle name="Normal 5 4 2 4 3" xfId="34670" xr:uid="{00000000-0005-0000-0000-0000CA6F0000}"/>
    <cellStyle name="Normal 5 4 2 4 4" xfId="41600" xr:uid="{00000000-0005-0000-0000-0000CB6F0000}"/>
    <cellStyle name="Normal 5 4 2 5" xfId="34671" xr:uid="{00000000-0005-0000-0000-0000CC6F0000}"/>
    <cellStyle name="Normal 5 4 2 5 2" xfId="34672" xr:uid="{00000000-0005-0000-0000-0000CD6F0000}"/>
    <cellStyle name="Normal 5 4 2 5 3" xfId="41602" xr:uid="{00000000-0005-0000-0000-0000CE6F0000}"/>
    <cellStyle name="Normal 5 4 2 6" xfId="34673" xr:uid="{00000000-0005-0000-0000-0000CF6F0000}"/>
    <cellStyle name="Normal 5 4 2 6 2" xfId="41603" xr:uid="{00000000-0005-0000-0000-0000D06F0000}"/>
    <cellStyle name="Normal 5 4 2 7" xfId="34674" xr:uid="{00000000-0005-0000-0000-0000D16F0000}"/>
    <cellStyle name="Normal 5 4 2 7 2" xfId="41604" xr:uid="{00000000-0005-0000-0000-0000D26F0000}"/>
    <cellStyle name="Normal 5 4 2 8" xfId="34675" xr:uid="{00000000-0005-0000-0000-0000D36F0000}"/>
    <cellStyle name="Normal 5 4 2 8 2" xfId="41605" xr:uid="{00000000-0005-0000-0000-0000D46F0000}"/>
    <cellStyle name="Normal 5 4 2 9" xfId="41588" xr:uid="{00000000-0005-0000-0000-0000D56F0000}"/>
    <cellStyle name="Normal 5 4 3" xfId="10590" xr:uid="{00000000-0005-0000-0000-0000D66F0000}"/>
    <cellStyle name="Normal 5 4 3 2" xfId="34677" xr:uid="{00000000-0005-0000-0000-0000D76F0000}"/>
    <cellStyle name="Normal 5 4 3 2 2" xfId="34678" xr:uid="{00000000-0005-0000-0000-0000D86F0000}"/>
    <cellStyle name="Normal 5 4 3 2 2 2" xfId="41608" xr:uid="{00000000-0005-0000-0000-0000D96F0000}"/>
    <cellStyle name="Normal 5 4 3 2 3" xfId="34679" xr:uid="{00000000-0005-0000-0000-0000DA6F0000}"/>
    <cellStyle name="Normal 5 4 3 2 3 2" xfId="41609" xr:uid="{00000000-0005-0000-0000-0000DB6F0000}"/>
    <cellStyle name="Normal 5 4 3 2 4" xfId="41607" xr:uid="{00000000-0005-0000-0000-0000DC6F0000}"/>
    <cellStyle name="Normal 5 4 3 3" xfId="34680" xr:uid="{00000000-0005-0000-0000-0000DD6F0000}"/>
    <cellStyle name="Normal 5 4 3 3 2" xfId="34681" xr:uid="{00000000-0005-0000-0000-0000DE6F0000}"/>
    <cellStyle name="Normal 5 4 3 3 2 2" xfId="41611" xr:uid="{00000000-0005-0000-0000-0000DF6F0000}"/>
    <cellStyle name="Normal 5 4 3 3 3" xfId="41610" xr:uid="{00000000-0005-0000-0000-0000E06F0000}"/>
    <cellStyle name="Normal 5 4 3 4" xfId="34682" xr:uid="{00000000-0005-0000-0000-0000E16F0000}"/>
    <cellStyle name="Normal 5 4 3 4 2" xfId="41612" xr:uid="{00000000-0005-0000-0000-0000E26F0000}"/>
    <cellStyle name="Normal 5 4 3 5" xfId="34683" xr:uid="{00000000-0005-0000-0000-0000E36F0000}"/>
    <cellStyle name="Normal 5 4 3 5 2" xfId="41613" xr:uid="{00000000-0005-0000-0000-0000E46F0000}"/>
    <cellStyle name="Normal 5 4 3 6" xfId="41606" xr:uid="{00000000-0005-0000-0000-0000E56F0000}"/>
    <cellStyle name="Normal 5 4 3 7" xfId="34676" xr:uid="{00000000-0005-0000-0000-0000E66F0000}"/>
    <cellStyle name="Normal 5 4 4" xfId="34684" xr:uid="{00000000-0005-0000-0000-0000E76F0000}"/>
    <cellStyle name="Normal 5 4 4 2" xfId="34685" xr:uid="{00000000-0005-0000-0000-0000E86F0000}"/>
    <cellStyle name="Normal 5 4 4 2 2" xfId="34686" xr:uid="{00000000-0005-0000-0000-0000E96F0000}"/>
    <cellStyle name="Normal 5 4 4 2 2 2" xfId="41616" xr:uid="{00000000-0005-0000-0000-0000EA6F0000}"/>
    <cellStyle name="Normal 5 4 4 2 3" xfId="41615" xr:uid="{00000000-0005-0000-0000-0000EB6F0000}"/>
    <cellStyle name="Normal 5 4 4 3" xfId="34687" xr:uid="{00000000-0005-0000-0000-0000EC6F0000}"/>
    <cellStyle name="Normal 5 4 4 3 2" xfId="41617" xr:uid="{00000000-0005-0000-0000-0000ED6F0000}"/>
    <cellStyle name="Normal 5 4 4 4" xfId="34688" xr:uid="{00000000-0005-0000-0000-0000EE6F0000}"/>
    <cellStyle name="Normal 5 4 4 4 2" xfId="41618" xr:uid="{00000000-0005-0000-0000-0000EF6F0000}"/>
    <cellStyle name="Normal 5 4 4 5" xfId="41614" xr:uid="{00000000-0005-0000-0000-0000F06F0000}"/>
    <cellStyle name="Normal 5 4 5" xfId="34689" xr:uid="{00000000-0005-0000-0000-0000F16F0000}"/>
    <cellStyle name="Normal 5 4 5 2" xfId="34690" xr:uid="{00000000-0005-0000-0000-0000F26F0000}"/>
    <cellStyle name="Normal 5 4 5 2 2" xfId="41620" xr:uid="{00000000-0005-0000-0000-0000F36F0000}"/>
    <cellStyle name="Normal 5 4 5 3" xfId="34691" xr:uid="{00000000-0005-0000-0000-0000F46F0000}"/>
    <cellStyle name="Normal 5 4 5 4" xfId="41619" xr:uid="{00000000-0005-0000-0000-0000F56F0000}"/>
    <cellStyle name="Normal 5 4 6" xfId="34692" xr:uid="{00000000-0005-0000-0000-0000F66F0000}"/>
    <cellStyle name="Normal 5 4 6 2" xfId="34693" xr:uid="{00000000-0005-0000-0000-0000F76F0000}"/>
    <cellStyle name="Normal 5 4 6 3" xfId="41621" xr:uid="{00000000-0005-0000-0000-0000F86F0000}"/>
    <cellStyle name="Normal 5 4 7" xfId="34694" xr:uid="{00000000-0005-0000-0000-0000F96F0000}"/>
    <cellStyle name="Normal 5 4 7 2" xfId="41622" xr:uid="{00000000-0005-0000-0000-0000FA6F0000}"/>
    <cellStyle name="Normal 5 4 8" xfId="34695" xr:uid="{00000000-0005-0000-0000-0000FB6F0000}"/>
    <cellStyle name="Normal 5 4 8 2" xfId="41623" xr:uid="{00000000-0005-0000-0000-0000FC6F0000}"/>
    <cellStyle name="Normal 5 4 9" xfId="34696" xr:uid="{00000000-0005-0000-0000-0000FD6F0000}"/>
    <cellStyle name="Normal 5 4 9 2" xfId="41624" xr:uid="{00000000-0005-0000-0000-0000FE6F0000}"/>
    <cellStyle name="Normal 5 5" xfId="5804" xr:uid="{00000000-0005-0000-0000-0000FF6F0000}"/>
    <cellStyle name="Normal 5 5 2" xfId="5805" xr:uid="{00000000-0005-0000-0000-000000700000}"/>
    <cellStyle name="Normal 5 5 2 2" xfId="10591" xr:uid="{00000000-0005-0000-0000-000001700000}"/>
    <cellStyle name="Normal 5 5 2 2 2" xfId="34700" xr:uid="{00000000-0005-0000-0000-000002700000}"/>
    <cellStyle name="Normal 5 5 2 2 3" xfId="41627" xr:uid="{00000000-0005-0000-0000-000003700000}"/>
    <cellStyle name="Normal 5 5 2 2 4" xfId="34699" xr:uid="{00000000-0005-0000-0000-000004700000}"/>
    <cellStyle name="Normal 5 5 2 3" xfId="34701" xr:uid="{00000000-0005-0000-0000-000005700000}"/>
    <cellStyle name="Normal 5 5 2 4" xfId="34702" xr:uid="{00000000-0005-0000-0000-000006700000}"/>
    <cellStyle name="Normal 5 5 2 5" xfId="41626" xr:uid="{00000000-0005-0000-0000-000007700000}"/>
    <cellStyle name="Normal 5 5 2 6" xfId="34698" xr:uid="{00000000-0005-0000-0000-000008700000}"/>
    <cellStyle name="Normal 5 5 3" xfId="10592" xr:uid="{00000000-0005-0000-0000-000009700000}"/>
    <cellStyle name="Normal 5 5 3 2" xfId="34704" xr:uid="{00000000-0005-0000-0000-00000A700000}"/>
    <cellStyle name="Normal 5 5 3 3" xfId="34705" xr:uid="{00000000-0005-0000-0000-00000B700000}"/>
    <cellStyle name="Normal 5 5 3 4" xfId="34706" xr:uid="{00000000-0005-0000-0000-00000C700000}"/>
    <cellStyle name="Normal 5 5 3 5" xfId="41628" xr:uid="{00000000-0005-0000-0000-00000D700000}"/>
    <cellStyle name="Normal 5 5 3 6" xfId="34703" xr:uid="{00000000-0005-0000-0000-00000E700000}"/>
    <cellStyle name="Normal 5 5 4" xfId="34707" xr:uid="{00000000-0005-0000-0000-00000F700000}"/>
    <cellStyle name="Normal 5 5 4 2" xfId="34708" xr:uid="{00000000-0005-0000-0000-000010700000}"/>
    <cellStyle name="Normal 5 5 4 3" xfId="41629" xr:uid="{00000000-0005-0000-0000-000011700000}"/>
    <cellStyle name="Normal 5 5 5" xfId="34709" xr:uid="{00000000-0005-0000-0000-000012700000}"/>
    <cellStyle name="Normal 5 5 5 2" xfId="34710" xr:uid="{00000000-0005-0000-0000-000013700000}"/>
    <cellStyle name="Normal 5 5 5 3" xfId="41630" xr:uid="{00000000-0005-0000-0000-000014700000}"/>
    <cellStyle name="Normal 5 5 6" xfId="34711" xr:uid="{00000000-0005-0000-0000-000015700000}"/>
    <cellStyle name="Normal 5 5 6 2" xfId="41631" xr:uid="{00000000-0005-0000-0000-000016700000}"/>
    <cellStyle name="Normal 5 5 7" xfId="34712" xr:uid="{00000000-0005-0000-0000-000017700000}"/>
    <cellStyle name="Normal 5 5 8" xfId="41625" xr:uid="{00000000-0005-0000-0000-000018700000}"/>
    <cellStyle name="Normal 5 5 9" xfId="34697" xr:uid="{00000000-0005-0000-0000-000019700000}"/>
    <cellStyle name="Normal 5 6" xfId="5806" xr:uid="{00000000-0005-0000-0000-00001A700000}"/>
    <cellStyle name="Normal 5 6 10" xfId="34714" xr:uid="{00000000-0005-0000-0000-00001B700000}"/>
    <cellStyle name="Normal 5 6 11" xfId="41632" xr:uid="{00000000-0005-0000-0000-00001C700000}"/>
    <cellStyle name="Normal 5 6 12" xfId="34713" xr:uid="{00000000-0005-0000-0000-00001D700000}"/>
    <cellStyle name="Normal 5 6 2" xfId="5807" xr:uid="{00000000-0005-0000-0000-00001E700000}"/>
    <cellStyle name="Normal 5 6 2 10" xfId="41633" xr:uid="{00000000-0005-0000-0000-00001F700000}"/>
    <cellStyle name="Normal 5 6 2 11" xfId="34715" xr:uid="{00000000-0005-0000-0000-000020700000}"/>
    <cellStyle name="Normal 5 6 2 2" xfId="34716" xr:uid="{00000000-0005-0000-0000-000021700000}"/>
    <cellStyle name="Normal 5 6 2 2 2" xfId="34717" xr:uid="{00000000-0005-0000-0000-000022700000}"/>
    <cellStyle name="Normal 5 6 2 2 2 2" xfId="34718" xr:uid="{00000000-0005-0000-0000-000023700000}"/>
    <cellStyle name="Normal 5 6 2 2 2 2 2" xfId="41636" xr:uid="{00000000-0005-0000-0000-000024700000}"/>
    <cellStyle name="Normal 5 6 2 2 2 3" xfId="34719" xr:uid="{00000000-0005-0000-0000-000025700000}"/>
    <cellStyle name="Normal 5 6 2 2 2 3 2" xfId="41637" xr:uid="{00000000-0005-0000-0000-000026700000}"/>
    <cellStyle name="Normal 5 6 2 2 2 4" xfId="41635" xr:uid="{00000000-0005-0000-0000-000027700000}"/>
    <cellStyle name="Normal 5 6 2 2 3" xfId="34720" xr:uid="{00000000-0005-0000-0000-000028700000}"/>
    <cellStyle name="Normal 5 6 2 2 3 2" xfId="34721" xr:uid="{00000000-0005-0000-0000-000029700000}"/>
    <cellStyle name="Normal 5 6 2 2 3 2 2" xfId="41639" xr:uid="{00000000-0005-0000-0000-00002A700000}"/>
    <cellStyle name="Normal 5 6 2 2 3 3" xfId="41638" xr:uid="{00000000-0005-0000-0000-00002B700000}"/>
    <cellStyle name="Normal 5 6 2 2 4" xfId="34722" xr:uid="{00000000-0005-0000-0000-00002C700000}"/>
    <cellStyle name="Normal 5 6 2 2 4 2" xfId="41640" xr:uid="{00000000-0005-0000-0000-00002D700000}"/>
    <cellStyle name="Normal 5 6 2 2 5" xfId="41634" xr:uid="{00000000-0005-0000-0000-00002E700000}"/>
    <cellStyle name="Normal 5 6 2 3" xfId="34723" xr:uid="{00000000-0005-0000-0000-00002F700000}"/>
    <cellStyle name="Normal 5 6 2 3 2" xfId="34724" xr:uid="{00000000-0005-0000-0000-000030700000}"/>
    <cellStyle name="Normal 5 6 2 3 2 2" xfId="34725" xr:uid="{00000000-0005-0000-0000-000031700000}"/>
    <cellStyle name="Normal 5 6 2 3 2 2 2" xfId="41643" xr:uid="{00000000-0005-0000-0000-000032700000}"/>
    <cellStyle name="Normal 5 6 2 3 2 3" xfId="41642" xr:uid="{00000000-0005-0000-0000-000033700000}"/>
    <cellStyle name="Normal 5 6 2 3 3" xfId="34726" xr:uid="{00000000-0005-0000-0000-000034700000}"/>
    <cellStyle name="Normal 5 6 2 3 3 2" xfId="41644" xr:uid="{00000000-0005-0000-0000-000035700000}"/>
    <cellStyle name="Normal 5 6 2 3 4" xfId="41641" xr:uid="{00000000-0005-0000-0000-000036700000}"/>
    <cellStyle name="Normal 5 6 2 4" xfId="34727" xr:uid="{00000000-0005-0000-0000-000037700000}"/>
    <cellStyle name="Normal 5 6 2 4 2" xfId="34728" xr:uid="{00000000-0005-0000-0000-000038700000}"/>
    <cellStyle name="Normal 5 6 2 4 2 2" xfId="41646" xr:uid="{00000000-0005-0000-0000-000039700000}"/>
    <cellStyle name="Normal 5 6 2 4 3" xfId="41645" xr:uid="{00000000-0005-0000-0000-00003A700000}"/>
    <cellStyle name="Normal 5 6 2 5" xfId="34729" xr:uid="{00000000-0005-0000-0000-00003B700000}"/>
    <cellStyle name="Normal 5 6 2 5 2" xfId="41647" xr:uid="{00000000-0005-0000-0000-00003C700000}"/>
    <cellStyle name="Normal 5 6 2 6" xfId="34730" xr:uid="{00000000-0005-0000-0000-00003D700000}"/>
    <cellStyle name="Normal 5 6 2 6 2" xfId="41648" xr:uid="{00000000-0005-0000-0000-00003E700000}"/>
    <cellStyle name="Normal 5 6 2 7" xfId="34731" xr:uid="{00000000-0005-0000-0000-00003F700000}"/>
    <cellStyle name="Normal 5 6 2 7 2" xfId="41649" xr:uid="{00000000-0005-0000-0000-000040700000}"/>
    <cellStyle name="Normal 5 6 2 8" xfId="34732" xr:uid="{00000000-0005-0000-0000-000041700000}"/>
    <cellStyle name="Normal 5 6 2 8 2" xfId="41650" xr:uid="{00000000-0005-0000-0000-000042700000}"/>
    <cellStyle name="Normal 5 6 2 9" xfId="34733" xr:uid="{00000000-0005-0000-0000-000043700000}"/>
    <cellStyle name="Normal 5 6 3" xfId="5808" xr:uid="{00000000-0005-0000-0000-000044700000}"/>
    <cellStyle name="Normal 5 6 3 2" xfId="34735" xr:uid="{00000000-0005-0000-0000-000045700000}"/>
    <cellStyle name="Normal 5 6 3 2 2" xfId="34736" xr:uid="{00000000-0005-0000-0000-000046700000}"/>
    <cellStyle name="Normal 5 6 3 2 2 2" xfId="41653" xr:uid="{00000000-0005-0000-0000-000047700000}"/>
    <cellStyle name="Normal 5 6 3 2 3" xfId="34737" xr:uid="{00000000-0005-0000-0000-000048700000}"/>
    <cellStyle name="Normal 5 6 3 2 3 2" xfId="41654" xr:uid="{00000000-0005-0000-0000-000049700000}"/>
    <cellStyle name="Normal 5 6 3 2 4" xfId="41652" xr:uid="{00000000-0005-0000-0000-00004A700000}"/>
    <cellStyle name="Normal 5 6 3 3" xfId="34738" xr:uid="{00000000-0005-0000-0000-00004B700000}"/>
    <cellStyle name="Normal 5 6 3 3 2" xfId="34739" xr:uid="{00000000-0005-0000-0000-00004C700000}"/>
    <cellStyle name="Normal 5 6 3 3 2 2" xfId="41656" xr:uid="{00000000-0005-0000-0000-00004D700000}"/>
    <cellStyle name="Normal 5 6 3 3 3" xfId="41655" xr:uid="{00000000-0005-0000-0000-00004E700000}"/>
    <cellStyle name="Normal 5 6 3 4" xfId="34740" xr:uid="{00000000-0005-0000-0000-00004F700000}"/>
    <cellStyle name="Normal 5 6 3 4 2" xfId="41657" xr:uid="{00000000-0005-0000-0000-000050700000}"/>
    <cellStyle name="Normal 5 6 3 5" xfId="34741" xr:uid="{00000000-0005-0000-0000-000051700000}"/>
    <cellStyle name="Normal 5 6 3 5 2" xfId="41658" xr:uid="{00000000-0005-0000-0000-000052700000}"/>
    <cellStyle name="Normal 5 6 3 6" xfId="34742" xr:uid="{00000000-0005-0000-0000-000053700000}"/>
    <cellStyle name="Normal 5 6 3 7" xfId="41651" xr:uid="{00000000-0005-0000-0000-000054700000}"/>
    <cellStyle name="Normal 5 6 3 8" xfId="34734" xr:uid="{00000000-0005-0000-0000-000055700000}"/>
    <cellStyle name="Normal 5 6 4" xfId="34743" xr:uid="{00000000-0005-0000-0000-000056700000}"/>
    <cellStyle name="Normal 5 6 4 2" xfId="34744" xr:uid="{00000000-0005-0000-0000-000057700000}"/>
    <cellStyle name="Normal 5 6 4 2 2" xfId="34745" xr:uid="{00000000-0005-0000-0000-000058700000}"/>
    <cellStyle name="Normal 5 6 4 2 2 2" xfId="41661" xr:uid="{00000000-0005-0000-0000-000059700000}"/>
    <cellStyle name="Normal 5 6 4 2 3" xfId="41660" xr:uid="{00000000-0005-0000-0000-00005A700000}"/>
    <cellStyle name="Normal 5 6 4 3" xfId="34746" xr:uid="{00000000-0005-0000-0000-00005B700000}"/>
    <cellStyle name="Normal 5 6 4 3 2" xfId="41662" xr:uid="{00000000-0005-0000-0000-00005C700000}"/>
    <cellStyle name="Normal 5 6 4 4" xfId="34747" xr:uid="{00000000-0005-0000-0000-00005D700000}"/>
    <cellStyle name="Normal 5 6 4 4 2" xfId="41663" xr:uid="{00000000-0005-0000-0000-00005E700000}"/>
    <cellStyle name="Normal 5 6 4 5" xfId="41659" xr:uid="{00000000-0005-0000-0000-00005F700000}"/>
    <cellStyle name="Normal 5 6 5" xfId="34748" xr:uid="{00000000-0005-0000-0000-000060700000}"/>
    <cellStyle name="Normal 5 6 5 2" xfId="34749" xr:uid="{00000000-0005-0000-0000-000061700000}"/>
    <cellStyle name="Normal 5 6 5 2 2" xfId="41665" xr:uid="{00000000-0005-0000-0000-000062700000}"/>
    <cellStyle name="Normal 5 6 5 3" xfId="41664" xr:uid="{00000000-0005-0000-0000-000063700000}"/>
    <cellStyle name="Normal 5 6 6" xfId="34750" xr:uid="{00000000-0005-0000-0000-000064700000}"/>
    <cellStyle name="Normal 5 6 6 2" xfId="41666" xr:uid="{00000000-0005-0000-0000-000065700000}"/>
    <cellStyle name="Normal 5 6 7" xfId="34751" xr:uid="{00000000-0005-0000-0000-000066700000}"/>
    <cellStyle name="Normal 5 6 7 2" xfId="41667" xr:uid="{00000000-0005-0000-0000-000067700000}"/>
    <cellStyle name="Normal 5 6 8" xfId="34752" xr:uid="{00000000-0005-0000-0000-000068700000}"/>
    <cellStyle name="Normal 5 6 8 2" xfId="41668" xr:uid="{00000000-0005-0000-0000-000069700000}"/>
    <cellStyle name="Normal 5 6 9" xfId="34753" xr:uid="{00000000-0005-0000-0000-00006A700000}"/>
    <cellStyle name="Normal 5 6 9 2" xfId="41669" xr:uid="{00000000-0005-0000-0000-00006B700000}"/>
    <cellStyle name="Normal 5 7" xfId="5809" xr:uid="{00000000-0005-0000-0000-00006C700000}"/>
    <cellStyle name="Normal 5 7 10" xfId="41670" xr:uid="{00000000-0005-0000-0000-00006D700000}"/>
    <cellStyle name="Normal 5 7 11" xfId="34754" xr:uid="{00000000-0005-0000-0000-00006E700000}"/>
    <cellStyle name="Normal 5 7 2" xfId="5810" xr:uid="{00000000-0005-0000-0000-00006F700000}"/>
    <cellStyle name="Normal 5 7 2 2" xfId="34756" xr:uid="{00000000-0005-0000-0000-000070700000}"/>
    <cellStyle name="Normal 5 7 2 2 2" xfId="34757" xr:uid="{00000000-0005-0000-0000-000071700000}"/>
    <cellStyle name="Normal 5 7 2 2 2 2" xfId="41673" xr:uid="{00000000-0005-0000-0000-000072700000}"/>
    <cellStyle name="Normal 5 7 2 2 3" xfId="34758" xr:uid="{00000000-0005-0000-0000-000073700000}"/>
    <cellStyle name="Normal 5 7 2 2 3 2" xfId="41674" xr:uid="{00000000-0005-0000-0000-000074700000}"/>
    <cellStyle name="Normal 5 7 2 2 4" xfId="41672" xr:uid="{00000000-0005-0000-0000-000075700000}"/>
    <cellStyle name="Normal 5 7 2 3" xfId="34759" xr:uid="{00000000-0005-0000-0000-000076700000}"/>
    <cellStyle name="Normal 5 7 2 3 2" xfId="34760" xr:uid="{00000000-0005-0000-0000-000077700000}"/>
    <cellStyle name="Normal 5 7 2 3 2 2" xfId="41676" xr:uid="{00000000-0005-0000-0000-000078700000}"/>
    <cellStyle name="Normal 5 7 2 3 3" xfId="41675" xr:uid="{00000000-0005-0000-0000-000079700000}"/>
    <cellStyle name="Normal 5 7 2 4" xfId="34761" xr:uid="{00000000-0005-0000-0000-00007A700000}"/>
    <cellStyle name="Normal 5 7 2 4 2" xfId="41677" xr:uid="{00000000-0005-0000-0000-00007B700000}"/>
    <cellStyle name="Normal 5 7 2 5" xfId="34762" xr:uid="{00000000-0005-0000-0000-00007C700000}"/>
    <cellStyle name="Normal 5 7 2 5 2" xfId="41678" xr:uid="{00000000-0005-0000-0000-00007D700000}"/>
    <cellStyle name="Normal 5 7 2 6" xfId="34763" xr:uid="{00000000-0005-0000-0000-00007E700000}"/>
    <cellStyle name="Normal 5 7 2 6 2" xfId="41679" xr:uid="{00000000-0005-0000-0000-00007F700000}"/>
    <cellStyle name="Normal 5 7 2 7" xfId="34764" xr:uid="{00000000-0005-0000-0000-000080700000}"/>
    <cellStyle name="Normal 5 7 2 7 2" xfId="41680" xr:uid="{00000000-0005-0000-0000-000081700000}"/>
    <cellStyle name="Normal 5 7 2 8" xfId="41671" xr:uid="{00000000-0005-0000-0000-000082700000}"/>
    <cellStyle name="Normal 5 7 2 9" xfId="34755" xr:uid="{00000000-0005-0000-0000-000083700000}"/>
    <cellStyle name="Normal 5 7 3" xfId="5811" xr:uid="{00000000-0005-0000-0000-000084700000}"/>
    <cellStyle name="Normal 5 7 3 2" xfId="34766" xr:uid="{00000000-0005-0000-0000-000085700000}"/>
    <cellStyle name="Normal 5 7 3 2 2" xfId="34767" xr:uid="{00000000-0005-0000-0000-000086700000}"/>
    <cellStyle name="Normal 5 7 3 2 2 2" xfId="41683" xr:uid="{00000000-0005-0000-0000-000087700000}"/>
    <cellStyle name="Normal 5 7 3 2 3" xfId="41682" xr:uid="{00000000-0005-0000-0000-000088700000}"/>
    <cellStyle name="Normal 5 7 3 3" xfId="34768" xr:uid="{00000000-0005-0000-0000-000089700000}"/>
    <cellStyle name="Normal 5 7 3 3 2" xfId="41684" xr:uid="{00000000-0005-0000-0000-00008A700000}"/>
    <cellStyle name="Normal 5 7 3 4" xfId="34769" xr:uid="{00000000-0005-0000-0000-00008B700000}"/>
    <cellStyle name="Normal 5 7 3 4 2" xfId="41685" xr:uid="{00000000-0005-0000-0000-00008C700000}"/>
    <cellStyle name="Normal 5 7 3 5" xfId="41681" xr:uid="{00000000-0005-0000-0000-00008D700000}"/>
    <cellStyle name="Normal 5 7 3 6" xfId="34765" xr:uid="{00000000-0005-0000-0000-00008E700000}"/>
    <cellStyle name="Normal 5 7 4" xfId="34770" xr:uid="{00000000-0005-0000-0000-00008F700000}"/>
    <cellStyle name="Normal 5 7 4 2" xfId="34771" xr:uid="{00000000-0005-0000-0000-000090700000}"/>
    <cellStyle name="Normal 5 7 4 2 2" xfId="41687" xr:uid="{00000000-0005-0000-0000-000091700000}"/>
    <cellStyle name="Normal 5 7 4 3" xfId="34772" xr:uid="{00000000-0005-0000-0000-000092700000}"/>
    <cellStyle name="Normal 5 7 4 3 2" xfId="41688" xr:uid="{00000000-0005-0000-0000-000093700000}"/>
    <cellStyle name="Normal 5 7 4 4" xfId="41686" xr:uid="{00000000-0005-0000-0000-000094700000}"/>
    <cellStyle name="Normal 5 7 5" xfId="34773" xr:uid="{00000000-0005-0000-0000-000095700000}"/>
    <cellStyle name="Normal 5 7 5 2" xfId="41689" xr:uid="{00000000-0005-0000-0000-000096700000}"/>
    <cellStyle name="Normal 5 7 6" xfId="34774" xr:uid="{00000000-0005-0000-0000-000097700000}"/>
    <cellStyle name="Normal 5 7 6 2" xfId="41690" xr:uid="{00000000-0005-0000-0000-000098700000}"/>
    <cellStyle name="Normal 5 7 7" xfId="34775" xr:uid="{00000000-0005-0000-0000-000099700000}"/>
    <cellStyle name="Normal 5 7 7 2" xfId="41691" xr:uid="{00000000-0005-0000-0000-00009A700000}"/>
    <cellStyle name="Normal 5 7 8" xfId="34776" xr:uid="{00000000-0005-0000-0000-00009B700000}"/>
    <cellStyle name="Normal 5 7 8 2" xfId="41692" xr:uid="{00000000-0005-0000-0000-00009C700000}"/>
    <cellStyle name="Normal 5 7 9" xfId="34777" xr:uid="{00000000-0005-0000-0000-00009D700000}"/>
    <cellStyle name="Normal 5 8" xfId="5812" xr:uid="{00000000-0005-0000-0000-00009E700000}"/>
    <cellStyle name="Normal 5 8 10" xfId="41693" xr:uid="{00000000-0005-0000-0000-00009F700000}"/>
    <cellStyle name="Normal 5 8 11" xfId="34778" xr:uid="{00000000-0005-0000-0000-0000A0700000}"/>
    <cellStyle name="Normal 5 8 2" xfId="5813" xr:uid="{00000000-0005-0000-0000-0000A1700000}"/>
    <cellStyle name="Normal 5 8 2 2" xfId="34780" xr:uid="{00000000-0005-0000-0000-0000A2700000}"/>
    <cellStyle name="Normal 5 8 2 2 2" xfId="34781" xr:uid="{00000000-0005-0000-0000-0000A3700000}"/>
    <cellStyle name="Normal 5 8 2 2 2 2" xfId="41696" xr:uid="{00000000-0005-0000-0000-0000A4700000}"/>
    <cellStyle name="Normal 5 8 2 2 3" xfId="34782" xr:uid="{00000000-0005-0000-0000-0000A5700000}"/>
    <cellStyle name="Normal 5 8 2 2 3 2" xfId="41697" xr:uid="{00000000-0005-0000-0000-0000A6700000}"/>
    <cellStyle name="Normal 5 8 2 2 4" xfId="41695" xr:uid="{00000000-0005-0000-0000-0000A7700000}"/>
    <cellStyle name="Normal 5 8 2 3" xfId="34783" xr:uid="{00000000-0005-0000-0000-0000A8700000}"/>
    <cellStyle name="Normal 5 8 2 3 2" xfId="41698" xr:uid="{00000000-0005-0000-0000-0000A9700000}"/>
    <cellStyle name="Normal 5 8 2 4" xfId="34784" xr:uid="{00000000-0005-0000-0000-0000AA700000}"/>
    <cellStyle name="Normal 5 8 2 4 2" xfId="41699" xr:uid="{00000000-0005-0000-0000-0000AB700000}"/>
    <cellStyle name="Normal 5 8 2 5" xfId="34785" xr:uid="{00000000-0005-0000-0000-0000AC700000}"/>
    <cellStyle name="Normal 5 8 2 5 2" xfId="41700" xr:uid="{00000000-0005-0000-0000-0000AD700000}"/>
    <cellStyle name="Normal 5 8 2 6" xfId="34786" xr:uid="{00000000-0005-0000-0000-0000AE700000}"/>
    <cellStyle name="Normal 5 8 2 6 2" xfId="41701" xr:uid="{00000000-0005-0000-0000-0000AF700000}"/>
    <cellStyle name="Normal 5 8 2 7" xfId="34787" xr:uid="{00000000-0005-0000-0000-0000B0700000}"/>
    <cellStyle name="Normal 5 8 2 7 2" xfId="41702" xr:uid="{00000000-0005-0000-0000-0000B1700000}"/>
    <cellStyle name="Normal 5 8 2 8" xfId="41694" xr:uid="{00000000-0005-0000-0000-0000B2700000}"/>
    <cellStyle name="Normal 5 8 2 9" xfId="34779" xr:uid="{00000000-0005-0000-0000-0000B3700000}"/>
    <cellStyle name="Normal 5 8 3" xfId="5814" xr:uid="{00000000-0005-0000-0000-0000B4700000}"/>
    <cellStyle name="Normal 5 8 3 2" xfId="34789" xr:uid="{00000000-0005-0000-0000-0000B5700000}"/>
    <cellStyle name="Normal 5 8 3 2 2" xfId="41704" xr:uid="{00000000-0005-0000-0000-0000B6700000}"/>
    <cellStyle name="Normal 5 8 3 3" xfId="34790" xr:uid="{00000000-0005-0000-0000-0000B7700000}"/>
    <cellStyle name="Normal 5 8 3 3 2" xfId="41705" xr:uid="{00000000-0005-0000-0000-0000B8700000}"/>
    <cellStyle name="Normal 5 8 3 4" xfId="34791" xr:uid="{00000000-0005-0000-0000-0000B9700000}"/>
    <cellStyle name="Normal 5 8 3 4 2" xfId="41706" xr:uid="{00000000-0005-0000-0000-0000BA700000}"/>
    <cellStyle name="Normal 5 8 3 5" xfId="41703" xr:uid="{00000000-0005-0000-0000-0000BB700000}"/>
    <cellStyle name="Normal 5 8 3 6" xfId="34788" xr:uid="{00000000-0005-0000-0000-0000BC700000}"/>
    <cellStyle name="Normal 5 8 4" xfId="34792" xr:uid="{00000000-0005-0000-0000-0000BD700000}"/>
    <cellStyle name="Normal 5 8 4 2" xfId="34793" xr:uid="{00000000-0005-0000-0000-0000BE700000}"/>
    <cellStyle name="Normal 5 8 4 2 2" xfId="41708" xr:uid="{00000000-0005-0000-0000-0000BF700000}"/>
    <cellStyle name="Normal 5 8 4 3" xfId="41707" xr:uid="{00000000-0005-0000-0000-0000C0700000}"/>
    <cellStyle name="Normal 5 8 5" xfId="34794" xr:uid="{00000000-0005-0000-0000-0000C1700000}"/>
    <cellStyle name="Normal 5 8 5 2" xfId="41709" xr:uid="{00000000-0005-0000-0000-0000C2700000}"/>
    <cellStyle name="Normal 5 8 6" xfId="34795" xr:uid="{00000000-0005-0000-0000-0000C3700000}"/>
    <cellStyle name="Normal 5 8 6 2" xfId="41710" xr:uid="{00000000-0005-0000-0000-0000C4700000}"/>
    <cellStyle name="Normal 5 8 7" xfId="34796" xr:uid="{00000000-0005-0000-0000-0000C5700000}"/>
    <cellStyle name="Normal 5 8 7 2" xfId="41711" xr:uid="{00000000-0005-0000-0000-0000C6700000}"/>
    <cellStyle name="Normal 5 8 8" xfId="34797" xr:uid="{00000000-0005-0000-0000-0000C7700000}"/>
    <cellStyle name="Normal 5 8 8 2" xfId="41712" xr:uid="{00000000-0005-0000-0000-0000C8700000}"/>
    <cellStyle name="Normal 5 8 9" xfId="34798" xr:uid="{00000000-0005-0000-0000-0000C9700000}"/>
    <cellStyle name="Normal 5 9" xfId="5815" xr:uid="{00000000-0005-0000-0000-0000CA700000}"/>
    <cellStyle name="Normal 5 9 10" xfId="34799" xr:uid="{00000000-0005-0000-0000-0000CB700000}"/>
    <cellStyle name="Normal 5 9 2" xfId="5816" xr:uid="{00000000-0005-0000-0000-0000CC700000}"/>
    <cellStyle name="Normal 5 9 2 2" xfId="34801" xr:uid="{00000000-0005-0000-0000-0000CD700000}"/>
    <cellStyle name="Normal 5 9 2 2 2" xfId="41715" xr:uid="{00000000-0005-0000-0000-0000CE700000}"/>
    <cellStyle name="Normal 5 9 2 3" xfId="34802" xr:uid="{00000000-0005-0000-0000-0000CF700000}"/>
    <cellStyle name="Normal 5 9 2 3 2" xfId="41716" xr:uid="{00000000-0005-0000-0000-0000D0700000}"/>
    <cellStyle name="Normal 5 9 2 4" xfId="34803" xr:uid="{00000000-0005-0000-0000-0000D1700000}"/>
    <cellStyle name="Normal 5 9 2 4 2" xfId="41717" xr:uid="{00000000-0005-0000-0000-0000D2700000}"/>
    <cellStyle name="Normal 5 9 2 5" xfId="34804" xr:uid="{00000000-0005-0000-0000-0000D3700000}"/>
    <cellStyle name="Normal 5 9 2 5 2" xfId="41718" xr:uid="{00000000-0005-0000-0000-0000D4700000}"/>
    <cellStyle name="Normal 5 9 2 6" xfId="34805" xr:uid="{00000000-0005-0000-0000-0000D5700000}"/>
    <cellStyle name="Normal 5 9 2 6 2" xfId="41719" xr:uid="{00000000-0005-0000-0000-0000D6700000}"/>
    <cellStyle name="Normal 5 9 2 7" xfId="41714" xr:uid="{00000000-0005-0000-0000-0000D7700000}"/>
    <cellStyle name="Normal 5 9 2 8" xfId="34800" xr:uid="{00000000-0005-0000-0000-0000D8700000}"/>
    <cellStyle name="Normal 5 9 3" xfId="5817" xr:uid="{00000000-0005-0000-0000-0000D9700000}"/>
    <cellStyle name="Normal 5 9 3 2" xfId="34807" xr:uid="{00000000-0005-0000-0000-0000DA700000}"/>
    <cellStyle name="Normal 5 9 3 2 2" xfId="41721" xr:uid="{00000000-0005-0000-0000-0000DB700000}"/>
    <cellStyle name="Normal 5 9 3 3" xfId="41720" xr:uid="{00000000-0005-0000-0000-0000DC700000}"/>
    <cellStyle name="Normal 5 9 3 4" xfId="34806" xr:uid="{00000000-0005-0000-0000-0000DD700000}"/>
    <cellStyle name="Normal 5 9 4" xfId="34808" xr:uid="{00000000-0005-0000-0000-0000DE700000}"/>
    <cellStyle name="Normal 5 9 4 2" xfId="34809" xr:uid="{00000000-0005-0000-0000-0000DF700000}"/>
    <cellStyle name="Normal 5 9 4 2 2" xfId="41723" xr:uid="{00000000-0005-0000-0000-0000E0700000}"/>
    <cellStyle name="Normal 5 9 4 3" xfId="41722" xr:uid="{00000000-0005-0000-0000-0000E1700000}"/>
    <cellStyle name="Normal 5 9 5" xfId="34810" xr:uid="{00000000-0005-0000-0000-0000E2700000}"/>
    <cellStyle name="Normal 5 9 5 2" xfId="41724" xr:uid="{00000000-0005-0000-0000-0000E3700000}"/>
    <cellStyle name="Normal 5 9 6" xfId="34811" xr:uid="{00000000-0005-0000-0000-0000E4700000}"/>
    <cellStyle name="Normal 5 9 6 2" xfId="41725" xr:uid="{00000000-0005-0000-0000-0000E5700000}"/>
    <cellStyle name="Normal 5 9 7" xfId="34812" xr:uid="{00000000-0005-0000-0000-0000E6700000}"/>
    <cellStyle name="Normal 5 9 7 2" xfId="41726" xr:uid="{00000000-0005-0000-0000-0000E7700000}"/>
    <cellStyle name="Normal 5 9 8" xfId="34813" xr:uid="{00000000-0005-0000-0000-0000E8700000}"/>
    <cellStyle name="Normal 5 9 9" xfId="41713" xr:uid="{00000000-0005-0000-0000-0000E9700000}"/>
    <cellStyle name="Normal 50" xfId="5818" xr:uid="{00000000-0005-0000-0000-0000EA700000}"/>
    <cellStyle name="Normal 50 2" xfId="10593" xr:uid="{00000000-0005-0000-0000-0000EB700000}"/>
    <cellStyle name="Normal 50 2 2" xfId="41727" xr:uid="{00000000-0005-0000-0000-0000EC700000}"/>
    <cellStyle name="Normal 50 3" xfId="34814" xr:uid="{00000000-0005-0000-0000-0000ED700000}"/>
    <cellStyle name="Normal 500" xfId="34815" xr:uid="{00000000-0005-0000-0000-0000EE700000}"/>
    <cellStyle name="Normal 500 2" xfId="41728" xr:uid="{00000000-0005-0000-0000-0000EF700000}"/>
    <cellStyle name="Normal 501" xfId="34816" xr:uid="{00000000-0005-0000-0000-0000F0700000}"/>
    <cellStyle name="Normal 501 2" xfId="41729" xr:uid="{00000000-0005-0000-0000-0000F1700000}"/>
    <cellStyle name="Normal 502" xfId="34817" xr:uid="{00000000-0005-0000-0000-0000F2700000}"/>
    <cellStyle name="Normal 502 2" xfId="41730" xr:uid="{00000000-0005-0000-0000-0000F3700000}"/>
    <cellStyle name="Normal 503" xfId="34818" xr:uid="{00000000-0005-0000-0000-0000F4700000}"/>
    <cellStyle name="Normal 503 2" xfId="41731" xr:uid="{00000000-0005-0000-0000-0000F5700000}"/>
    <cellStyle name="Normal 504" xfId="34819" xr:uid="{00000000-0005-0000-0000-0000F6700000}"/>
    <cellStyle name="Normal 504 2" xfId="41732" xr:uid="{00000000-0005-0000-0000-0000F7700000}"/>
    <cellStyle name="Normal 505" xfId="34820" xr:uid="{00000000-0005-0000-0000-0000F8700000}"/>
    <cellStyle name="Normal 505 2" xfId="41733" xr:uid="{00000000-0005-0000-0000-0000F9700000}"/>
    <cellStyle name="Normal 506" xfId="34821" xr:uid="{00000000-0005-0000-0000-0000FA700000}"/>
    <cellStyle name="Normal 506 2" xfId="41734" xr:uid="{00000000-0005-0000-0000-0000FB700000}"/>
    <cellStyle name="Normal 507" xfId="34822" xr:uid="{00000000-0005-0000-0000-0000FC700000}"/>
    <cellStyle name="Normal 507 2" xfId="41735" xr:uid="{00000000-0005-0000-0000-0000FD700000}"/>
    <cellStyle name="Normal 508" xfId="34823" xr:uid="{00000000-0005-0000-0000-0000FE700000}"/>
    <cellStyle name="Normal 509" xfId="34824" xr:uid="{00000000-0005-0000-0000-0000FF700000}"/>
    <cellStyle name="Normal 51" xfId="5819" xr:uid="{00000000-0005-0000-0000-000000710000}"/>
    <cellStyle name="Normal 51 2" xfId="10594" xr:uid="{00000000-0005-0000-0000-000001710000}"/>
    <cellStyle name="Normal 51 2 2" xfId="41736" xr:uid="{00000000-0005-0000-0000-000002710000}"/>
    <cellStyle name="Normal 51 3" xfId="34825" xr:uid="{00000000-0005-0000-0000-000003710000}"/>
    <cellStyle name="Normal 510" xfId="34826" xr:uid="{00000000-0005-0000-0000-000004710000}"/>
    <cellStyle name="Normal 511" xfId="34827" xr:uid="{00000000-0005-0000-0000-000005710000}"/>
    <cellStyle name="Normal 512" xfId="34828" xr:uid="{00000000-0005-0000-0000-000006710000}"/>
    <cellStyle name="Normal 513" xfId="34829" xr:uid="{00000000-0005-0000-0000-000007710000}"/>
    <cellStyle name="Normal 514" xfId="34830" xr:uid="{00000000-0005-0000-0000-000008710000}"/>
    <cellStyle name="Normal 515" xfId="34831" xr:uid="{00000000-0005-0000-0000-000009710000}"/>
    <cellStyle name="Normal 516" xfId="34832" xr:uid="{00000000-0005-0000-0000-00000A710000}"/>
    <cellStyle name="Normal 517" xfId="34833" xr:uid="{00000000-0005-0000-0000-00000B710000}"/>
    <cellStyle name="Normal 518" xfId="34834" xr:uid="{00000000-0005-0000-0000-00000C710000}"/>
    <cellStyle name="Normal 519" xfId="34835" xr:uid="{00000000-0005-0000-0000-00000D710000}"/>
    <cellStyle name="Normal 52" xfId="5820" xr:uid="{00000000-0005-0000-0000-00000E710000}"/>
    <cellStyle name="Normal 52 2" xfId="10595" xr:uid="{00000000-0005-0000-0000-00000F710000}"/>
    <cellStyle name="Normal 52 2 2" xfId="41737" xr:uid="{00000000-0005-0000-0000-000010710000}"/>
    <cellStyle name="Normal 52 3" xfId="34836" xr:uid="{00000000-0005-0000-0000-000011710000}"/>
    <cellStyle name="Normal 520" xfId="34837" xr:uid="{00000000-0005-0000-0000-000012710000}"/>
    <cellStyle name="Normal 521" xfId="34838" xr:uid="{00000000-0005-0000-0000-000013710000}"/>
    <cellStyle name="Normal 522" xfId="34839" xr:uid="{00000000-0005-0000-0000-000014710000}"/>
    <cellStyle name="Normal 523" xfId="34840" xr:uid="{00000000-0005-0000-0000-000015710000}"/>
    <cellStyle name="Normal 524" xfId="34841" xr:uid="{00000000-0005-0000-0000-000016710000}"/>
    <cellStyle name="Normal 525" xfId="34842" xr:uid="{00000000-0005-0000-0000-000017710000}"/>
    <cellStyle name="Normal 526" xfId="34843" xr:uid="{00000000-0005-0000-0000-000018710000}"/>
    <cellStyle name="Normal 527" xfId="34844" xr:uid="{00000000-0005-0000-0000-000019710000}"/>
    <cellStyle name="Normal 528" xfId="34845" xr:uid="{00000000-0005-0000-0000-00001A710000}"/>
    <cellStyle name="Normal 529" xfId="34846" xr:uid="{00000000-0005-0000-0000-00001B710000}"/>
    <cellStyle name="Normal 53" xfId="5821" xr:uid="{00000000-0005-0000-0000-00001C710000}"/>
    <cellStyle name="Normal 53 2" xfId="10596" xr:uid="{00000000-0005-0000-0000-00001D710000}"/>
    <cellStyle name="Normal 53 2 2" xfId="41738" xr:uid="{00000000-0005-0000-0000-00001E710000}"/>
    <cellStyle name="Normal 53 3" xfId="34847" xr:uid="{00000000-0005-0000-0000-00001F710000}"/>
    <cellStyle name="Normal 530" xfId="34848" xr:uid="{00000000-0005-0000-0000-000020710000}"/>
    <cellStyle name="Normal 531" xfId="34849" xr:uid="{00000000-0005-0000-0000-000021710000}"/>
    <cellStyle name="Normal 532" xfId="34850" xr:uid="{00000000-0005-0000-0000-000022710000}"/>
    <cellStyle name="Normal 533" xfId="34851" xr:uid="{00000000-0005-0000-0000-000023710000}"/>
    <cellStyle name="Normal 534" xfId="34852" xr:uid="{00000000-0005-0000-0000-000024710000}"/>
    <cellStyle name="Normal 535" xfId="34853" xr:uid="{00000000-0005-0000-0000-000025710000}"/>
    <cellStyle name="Normal 536" xfId="34854" xr:uid="{00000000-0005-0000-0000-000026710000}"/>
    <cellStyle name="Normal 537" xfId="34855" xr:uid="{00000000-0005-0000-0000-000027710000}"/>
    <cellStyle name="Normal 538" xfId="34856" xr:uid="{00000000-0005-0000-0000-000028710000}"/>
    <cellStyle name="Normal 539" xfId="34857" xr:uid="{00000000-0005-0000-0000-000029710000}"/>
    <cellStyle name="Normal 54" xfId="5822" xr:uid="{00000000-0005-0000-0000-00002A710000}"/>
    <cellStyle name="Normal 54 2" xfId="10597" xr:uid="{00000000-0005-0000-0000-00002B710000}"/>
    <cellStyle name="Normal 54 2 2" xfId="41739" xr:uid="{00000000-0005-0000-0000-00002C710000}"/>
    <cellStyle name="Normal 54 3" xfId="34858" xr:uid="{00000000-0005-0000-0000-00002D710000}"/>
    <cellStyle name="Normal 540" xfId="34859" xr:uid="{00000000-0005-0000-0000-00002E710000}"/>
    <cellStyle name="Normal 541" xfId="34860" xr:uid="{00000000-0005-0000-0000-00002F710000}"/>
    <cellStyle name="Normal 542" xfId="34861" xr:uid="{00000000-0005-0000-0000-000030710000}"/>
    <cellStyle name="Normal 543" xfId="34862" xr:uid="{00000000-0005-0000-0000-000031710000}"/>
    <cellStyle name="Normal 544" xfId="34863" xr:uid="{00000000-0005-0000-0000-000032710000}"/>
    <cellStyle name="Normal 545" xfId="34864" xr:uid="{00000000-0005-0000-0000-000033710000}"/>
    <cellStyle name="Normal 546" xfId="34865" xr:uid="{00000000-0005-0000-0000-000034710000}"/>
    <cellStyle name="Normal 547" xfId="34866" xr:uid="{00000000-0005-0000-0000-000035710000}"/>
    <cellStyle name="Normal 548" xfId="34867" xr:uid="{00000000-0005-0000-0000-000036710000}"/>
    <cellStyle name="Normal 549" xfId="34868" xr:uid="{00000000-0005-0000-0000-000037710000}"/>
    <cellStyle name="Normal 55" xfId="5823" xr:uid="{00000000-0005-0000-0000-000038710000}"/>
    <cellStyle name="Normal 55 2" xfId="10598" xr:uid="{00000000-0005-0000-0000-000039710000}"/>
    <cellStyle name="Normal 55 2 2" xfId="41740" xr:uid="{00000000-0005-0000-0000-00003A710000}"/>
    <cellStyle name="Normal 55 3" xfId="34869" xr:uid="{00000000-0005-0000-0000-00003B710000}"/>
    <cellStyle name="Normal 550" xfId="34870" xr:uid="{00000000-0005-0000-0000-00003C710000}"/>
    <cellStyle name="Normal 551" xfId="34871" xr:uid="{00000000-0005-0000-0000-00003D710000}"/>
    <cellStyle name="Normal 552" xfId="34872" xr:uid="{00000000-0005-0000-0000-00003E710000}"/>
    <cellStyle name="Normal 553" xfId="34873" xr:uid="{00000000-0005-0000-0000-00003F710000}"/>
    <cellStyle name="Normal 554" xfId="34874" xr:uid="{00000000-0005-0000-0000-000040710000}"/>
    <cellStyle name="Normal 555" xfId="34875" xr:uid="{00000000-0005-0000-0000-000041710000}"/>
    <cellStyle name="Normal 556" xfId="34876" xr:uid="{00000000-0005-0000-0000-000042710000}"/>
    <cellStyle name="Normal 557" xfId="34877" xr:uid="{00000000-0005-0000-0000-000043710000}"/>
    <cellStyle name="Normal 558" xfId="34878" xr:uid="{00000000-0005-0000-0000-000044710000}"/>
    <cellStyle name="Normal 559" xfId="34879" xr:uid="{00000000-0005-0000-0000-000045710000}"/>
    <cellStyle name="Normal 56" xfId="5824" xr:uid="{00000000-0005-0000-0000-000046710000}"/>
    <cellStyle name="Normal 56 2" xfId="10599" xr:uid="{00000000-0005-0000-0000-000047710000}"/>
    <cellStyle name="Normal 56 2 2" xfId="41741" xr:uid="{00000000-0005-0000-0000-000048710000}"/>
    <cellStyle name="Normal 56 3" xfId="34880" xr:uid="{00000000-0005-0000-0000-000049710000}"/>
    <cellStyle name="Normal 560" xfId="34881" xr:uid="{00000000-0005-0000-0000-00004A710000}"/>
    <cellStyle name="Normal 561" xfId="34882" xr:uid="{00000000-0005-0000-0000-00004B710000}"/>
    <cellStyle name="Normal 562" xfId="34883" xr:uid="{00000000-0005-0000-0000-00004C710000}"/>
    <cellStyle name="Normal 563" xfId="34884" xr:uid="{00000000-0005-0000-0000-00004D710000}"/>
    <cellStyle name="Normal 564" xfId="34885" xr:uid="{00000000-0005-0000-0000-00004E710000}"/>
    <cellStyle name="Normal 565" xfId="34886" xr:uid="{00000000-0005-0000-0000-00004F710000}"/>
    <cellStyle name="Normal 566" xfId="34887" xr:uid="{00000000-0005-0000-0000-000050710000}"/>
    <cellStyle name="Normal 567" xfId="34888" xr:uid="{00000000-0005-0000-0000-000051710000}"/>
    <cellStyle name="Normal 568" xfId="34889" xr:uid="{00000000-0005-0000-0000-000052710000}"/>
    <cellStyle name="Normal 569" xfId="34890" xr:uid="{00000000-0005-0000-0000-000053710000}"/>
    <cellStyle name="Normal 57" xfId="5825" xr:uid="{00000000-0005-0000-0000-000054710000}"/>
    <cellStyle name="Normal 57 2" xfId="10600" xr:uid="{00000000-0005-0000-0000-000055710000}"/>
    <cellStyle name="Normal 57 2 2" xfId="41742" xr:uid="{00000000-0005-0000-0000-000056710000}"/>
    <cellStyle name="Normal 57 3" xfId="34891" xr:uid="{00000000-0005-0000-0000-000057710000}"/>
    <cellStyle name="Normal 570" xfId="34892" xr:uid="{00000000-0005-0000-0000-000058710000}"/>
    <cellStyle name="Normal 571" xfId="34893" xr:uid="{00000000-0005-0000-0000-000059710000}"/>
    <cellStyle name="Normal 571 2" xfId="34894" xr:uid="{00000000-0005-0000-0000-00005A710000}"/>
    <cellStyle name="Normal 572" xfId="34895" xr:uid="{00000000-0005-0000-0000-00005B710000}"/>
    <cellStyle name="Normal 572 2" xfId="34896" xr:uid="{00000000-0005-0000-0000-00005C710000}"/>
    <cellStyle name="Normal 573" xfId="34897" xr:uid="{00000000-0005-0000-0000-00005D710000}"/>
    <cellStyle name="Normal 573 2" xfId="34898" xr:uid="{00000000-0005-0000-0000-00005E710000}"/>
    <cellStyle name="Normal 574" xfId="34899" xr:uid="{00000000-0005-0000-0000-00005F710000}"/>
    <cellStyle name="Normal 574 2" xfId="34900" xr:uid="{00000000-0005-0000-0000-000060710000}"/>
    <cellStyle name="Normal 575" xfId="34901" xr:uid="{00000000-0005-0000-0000-000061710000}"/>
    <cellStyle name="Normal 575 2" xfId="34902" xr:uid="{00000000-0005-0000-0000-000062710000}"/>
    <cellStyle name="Normal 576" xfId="34903" xr:uid="{00000000-0005-0000-0000-000063710000}"/>
    <cellStyle name="Normal 576 2" xfId="34904" xr:uid="{00000000-0005-0000-0000-000064710000}"/>
    <cellStyle name="Normal 577" xfId="34905" xr:uid="{00000000-0005-0000-0000-000065710000}"/>
    <cellStyle name="Normal 577 2" xfId="34906" xr:uid="{00000000-0005-0000-0000-000066710000}"/>
    <cellStyle name="Normal 578" xfId="34907" xr:uid="{00000000-0005-0000-0000-000067710000}"/>
    <cellStyle name="Normal 578 2" xfId="34908" xr:uid="{00000000-0005-0000-0000-000068710000}"/>
    <cellStyle name="Normal 579" xfId="34909" xr:uid="{00000000-0005-0000-0000-000069710000}"/>
    <cellStyle name="Normal 579 2" xfId="34910" xr:uid="{00000000-0005-0000-0000-00006A710000}"/>
    <cellStyle name="Normal 58" xfId="5826" xr:uid="{00000000-0005-0000-0000-00006B710000}"/>
    <cellStyle name="Normal 58 2" xfId="10601" xr:uid="{00000000-0005-0000-0000-00006C710000}"/>
    <cellStyle name="Normal 58 2 2" xfId="41744" xr:uid="{00000000-0005-0000-0000-00006D710000}"/>
    <cellStyle name="Normal 58 2 3" xfId="34912" xr:uid="{00000000-0005-0000-0000-00006E710000}"/>
    <cellStyle name="Normal 58 3" xfId="34913" xr:uid="{00000000-0005-0000-0000-00006F710000}"/>
    <cellStyle name="Normal 58 3 2" xfId="41745" xr:uid="{00000000-0005-0000-0000-000070710000}"/>
    <cellStyle name="Normal 58 4" xfId="41743" xr:uid="{00000000-0005-0000-0000-000071710000}"/>
    <cellStyle name="Normal 58 5" xfId="34911" xr:uid="{00000000-0005-0000-0000-000072710000}"/>
    <cellStyle name="Normal 580" xfId="34914" xr:uid="{00000000-0005-0000-0000-000073710000}"/>
    <cellStyle name="Normal 580 2" xfId="34915" xr:uid="{00000000-0005-0000-0000-000074710000}"/>
    <cellStyle name="Normal 581" xfId="34916" xr:uid="{00000000-0005-0000-0000-000075710000}"/>
    <cellStyle name="Normal 581 2" xfId="34917" xr:uid="{00000000-0005-0000-0000-000076710000}"/>
    <cellStyle name="Normal 582" xfId="34918" xr:uid="{00000000-0005-0000-0000-000077710000}"/>
    <cellStyle name="Normal 582 2" xfId="34919" xr:uid="{00000000-0005-0000-0000-000078710000}"/>
    <cellStyle name="Normal 583" xfId="34920" xr:uid="{00000000-0005-0000-0000-000079710000}"/>
    <cellStyle name="Normal 583 2" xfId="34921" xr:uid="{00000000-0005-0000-0000-00007A710000}"/>
    <cellStyle name="Normal 584" xfId="34922" xr:uid="{00000000-0005-0000-0000-00007B710000}"/>
    <cellStyle name="Normal 584 2" xfId="34923" xr:uid="{00000000-0005-0000-0000-00007C710000}"/>
    <cellStyle name="Normal 585" xfId="34924" xr:uid="{00000000-0005-0000-0000-00007D710000}"/>
    <cellStyle name="Normal 585 2" xfId="34925" xr:uid="{00000000-0005-0000-0000-00007E710000}"/>
    <cellStyle name="Normal 586" xfId="34926" xr:uid="{00000000-0005-0000-0000-00007F710000}"/>
    <cellStyle name="Normal 586 2" xfId="34927" xr:uid="{00000000-0005-0000-0000-000080710000}"/>
    <cellStyle name="Normal 587" xfId="34928" xr:uid="{00000000-0005-0000-0000-000081710000}"/>
    <cellStyle name="Normal 587 2" xfId="34929" xr:uid="{00000000-0005-0000-0000-000082710000}"/>
    <cellStyle name="Normal 588" xfId="34930" xr:uid="{00000000-0005-0000-0000-000083710000}"/>
    <cellStyle name="Normal 588 2" xfId="34931" xr:uid="{00000000-0005-0000-0000-000084710000}"/>
    <cellStyle name="Normal 589" xfId="34932" xr:uid="{00000000-0005-0000-0000-000085710000}"/>
    <cellStyle name="Normal 589 2" xfId="34933" xr:uid="{00000000-0005-0000-0000-000086710000}"/>
    <cellStyle name="Normal 59" xfId="5827" xr:uid="{00000000-0005-0000-0000-000087710000}"/>
    <cellStyle name="Normal 59 2" xfId="10602" xr:uid="{00000000-0005-0000-0000-000088710000}"/>
    <cellStyle name="Normal 59 2 2" xfId="41747" xr:uid="{00000000-0005-0000-0000-000089710000}"/>
    <cellStyle name="Normal 59 2 3" xfId="34935" xr:uid="{00000000-0005-0000-0000-00008A710000}"/>
    <cellStyle name="Normal 59 3" xfId="34936" xr:uid="{00000000-0005-0000-0000-00008B710000}"/>
    <cellStyle name="Normal 59 3 2" xfId="41748" xr:uid="{00000000-0005-0000-0000-00008C710000}"/>
    <cellStyle name="Normal 59 4" xfId="34937" xr:uid="{00000000-0005-0000-0000-00008D710000}"/>
    <cellStyle name="Normal 59 4 2" xfId="41749" xr:uid="{00000000-0005-0000-0000-00008E710000}"/>
    <cellStyle name="Normal 59 5" xfId="41746" xr:uid="{00000000-0005-0000-0000-00008F710000}"/>
    <cellStyle name="Normal 59 6" xfId="34934" xr:uid="{00000000-0005-0000-0000-000090710000}"/>
    <cellStyle name="Normal 590" xfId="34938" xr:uid="{00000000-0005-0000-0000-000091710000}"/>
    <cellStyle name="Normal 590 2" xfId="34939" xr:uid="{00000000-0005-0000-0000-000092710000}"/>
    <cellStyle name="Normal 591" xfId="34940" xr:uid="{00000000-0005-0000-0000-000093710000}"/>
    <cellStyle name="Normal 591 2" xfId="34941" xr:uid="{00000000-0005-0000-0000-000094710000}"/>
    <cellStyle name="Normal 592" xfId="34942" xr:uid="{00000000-0005-0000-0000-000095710000}"/>
    <cellStyle name="Normal 592 2" xfId="34943" xr:uid="{00000000-0005-0000-0000-000096710000}"/>
    <cellStyle name="Normal 593" xfId="34944" xr:uid="{00000000-0005-0000-0000-000097710000}"/>
    <cellStyle name="Normal 593 2" xfId="34945" xr:uid="{00000000-0005-0000-0000-000098710000}"/>
    <cellStyle name="Normal 594" xfId="34946" xr:uid="{00000000-0005-0000-0000-000099710000}"/>
    <cellStyle name="Normal 594 2" xfId="34947" xr:uid="{00000000-0005-0000-0000-00009A710000}"/>
    <cellStyle name="Normal 595" xfId="34948" xr:uid="{00000000-0005-0000-0000-00009B710000}"/>
    <cellStyle name="Normal 596" xfId="34949" xr:uid="{00000000-0005-0000-0000-00009C710000}"/>
    <cellStyle name="Normal 597" xfId="34950" xr:uid="{00000000-0005-0000-0000-00009D710000}"/>
    <cellStyle name="Normal 598" xfId="34951" xr:uid="{00000000-0005-0000-0000-00009E710000}"/>
    <cellStyle name="Normal 599" xfId="34952" xr:uid="{00000000-0005-0000-0000-00009F710000}"/>
    <cellStyle name="Normal 599 2" xfId="34953" xr:uid="{00000000-0005-0000-0000-0000A0710000}"/>
    <cellStyle name="Normal 6" xfId="46" xr:uid="{00000000-0005-0000-0000-0000A1710000}"/>
    <cellStyle name="Normal 6 10" xfId="5829" xr:uid="{00000000-0005-0000-0000-0000A2710000}"/>
    <cellStyle name="Normal 6 10 2" xfId="5830" xr:uid="{00000000-0005-0000-0000-0000A3710000}"/>
    <cellStyle name="Normal 6 10 2 2" xfId="34956" xr:uid="{00000000-0005-0000-0000-0000A4710000}"/>
    <cellStyle name="Normal 6 10 2 2 2" xfId="41752" xr:uid="{00000000-0005-0000-0000-0000A5710000}"/>
    <cellStyle name="Normal 6 10 2 3" xfId="34957" xr:uid="{00000000-0005-0000-0000-0000A6710000}"/>
    <cellStyle name="Normal 6 10 2 3 2" xfId="41753" xr:uid="{00000000-0005-0000-0000-0000A7710000}"/>
    <cellStyle name="Normal 6 10 2 4" xfId="34958" xr:uid="{00000000-0005-0000-0000-0000A8710000}"/>
    <cellStyle name="Normal 6 10 2 4 2" xfId="41754" xr:uid="{00000000-0005-0000-0000-0000A9710000}"/>
    <cellStyle name="Normal 6 10 2 5" xfId="34959" xr:uid="{00000000-0005-0000-0000-0000AA710000}"/>
    <cellStyle name="Normal 6 10 2 5 2" xfId="41755" xr:uid="{00000000-0005-0000-0000-0000AB710000}"/>
    <cellStyle name="Normal 6 10 2 6" xfId="41751" xr:uid="{00000000-0005-0000-0000-0000AC710000}"/>
    <cellStyle name="Normal 6 10 2 7" xfId="34955" xr:uid="{00000000-0005-0000-0000-0000AD710000}"/>
    <cellStyle name="Normal 6 10 3" xfId="5831" xr:uid="{00000000-0005-0000-0000-0000AE710000}"/>
    <cellStyle name="Normal 6 10 3 2" xfId="34961" xr:uid="{00000000-0005-0000-0000-0000AF710000}"/>
    <cellStyle name="Normal 6 10 3 2 2" xfId="41757" xr:uid="{00000000-0005-0000-0000-0000B0710000}"/>
    <cellStyle name="Normal 6 10 3 3" xfId="41756" xr:uid="{00000000-0005-0000-0000-0000B1710000}"/>
    <cellStyle name="Normal 6 10 3 4" xfId="34960" xr:uid="{00000000-0005-0000-0000-0000B2710000}"/>
    <cellStyle name="Normal 6 10 4" xfId="34962" xr:uid="{00000000-0005-0000-0000-0000B3710000}"/>
    <cellStyle name="Normal 6 10 4 2" xfId="34963" xr:uid="{00000000-0005-0000-0000-0000B4710000}"/>
    <cellStyle name="Normal 6 10 4 2 2" xfId="41759" xr:uid="{00000000-0005-0000-0000-0000B5710000}"/>
    <cellStyle name="Normal 6 10 4 3" xfId="41758" xr:uid="{00000000-0005-0000-0000-0000B6710000}"/>
    <cellStyle name="Normal 6 10 5" xfId="34964" xr:uid="{00000000-0005-0000-0000-0000B7710000}"/>
    <cellStyle name="Normal 6 10 5 2" xfId="41760" xr:uid="{00000000-0005-0000-0000-0000B8710000}"/>
    <cellStyle name="Normal 6 10 6" xfId="34965" xr:uid="{00000000-0005-0000-0000-0000B9710000}"/>
    <cellStyle name="Normal 6 10 6 2" xfId="41761" xr:uid="{00000000-0005-0000-0000-0000BA710000}"/>
    <cellStyle name="Normal 6 10 7" xfId="41750" xr:uid="{00000000-0005-0000-0000-0000BB710000}"/>
    <cellStyle name="Normal 6 10 8" xfId="34954" xr:uid="{00000000-0005-0000-0000-0000BC710000}"/>
    <cellStyle name="Normal 6 11" xfId="5832" xr:uid="{00000000-0005-0000-0000-0000BD710000}"/>
    <cellStyle name="Normal 6 11 2" xfId="5833" xr:uid="{00000000-0005-0000-0000-0000BE710000}"/>
    <cellStyle name="Normal 6 11 2 2" xfId="34968" xr:uid="{00000000-0005-0000-0000-0000BF710000}"/>
    <cellStyle name="Normal 6 11 2 2 2" xfId="41764" xr:uid="{00000000-0005-0000-0000-0000C0710000}"/>
    <cellStyle name="Normal 6 11 2 3" xfId="41763" xr:uid="{00000000-0005-0000-0000-0000C1710000}"/>
    <cellStyle name="Normal 6 11 2 4" xfId="34967" xr:uid="{00000000-0005-0000-0000-0000C2710000}"/>
    <cellStyle name="Normal 6 11 3" xfId="5834" xr:uid="{00000000-0005-0000-0000-0000C3710000}"/>
    <cellStyle name="Normal 6 11 3 2" xfId="34970" xr:uid="{00000000-0005-0000-0000-0000C4710000}"/>
    <cellStyle name="Normal 6 11 3 2 2" xfId="41766" xr:uid="{00000000-0005-0000-0000-0000C5710000}"/>
    <cellStyle name="Normal 6 11 3 3" xfId="41765" xr:uid="{00000000-0005-0000-0000-0000C6710000}"/>
    <cellStyle name="Normal 6 11 3 4" xfId="34969" xr:uid="{00000000-0005-0000-0000-0000C7710000}"/>
    <cellStyle name="Normal 6 11 4" xfId="34971" xr:uid="{00000000-0005-0000-0000-0000C8710000}"/>
    <cellStyle name="Normal 6 11 4 2" xfId="34972" xr:uid="{00000000-0005-0000-0000-0000C9710000}"/>
    <cellStyle name="Normal 6 11 4 2 2" xfId="41768" xr:uid="{00000000-0005-0000-0000-0000CA710000}"/>
    <cellStyle name="Normal 6 11 4 3" xfId="41767" xr:uid="{00000000-0005-0000-0000-0000CB710000}"/>
    <cellStyle name="Normal 6 11 5" xfId="34973" xr:uid="{00000000-0005-0000-0000-0000CC710000}"/>
    <cellStyle name="Normal 6 11 5 2" xfId="41769" xr:uid="{00000000-0005-0000-0000-0000CD710000}"/>
    <cellStyle name="Normal 6 11 6" xfId="34974" xr:uid="{00000000-0005-0000-0000-0000CE710000}"/>
    <cellStyle name="Normal 6 11 6 2" xfId="41770" xr:uid="{00000000-0005-0000-0000-0000CF710000}"/>
    <cellStyle name="Normal 6 11 7" xfId="41762" xr:uid="{00000000-0005-0000-0000-0000D0710000}"/>
    <cellStyle name="Normal 6 11 8" xfId="34966" xr:uid="{00000000-0005-0000-0000-0000D1710000}"/>
    <cellStyle name="Normal 6 12" xfId="5835" xr:uid="{00000000-0005-0000-0000-0000D2710000}"/>
    <cellStyle name="Normal 6 12 2" xfId="5836" xr:uid="{00000000-0005-0000-0000-0000D3710000}"/>
    <cellStyle name="Normal 6 12 2 2" xfId="34977" xr:uid="{00000000-0005-0000-0000-0000D4710000}"/>
    <cellStyle name="Normal 6 12 2 2 2" xfId="41773" xr:uid="{00000000-0005-0000-0000-0000D5710000}"/>
    <cellStyle name="Normal 6 12 2 3" xfId="41772" xr:uid="{00000000-0005-0000-0000-0000D6710000}"/>
    <cellStyle name="Normal 6 12 2 4" xfId="34976" xr:uid="{00000000-0005-0000-0000-0000D7710000}"/>
    <cellStyle name="Normal 6 12 3" xfId="5837" xr:uid="{00000000-0005-0000-0000-0000D8710000}"/>
    <cellStyle name="Normal 6 12 3 2" xfId="41774" xr:uid="{00000000-0005-0000-0000-0000D9710000}"/>
    <cellStyle name="Normal 6 12 3 3" xfId="34978" xr:uid="{00000000-0005-0000-0000-0000DA710000}"/>
    <cellStyle name="Normal 6 12 4" xfId="34979" xr:uid="{00000000-0005-0000-0000-0000DB710000}"/>
    <cellStyle name="Normal 6 12 4 2" xfId="41775" xr:uid="{00000000-0005-0000-0000-0000DC710000}"/>
    <cellStyle name="Normal 6 12 5" xfId="34980" xr:uid="{00000000-0005-0000-0000-0000DD710000}"/>
    <cellStyle name="Normal 6 12 5 2" xfId="41776" xr:uid="{00000000-0005-0000-0000-0000DE710000}"/>
    <cellStyle name="Normal 6 12 6" xfId="41771" xr:uid="{00000000-0005-0000-0000-0000DF710000}"/>
    <cellStyle name="Normal 6 12 7" xfId="34975" xr:uid="{00000000-0005-0000-0000-0000E0710000}"/>
    <cellStyle name="Normal 6 13" xfId="5838" xr:uid="{00000000-0005-0000-0000-0000E1710000}"/>
    <cellStyle name="Normal 6 13 2" xfId="5839" xr:uid="{00000000-0005-0000-0000-0000E2710000}"/>
    <cellStyle name="Normal 6 13 2 2" xfId="34983" xr:uid="{00000000-0005-0000-0000-0000E3710000}"/>
    <cellStyle name="Normal 6 13 2 2 2" xfId="41779" xr:uid="{00000000-0005-0000-0000-0000E4710000}"/>
    <cellStyle name="Normal 6 13 2 3" xfId="41778" xr:uid="{00000000-0005-0000-0000-0000E5710000}"/>
    <cellStyle name="Normal 6 13 2 4" xfId="34982" xr:uid="{00000000-0005-0000-0000-0000E6710000}"/>
    <cellStyle name="Normal 6 13 3" xfId="5840" xr:uid="{00000000-0005-0000-0000-0000E7710000}"/>
    <cellStyle name="Normal 6 13 3 2" xfId="41780" xr:uid="{00000000-0005-0000-0000-0000E8710000}"/>
    <cellStyle name="Normal 6 13 3 3" xfId="34984" xr:uid="{00000000-0005-0000-0000-0000E9710000}"/>
    <cellStyle name="Normal 6 13 4" xfId="34985" xr:uid="{00000000-0005-0000-0000-0000EA710000}"/>
    <cellStyle name="Normal 6 13 4 2" xfId="41781" xr:uid="{00000000-0005-0000-0000-0000EB710000}"/>
    <cellStyle name="Normal 6 13 5" xfId="34986" xr:uid="{00000000-0005-0000-0000-0000EC710000}"/>
    <cellStyle name="Normal 6 13 5 2" xfId="41782" xr:uid="{00000000-0005-0000-0000-0000ED710000}"/>
    <cellStyle name="Normal 6 13 6" xfId="41777" xr:uid="{00000000-0005-0000-0000-0000EE710000}"/>
    <cellStyle name="Normal 6 13 7" xfId="34981" xr:uid="{00000000-0005-0000-0000-0000EF710000}"/>
    <cellStyle name="Normal 6 14" xfId="5841" xr:uid="{00000000-0005-0000-0000-0000F0710000}"/>
    <cellStyle name="Normal 6 14 2" xfId="5842" xr:uid="{00000000-0005-0000-0000-0000F1710000}"/>
    <cellStyle name="Normal 6 14 2 2" xfId="34989" xr:uid="{00000000-0005-0000-0000-0000F2710000}"/>
    <cellStyle name="Normal 6 14 2 2 2" xfId="41785" xr:uid="{00000000-0005-0000-0000-0000F3710000}"/>
    <cellStyle name="Normal 6 14 2 3" xfId="41784" xr:uid="{00000000-0005-0000-0000-0000F4710000}"/>
    <cellStyle name="Normal 6 14 2 4" xfId="34988" xr:uid="{00000000-0005-0000-0000-0000F5710000}"/>
    <cellStyle name="Normal 6 14 3" xfId="5843" xr:uid="{00000000-0005-0000-0000-0000F6710000}"/>
    <cellStyle name="Normal 6 14 3 2" xfId="41786" xr:uid="{00000000-0005-0000-0000-0000F7710000}"/>
    <cellStyle name="Normal 6 14 3 3" xfId="34990" xr:uid="{00000000-0005-0000-0000-0000F8710000}"/>
    <cellStyle name="Normal 6 14 4" xfId="34991" xr:uid="{00000000-0005-0000-0000-0000F9710000}"/>
    <cellStyle name="Normal 6 14 4 2" xfId="41787" xr:uid="{00000000-0005-0000-0000-0000FA710000}"/>
    <cellStyle name="Normal 6 14 5" xfId="34992" xr:uid="{00000000-0005-0000-0000-0000FB710000}"/>
    <cellStyle name="Normal 6 14 5 2" xfId="41788" xr:uid="{00000000-0005-0000-0000-0000FC710000}"/>
    <cellStyle name="Normal 6 14 6" xfId="41783" xr:uid="{00000000-0005-0000-0000-0000FD710000}"/>
    <cellStyle name="Normal 6 14 7" xfId="34987" xr:uid="{00000000-0005-0000-0000-0000FE710000}"/>
    <cellStyle name="Normal 6 15" xfId="5844" xr:uid="{00000000-0005-0000-0000-0000FF710000}"/>
    <cellStyle name="Normal 6 15 2" xfId="10603" xr:uid="{00000000-0005-0000-0000-000000720000}"/>
    <cellStyle name="Normal 6 15 2 2" xfId="34995" xr:uid="{00000000-0005-0000-0000-000001720000}"/>
    <cellStyle name="Normal 6 15 2 2 2" xfId="41791" xr:uid="{00000000-0005-0000-0000-000002720000}"/>
    <cellStyle name="Normal 6 15 2 3" xfId="41790" xr:uid="{00000000-0005-0000-0000-000003720000}"/>
    <cellStyle name="Normal 6 15 2 4" xfId="34994" xr:uid="{00000000-0005-0000-0000-000004720000}"/>
    <cellStyle name="Normal 6 15 3" xfId="34996" xr:uid="{00000000-0005-0000-0000-000005720000}"/>
    <cellStyle name="Normal 6 15 3 2" xfId="41792" xr:uid="{00000000-0005-0000-0000-000006720000}"/>
    <cellStyle name="Normal 6 15 4" xfId="34997" xr:uid="{00000000-0005-0000-0000-000007720000}"/>
    <cellStyle name="Normal 6 15 4 2" xfId="41793" xr:uid="{00000000-0005-0000-0000-000008720000}"/>
    <cellStyle name="Normal 6 15 5" xfId="34998" xr:uid="{00000000-0005-0000-0000-000009720000}"/>
    <cellStyle name="Normal 6 15 5 2" xfId="41794" xr:uid="{00000000-0005-0000-0000-00000A720000}"/>
    <cellStyle name="Normal 6 15 6" xfId="41789" xr:uid="{00000000-0005-0000-0000-00000B720000}"/>
    <cellStyle name="Normal 6 15 7" xfId="34993" xr:uid="{00000000-0005-0000-0000-00000C720000}"/>
    <cellStyle name="Normal 6 16" xfId="5845" xr:uid="{00000000-0005-0000-0000-00000D720000}"/>
    <cellStyle name="Normal 6 16 2" xfId="10604" xr:uid="{00000000-0005-0000-0000-00000E720000}"/>
    <cellStyle name="Normal 6 16 2 2" xfId="35001" xr:uid="{00000000-0005-0000-0000-00000F720000}"/>
    <cellStyle name="Normal 6 16 2 2 2" xfId="41797" xr:uid="{00000000-0005-0000-0000-000010720000}"/>
    <cellStyle name="Normal 6 16 2 3" xfId="41796" xr:uid="{00000000-0005-0000-0000-000011720000}"/>
    <cellStyle name="Normal 6 16 2 4" xfId="35000" xr:uid="{00000000-0005-0000-0000-000012720000}"/>
    <cellStyle name="Normal 6 16 3" xfId="35002" xr:uid="{00000000-0005-0000-0000-000013720000}"/>
    <cellStyle name="Normal 6 16 3 2" xfId="41798" xr:uid="{00000000-0005-0000-0000-000014720000}"/>
    <cellStyle name="Normal 6 16 4" xfId="35003" xr:uid="{00000000-0005-0000-0000-000015720000}"/>
    <cellStyle name="Normal 6 16 4 2" xfId="41799" xr:uid="{00000000-0005-0000-0000-000016720000}"/>
    <cellStyle name="Normal 6 16 5" xfId="35004" xr:uid="{00000000-0005-0000-0000-000017720000}"/>
    <cellStyle name="Normal 6 16 5 2" xfId="41800" xr:uid="{00000000-0005-0000-0000-000018720000}"/>
    <cellStyle name="Normal 6 16 6" xfId="41795" xr:uid="{00000000-0005-0000-0000-000019720000}"/>
    <cellStyle name="Normal 6 16 7" xfId="34999" xr:uid="{00000000-0005-0000-0000-00001A720000}"/>
    <cellStyle name="Normal 6 17" xfId="5846" xr:uid="{00000000-0005-0000-0000-00001B720000}"/>
    <cellStyle name="Normal 6 17 2" xfId="5847" xr:uid="{00000000-0005-0000-0000-00001C720000}"/>
    <cellStyle name="Normal 6 17 2 2" xfId="5848" xr:uid="{00000000-0005-0000-0000-00001D720000}"/>
    <cellStyle name="Normal 6 17 2 2 2" xfId="5849" xr:uid="{00000000-0005-0000-0000-00001E720000}"/>
    <cellStyle name="Normal 6 17 2 2 2 2" xfId="5850" xr:uid="{00000000-0005-0000-0000-00001F720000}"/>
    <cellStyle name="Normal 6 17 2 2 2 2 2" xfId="18985" xr:uid="{00000000-0005-0000-0000-000020720000}"/>
    <cellStyle name="Normal 6 17 2 2 2 3" xfId="18467" xr:uid="{00000000-0005-0000-0000-000021720000}"/>
    <cellStyle name="Normal 6 17 2 2 2 4" xfId="41803" xr:uid="{00000000-0005-0000-0000-000022720000}"/>
    <cellStyle name="Normal 6 17 2 2 3" xfId="5851" xr:uid="{00000000-0005-0000-0000-000023720000}"/>
    <cellStyle name="Normal 6 17 2 2 3 2" xfId="18703" xr:uid="{00000000-0005-0000-0000-000024720000}"/>
    <cellStyle name="Normal 6 17 2 2 4" xfId="18176" xr:uid="{00000000-0005-0000-0000-000025720000}"/>
    <cellStyle name="Normal 6 17 2 2 5" xfId="35007" xr:uid="{00000000-0005-0000-0000-000026720000}"/>
    <cellStyle name="Normal 6 17 2 3" xfId="5852" xr:uid="{00000000-0005-0000-0000-000027720000}"/>
    <cellStyle name="Normal 6 17 2 3 2" xfId="5853" xr:uid="{00000000-0005-0000-0000-000028720000}"/>
    <cellStyle name="Normal 6 17 2 3 2 2" xfId="18864" xr:uid="{00000000-0005-0000-0000-000029720000}"/>
    <cellStyle name="Normal 6 17 2 3 3" xfId="18343" xr:uid="{00000000-0005-0000-0000-00002A720000}"/>
    <cellStyle name="Normal 6 17 2 3 4" xfId="41802" xr:uid="{00000000-0005-0000-0000-00002B720000}"/>
    <cellStyle name="Normal 6 17 2 4" xfId="5854" xr:uid="{00000000-0005-0000-0000-00002C720000}"/>
    <cellStyle name="Normal 6 17 2 4 2" xfId="18586" xr:uid="{00000000-0005-0000-0000-00002D720000}"/>
    <cellStyle name="Normal 6 17 2 5" xfId="18028" xr:uid="{00000000-0005-0000-0000-00002E720000}"/>
    <cellStyle name="Normal 6 17 2 6" xfId="35006" xr:uid="{00000000-0005-0000-0000-00002F720000}"/>
    <cellStyle name="Normal 6 17 3" xfId="5855" xr:uid="{00000000-0005-0000-0000-000030720000}"/>
    <cellStyle name="Normal 6 17 3 2" xfId="5856" xr:uid="{00000000-0005-0000-0000-000031720000}"/>
    <cellStyle name="Normal 6 17 3 2 2" xfId="5857" xr:uid="{00000000-0005-0000-0000-000032720000}"/>
    <cellStyle name="Normal 6 17 3 2 2 2" xfId="18944" xr:uid="{00000000-0005-0000-0000-000033720000}"/>
    <cellStyle name="Normal 6 17 3 2 3" xfId="18426" xr:uid="{00000000-0005-0000-0000-000034720000}"/>
    <cellStyle name="Normal 6 17 3 2 4" xfId="41804" xr:uid="{00000000-0005-0000-0000-000035720000}"/>
    <cellStyle name="Normal 6 17 3 3" xfId="5858" xr:uid="{00000000-0005-0000-0000-000036720000}"/>
    <cellStyle name="Normal 6 17 3 3 2" xfId="18662" xr:uid="{00000000-0005-0000-0000-000037720000}"/>
    <cellStyle name="Normal 6 17 3 4" xfId="18135" xr:uid="{00000000-0005-0000-0000-000038720000}"/>
    <cellStyle name="Normal 6 17 3 5" xfId="35008" xr:uid="{00000000-0005-0000-0000-000039720000}"/>
    <cellStyle name="Normal 6 17 4" xfId="5859" xr:uid="{00000000-0005-0000-0000-00003A720000}"/>
    <cellStyle name="Normal 6 17 4 2" xfId="5860" xr:uid="{00000000-0005-0000-0000-00003B720000}"/>
    <cellStyle name="Normal 6 17 4 2 2" xfId="18788" xr:uid="{00000000-0005-0000-0000-00003C720000}"/>
    <cellStyle name="Normal 6 17 4 2 3" xfId="41805" xr:uid="{00000000-0005-0000-0000-00003D720000}"/>
    <cellStyle name="Normal 6 17 4 3" xfId="18261" xr:uid="{00000000-0005-0000-0000-00003E720000}"/>
    <cellStyle name="Normal 6 17 4 4" xfId="35009" xr:uid="{00000000-0005-0000-0000-00003F720000}"/>
    <cellStyle name="Normal 6 17 5" xfId="5861" xr:uid="{00000000-0005-0000-0000-000040720000}"/>
    <cellStyle name="Normal 6 17 5 2" xfId="18545" xr:uid="{00000000-0005-0000-0000-000041720000}"/>
    <cellStyle name="Normal 6 17 5 2 2" xfId="41806" xr:uid="{00000000-0005-0000-0000-000042720000}"/>
    <cellStyle name="Normal 6 17 5 3" xfId="35010" xr:uid="{00000000-0005-0000-0000-000043720000}"/>
    <cellStyle name="Normal 6 17 6" xfId="17981" xr:uid="{00000000-0005-0000-0000-000044720000}"/>
    <cellStyle name="Normal 6 17 6 2" xfId="41801" xr:uid="{00000000-0005-0000-0000-000045720000}"/>
    <cellStyle name="Normal 6 17 7" xfId="35005" xr:uid="{00000000-0005-0000-0000-000046720000}"/>
    <cellStyle name="Normal 6 18" xfId="35011" xr:uid="{00000000-0005-0000-0000-000047720000}"/>
    <cellStyle name="Normal 6 18 2" xfId="35012" xr:uid="{00000000-0005-0000-0000-000048720000}"/>
    <cellStyle name="Normal 6 18 2 2" xfId="35013" xr:uid="{00000000-0005-0000-0000-000049720000}"/>
    <cellStyle name="Normal 6 18 2 2 2" xfId="35014" xr:uid="{00000000-0005-0000-0000-00004A720000}"/>
    <cellStyle name="Normal 6 18 2 2 2 2" xfId="41810" xr:uid="{00000000-0005-0000-0000-00004B720000}"/>
    <cellStyle name="Normal 6 18 2 2 3" xfId="41809" xr:uid="{00000000-0005-0000-0000-00004C720000}"/>
    <cellStyle name="Normal 6 18 2 3" xfId="35015" xr:uid="{00000000-0005-0000-0000-00004D720000}"/>
    <cellStyle name="Normal 6 18 2 3 2" xfId="41811" xr:uid="{00000000-0005-0000-0000-00004E720000}"/>
    <cellStyle name="Normal 6 18 2 4" xfId="35016" xr:uid="{00000000-0005-0000-0000-00004F720000}"/>
    <cellStyle name="Normal 6 18 2 4 2" xfId="41812" xr:uid="{00000000-0005-0000-0000-000050720000}"/>
    <cellStyle name="Normal 6 18 2 5" xfId="41808" xr:uid="{00000000-0005-0000-0000-000051720000}"/>
    <cellStyle name="Normal 6 18 3" xfId="35017" xr:uid="{00000000-0005-0000-0000-000052720000}"/>
    <cellStyle name="Normal 6 18 3 2" xfId="35018" xr:uid="{00000000-0005-0000-0000-000053720000}"/>
    <cellStyle name="Normal 6 18 3 2 2" xfId="41814" xr:uid="{00000000-0005-0000-0000-000054720000}"/>
    <cellStyle name="Normal 6 18 3 3" xfId="41813" xr:uid="{00000000-0005-0000-0000-000055720000}"/>
    <cellStyle name="Normal 6 18 4" xfId="35019" xr:uid="{00000000-0005-0000-0000-000056720000}"/>
    <cellStyle name="Normal 6 18 4 2" xfId="41815" xr:uid="{00000000-0005-0000-0000-000057720000}"/>
    <cellStyle name="Normal 6 18 5" xfId="35020" xr:uid="{00000000-0005-0000-0000-000058720000}"/>
    <cellStyle name="Normal 6 18 5 2" xfId="41816" xr:uid="{00000000-0005-0000-0000-000059720000}"/>
    <cellStyle name="Normal 6 18 6" xfId="41807" xr:uid="{00000000-0005-0000-0000-00005A720000}"/>
    <cellStyle name="Normal 6 19" xfId="35021" xr:uid="{00000000-0005-0000-0000-00005B720000}"/>
    <cellStyle name="Normal 6 19 2" xfId="35022" xr:uid="{00000000-0005-0000-0000-00005C720000}"/>
    <cellStyle name="Normal 6 19 2 2" xfId="41818" xr:uid="{00000000-0005-0000-0000-00005D720000}"/>
    <cellStyle name="Normal 6 19 3" xfId="35023" xr:uid="{00000000-0005-0000-0000-00005E720000}"/>
    <cellStyle name="Normal 6 19 3 2" xfId="41819" xr:uid="{00000000-0005-0000-0000-00005F720000}"/>
    <cellStyle name="Normal 6 19 4" xfId="41817" xr:uid="{00000000-0005-0000-0000-000060720000}"/>
    <cellStyle name="Normal 6 2" xfId="5862" xr:uid="{00000000-0005-0000-0000-000061720000}"/>
    <cellStyle name="Normal 6 2 10" xfId="35025" xr:uid="{00000000-0005-0000-0000-000062720000}"/>
    <cellStyle name="Normal 6 2 10 2" xfId="41820" xr:uid="{00000000-0005-0000-0000-000063720000}"/>
    <cellStyle name="Normal 6 2 11" xfId="35026" xr:uid="{00000000-0005-0000-0000-000064720000}"/>
    <cellStyle name="Normal 6 2 11 2" xfId="41821" xr:uid="{00000000-0005-0000-0000-000065720000}"/>
    <cellStyle name="Normal 6 2 12" xfId="35024" xr:uid="{00000000-0005-0000-0000-000066720000}"/>
    <cellStyle name="Normal 6 2 2" xfId="5863" xr:uid="{00000000-0005-0000-0000-000067720000}"/>
    <cellStyle name="Normal 6 2 2 10" xfId="35027" xr:uid="{00000000-0005-0000-0000-000068720000}"/>
    <cellStyle name="Normal 6 2 2 2" xfId="10605" xr:uid="{00000000-0005-0000-0000-000069720000}"/>
    <cellStyle name="Normal 6 2 2 2 2" xfId="35029" xr:uid="{00000000-0005-0000-0000-00006A720000}"/>
    <cellStyle name="Normal 6 2 2 2 2 2" xfId="35030" xr:uid="{00000000-0005-0000-0000-00006B720000}"/>
    <cellStyle name="Normal 6 2 2 2 2 2 2" xfId="41825" xr:uid="{00000000-0005-0000-0000-00006C720000}"/>
    <cellStyle name="Normal 6 2 2 2 2 3" xfId="35031" xr:uid="{00000000-0005-0000-0000-00006D720000}"/>
    <cellStyle name="Normal 6 2 2 2 2 3 2" xfId="41826" xr:uid="{00000000-0005-0000-0000-00006E720000}"/>
    <cellStyle name="Normal 6 2 2 2 2 4" xfId="35032" xr:uid="{00000000-0005-0000-0000-00006F720000}"/>
    <cellStyle name="Normal 6 2 2 2 2 5" xfId="35033" xr:uid="{00000000-0005-0000-0000-000070720000}"/>
    <cellStyle name="Normal 6 2 2 2 2 6" xfId="41824" xr:uid="{00000000-0005-0000-0000-000071720000}"/>
    <cellStyle name="Normal 6 2 2 2 3" xfId="35034" xr:uid="{00000000-0005-0000-0000-000072720000}"/>
    <cellStyle name="Normal 6 2 2 2 3 2" xfId="35035" xr:uid="{00000000-0005-0000-0000-000073720000}"/>
    <cellStyle name="Normal 6 2 2 2 3 2 2" xfId="41828" xr:uid="{00000000-0005-0000-0000-000074720000}"/>
    <cellStyle name="Normal 6 2 2 2 3 3" xfId="41827" xr:uid="{00000000-0005-0000-0000-000075720000}"/>
    <cellStyle name="Normal 6 2 2 2 4" xfId="35036" xr:uid="{00000000-0005-0000-0000-000076720000}"/>
    <cellStyle name="Normal 6 2 2 2 4 2" xfId="41829" xr:uid="{00000000-0005-0000-0000-000077720000}"/>
    <cellStyle name="Normal 6 2 2 2 5" xfId="35037" xr:uid="{00000000-0005-0000-0000-000078720000}"/>
    <cellStyle name="Normal 6 2 2 2 5 2" xfId="35038" xr:uid="{00000000-0005-0000-0000-000079720000}"/>
    <cellStyle name="Normal 6 2 2 2 5 3" xfId="41830" xr:uid="{00000000-0005-0000-0000-00007A720000}"/>
    <cellStyle name="Normal 6 2 2 2 6" xfId="35039" xr:uid="{00000000-0005-0000-0000-00007B720000}"/>
    <cellStyle name="Normal 6 2 2 2 6 2" xfId="35040" xr:uid="{00000000-0005-0000-0000-00007C720000}"/>
    <cellStyle name="Normal 6 2 2 2 6 3" xfId="41831" xr:uid="{00000000-0005-0000-0000-00007D720000}"/>
    <cellStyle name="Normal 6 2 2 2 7" xfId="41823" xr:uid="{00000000-0005-0000-0000-00007E720000}"/>
    <cellStyle name="Normal 6 2 2 2 8" xfId="35028" xr:uid="{00000000-0005-0000-0000-00007F720000}"/>
    <cellStyle name="Normal 6 2 2 3" xfId="35041" xr:uid="{00000000-0005-0000-0000-000080720000}"/>
    <cellStyle name="Normal 6 2 2 3 2" xfId="35042" xr:uid="{00000000-0005-0000-0000-000081720000}"/>
    <cellStyle name="Normal 6 2 2 3 2 2" xfId="35043" xr:uid="{00000000-0005-0000-0000-000082720000}"/>
    <cellStyle name="Normal 6 2 2 3 2 2 2" xfId="41834" xr:uid="{00000000-0005-0000-0000-000083720000}"/>
    <cellStyle name="Normal 6 2 2 3 2 3" xfId="41833" xr:uid="{00000000-0005-0000-0000-000084720000}"/>
    <cellStyle name="Normal 6 2 2 3 3" xfId="35044" xr:uid="{00000000-0005-0000-0000-000085720000}"/>
    <cellStyle name="Normal 6 2 2 3 3 2" xfId="41835" xr:uid="{00000000-0005-0000-0000-000086720000}"/>
    <cellStyle name="Normal 6 2 2 3 4" xfId="35045" xr:uid="{00000000-0005-0000-0000-000087720000}"/>
    <cellStyle name="Normal 6 2 2 3 5" xfId="35046" xr:uid="{00000000-0005-0000-0000-000088720000}"/>
    <cellStyle name="Normal 6 2 2 3 6" xfId="41832" xr:uid="{00000000-0005-0000-0000-000089720000}"/>
    <cellStyle name="Normal 6 2 2 4" xfId="35047" xr:uid="{00000000-0005-0000-0000-00008A720000}"/>
    <cellStyle name="Normal 6 2 2 4 2" xfId="35048" xr:uid="{00000000-0005-0000-0000-00008B720000}"/>
    <cellStyle name="Normal 6 2 2 4 2 2" xfId="41837" xr:uid="{00000000-0005-0000-0000-00008C720000}"/>
    <cellStyle name="Normal 6 2 2 4 3" xfId="41836" xr:uid="{00000000-0005-0000-0000-00008D720000}"/>
    <cellStyle name="Normal 6 2 2 5" xfId="35049" xr:uid="{00000000-0005-0000-0000-00008E720000}"/>
    <cellStyle name="Normal 6 2 2 5 2" xfId="41838" xr:uid="{00000000-0005-0000-0000-00008F720000}"/>
    <cellStyle name="Normal 6 2 2 6" xfId="35050" xr:uid="{00000000-0005-0000-0000-000090720000}"/>
    <cellStyle name="Normal 6 2 2 6 2" xfId="35051" xr:uid="{00000000-0005-0000-0000-000091720000}"/>
    <cellStyle name="Normal 6 2 2 6 3" xfId="41839" xr:uid="{00000000-0005-0000-0000-000092720000}"/>
    <cellStyle name="Normal 6 2 2 7" xfId="35052" xr:uid="{00000000-0005-0000-0000-000093720000}"/>
    <cellStyle name="Normal 6 2 2 7 2" xfId="35053" xr:uid="{00000000-0005-0000-0000-000094720000}"/>
    <cellStyle name="Normal 6 2 2 7 3" xfId="41840" xr:uid="{00000000-0005-0000-0000-000095720000}"/>
    <cellStyle name="Normal 6 2 2 8" xfId="35054" xr:uid="{00000000-0005-0000-0000-000096720000}"/>
    <cellStyle name="Normal 6 2 2 8 2" xfId="41841" xr:uid="{00000000-0005-0000-0000-000097720000}"/>
    <cellStyle name="Normal 6 2 2 9" xfId="41822" xr:uid="{00000000-0005-0000-0000-000098720000}"/>
    <cellStyle name="Normal 6 2 3" xfId="5864" xr:uid="{00000000-0005-0000-0000-000099720000}"/>
    <cellStyle name="Normal 6 2 3 2" xfId="10606" xr:uid="{00000000-0005-0000-0000-00009A720000}"/>
    <cellStyle name="Normal 6 2 3 2 2" xfId="35057" xr:uid="{00000000-0005-0000-0000-00009B720000}"/>
    <cellStyle name="Normal 6 2 3 2 2 2" xfId="41844" xr:uid="{00000000-0005-0000-0000-00009C720000}"/>
    <cellStyle name="Normal 6 2 3 2 3" xfId="35058" xr:uid="{00000000-0005-0000-0000-00009D720000}"/>
    <cellStyle name="Normal 6 2 3 2 3 2" xfId="41845" xr:uid="{00000000-0005-0000-0000-00009E720000}"/>
    <cellStyle name="Normal 6 2 3 2 4" xfId="35059" xr:uid="{00000000-0005-0000-0000-00009F720000}"/>
    <cellStyle name="Normal 6 2 3 2 5" xfId="35060" xr:uid="{00000000-0005-0000-0000-0000A0720000}"/>
    <cellStyle name="Normal 6 2 3 2 6" xfId="41843" xr:uid="{00000000-0005-0000-0000-0000A1720000}"/>
    <cellStyle name="Normal 6 2 3 2 7" xfId="35056" xr:uid="{00000000-0005-0000-0000-0000A2720000}"/>
    <cellStyle name="Normal 6 2 3 3" xfId="35061" xr:uid="{00000000-0005-0000-0000-0000A3720000}"/>
    <cellStyle name="Normal 6 2 3 3 2" xfId="35062" xr:uid="{00000000-0005-0000-0000-0000A4720000}"/>
    <cellStyle name="Normal 6 2 3 3 2 2" xfId="41847" xr:uid="{00000000-0005-0000-0000-0000A5720000}"/>
    <cellStyle name="Normal 6 2 3 3 3" xfId="41846" xr:uid="{00000000-0005-0000-0000-0000A6720000}"/>
    <cellStyle name="Normal 6 2 3 4" xfId="35063" xr:uid="{00000000-0005-0000-0000-0000A7720000}"/>
    <cellStyle name="Normal 6 2 3 4 2" xfId="41848" xr:uid="{00000000-0005-0000-0000-0000A8720000}"/>
    <cellStyle name="Normal 6 2 3 5" xfId="35064" xr:uid="{00000000-0005-0000-0000-0000A9720000}"/>
    <cellStyle name="Normal 6 2 3 5 2" xfId="35065" xr:uid="{00000000-0005-0000-0000-0000AA720000}"/>
    <cellStyle name="Normal 6 2 3 5 3" xfId="41849" xr:uid="{00000000-0005-0000-0000-0000AB720000}"/>
    <cellStyle name="Normal 6 2 3 6" xfId="35066" xr:uid="{00000000-0005-0000-0000-0000AC720000}"/>
    <cellStyle name="Normal 6 2 3 6 2" xfId="35067" xr:uid="{00000000-0005-0000-0000-0000AD720000}"/>
    <cellStyle name="Normal 6 2 3 6 3" xfId="41850" xr:uid="{00000000-0005-0000-0000-0000AE720000}"/>
    <cellStyle name="Normal 6 2 3 7" xfId="35068" xr:uid="{00000000-0005-0000-0000-0000AF720000}"/>
    <cellStyle name="Normal 6 2 3 7 2" xfId="41851" xr:uid="{00000000-0005-0000-0000-0000B0720000}"/>
    <cellStyle name="Normal 6 2 3 8" xfId="41842" xr:uid="{00000000-0005-0000-0000-0000B1720000}"/>
    <cellStyle name="Normal 6 2 3 9" xfId="35055" xr:uid="{00000000-0005-0000-0000-0000B2720000}"/>
    <cellStyle name="Normal 6 2 4" xfId="5865" xr:uid="{00000000-0005-0000-0000-0000B3720000}"/>
    <cellStyle name="Normal 6 2 4 2" xfId="10607" xr:uid="{00000000-0005-0000-0000-0000B4720000}"/>
    <cellStyle name="Normal 6 2 4 2 2" xfId="35071" xr:uid="{00000000-0005-0000-0000-0000B5720000}"/>
    <cellStyle name="Normal 6 2 4 2 2 2" xfId="41854" xr:uid="{00000000-0005-0000-0000-0000B6720000}"/>
    <cellStyle name="Normal 6 2 4 2 3" xfId="41853" xr:uid="{00000000-0005-0000-0000-0000B7720000}"/>
    <cellStyle name="Normal 6 2 4 2 4" xfId="35070" xr:uid="{00000000-0005-0000-0000-0000B8720000}"/>
    <cellStyle name="Normal 6 2 4 3" xfId="35072" xr:uid="{00000000-0005-0000-0000-0000B9720000}"/>
    <cellStyle name="Normal 6 2 4 3 2" xfId="41855" xr:uid="{00000000-0005-0000-0000-0000BA720000}"/>
    <cellStyle name="Normal 6 2 4 4" xfId="35073" xr:uid="{00000000-0005-0000-0000-0000BB720000}"/>
    <cellStyle name="Normal 6 2 4 4 2" xfId="35074" xr:uid="{00000000-0005-0000-0000-0000BC720000}"/>
    <cellStyle name="Normal 6 2 4 4 3" xfId="41856" xr:uid="{00000000-0005-0000-0000-0000BD720000}"/>
    <cellStyle name="Normal 6 2 4 5" xfId="35075" xr:uid="{00000000-0005-0000-0000-0000BE720000}"/>
    <cellStyle name="Normal 6 2 4 6" xfId="41852" xr:uid="{00000000-0005-0000-0000-0000BF720000}"/>
    <cellStyle name="Normal 6 2 4 7" xfId="35069" xr:uid="{00000000-0005-0000-0000-0000C0720000}"/>
    <cellStyle name="Normal 6 2 5" xfId="5866" xr:uid="{00000000-0005-0000-0000-0000C1720000}"/>
    <cellStyle name="Normal 6 2 5 2" xfId="10608" xr:uid="{00000000-0005-0000-0000-0000C2720000}"/>
    <cellStyle name="Normal 6 2 5 2 2" xfId="41858" xr:uid="{00000000-0005-0000-0000-0000C3720000}"/>
    <cellStyle name="Normal 6 2 5 2 3" xfId="35077" xr:uid="{00000000-0005-0000-0000-0000C4720000}"/>
    <cellStyle name="Normal 6 2 5 3" xfId="35078" xr:uid="{00000000-0005-0000-0000-0000C5720000}"/>
    <cellStyle name="Normal 6 2 5 3 2" xfId="41859" xr:uid="{00000000-0005-0000-0000-0000C6720000}"/>
    <cellStyle name="Normal 6 2 5 4" xfId="41857" xr:uid="{00000000-0005-0000-0000-0000C7720000}"/>
    <cellStyle name="Normal 6 2 5 5" xfId="35076" xr:uid="{00000000-0005-0000-0000-0000C8720000}"/>
    <cellStyle name="Normal 6 2 6" xfId="5867" xr:uid="{00000000-0005-0000-0000-0000C9720000}"/>
    <cellStyle name="Normal 6 2 6 2" xfId="35080" xr:uid="{00000000-0005-0000-0000-0000CA720000}"/>
    <cellStyle name="Normal 6 2 6 2 2" xfId="41861" xr:uid="{00000000-0005-0000-0000-0000CB720000}"/>
    <cellStyle name="Normal 6 2 6 3" xfId="41860" xr:uid="{00000000-0005-0000-0000-0000CC720000}"/>
    <cellStyle name="Normal 6 2 6 4" xfId="35079" xr:uid="{00000000-0005-0000-0000-0000CD720000}"/>
    <cellStyle name="Normal 6 2 7" xfId="5868" xr:uid="{00000000-0005-0000-0000-0000CE720000}"/>
    <cellStyle name="Normal 6 2 7 2" xfId="35082" xr:uid="{00000000-0005-0000-0000-0000CF720000}"/>
    <cellStyle name="Normal 6 2 7 3" xfId="41862" xr:uid="{00000000-0005-0000-0000-0000D0720000}"/>
    <cellStyle name="Normal 6 2 7 4" xfId="35081" xr:uid="{00000000-0005-0000-0000-0000D1720000}"/>
    <cellStyle name="Normal 6 2 8" xfId="35083" xr:uid="{00000000-0005-0000-0000-0000D2720000}"/>
    <cellStyle name="Normal 6 2 8 2" xfId="35084" xr:uid="{00000000-0005-0000-0000-0000D3720000}"/>
    <cellStyle name="Normal 6 2 8 3" xfId="41863" xr:uid="{00000000-0005-0000-0000-0000D4720000}"/>
    <cellStyle name="Normal 6 2 9" xfId="35085" xr:uid="{00000000-0005-0000-0000-0000D5720000}"/>
    <cellStyle name="Normal 6 2 9 2" xfId="41864" xr:uid="{00000000-0005-0000-0000-0000D6720000}"/>
    <cellStyle name="Normal 6 20" xfId="35086" xr:uid="{00000000-0005-0000-0000-0000D7720000}"/>
    <cellStyle name="Normal 6 20 2" xfId="35087" xr:uid="{00000000-0005-0000-0000-0000D8720000}"/>
    <cellStyle name="Normal 6 20 2 2" xfId="41866" xr:uid="{00000000-0005-0000-0000-0000D9720000}"/>
    <cellStyle name="Normal 6 20 3" xfId="35088" xr:uid="{00000000-0005-0000-0000-0000DA720000}"/>
    <cellStyle name="Normal 6 20 3 2" xfId="41867" xr:uid="{00000000-0005-0000-0000-0000DB720000}"/>
    <cellStyle name="Normal 6 20 4" xfId="41865" xr:uid="{00000000-0005-0000-0000-0000DC720000}"/>
    <cellStyle name="Normal 6 21" xfId="35089" xr:uid="{00000000-0005-0000-0000-0000DD720000}"/>
    <cellStyle name="Normal 6 21 2" xfId="35090" xr:uid="{00000000-0005-0000-0000-0000DE720000}"/>
    <cellStyle name="Normal 6 21 2 2" xfId="41869" xr:uid="{00000000-0005-0000-0000-0000DF720000}"/>
    <cellStyle name="Normal 6 21 3" xfId="35091" xr:uid="{00000000-0005-0000-0000-0000E0720000}"/>
    <cellStyle name="Normal 6 21 3 2" xfId="41870" xr:uid="{00000000-0005-0000-0000-0000E1720000}"/>
    <cellStyle name="Normal 6 21 4" xfId="41868" xr:uid="{00000000-0005-0000-0000-0000E2720000}"/>
    <cellStyle name="Normal 6 22" xfId="35092" xr:uid="{00000000-0005-0000-0000-0000E3720000}"/>
    <cellStyle name="Normal 6 22 2" xfId="35093" xr:uid="{00000000-0005-0000-0000-0000E4720000}"/>
    <cellStyle name="Normal 6 22 2 2" xfId="41872" xr:uid="{00000000-0005-0000-0000-0000E5720000}"/>
    <cellStyle name="Normal 6 22 3" xfId="41871" xr:uid="{00000000-0005-0000-0000-0000E6720000}"/>
    <cellStyle name="Normal 6 23" xfId="35094" xr:uid="{00000000-0005-0000-0000-0000E7720000}"/>
    <cellStyle name="Normal 6 23 2" xfId="35095" xr:uid="{00000000-0005-0000-0000-0000E8720000}"/>
    <cellStyle name="Normal 6 23 2 2" xfId="41874" xr:uid="{00000000-0005-0000-0000-0000E9720000}"/>
    <cellStyle name="Normal 6 23 3" xfId="41873" xr:uid="{00000000-0005-0000-0000-0000EA720000}"/>
    <cellStyle name="Normal 6 24" xfId="35096" xr:uid="{00000000-0005-0000-0000-0000EB720000}"/>
    <cellStyle name="Normal 6 24 2" xfId="35097" xr:uid="{00000000-0005-0000-0000-0000EC720000}"/>
    <cellStyle name="Normal 6 24 2 2" xfId="41876" xr:uid="{00000000-0005-0000-0000-0000ED720000}"/>
    <cellStyle name="Normal 6 24 3" xfId="41875" xr:uid="{00000000-0005-0000-0000-0000EE720000}"/>
    <cellStyle name="Normal 6 25" xfId="35098" xr:uid="{00000000-0005-0000-0000-0000EF720000}"/>
    <cellStyle name="Normal 6 25 2" xfId="41877" xr:uid="{00000000-0005-0000-0000-0000F0720000}"/>
    <cellStyle name="Normal 6 26" xfId="35099" xr:uid="{00000000-0005-0000-0000-0000F1720000}"/>
    <cellStyle name="Normal 6 26 2" xfId="41878" xr:uid="{00000000-0005-0000-0000-0000F2720000}"/>
    <cellStyle name="Normal 6 27" xfId="35100" xr:uid="{00000000-0005-0000-0000-0000F3720000}"/>
    <cellStyle name="Normal 6 27 2" xfId="41879" xr:uid="{00000000-0005-0000-0000-0000F4720000}"/>
    <cellStyle name="Normal 6 28" xfId="35101" xr:uid="{00000000-0005-0000-0000-0000F5720000}"/>
    <cellStyle name="Normal 6 28 2" xfId="41880" xr:uid="{00000000-0005-0000-0000-0000F6720000}"/>
    <cellStyle name="Normal 6 29" xfId="35102" xr:uid="{00000000-0005-0000-0000-0000F7720000}"/>
    <cellStyle name="Normal 6 29 2" xfId="41881" xr:uid="{00000000-0005-0000-0000-0000F8720000}"/>
    <cellStyle name="Normal 6 3" xfId="5869" xr:uid="{00000000-0005-0000-0000-0000F9720000}"/>
    <cellStyle name="Normal 6 3 10" xfId="35103" xr:uid="{00000000-0005-0000-0000-0000FA720000}"/>
    <cellStyle name="Normal 6 3 10 2" xfId="41882" xr:uid="{00000000-0005-0000-0000-0000FB720000}"/>
    <cellStyle name="Normal 6 3 2" xfId="5870" xr:uid="{00000000-0005-0000-0000-0000FC720000}"/>
    <cellStyle name="Normal 6 3 2 2" xfId="10609" xr:uid="{00000000-0005-0000-0000-0000FD720000}"/>
    <cellStyle name="Normal 6 3 2 2 2" xfId="35106" xr:uid="{00000000-0005-0000-0000-0000FE720000}"/>
    <cellStyle name="Normal 6 3 2 2 2 2" xfId="41885" xr:uid="{00000000-0005-0000-0000-0000FF720000}"/>
    <cellStyle name="Normal 6 3 2 2 3" xfId="35107" xr:uid="{00000000-0005-0000-0000-000000730000}"/>
    <cellStyle name="Normal 6 3 2 2 3 2" xfId="41886" xr:uid="{00000000-0005-0000-0000-000001730000}"/>
    <cellStyle name="Normal 6 3 2 2 4" xfId="35108" xr:uid="{00000000-0005-0000-0000-000002730000}"/>
    <cellStyle name="Normal 6 3 2 2 5" xfId="35109" xr:uid="{00000000-0005-0000-0000-000003730000}"/>
    <cellStyle name="Normal 6 3 2 2 6" xfId="41884" xr:uid="{00000000-0005-0000-0000-000004730000}"/>
    <cellStyle name="Normal 6 3 2 2 7" xfId="35105" xr:uid="{00000000-0005-0000-0000-000005730000}"/>
    <cellStyle name="Normal 6 3 2 3" xfId="35110" xr:uid="{00000000-0005-0000-0000-000006730000}"/>
    <cellStyle name="Normal 6 3 2 3 2" xfId="35111" xr:uid="{00000000-0005-0000-0000-000007730000}"/>
    <cellStyle name="Normal 6 3 2 3 2 2" xfId="41888" xr:uid="{00000000-0005-0000-0000-000008730000}"/>
    <cellStyle name="Normal 6 3 2 3 3" xfId="41887" xr:uid="{00000000-0005-0000-0000-000009730000}"/>
    <cellStyle name="Normal 6 3 2 4" xfId="35112" xr:uid="{00000000-0005-0000-0000-00000A730000}"/>
    <cellStyle name="Normal 6 3 2 4 2" xfId="41889" xr:uid="{00000000-0005-0000-0000-00000B730000}"/>
    <cellStyle name="Normal 6 3 2 5" xfId="35113" xr:uid="{00000000-0005-0000-0000-00000C730000}"/>
    <cellStyle name="Normal 6 3 2 5 2" xfId="35114" xr:uid="{00000000-0005-0000-0000-00000D730000}"/>
    <cellStyle name="Normal 6 3 2 5 3" xfId="41890" xr:uid="{00000000-0005-0000-0000-00000E730000}"/>
    <cellStyle name="Normal 6 3 2 6" xfId="35115" xr:uid="{00000000-0005-0000-0000-00000F730000}"/>
    <cellStyle name="Normal 6 3 2 6 2" xfId="35116" xr:uid="{00000000-0005-0000-0000-000010730000}"/>
    <cellStyle name="Normal 6 3 2 6 3" xfId="41891" xr:uid="{00000000-0005-0000-0000-000011730000}"/>
    <cellStyle name="Normal 6 3 2 7" xfId="35117" xr:uid="{00000000-0005-0000-0000-000012730000}"/>
    <cellStyle name="Normal 6 3 2 7 2" xfId="41892" xr:uid="{00000000-0005-0000-0000-000013730000}"/>
    <cellStyle name="Normal 6 3 2 8" xfId="41883" xr:uid="{00000000-0005-0000-0000-000014730000}"/>
    <cellStyle name="Normal 6 3 2 9" xfId="35104" xr:uid="{00000000-0005-0000-0000-000015730000}"/>
    <cellStyle name="Normal 6 3 3" xfId="10610" xr:uid="{00000000-0005-0000-0000-000016730000}"/>
    <cellStyle name="Normal 6 3 3 2" xfId="35119" xr:uid="{00000000-0005-0000-0000-000017730000}"/>
    <cellStyle name="Normal 6 3 3 2 2" xfId="35120" xr:uid="{00000000-0005-0000-0000-000018730000}"/>
    <cellStyle name="Normal 6 3 3 2 2 2" xfId="41895" xr:uid="{00000000-0005-0000-0000-000019730000}"/>
    <cellStyle name="Normal 6 3 3 2 3" xfId="41894" xr:uid="{00000000-0005-0000-0000-00001A730000}"/>
    <cellStyle name="Normal 6 3 3 3" xfId="35121" xr:uid="{00000000-0005-0000-0000-00001B730000}"/>
    <cellStyle name="Normal 6 3 3 3 2" xfId="41896" xr:uid="{00000000-0005-0000-0000-00001C730000}"/>
    <cellStyle name="Normal 6 3 3 4" xfId="35122" xr:uid="{00000000-0005-0000-0000-00001D730000}"/>
    <cellStyle name="Normal 6 3 3 4 2" xfId="35123" xr:uid="{00000000-0005-0000-0000-00001E730000}"/>
    <cellStyle name="Normal 6 3 3 4 3" xfId="41897" xr:uid="{00000000-0005-0000-0000-00001F730000}"/>
    <cellStyle name="Normal 6 3 3 5" xfId="35124" xr:uid="{00000000-0005-0000-0000-000020730000}"/>
    <cellStyle name="Normal 6 3 3 6" xfId="41893" xr:uid="{00000000-0005-0000-0000-000021730000}"/>
    <cellStyle name="Normal 6 3 3 7" xfId="35118" xr:uid="{00000000-0005-0000-0000-000022730000}"/>
    <cellStyle name="Normal 6 3 4" xfId="35125" xr:uid="{00000000-0005-0000-0000-000023730000}"/>
    <cellStyle name="Normal 6 3 4 2" xfId="35126" xr:uid="{00000000-0005-0000-0000-000024730000}"/>
    <cellStyle name="Normal 6 3 4 2 2" xfId="41899" xr:uid="{00000000-0005-0000-0000-000025730000}"/>
    <cellStyle name="Normal 6 3 4 3" xfId="35127" xr:uid="{00000000-0005-0000-0000-000026730000}"/>
    <cellStyle name="Normal 6 3 4 3 2" xfId="41900" xr:uid="{00000000-0005-0000-0000-000027730000}"/>
    <cellStyle name="Normal 6 3 4 4" xfId="41898" xr:uid="{00000000-0005-0000-0000-000028730000}"/>
    <cellStyle name="Normal 6 3 5" xfId="35128" xr:uid="{00000000-0005-0000-0000-000029730000}"/>
    <cellStyle name="Normal 6 3 5 2" xfId="41901" xr:uid="{00000000-0005-0000-0000-00002A730000}"/>
    <cellStyle name="Normal 6 3 6" xfId="35129" xr:uid="{00000000-0005-0000-0000-00002B730000}"/>
    <cellStyle name="Normal 6 3 6 2" xfId="35130" xr:uid="{00000000-0005-0000-0000-00002C730000}"/>
    <cellStyle name="Normal 6 3 6 3" xfId="41902" xr:uid="{00000000-0005-0000-0000-00002D730000}"/>
    <cellStyle name="Normal 6 3 7" xfId="35131" xr:uid="{00000000-0005-0000-0000-00002E730000}"/>
    <cellStyle name="Normal 6 3 7 2" xfId="35132" xr:uid="{00000000-0005-0000-0000-00002F730000}"/>
    <cellStyle name="Normal 6 3 7 3" xfId="41903" xr:uid="{00000000-0005-0000-0000-000030730000}"/>
    <cellStyle name="Normal 6 3 8" xfId="35133" xr:uid="{00000000-0005-0000-0000-000031730000}"/>
    <cellStyle name="Normal 6 3 8 2" xfId="41904" xr:uid="{00000000-0005-0000-0000-000032730000}"/>
    <cellStyle name="Normal 6 3 9" xfId="35134" xr:uid="{00000000-0005-0000-0000-000033730000}"/>
    <cellStyle name="Normal 6 3 9 2" xfId="41905" xr:uid="{00000000-0005-0000-0000-000034730000}"/>
    <cellStyle name="Normal 6 30" xfId="35135" xr:uid="{00000000-0005-0000-0000-000035730000}"/>
    <cellStyle name="Normal 6 30 2" xfId="41906" xr:uid="{00000000-0005-0000-0000-000036730000}"/>
    <cellStyle name="Normal 6 31" xfId="35136" xr:uid="{00000000-0005-0000-0000-000037730000}"/>
    <cellStyle name="Normal 6 31 2" xfId="41907" xr:uid="{00000000-0005-0000-0000-000038730000}"/>
    <cellStyle name="Normal 6 32" xfId="5828" xr:uid="{00000000-0005-0000-0000-000039730000}"/>
    <cellStyle name="Normal 6 4" xfId="5871" xr:uid="{00000000-0005-0000-0000-00003A730000}"/>
    <cellStyle name="Normal 6 4 10" xfId="35137" xr:uid="{00000000-0005-0000-0000-00003B730000}"/>
    <cellStyle name="Normal 6 4 2" xfId="5872" xr:uid="{00000000-0005-0000-0000-00003C730000}"/>
    <cellStyle name="Normal 6 4 2 2" xfId="10611" xr:uid="{00000000-0005-0000-0000-00003D730000}"/>
    <cellStyle name="Normal 6 4 2 2 2" xfId="35140" xr:uid="{00000000-0005-0000-0000-00003E730000}"/>
    <cellStyle name="Normal 6 4 2 2 2 2" xfId="41911" xr:uid="{00000000-0005-0000-0000-00003F730000}"/>
    <cellStyle name="Normal 6 4 2 2 3" xfId="35141" xr:uid="{00000000-0005-0000-0000-000040730000}"/>
    <cellStyle name="Normal 6 4 2 2 3 2" xfId="41912" xr:uid="{00000000-0005-0000-0000-000041730000}"/>
    <cellStyle name="Normal 6 4 2 2 4" xfId="41910" xr:uid="{00000000-0005-0000-0000-000042730000}"/>
    <cellStyle name="Normal 6 4 2 2 5" xfId="35139" xr:uid="{00000000-0005-0000-0000-000043730000}"/>
    <cellStyle name="Normal 6 4 2 3" xfId="35142" xr:uid="{00000000-0005-0000-0000-000044730000}"/>
    <cellStyle name="Normal 6 4 2 3 2" xfId="35143" xr:uid="{00000000-0005-0000-0000-000045730000}"/>
    <cellStyle name="Normal 6 4 2 3 2 2" xfId="41914" xr:uid="{00000000-0005-0000-0000-000046730000}"/>
    <cellStyle name="Normal 6 4 2 3 3" xfId="41913" xr:uid="{00000000-0005-0000-0000-000047730000}"/>
    <cellStyle name="Normal 6 4 2 4" xfId="35144" xr:uid="{00000000-0005-0000-0000-000048730000}"/>
    <cellStyle name="Normal 6 4 2 4 2" xfId="35145" xr:uid="{00000000-0005-0000-0000-000049730000}"/>
    <cellStyle name="Normal 6 4 2 4 3" xfId="41915" xr:uid="{00000000-0005-0000-0000-00004A730000}"/>
    <cellStyle name="Normal 6 4 2 5" xfId="35146" xr:uid="{00000000-0005-0000-0000-00004B730000}"/>
    <cellStyle name="Normal 6 4 2 5 2" xfId="35147" xr:uid="{00000000-0005-0000-0000-00004C730000}"/>
    <cellStyle name="Normal 6 4 2 5 3" xfId="41916" xr:uid="{00000000-0005-0000-0000-00004D730000}"/>
    <cellStyle name="Normal 6 4 2 6" xfId="35148" xr:uid="{00000000-0005-0000-0000-00004E730000}"/>
    <cellStyle name="Normal 6 4 2 6 2" xfId="41917" xr:uid="{00000000-0005-0000-0000-00004F730000}"/>
    <cellStyle name="Normal 6 4 2 7" xfId="35149" xr:uid="{00000000-0005-0000-0000-000050730000}"/>
    <cellStyle name="Normal 6 4 2 7 2" xfId="41918" xr:uid="{00000000-0005-0000-0000-000051730000}"/>
    <cellStyle name="Normal 6 4 2 8" xfId="41909" xr:uid="{00000000-0005-0000-0000-000052730000}"/>
    <cellStyle name="Normal 6 4 2 9" xfId="35138" xr:uid="{00000000-0005-0000-0000-000053730000}"/>
    <cellStyle name="Normal 6 4 3" xfId="10612" xr:uid="{00000000-0005-0000-0000-000054730000}"/>
    <cellStyle name="Normal 6 4 3 2" xfId="35151" xr:uid="{00000000-0005-0000-0000-000055730000}"/>
    <cellStyle name="Normal 6 4 3 2 2" xfId="35152" xr:uid="{00000000-0005-0000-0000-000056730000}"/>
    <cellStyle name="Normal 6 4 3 2 2 2" xfId="41921" xr:uid="{00000000-0005-0000-0000-000057730000}"/>
    <cellStyle name="Normal 6 4 3 2 3" xfId="41920" xr:uid="{00000000-0005-0000-0000-000058730000}"/>
    <cellStyle name="Normal 6 4 3 3" xfId="35153" xr:uid="{00000000-0005-0000-0000-000059730000}"/>
    <cellStyle name="Normal 6 4 3 3 2" xfId="41922" xr:uid="{00000000-0005-0000-0000-00005A730000}"/>
    <cellStyle name="Normal 6 4 3 4" xfId="35154" xr:uid="{00000000-0005-0000-0000-00005B730000}"/>
    <cellStyle name="Normal 6 4 3 4 2" xfId="41923" xr:uid="{00000000-0005-0000-0000-00005C730000}"/>
    <cellStyle name="Normal 6 4 3 5" xfId="41919" xr:uid="{00000000-0005-0000-0000-00005D730000}"/>
    <cellStyle name="Normal 6 4 3 6" xfId="35150" xr:uid="{00000000-0005-0000-0000-00005E730000}"/>
    <cellStyle name="Normal 6 4 4" xfId="35155" xr:uid="{00000000-0005-0000-0000-00005F730000}"/>
    <cellStyle name="Normal 6 4 4 2" xfId="35156" xr:uid="{00000000-0005-0000-0000-000060730000}"/>
    <cellStyle name="Normal 6 4 4 2 2" xfId="41925" xr:uid="{00000000-0005-0000-0000-000061730000}"/>
    <cellStyle name="Normal 6 4 4 3" xfId="35157" xr:uid="{00000000-0005-0000-0000-000062730000}"/>
    <cellStyle name="Normal 6 4 4 3 2" xfId="41926" xr:uid="{00000000-0005-0000-0000-000063730000}"/>
    <cellStyle name="Normal 6 4 4 4" xfId="41924" xr:uid="{00000000-0005-0000-0000-000064730000}"/>
    <cellStyle name="Normal 6 4 5" xfId="35158" xr:uid="{00000000-0005-0000-0000-000065730000}"/>
    <cellStyle name="Normal 6 4 5 2" xfId="35159" xr:uid="{00000000-0005-0000-0000-000066730000}"/>
    <cellStyle name="Normal 6 4 5 3" xfId="41927" xr:uid="{00000000-0005-0000-0000-000067730000}"/>
    <cellStyle name="Normal 6 4 6" xfId="35160" xr:uid="{00000000-0005-0000-0000-000068730000}"/>
    <cellStyle name="Normal 6 4 6 2" xfId="35161" xr:uid="{00000000-0005-0000-0000-000069730000}"/>
    <cellStyle name="Normal 6 4 6 3" xfId="41928" xr:uid="{00000000-0005-0000-0000-00006A730000}"/>
    <cellStyle name="Normal 6 4 7" xfId="35162" xr:uid="{00000000-0005-0000-0000-00006B730000}"/>
    <cellStyle name="Normal 6 4 7 2" xfId="41929" xr:uid="{00000000-0005-0000-0000-00006C730000}"/>
    <cellStyle name="Normal 6 4 8" xfId="35163" xr:uid="{00000000-0005-0000-0000-00006D730000}"/>
    <cellStyle name="Normal 6 4 8 2" xfId="41930" xr:uid="{00000000-0005-0000-0000-00006E730000}"/>
    <cellStyle name="Normal 6 4 9" xfId="41908" xr:uid="{00000000-0005-0000-0000-00006F730000}"/>
    <cellStyle name="Normal 6 5" xfId="5873" xr:uid="{00000000-0005-0000-0000-000070730000}"/>
    <cellStyle name="Normal 6 5 10" xfId="35164" xr:uid="{00000000-0005-0000-0000-000071730000}"/>
    <cellStyle name="Normal 6 5 2" xfId="5874" xr:uid="{00000000-0005-0000-0000-000072730000}"/>
    <cellStyle name="Normal 6 5 2 2" xfId="10613" xr:uid="{00000000-0005-0000-0000-000073730000}"/>
    <cellStyle name="Normal 6 5 2 2 2" xfId="35167" xr:uid="{00000000-0005-0000-0000-000074730000}"/>
    <cellStyle name="Normal 6 5 2 2 2 2" xfId="41934" xr:uid="{00000000-0005-0000-0000-000075730000}"/>
    <cellStyle name="Normal 6 5 2 2 3" xfId="35168" xr:uid="{00000000-0005-0000-0000-000076730000}"/>
    <cellStyle name="Normal 6 5 2 2 3 2" xfId="41935" xr:uid="{00000000-0005-0000-0000-000077730000}"/>
    <cellStyle name="Normal 6 5 2 2 4" xfId="41933" xr:uid="{00000000-0005-0000-0000-000078730000}"/>
    <cellStyle name="Normal 6 5 2 2 5" xfId="35166" xr:uid="{00000000-0005-0000-0000-000079730000}"/>
    <cellStyle name="Normal 6 5 2 3" xfId="35169" xr:uid="{00000000-0005-0000-0000-00007A730000}"/>
    <cellStyle name="Normal 6 5 2 3 2" xfId="41936" xr:uid="{00000000-0005-0000-0000-00007B730000}"/>
    <cellStyle name="Normal 6 5 2 4" xfId="35170" xr:uid="{00000000-0005-0000-0000-00007C730000}"/>
    <cellStyle name="Normal 6 5 2 4 2" xfId="41937" xr:uid="{00000000-0005-0000-0000-00007D730000}"/>
    <cellStyle name="Normal 6 5 2 5" xfId="35171" xr:uid="{00000000-0005-0000-0000-00007E730000}"/>
    <cellStyle name="Normal 6 5 2 5 2" xfId="41938" xr:uid="{00000000-0005-0000-0000-00007F730000}"/>
    <cellStyle name="Normal 6 5 2 6" xfId="35172" xr:uid="{00000000-0005-0000-0000-000080730000}"/>
    <cellStyle name="Normal 6 5 2 6 2" xfId="41939" xr:uid="{00000000-0005-0000-0000-000081730000}"/>
    <cellStyle name="Normal 6 5 2 7" xfId="35173" xr:uid="{00000000-0005-0000-0000-000082730000}"/>
    <cellStyle name="Normal 6 5 2 7 2" xfId="41940" xr:uid="{00000000-0005-0000-0000-000083730000}"/>
    <cellStyle name="Normal 6 5 2 8" xfId="41932" xr:uid="{00000000-0005-0000-0000-000084730000}"/>
    <cellStyle name="Normal 6 5 2 9" xfId="35165" xr:uid="{00000000-0005-0000-0000-000085730000}"/>
    <cellStyle name="Normal 6 5 3" xfId="10614" xr:uid="{00000000-0005-0000-0000-000086730000}"/>
    <cellStyle name="Normal 6 5 3 2" xfId="35175" xr:uid="{00000000-0005-0000-0000-000087730000}"/>
    <cellStyle name="Normal 6 5 3 2 2" xfId="41942" xr:uid="{00000000-0005-0000-0000-000088730000}"/>
    <cellStyle name="Normal 6 5 3 3" xfId="35176" xr:uid="{00000000-0005-0000-0000-000089730000}"/>
    <cellStyle name="Normal 6 5 3 3 2" xfId="41943" xr:uid="{00000000-0005-0000-0000-00008A730000}"/>
    <cellStyle name="Normal 6 5 3 4" xfId="35177" xr:uid="{00000000-0005-0000-0000-00008B730000}"/>
    <cellStyle name="Normal 6 5 3 4 2" xfId="41944" xr:uid="{00000000-0005-0000-0000-00008C730000}"/>
    <cellStyle name="Normal 6 5 3 5" xfId="41941" xr:uid="{00000000-0005-0000-0000-00008D730000}"/>
    <cellStyle name="Normal 6 5 3 6" xfId="35174" xr:uid="{00000000-0005-0000-0000-00008E730000}"/>
    <cellStyle name="Normal 6 5 4" xfId="35178" xr:uid="{00000000-0005-0000-0000-00008F730000}"/>
    <cellStyle name="Normal 6 5 4 2" xfId="35179" xr:uid="{00000000-0005-0000-0000-000090730000}"/>
    <cellStyle name="Normal 6 5 4 2 2" xfId="41946" xr:uid="{00000000-0005-0000-0000-000091730000}"/>
    <cellStyle name="Normal 6 5 4 3" xfId="35180" xr:uid="{00000000-0005-0000-0000-000092730000}"/>
    <cellStyle name="Normal 6 5 4 3 2" xfId="41947" xr:uid="{00000000-0005-0000-0000-000093730000}"/>
    <cellStyle name="Normal 6 5 4 4" xfId="35181" xr:uid="{00000000-0005-0000-0000-000094730000}"/>
    <cellStyle name="Normal 6 5 4 5" xfId="41945" xr:uid="{00000000-0005-0000-0000-000095730000}"/>
    <cellStyle name="Normal 6 5 5" xfId="35182" xr:uid="{00000000-0005-0000-0000-000096730000}"/>
    <cellStyle name="Normal 6 5 5 2" xfId="35183" xr:uid="{00000000-0005-0000-0000-000097730000}"/>
    <cellStyle name="Normal 6 5 5 3" xfId="41948" xr:uid="{00000000-0005-0000-0000-000098730000}"/>
    <cellStyle name="Normal 6 5 6" xfId="35184" xr:uid="{00000000-0005-0000-0000-000099730000}"/>
    <cellStyle name="Normal 6 5 6 2" xfId="41949" xr:uid="{00000000-0005-0000-0000-00009A730000}"/>
    <cellStyle name="Normal 6 5 7" xfId="35185" xr:uid="{00000000-0005-0000-0000-00009B730000}"/>
    <cellStyle name="Normal 6 5 7 2" xfId="41950" xr:uid="{00000000-0005-0000-0000-00009C730000}"/>
    <cellStyle name="Normal 6 5 8" xfId="35186" xr:uid="{00000000-0005-0000-0000-00009D730000}"/>
    <cellStyle name="Normal 6 5 8 2" xfId="41951" xr:uid="{00000000-0005-0000-0000-00009E730000}"/>
    <cellStyle name="Normal 6 5 9" xfId="41931" xr:uid="{00000000-0005-0000-0000-00009F730000}"/>
    <cellStyle name="Normal 6 6" xfId="5875" xr:uid="{00000000-0005-0000-0000-0000A0730000}"/>
    <cellStyle name="Normal 6 6 2" xfId="5876" xr:uid="{00000000-0005-0000-0000-0000A1730000}"/>
    <cellStyle name="Normal 6 6 2 2" xfId="35189" xr:uid="{00000000-0005-0000-0000-0000A2730000}"/>
    <cellStyle name="Normal 6 6 2 2 2" xfId="41954" xr:uid="{00000000-0005-0000-0000-0000A3730000}"/>
    <cellStyle name="Normal 6 6 2 3" xfId="35190" xr:uid="{00000000-0005-0000-0000-0000A4730000}"/>
    <cellStyle name="Normal 6 6 2 3 2" xfId="41955" xr:uid="{00000000-0005-0000-0000-0000A5730000}"/>
    <cellStyle name="Normal 6 6 2 4" xfId="35191" xr:uid="{00000000-0005-0000-0000-0000A6730000}"/>
    <cellStyle name="Normal 6 6 2 4 2" xfId="41956" xr:uid="{00000000-0005-0000-0000-0000A7730000}"/>
    <cellStyle name="Normal 6 6 2 5" xfId="35192" xr:uid="{00000000-0005-0000-0000-0000A8730000}"/>
    <cellStyle name="Normal 6 6 2 5 2" xfId="41957" xr:uid="{00000000-0005-0000-0000-0000A9730000}"/>
    <cellStyle name="Normal 6 6 2 6" xfId="35193" xr:uid="{00000000-0005-0000-0000-0000AA730000}"/>
    <cellStyle name="Normal 6 6 2 6 2" xfId="41958" xr:uid="{00000000-0005-0000-0000-0000AB730000}"/>
    <cellStyle name="Normal 6 6 2 7" xfId="41953" xr:uid="{00000000-0005-0000-0000-0000AC730000}"/>
    <cellStyle name="Normal 6 6 2 8" xfId="35188" xr:uid="{00000000-0005-0000-0000-0000AD730000}"/>
    <cellStyle name="Normal 6 6 3" xfId="5877" xr:uid="{00000000-0005-0000-0000-0000AE730000}"/>
    <cellStyle name="Normal 6 6 3 2" xfId="35195" xr:uid="{00000000-0005-0000-0000-0000AF730000}"/>
    <cellStyle name="Normal 6 6 3 2 2" xfId="41960" xr:uid="{00000000-0005-0000-0000-0000B0730000}"/>
    <cellStyle name="Normal 6 6 3 3" xfId="35196" xr:uid="{00000000-0005-0000-0000-0000B1730000}"/>
    <cellStyle name="Normal 6 6 3 3 2" xfId="41961" xr:uid="{00000000-0005-0000-0000-0000B2730000}"/>
    <cellStyle name="Normal 6 6 3 4" xfId="41959" xr:uid="{00000000-0005-0000-0000-0000B3730000}"/>
    <cellStyle name="Normal 6 6 3 5" xfId="35194" xr:uid="{00000000-0005-0000-0000-0000B4730000}"/>
    <cellStyle name="Normal 6 6 4" xfId="35197" xr:uid="{00000000-0005-0000-0000-0000B5730000}"/>
    <cellStyle name="Normal 6 6 4 2" xfId="35198" xr:uid="{00000000-0005-0000-0000-0000B6730000}"/>
    <cellStyle name="Normal 6 6 4 2 2" xfId="41963" xr:uid="{00000000-0005-0000-0000-0000B7730000}"/>
    <cellStyle name="Normal 6 6 4 3" xfId="41962" xr:uid="{00000000-0005-0000-0000-0000B8730000}"/>
    <cellStyle name="Normal 6 6 5" xfId="35199" xr:uid="{00000000-0005-0000-0000-0000B9730000}"/>
    <cellStyle name="Normal 6 6 5 2" xfId="41964" xr:uid="{00000000-0005-0000-0000-0000BA730000}"/>
    <cellStyle name="Normal 6 6 6" xfId="35200" xr:uid="{00000000-0005-0000-0000-0000BB730000}"/>
    <cellStyle name="Normal 6 6 6 2" xfId="41965" xr:uid="{00000000-0005-0000-0000-0000BC730000}"/>
    <cellStyle name="Normal 6 6 7" xfId="35201" xr:uid="{00000000-0005-0000-0000-0000BD730000}"/>
    <cellStyle name="Normal 6 6 7 2" xfId="41966" xr:uid="{00000000-0005-0000-0000-0000BE730000}"/>
    <cellStyle name="Normal 6 6 8" xfId="41952" xr:uid="{00000000-0005-0000-0000-0000BF730000}"/>
    <cellStyle name="Normal 6 6 9" xfId="35187" xr:uid="{00000000-0005-0000-0000-0000C0730000}"/>
    <cellStyle name="Normal 6 7" xfId="5878" xr:uid="{00000000-0005-0000-0000-0000C1730000}"/>
    <cellStyle name="Normal 6 7 10" xfId="35202" xr:uid="{00000000-0005-0000-0000-0000C2730000}"/>
    <cellStyle name="Normal 6 7 2" xfId="5879" xr:uid="{00000000-0005-0000-0000-0000C3730000}"/>
    <cellStyle name="Normal 6 7 2 2" xfId="35204" xr:uid="{00000000-0005-0000-0000-0000C4730000}"/>
    <cellStyle name="Normal 6 7 2 2 2" xfId="41969" xr:uid="{00000000-0005-0000-0000-0000C5730000}"/>
    <cellStyle name="Normal 6 7 2 3" xfId="35205" xr:uid="{00000000-0005-0000-0000-0000C6730000}"/>
    <cellStyle name="Normal 6 7 2 3 2" xfId="41970" xr:uid="{00000000-0005-0000-0000-0000C7730000}"/>
    <cellStyle name="Normal 6 7 2 4" xfId="35206" xr:uid="{00000000-0005-0000-0000-0000C8730000}"/>
    <cellStyle name="Normal 6 7 2 4 2" xfId="41971" xr:uid="{00000000-0005-0000-0000-0000C9730000}"/>
    <cellStyle name="Normal 6 7 2 5" xfId="35207" xr:uid="{00000000-0005-0000-0000-0000CA730000}"/>
    <cellStyle name="Normal 6 7 2 5 2" xfId="41972" xr:uid="{00000000-0005-0000-0000-0000CB730000}"/>
    <cellStyle name="Normal 6 7 2 6" xfId="35208" xr:uid="{00000000-0005-0000-0000-0000CC730000}"/>
    <cellStyle name="Normal 6 7 2 6 2" xfId="41973" xr:uid="{00000000-0005-0000-0000-0000CD730000}"/>
    <cellStyle name="Normal 6 7 2 7" xfId="41968" xr:uid="{00000000-0005-0000-0000-0000CE730000}"/>
    <cellStyle name="Normal 6 7 2 8" xfId="35203" xr:uid="{00000000-0005-0000-0000-0000CF730000}"/>
    <cellStyle name="Normal 6 7 3" xfId="5880" xr:uid="{00000000-0005-0000-0000-0000D0730000}"/>
    <cellStyle name="Normal 6 7 3 2" xfId="35210" xr:uid="{00000000-0005-0000-0000-0000D1730000}"/>
    <cellStyle name="Normal 6 7 3 2 2" xfId="41975" xr:uid="{00000000-0005-0000-0000-0000D2730000}"/>
    <cellStyle name="Normal 6 7 3 3" xfId="35211" xr:uid="{00000000-0005-0000-0000-0000D3730000}"/>
    <cellStyle name="Normal 6 7 3 3 2" xfId="41976" xr:uid="{00000000-0005-0000-0000-0000D4730000}"/>
    <cellStyle name="Normal 6 7 3 4" xfId="41974" xr:uid="{00000000-0005-0000-0000-0000D5730000}"/>
    <cellStyle name="Normal 6 7 3 5" xfId="35209" xr:uid="{00000000-0005-0000-0000-0000D6730000}"/>
    <cellStyle name="Normal 6 7 4" xfId="35212" xr:uid="{00000000-0005-0000-0000-0000D7730000}"/>
    <cellStyle name="Normal 6 7 4 2" xfId="35213" xr:uid="{00000000-0005-0000-0000-0000D8730000}"/>
    <cellStyle name="Normal 6 7 4 2 2" xfId="41978" xr:uid="{00000000-0005-0000-0000-0000D9730000}"/>
    <cellStyle name="Normal 6 7 4 3" xfId="41977" xr:uid="{00000000-0005-0000-0000-0000DA730000}"/>
    <cellStyle name="Normal 6 7 5" xfId="35214" xr:uid="{00000000-0005-0000-0000-0000DB730000}"/>
    <cellStyle name="Normal 6 7 5 2" xfId="41979" xr:uid="{00000000-0005-0000-0000-0000DC730000}"/>
    <cellStyle name="Normal 6 7 6" xfId="35215" xr:uid="{00000000-0005-0000-0000-0000DD730000}"/>
    <cellStyle name="Normal 6 7 6 2" xfId="41980" xr:uid="{00000000-0005-0000-0000-0000DE730000}"/>
    <cellStyle name="Normal 6 7 7" xfId="35216" xr:uid="{00000000-0005-0000-0000-0000DF730000}"/>
    <cellStyle name="Normal 6 7 7 2" xfId="41981" xr:uid="{00000000-0005-0000-0000-0000E0730000}"/>
    <cellStyle name="Normal 6 7 8" xfId="35217" xr:uid="{00000000-0005-0000-0000-0000E1730000}"/>
    <cellStyle name="Normal 6 7 9" xfId="41967" xr:uid="{00000000-0005-0000-0000-0000E2730000}"/>
    <cellStyle name="Normal 6 8" xfId="5881" xr:uid="{00000000-0005-0000-0000-0000E3730000}"/>
    <cellStyle name="Normal 6 8 10" xfId="35218" xr:uid="{00000000-0005-0000-0000-0000E4730000}"/>
    <cellStyle name="Normal 6 8 2" xfId="5882" xr:uid="{00000000-0005-0000-0000-0000E5730000}"/>
    <cellStyle name="Normal 6 8 2 2" xfId="35220" xr:uid="{00000000-0005-0000-0000-0000E6730000}"/>
    <cellStyle name="Normal 6 8 2 2 2" xfId="41984" xr:uid="{00000000-0005-0000-0000-0000E7730000}"/>
    <cellStyle name="Normal 6 8 2 3" xfId="35221" xr:uid="{00000000-0005-0000-0000-0000E8730000}"/>
    <cellStyle name="Normal 6 8 2 3 2" xfId="41985" xr:uid="{00000000-0005-0000-0000-0000E9730000}"/>
    <cellStyle name="Normal 6 8 2 4" xfId="35222" xr:uid="{00000000-0005-0000-0000-0000EA730000}"/>
    <cellStyle name="Normal 6 8 2 4 2" xfId="41986" xr:uid="{00000000-0005-0000-0000-0000EB730000}"/>
    <cellStyle name="Normal 6 8 2 5" xfId="35223" xr:uid="{00000000-0005-0000-0000-0000EC730000}"/>
    <cellStyle name="Normal 6 8 2 5 2" xfId="41987" xr:uid="{00000000-0005-0000-0000-0000ED730000}"/>
    <cellStyle name="Normal 6 8 2 6" xfId="35224" xr:uid="{00000000-0005-0000-0000-0000EE730000}"/>
    <cellStyle name="Normal 6 8 2 6 2" xfId="41988" xr:uid="{00000000-0005-0000-0000-0000EF730000}"/>
    <cellStyle name="Normal 6 8 2 7" xfId="41983" xr:uid="{00000000-0005-0000-0000-0000F0730000}"/>
    <cellStyle name="Normal 6 8 2 8" xfId="35219" xr:uid="{00000000-0005-0000-0000-0000F1730000}"/>
    <cellStyle name="Normal 6 8 3" xfId="5883" xr:uid="{00000000-0005-0000-0000-0000F2730000}"/>
    <cellStyle name="Normal 6 8 3 2" xfId="35226" xr:uid="{00000000-0005-0000-0000-0000F3730000}"/>
    <cellStyle name="Normal 6 8 3 2 2" xfId="41990" xr:uid="{00000000-0005-0000-0000-0000F4730000}"/>
    <cellStyle name="Normal 6 8 3 3" xfId="41989" xr:uid="{00000000-0005-0000-0000-0000F5730000}"/>
    <cellStyle name="Normal 6 8 3 4" xfId="35225" xr:uid="{00000000-0005-0000-0000-0000F6730000}"/>
    <cellStyle name="Normal 6 8 4" xfId="35227" xr:uid="{00000000-0005-0000-0000-0000F7730000}"/>
    <cellStyle name="Normal 6 8 4 2" xfId="35228" xr:uid="{00000000-0005-0000-0000-0000F8730000}"/>
    <cellStyle name="Normal 6 8 4 2 2" xfId="41992" xr:uid="{00000000-0005-0000-0000-0000F9730000}"/>
    <cellStyle name="Normal 6 8 4 3" xfId="41991" xr:uid="{00000000-0005-0000-0000-0000FA730000}"/>
    <cellStyle name="Normal 6 8 5" xfId="35229" xr:uid="{00000000-0005-0000-0000-0000FB730000}"/>
    <cellStyle name="Normal 6 8 5 2" xfId="41993" xr:uid="{00000000-0005-0000-0000-0000FC730000}"/>
    <cellStyle name="Normal 6 8 6" xfId="35230" xr:uid="{00000000-0005-0000-0000-0000FD730000}"/>
    <cellStyle name="Normal 6 8 6 2" xfId="41994" xr:uid="{00000000-0005-0000-0000-0000FE730000}"/>
    <cellStyle name="Normal 6 8 7" xfId="35231" xr:uid="{00000000-0005-0000-0000-0000FF730000}"/>
    <cellStyle name="Normal 6 8 7 2" xfId="41995" xr:uid="{00000000-0005-0000-0000-000000740000}"/>
    <cellStyle name="Normal 6 8 8" xfId="35232" xr:uid="{00000000-0005-0000-0000-000001740000}"/>
    <cellStyle name="Normal 6 8 9" xfId="41982" xr:uid="{00000000-0005-0000-0000-000002740000}"/>
    <cellStyle name="Normal 6 9" xfId="5884" xr:uid="{00000000-0005-0000-0000-000003740000}"/>
    <cellStyle name="Normal 6 9 2" xfId="5885" xr:uid="{00000000-0005-0000-0000-000004740000}"/>
    <cellStyle name="Normal 6 9 2 2" xfId="35235" xr:uid="{00000000-0005-0000-0000-000005740000}"/>
    <cellStyle name="Normal 6 9 2 2 2" xfId="41998" xr:uid="{00000000-0005-0000-0000-000006740000}"/>
    <cellStyle name="Normal 6 9 2 3" xfId="35236" xr:uid="{00000000-0005-0000-0000-000007740000}"/>
    <cellStyle name="Normal 6 9 2 3 2" xfId="41999" xr:uid="{00000000-0005-0000-0000-000008740000}"/>
    <cellStyle name="Normal 6 9 2 4" xfId="35237" xr:uid="{00000000-0005-0000-0000-000009740000}"/>
    <cellStyle name="Normal 6 9 2 4 2" xfId="42000" xr:uid="{00000000-0005-0000-0000-00000A740000}"/>
    <cellStyle name="Normal 6 9 2 5" xfId="35238" xr:uid="{00000000-0005-0000-0000-00000B740000}"/>
    <cellStyle name="Normal 6 9 2 5 2" xfId="42001" xr:uid="{00000000-0005-0000-0000-00000C740000}"/>
    <cellStyle name="Normal 6 9 2 6" xfId="41997" xr:uid="{00000000-0005-0000-0000-00000D740000}"/>
    <cellStyle name="Normal 6 9 2 7" xfId="35234" xr:uid="{00000000-0005-0000-0000-00000E740000}"/>
    <cellStyle name="Normal 6 9 3" xfId="5886" xr:uid="{00000000-0005-0000-0000-00000F740000}"/>
    <cellStyle name="Normal 6 9 3 2" xfId="35240" xr:uid="{00000000-0005-0000-0000-000010740000}"/>
    <cellStyle name="Normal 6 9 3 2 2" xfId="42003" xr:uid="{00000000-0005-0000-0000-000011740000}"/>
    <cellStyle name="Normal 6 9 3 3" xfId="42002" xr:uid="{00000000-0005-0000-0000-000012740000}"/>
    <cellStyle name="Normal 6 9 3 4" xfId="35239" xr:uid="{00000000-0005-0000-0000-000013740000}"/>
    <cellStyle name="Normal 6 9 4" xfId="35241" xr:uid="{00000000-0005-0000-0000-000014740000}"/>
    <cellStyle name="Normal 6 9 4 2" xfId="35242" xr:uid="{00000000-0005-0000-0000-000015740000}"/>
    <cellStyle name="Normal 6 9 4 2 2" xfId="42005" xr:uid="{00000000-0005-0000-0000-000016740000}"/>
    <cellStyle name="Normal 6 9 4 3" xfId="42004" xr:uid="{00000000-0005-0000-0000-000017740000}"/>
    <cellStyle name="Normal 6 9 5" xfId="35243" xr:uid="{00000000-0005-0000-0000-000018740000}"/>
    <cellStyle name="Normal 6 9 5 2" xfId="42006" xr:uid="{00000000-0005-0000-0000-000019740000}"/>
    <cellStyle name="Normal 6 9 6" xfId="35244" xr:uid="{00000000-0005-0000-0000-00001A740000}"/>
    <cellStyle name="Normal 6 9 6 2" xfId="42007" xr:uid="{00000000-0005-0000-0000-00001B740000}"/>
    <cellStyle name="Normal 6 9 7" xfId="35245" xr:uid="{00000000-0005-0000-0000-00001C740000}"/>
    <cellStyle name="Normal 6 9 8" xfId="41996" xr:uid="{00000000-0005-0000-0000-00001D740000}"/>
    <cellStyle name="Normal 6 9 9" xfId="35233" xr:uid="{00000000-0005-0000-0000-00001E740000}"/>
    <cellStyle name="Normal 60" xfId="5887" xr:uid="{00000000-0005-0000-0000-00001F740000}"/>
    <cellStyle name="Normal 60 2" xfId="10615" xr:uid="{00000000-0005-0000-0000-000020740000}"/>
    <cellStyle name="Normal 60 2 2" xfId="42009" xr:uid="{00000000-0005-0000-0000-000021740000}"/>
    <cellStyle name="Normal 60 2 3" xfId="35247" xr:uid="{00000000-0005-0000-0000-000022740000}"/>
    <cellStyle name="Normal 60 3" xfId="35248" xr:uid="{00000000-0005-0000-0000-000023740000}"/>
    <cellStyle name="Normal 60 3 2" xfId="42010" xr:uid="{00000000-0005-0000-0000-000024740000}"/>
    <cellStyle name="Normal 60 4" xfId="35249" xr:uid="{00000000-0005-0000-0000-000025740000}"/>
    <cellStyle name="Normal 60 4 2" xfId="42011" xr:uid="{00000000-0005-0000-0000-000026740000}"/>
    <cellStyle name="Normal 60 5" xfId="42008" xr:uid="{00000000-0005-0000-0000-000027740000}"/>
    <cellStyle name="Normal 60 6" xfId="35246" xr:uid="{00000000-0005-0000-0000-000028740000}"/>
    <cellStyle name="Normal 600" xfId="35250" xr:uid="{00000000-0005-0000-0000-000029740000}"/>
    <cellStyle name="Normal 600 2" xfId="35251" xr:uid="{00000000-0005-0000-0000-00002A740000}"/>
    <cellStyle name="Normal 601" xfId="35252" xr:uid="{00000000-0005-0000-0000-00002B740000}"/>
    <cellStyle name="Normal 601 2" xfId="35253" xr:uid="{00000000-0005-0000-0000-00002C740000}"/>
    <cellStyle name="Normal 602" xfId="35254" xr:uid="{00000000-0005-0000-0000-00002D740000}"/>
    <cellStyle name="Normal 603" xfId="35255" xr:uid="{00000000-0005-0000-0000-00002E740000}"/>
    <cellStyle name="Normal 604" xfId="35256" xr:uid="{00000000-0005-0000-0000-00002F740000}"/>
    <cellStyle name="Normal 605" xfId="35257" xr:uid="{00000000-0005-0000-0000-000030740000}"/>
    <cellStyle name="Normal 606" xfId="35258" xr:uid="{00000000-0005-0000-0000-000031740000}"/>
    <cellStyle name="Normal 607" xfId="35259" xr:uid="{00000000-0005-0000-0000-000032740000}"/>
    <cellStyle name="Normal 608" xfId="35260" xr:uid="{00000000-0005-0000-0000-000033740000}"/>
    <cellStyle name="Normal 609" xfId="35261" xr:uid="{00000000-0005-0000-0000-000034740000}"/>
    <cellStyle name="Normal 61" xfId="5888" xr:uid="{00000000-0005-0000-0000-000035740000}"/>
    <cellStyle name="Normal 61 2" xfId="5889" xr:uid="{00000000-0005-0000-0000-000036740000}"/>
    <cellStyle name="Normal 61 2 2" xfId="10616" xr:uid="{00000000-0005-0000-0000-000037740000}"/>
    <cellStyle name="Normal 61 2 2 2" xfId="42013" xr:uid="{00000000-0005-0000-0000-000038740000}"/>
    <cellStyle name="Normal 61 2 3" xfId="35263" xr:uid="{00000000-0005-0000-0000-000039740000}"/>
    <cellStyle name="Normal 61 3" xfId="5890" xr:uid="{00000000-0005-0000-0000-00003A740000}"/>
    <cellStyle name="Normal 61 3 2" xfId="10617" xr:uid="{00000000-0005-0000-0000-00003B740000}"/>
    <cellStyle name="Normal 61 3 3" xfId="42012" xr:uid="{00000000-0005-0000-0000-00003C740000}"/>
    <cellStyle name="Normal 61 4" xfId="5891" xr:uid="{00000000-0005-0000-0000-00003D740000}"/>
    <cellStyle name="Normal 61 4 2" xfId="5892" xr:uid="{00000000-0005-0000-0000-00003E740000}"/>
    <cellStyle name="Normal 61 5" xfId="35262" xr:uid="{00000000-0005-0000-0000-00003F740000}"/>
    <cellStyle name="Normal 610" xfId="44322" xr:uid="{00000000-0005-0000-0000-000040740000}"/>
    <cellStyle name="Normal 611" xfId="44363" xr:uid="{00000000-0005-0000-0000-000041740000}"/>
    <cellStyle name="Normal 612" xfId="44366" xr:uid="{00000000-0005-0000-0000-000042740000}"/>
    <cellStyle name="Normal 613" xfId="44365" xr:uid="{00000000-0005-0000-0000-000043740000}"/>
    <cellStyle name="Normal 614" xfId="44369" xr:uid="{00000000-0005-0000-0000-000044740000}"/>
    <cellStyle name="Normal 615" xfId="44371" xr:uid="{00000000-0005-0000-0000-000045740000}"/>
    <cellStyle name="Normal 616" xfId="44373" xr:uid="{00000000-0005-0000-0000-000046740000}"/>
    <cellStyle name="Normal 617" xfId="44375" xr:uid="{00000000-0005-0000-0000-000047740000}"/>
    <cellStyle name="Normal 618" xfId="44379" xr:uid="{00000000-0005-0000-0000-000048740000}"/>
    <cellStyle name="Normal 619" xfId="44381" xr:uid="{00000000-0005-0000-0000-000049740000}"/>
    <cellStyle name="Normal 62" xfId="5893" xr:uid="{00000000-0005-0000-0000-00004A740000}"/>
    <cellStyle name="Normal 62 2" xfId="5894" xr:uid="{00000000-0005-0000-0000-00004B740000}"/>
    <cellStyle name="Normal 62 2 2" xfId="10618" xr:uid="{00000000-0005-0000-0000-00004C740000}"/>
    <cellStyle name="Normal 62 2 2 2" xfId="42015" xr:uid="{00000000-0005-0000-0000-00004D740000}"/>
    <cellStyle name="Normal 62 2 3" xfId="35265" xr:uid="{00000000-0005-0000-0000-00004E740000}"/>
    <cellStyle name="Normal 62 3" xfId="5895" xr:uid="{00000000-0005-0000-0000-00004F740000}"/>
    <cellStyle name="Normal 62 3 2" xfId="10619" xr:uid="{00000000-0005-0000-0000-000050740000}"/>
    <cellStyle name="Normal 62 3 3" xfId="42014" xr:uid="{00000000-0005-0000-0000-000051740000}"/>
    <cellStyle name="Normal 62 4" xfId="5896" xr:uid="{00000000-0005-0000-0000-000052740000}"/>
    <cellStyle name="Normal 62 4 2" xfId="5897" xr:uid="{00000000-0005-0000-0000-000053740000}"/>
    <cellStyle name="Normal 62 5" xfId="35264" xr:uid="{00000000-0005-0000-0000-000054740000}"/>
    <cellStyle name="Normal 620" xfId="44383" xr:uid="{00000000-0005-0000-0000-000055740000}"/>
    <cellStyle name="Normal 621" xfId="44384" xr:uid="{00000000-0005-0000-0000-000056740000}"/>
    <cellStyle name="Normal 622" xfId="44389" xr:uid="{00000000-0005-0000-0000-000057740000}"/>
    <cellStyle name="Normal 623" xfId="44390" xr:uid="{00000000-0005-0000-0000-000058740000}"/>
    <cellStyle name="Normal 624" xfId="44395" xr:uid="{8942BD22-1622-43F9-BC40-63F07C9FEC7C}"/>
    <cellStyle name="Normal 625" xfId="44397" xr:uid="{CEC7FF86-D419-4E46-8984-34C08F40225E}"/>
    <cellStyle name="Normal 626" xfId="44399" xr:uid="{334814D7-57EC-445E-949D-5B3EA5933DE9}"/>
    <cellStyle name="Normal 627" xfId="44403" xr:uid="{9F9F1309-1A98-4390-B63C-4E13EE54D860}"/>
    <cellStyle name="Normal 628" xfId="44405" xr:uid="{A5F63323-D6FC-4005-A09D-B813C3903CA6}"/>
    <cellStyle name="Normal 629" xfId="44407" xr:uid="{187C3DE2-F1F5-4697-9D24-EDD9A6DB5DD6}"/>
    <cellStyle name="Normal 63" xfId="5898" xr:uid="{00000000-0005-0000-0000-000059740000}"/>
    <cellStyle name="Normal 63 2" xfId="5899" xr:uid="{00000000-0005-0000-0000-00005A740000}"/>
    <cellStyle name="Normal 63 2 2" xfId="10620" xr:uid="{00000000-0005-0000-0000-00005B740000}"/>
    <cellStyle name="Normal 63 2 2 2" xfId="42017" xr:uid="{00000000-0005-0000-0000-00005C740000}"/>
    <cellStyle name="Normal 63 2 3" xfId="35267" xr:uid="{00000000-0005-0000-0000-00005D740000}"/>
    <cellStyle name="Normal 63 3" xfId="5900" xr:uid="{00000000-0005-0000-0000-00005E740000}"/>
    <cellStyle name="Normal 63 3 2" xfId="10621" xr:uid="{00000000-0005-0000-0000-00005F740000}"/>
    <cellStyle name="Normal 63 3 3" xfId="42016" xr:uid="{00000000-0005-0000-0000-000060740000}"/>
    <cellStyle name="Normal 63 4" xfId="5901" xr:uid="{00000000-0005-0000-0000-000061740000}"/>
    <cellStyle name="Normal 63 4 2" xfId="5902" xr:uid="{00000000-0005-0000-0000-000062740000}"/>
    <cellStyle name="Normal 63 5" xfId="35266" xr:uid="{00000000-0005-0000-0000-000063740000}"/>
    <cellStyle name="Normal 630" xfId="44409" xr:uid="{2580B65F-68C8-4878-B91B-60B6E81AF59D}"/>
    <cellStyle name="Normal 631" xfId="44411" xr:uid="{8F9356F4-3D8E-43D5-A36F-CF9AD34DFA5E}"/>
    <cellStyle name="Normal 632" xfId="44413" xr:uid="{EEA715D8-5E1F-4A4A-B6AC-C5AAFA9AF717}"/>
    <cellStyle name="Normal 633" xfId="44415" xr:uid="{FDA3A47C-9F84-4FBF-8A2F-6DF74606D329}"/>
    <cellStyle name="Normal 64" xfId="5903" xr:uid="{00000000-0005-0000-0000-000064740000}"/>
    <cellStyle name="Normal 64 2" xfId="10622" xr:uid="{00000000-0005-0000-0000-000065740000}"/>
    <cellStyle name="Normal 64 2 2" xfId="42019" xr:uid="{00000000-0005-0000-0000-000066740000}"/>
    <cellStyle name="Normal 64 2 3" xfId="35269" xr:uid="{00000000-0005-0000-0000-000067740000}"/>
    <cellStyle name="Normal 64 3" xfId="42018" xr:uid="{00000000-0005-0000-0000-000068740000}"/>
    <cellStyle name="Normal 64 4" xfId="35268" xr:uid="{00000000-0005-0000-0000-000069740000}"/>
    <cellStyle name="Normal 65" xfId="5904" xr:uid="{00000000-0005-0000-0000-00006A740000}"/>
    <cellStyle name="Normal 65 2" xfId="5905" xr:uid="{00000000-0005-0000-0000-00006B740000}"/>
    <cellStyle name="Normal 65 2 2" xfId="10623" xr:uid="{00000000-0005-0000-0000-00006C740000}"/>
    <cellStyle name="Normal 65 2 2 2" xfId="42021" xr:uid="{00000000-0005-0000-0000-00006D740000}"/>
    <cellStyle name="Normal 65 2 3" xfId="35271" xr:uid="{00000000-0005-0000-0000-00006E740000}"/>
    <cellStyle name="Normal 65 3" xfId="5906" xr:uid="{00000000-0005-0000-0000-00006F740000}"/>
    <cellStyle name="Normal 65 3 2" xfId="10624" xr:uid="{00000000-0005-0000-0000-000070740000}"/>
    <cellStyle name="Normal 65 3 3" xfId="42020" xr:uid="{00000000-0005-0000-0000-000071740000}"/>
    <cellStyle name="Normal 65 4" xfId="5907" xr:uid="{00000000-0005-0000-0000-000072740000}"/>
    <cellStyle name="Normal 65 4 2" xfId="5908" xr:uid="{00000000-0005-0000-0000-000073740000}"/>
    <cellStyle name="Normal 65 5" xfId="35270" xr:uid="{00000000-0005-0000-0000-000074740000}"/>
    <cellStyle name="Normal 66" xfId="5909" xr:uid="{00000000-0005-0000-0000-000075740000}"/>
    <cellStyle name="Normal 66 2" xfId="10625" xr:uid="{00000000-0005-0000-0000-000076740000}"/>
    <cellStyle name="Normal 66 2 2" xfId="42022" xr:uid="{00000000-0005-0000-0000-000077740000}"/>
    <cellStyle name="Normal 66 2 3" xfId="35273" xr:uid="{00000000-0005-0000-0000-000078740000}"/>
    <cellStyle name="Normal 66 3" xfId="35274" xr:uid="{00000000-0005-0000-0000-000079740000}"/>
    <cellStyle name="Normal 66 3 2" xfId="42023" xr:uid="{00000000-0005-0000-0000-00007A740000}"/>
    <cellStyle name="Normal 66 4" xfId="35275" xr:uid="{00000000-0005-0000-0000-00007B740000}"/>
    <cellStyle name="Normal 66 4 2" xfId="42024" xr:uid="{00000000-0005-0000-0000-00007C740000}"/>
    <cellStyle name="Normal 66 5" xfId="35272" xr:uid="{00000000-0005-0000-0000-00007D740000}"/>
    <cellStyle name="Normal 67" xfId="5910" xr:uid="{00000000-0005-0000-0000-00007E740000}"/>
    <cellStyle name="Normal 67 2" xfId="10626" xr:uid="{00000000-0005-0000-0000-00007F740000}"/>
    <cellStyle name="Normal 67 2 2" xfId="42025" xr:uid="{00000000-0005-0000-0000-000080740000}"/>
    <cellStyle name="Normal 67 2 3" xfId="35277" xr:uid="{00000000-0005-0000-0000-000081740000}"/>
    <cellStyle name="Normal 67 3" xfId="35278" xr:uid="{00000000-0005-0000-0000-000082740000}"/>
    <cellStyle name="Normal 67 3 2" xfId="42026" xr:uid="{00000000-0005-0000-0000-000083740000}"/>
    <cellStyle name="Normal 67 4" xfId="35279" xr:uid="{00000000-0005-0000-0000-000084740000}"/>
    <cellStyle name="Normal 67 4 2" xfId="42027" xr:uid="{00000000-0005-0000-0000-000085740000}"/>
    <cellStyle name="Normal 67 5" xfId="35276" xr:uid="{00000000-0005-0000-0000-000086740000}"/>
    <cellStyle name="Normal 68" xfId="5911" xr:uid="{00000000-0005-0000-0000-000087740000}"/>
    <cellStyle name="Normal 68 2" xfId="5912" xr:uid="{00000000-0005-0000-0000-000088740000}"/>
    <cellStyle name="Normal 68 2 2" xfId="10627" xr:uid="{00000000-0005-0000-0000-000089740000}"/>
    <cellStyle name="Normal 68 2 2 2" xfId="42028" xr:uid="{00000000-0005-0000-0000-00008A740000}"/>
    <cellStyle name="Normal 68 2 3" xfId="35281" xr:uid="{00000000-0005-0000-0000-00008B740000}"/>
    <cellStyle name="Normal 68 3" xfId="5913" xr:uid="{00000000-0005-0000-0000-00008C740000}"/>
    <cellStyle name="Normal 68 3 2" xfId="10628" xr:uid="{00000000-0005-0000-0000-00008D740000}"/>
    <cellStyle name="Normal 68 3 2 2" xfId="42029" xr:uid="{00000000-0005-0000-0000-00008E740000}"/>
    <cellStyle name="Normal 68 3 3" xfId="35282" xr:uid="{00000000-0005-0000-0000-00008F740000}"/>
    <cellStyle name="Normal 68 4" xfId="5914" xr:uid="{00000000-0005-0000-0000-000090740000}"/>
    <cellStyle name="Normal 68 4 2" xfId="5915" xr:uid="{00000000-0005-0000-0000-000091740000}"/>
    <cellStyle name="Normal 68 5" xfId="35280" xr:uid="{00000000-0005-0000-0000-000092740000}"/>
    <cellStyle name="Normal 69" xfId="5916" xr:uid="{00000000-0005-0000-0000-000093740000}"/>
    <cellStyle name="Normal 69 2" xfId="10629" xr:uid="{00000000-0005-0000-0000-000094740000}"/>
    <cellStyle name="Normal 69 2 2" xfId="42030" xr:uid="{00000000-0005-0000-0000-000095740000}"/>
    <cellStyle name="Normal 69 2 3" xfId="35284" xr:uid="{00000000-0005-0000-0000-000096740000}"/>
    <cellStyle name="Normal 69 3" xfId="35285" xr:uid="{00000000-0005-0000-0000-000097740000}"/>
    <cellStyle name="Normal 69 3 2" xfId="42031" xr:uid="{00000000-0005-0000-0000-000098740000}"/>
    <cellStyle name="Normal 69 4" xfId="35283" xr:uid="{00000000-0005-0000-0000-000099740000}"/>
    <cellStyle name="Normal 7" xfId="38" xr:uid="{00000000-0005-0000-0000-00009A740000}"/>
    <cellStyle name="Normal 7 10" xfId="5918" xr:uid="{00000000-0005-0000-0000-00009B740000}"/>
    <cellStyle name="Normal 7 10 2" xfId="5919" xr:uid="{00000000-0005-0000-0000-00009C740000}"/>
    <cellStyle name="Normal 7 10 2 2" xfId="42033" xr:uid="{00000000-0005-0000-0000-00009D740000}"/>
    <cellStyle name="Normal 7 10 2 3" xfId="35288" xr:uid="{00000000-0005-0000-0000-00009E740000}"/>
    <cellStyle name="Normal 7 10 3" xfId="5920" xr:uid="{00000000-0005-0000-0000-00009F740000}"/>
    <cellStyle name="Normal 7 10 3 2" xfId="42034" xr:uid="{00000000-0005-0000-0000-0000A0740000}"/>
    <cellStyle name="Normal 7 10 3 3" xfId="35289" xr:uid="{00000000-0005-0000-0000-0000A1740000}"/>
    <cellStyle name="Normal 7 10 4" xfId="35290" xr:uid="{00000000-0005-0000-0000-0000A2740000}"/>
    <cellStyle name="Normal 7 10 4 2" xfId="42035" xr:uid="{00000000-0005-0000-0000-0000A3740000}"/>
    <cellStyle name="Normal 7 10 5" xfId="35291" xr:uid="{00000000-0005-0000-0000-0000A4740000}"/>
    <cellStyle name="Normal 7 10 5 2" xfId="42036" xr:uid="{00000000-0005-0000-0000-0000A5740000}"/>
    <cellStyle name="Normal 7 10 6" xfId="35292" xr:uid="{00000000-0005-0000-0000-0000A6740000}"/>
    <cellStyle name="Normal 7 10 7" xfId="42032" xr:uid="{00000000-0005-0000-0000-0000A7740000}"/>
    <cellStyle name="Normal 7 10 8" xfId="35287" xr:uid="{00000000-0005-0000-0000-0000A8740000}"/>
    <cellStyle name="Normal 7 11" xfId="35293" xr:uid="{00000000-0005-0000-0000-0000A9740000}"/>
    <cellStyle name="Normal 7 11 2" xfId="35294" xr:uid="{00000000-0005-0000-0000-0000AA740000}"/>
    <cellStyle name="Normal 7 11 2 2" xfId="42038" xr:uid="{00000000-0005-0000-0000-0000AB740000}"/>
    <cellStyle name="Normal 7 11 3" xfId="35295" xr:uid="{00000000-0005-0000-0000-0000AC740000}"/>
    <cellStyle name="Normal 7 11 3 2" xfId="42039" xr:uid="{00000000-0005-0000-0000-0000AD740000}"/>
    <cellStyle name="Normal 7 11 4" xfId="35296" xr:uid="{00000000-0005-0000-0000-0000AE740000}"/>
    <cellStyle name="Normal 7 11 4 2" xfId="42040" xr:uid="{00000000-0005-0000-0000-0000AF740000}"/>
    <cellStyle name="Normal 7 11 5" xfId="35297" xr:uid="{00000000-0005-0000-0000-0000B0740000}"/>
    <cellStyle name="Normal 7 11 5 2" xfId="42041" xr:uid="{00000000-0005-0000-0000-0000B1740000}"/>
    <cellStyle name="Normal 7 11 6" xfId="35298" xr:uid="{00000000-0005-0000-0000-0000B2740000}"/>
    <cellStyle name="Normal 7 11 7" xfId="42037" xr:uid="{00000000-0005-0000-0000-0000B3740000}"/>
    <cellStyle name="Normal 7 12" xfId="35299" xr:uid="{00000000-0005-0000-0000-0000B4740000}"/>
    <cellStyle name="Normal 7 12 2" xfId="35300" xr:uid="{00000000-0005-0000-0000-0000B5740000}"/>
    <cellStyle name="Normal 7 12 2 2" xfId="42043" xr:uid="{00000000-0005-0000-0000-0000B6740000}"/>
    <cellStyle name="Normal 7 12 3" xfId="35301" xr:uid="{00000000-0005-0000-0000-0000B7740000}"/>
    <cellStyle name="Normal 7 12 3 2" xfId="42044" xr:uid="{00000000-0005-0000-0000-0000B8740000}"/>
    <cellStyle name="Normal 7 12 4" xfId="35302" xr:uid="{00000000-0005-0000-0000-0000B9740000}"/>
    <cellStyle name="Normal 7 12 4 2" xfId="42045" xr:uid="{00000000-0005-0000-0000-0000BA740000}"/>
    <cellStyle name="Normal 7 12 5" xfId="35303" xr:uid="{00000000-0005-0000-0000-0000BB740000}"/>
    <cellStyle name="Normal 7 12 5 2" xfId="42046" xr:uid="{00000000-0005-0000-0000-0000BC740000}"/>
    <cellStyle name="Normal 7 12 6" xfId="42042" xr:uid="{00000000-0005-0000-0000-0000BD740000}"/>
    <cellStyle name="Normal 7 13" xfId="35304" xr:uid="{00000000-0005-0000-0000-0000BE740000}"/>
    <cellStyle name="Normal 7 13 2" xfId="35305" xr:uid="{00000000-0005-0000-0000-0000BF740000}"/>
    <cellStyle name="Normal 7 13 2 2" xfId="42048" xr:uid="{00000000-0005-0000-0000-0000C0740000}"/>
    <cellStyle name="Normal 7 13 3" xfId="35306" xr:uid="{00000000-0005-0000-0000-0000C1740000}"/>
    <cellStyle name="Normal 7 13 3 2" xfId="42049" xr:uid="{00000000-0005-0000-0000-0000C2740000}"/>
    <cellStyle name="Normal 7 13 4" xfId="35307" xr:uid="{00000000-0005-0000-0000-0000C3740000}"/>
    <cellStyle name="Normal 7 13 4 2" xfId="42050" xr:uid="{00000000-0005-0000-0000-0000C4740000}"/>
    <cellStyle name="Normal 7 13 5" xfId="42047" xr:uid="{00000000-0005-0000-0000-0000C5740000}"/>
    <cellStyle name="Normal 7 14" xfId="35308" xr:uid="{00000000-0005-0000-0000-0000C6740000}"/>
    <cellStyle name="Normal 7 14 2" xfId="35309" xr:uid="{00000000-0005-0000-0000-0000C7740000}"/>
    <cellStyle name="Normal 7 14 2 2" xfId="42052" xr:uid="{00000000-0005-0000-0000-0000C8740000}"/>
    <cellStyle name="Normal 7 14 3" xfId="35310" xr:uid="{00000000-0005-0000-0000-0000C9740000}"/>
    <cellStyle name="Normal 7 14 3 2" xfId="42053" xr:uid="{00000000-0005-0000-0000-0000CA740000}"/>
    <cellStyle name="Normal 7 14 4" xfId="35311" xr:uid="{00000000-0005-0000-0000-0000CB740000}"/>
    <cellStyle name="Normal 7 14 4 2" xfId="42054" xr:uid="{00000000-0005-0000-0000-0000CC740000}"/>
    <cellStyle name="Normal 7 14 5" xfId="42051" xr:uid="{00000000-0005-0000-0000-0000CD740000}"/>
    <cellStyle name="Normal 7 15" xfId="35312" xr:uid="{00000000-0005-0000-0000-0000CE740000}"/>
    <cellStyle name="Normal 7 15 2" xfId="35313" xr:uid="{00000000-0005-0000-0000-0000CF740000}"/>
    <cellStyle name="Normal 7 15 2 2" xfId="42056" xr:uid="{00000000-0005-0000-0000-0000D0740000}"/>
    <cellStyle name="Normal 7 15 3" xfId="35314" xr:uid="{00000000-0005-0000-0000-0000D1740000}"/>
    <cellStyle name="Normal 7 15 3 2" xfId="42057" xr:uid="{00000000-0005-0000-0000-0000D2740000}"/>
    <cellStyle name="Normal 7 15 4" xfId="35315" xr:uid="{00000000-0005-0000-0000-0000D3740000}"/>
    <cellStyle name="Normal 7 15 4 2" xfId="42058" xr:uid="{00000000-0005-0000-0000-0000D4740000}"/>
    <cellStyle name="Normal 7 15 5" xfId="42055" xr:uid="{00000000-0005-0000-0000-0000D5740000}"/>
    <cellStyle name="Normal 7 16" xfId="35316" xr:uid="{00000000-0005-0000-0000-0000D6740000}"/>
    <cellStyle name="Normal 7 16 2" xfId="35317" xr:uid="{00000000-0005-0000-0000-0000D7740000}"/>
    <cellStyle name="Normal 7 16 2 2" xfId="42060" xr:uid="{00000000-0005-0000-0000-0000D8740000}"/>
    <cellStyle name="Normal 7 16 3" xfId="35318" xr:uid="{00000000-0005-0000-0000-0000D9740000}"/>
    <cellStyle name="Normal 7 16 3 2" xfId="42061" xr:uid="{00000000-0005-0000-0000-0000DA740000}"/>
    <cellStyle name="Normal 7 16 4" xfId="35319" xr:uid="{00000000-0005-0000-0000-0000DB740000}"/>
    <cellStyle name="Normal 7 16 4 2" xfId="42062" xr:uid="{00000000-0005-0000-0000-0000DC740000}"/>
    <cellStyle name="Normal 7 16 5" xfId="42059" xr:uid="{00000000-0005-0000-0000-0000DD740000}"/>
    <cellStyle name="Normal 7 17" xfId="35320" xr:uid="{00000000-0005-0000-0000-0000DE740000}"/>
    <cellStyle name="Normal 7 17 2" xfId="35321" xr:uid="{00000000-0005-0000-0000-0000DF740000}"/>
    <cellStyle name="Normal 7 17 2 2" xfId="42064" xr:uid="{00000000-0005-0000-0000-0000E0740000}"/>
    <cellStyle name="Normal 7 17 3" xfId="35322" xr:uid="{00000000-0005-0000-0000-0000E1740000}"/>
    <cellStyle name="Normal 7 17 3 2" xfId="42065" xr:uid="{00000000-0005-0000-0000-0000E2740000}"/>
    <cellStyle name="Normal 7 17 4" xfId="35323" xr:uid="{00000000-0005-0000-0000-0000E3740000}"/>
    <cellStyle name="Normal 7 17 4 2" xfId="42066" xr:uid="{00000000-0005-0000-0000-0000E4740000}"/>
    <cellStyle name="Normal 7 17 5" xfId="42063" xr:uid="{00000000-0005-0000-0000-0000E5740000}"/>
    <cellStyle name="Normal 7 18" xfId="35324" xr:uid="{00000000-0005-0000-0000-0000E6740000}"/>
    <cellStyle name="Normal 7 18 2" xfId="35325" xr:uid="{00000000-0005-0000-0000-0000E7740000}"/>
    <cellStyle name="Normal 7 18 2 2" xfId="35326" xr:uid="{00000000-0005-0000-0000-0000E8740000}"/>
    <cellStyle name="Normal 7 18 2 2 2" xfId="35327" xr:uid="{00000000-0005-0000-0000-0000E9740000}"/>
    <cellStyle name="Normal 7 18 2 2 2 2" xfId="42070" xr:uid="{00000000-0005-0000-0000-0000EA740000}"/>
    <cellStyle name="Normal 7 18 2 2 3" xfId="42069" xr:uid="{00000000-0005-0000-0000-0000EB740000}"/>
    <cellStyle name="Normal 7 18 2 3" xfId="35328" xr:uid="{00000000-0005-0000-0000-0000EC740000}"/>
    <cellStyle name="Normal 7 18 2 3 2" xfId="42071" xr:uid="{00000000-0005-0000-0000-0000ED740000}"/>
    <cellStyle name="Normal 7 18 2 4" xfId="42068" xr:uid="{00000000-0005-0000-0000-0000EE740000}"/>
    <cellStyle name="Normal 7 18 3" xfId="35329" xr:uid="{00000000-0005-0000-0000-0000EF740000}"/>
    <cellStyle name="Normal 7 18 3 2" xfId="35330" xr:uid="{00000000-0005-0000-0000-0000F0740000}"/>
    <cellStyle name="Normal 7 18 3 2 2" xfId="42073" xr:uid="{00000000-0005-0000-0000-0000F1740000}"/>
    <cellStyle name="Normal 7 18 3 3" xfId="42072" xr:uid="{00000000-0005-0000-0000-0000F2740000}"/>
    <cellStyle name="Normal 7 18 4" xfId="35331" xr:uid="{00000000-0005-0000-0000-0000F3740000}"/>
    <cellStyle name="Normal 7 18 4 2" xfId="42074" xr:uid="{00000000-0005-0000-0000-0000F4740000}"/>
    <cellStyle name="Normal 7 18 5" xfId="42067" xr:uid="{00000000-0005-0000-0000-0000F5740000}"/>
    <cellStyle name="Normal 7 19" xfId="35332" xr:uid="{00000000-0005-0000-0000-0000F6740000}"/>
    <cellStyle name="Normal 7 19 2" xfId="42075" xr:uid="{00000000-0005-0000-0000-0000F7740000}"/>
    <cellStyle name="Normal 7 2" xfId="5921" xr:uid="{00000000-0005-0000-0000-0000F8740000}"/>
    <cellStyle name="Normal 7 2 10" xfId="35334" xr:uid="{00000000-0005-0000-0000-0000F9740000}"/>
    <cellStyle name="Normal 7 2 10 2" xfId="35335" xr:uid="{00000000-0005-0000-0000-0000FA740000}"/>
    <cellStyle name="Normal 7 2 11" xfId="35336" xr:uid="{00000000-0005-0000-0000-0000FB740000}"/>
    <cellStyle name="Normal 7 2 12" xfId="35337" xr:uid="{00000000-0005-0000-0000-0000FC740000}"/>
    <cellStyle name="Normal 7 2 13" xfId="35338" xr:uid="{00000000-0005-0000-0000-0000FD740000}"/>
    <cellStyle name="Normal 7 2 14" xfId="35339" xr:uid="{00000000-0005-0000-0000-0000FE740000}"/>
    <cellStyle name="Normal 7 2 15" xfId="35340" xr:uid="{00000000-0005-0000-0000-0000FF740000}"/>
    <cellStyle name="Normal 7 2 16" xfId="35341" xr:uid="{00000000-0005-0000-0000-000000750000}"/>
    <cellStyle name="Normal 7 2 16 2" xfId="42076" xr:uid="{00000000-0005-0000-0000-000001750000}"/>
    <cellStyle name="Normal 7 2 17" xfId="35342" xr:uid="{00000000-0005-0000-0000-000002750000}"/>
    <cellStyle name="Normal 7 2 17 2" xfId="42077" xr:uid="{00000000-0005-0000-0000-000003750000}"/>
    <cellStyle name="Normal 7 2 18" xfId="35333" xr:uid="{00000000-0005-0000-0000-000004750000}"/>
    <cellStyle name="Normal 7 2 2" xfId="5922" xr:uid="{00000000-0005-0000-0000-000005750000}"/>
    <cellStyle name="Normal 7 2 2 10" xfId="35344" xr:uid="{00000000-0005-0000-0000-000006750000}"/>
    <cellStyle name="Normal 7 2 2 10 2" xfId="42078" xr:uid="{00000000-0005-0000-0000-000007750000}"/>
    <cellStyle name="Normal 7 2 2 11" xfId="35343" xr:uid="{00000000-0005-0000-0000-000008750000}"/>
    <cellStyle name="Normal 7 2 2 2" xfId="35345" xr:uid="{00000000-0005-0000-0000-000009750000}"/>
    <cellStyle name="Normal 7 2 2 2 2" xfId="35346" xr:uid="{00000000-0005-0000-0000-00000A750000}"/>
    <cellStyle name="Normal 7 2 2 2 2 2" xfId="35347" xr:uid="{00000000-0005-0000-0000-00000B750000}"/>
    <cellStyle name="Normal 7 2 2 2 2 2 2" xfId="42081" xr:uid="{00000000-0005-0000-0000-00000C750000}"/>
    <cellStyle name="Normal 7 2 2 2 2 3" xfId="35348" xr:uid="{00000000-0005-0000-0000-00000D750000}"/>
    <cellStyle name="Normal 7 2 2 2 2 3 2" xfId="42082" xr:uid="{00000000-0005-0000-0000-00000E750000}"/>
    <cellStyle name="Normal 7 2 2 2 2 4" xfId="35349" xr:uid="{00000000-0005-0000-0000-00000F750000}"/>
    <cellStyle name="Normal 7 2 2 2 2 5" xfId="35350" xr:uid="{00000000-0005-0000-0000-000010750000}"/>
    <cellStyle name="Normal 7 2 2 2 2 6" xfId="42080" xr:uid="{00000000-0005-0000-0000-000011750000}"/>
    <cellStyle name="Normal 7 2 2 2 3" xfId="35351" xr:uid="{00000000-0005-0000-0000-000012750000}"/>
    <cellStyle name="Normal 7 2 2 2 3 2" xfId="35352" xr:uid="{00000000-0005-0000-0000-000013750000}"/>
    <cellStyle name="Normal 7 2 2 2 3 2 2" xfId="42084" xr:uid="{00000000-0005-0000-0000-000014750000}"/>
    <cellStyle name="Normal 7 2 2 2 3 3" xfId="42083" xr:uid="{00000000-0005-0000-0000-000015750000}"/>
    <cellStyle name="Normal 7 2 2 2 4" xfId="35353" xr:uid="{00000000-0005-0000-0000-000016750000}"/>
    <cellStyle name="Normal 7 2 2 2 4 2" xfId="42085" xr:uid="{00000000-0005-0000-0000-000017750000}"/>
    <cellStyle name="Normal 7 2 2 2 5" xfId="35354" xr:uid="{00000000-0005-0000-0000-000018750000}"/>
    <cellStyle name="Normal 7 2 2 2 6" xfId="35355" xr:uid="{00000000-0005-0000-0000-000019750000}"/>
    <cellStyle name="Normal 7 2 2 2 7" xfId="42079" xr:uid="{00000000-0005-0000-0000-00001A750000}"/>
    <cellStyle name="Normal 7 2 2 3" xfId="35356" xr:uid="{00000000-0005-0000-0000-00001B750000}"/>
    <cellStyle name="Normal 7 2 2 3 2" xfId="35357" xr:uid="{00000000-0005-0000-0000-00001C750000}"/>
    <cellStyle name="Normal 7 2 2 3 2 2" xfId="35358" xr:uid="{00000000-0005-0000-0000-00001D750000}"/>
    <cellStyle name="Normal 7 2 2 3 2 2 2" xfId="42088" xr:uid="{00000000-0005-0000-0000-00001E750000}"/>
    <cellStyle name="Normal 7 2 2 3 2 3" xfId="42087" xr:uid="{00000000-0005-0000-0000-00001F750000}"/>
    <cellStyle name="Normal 7 2 2 3 3" xfId="35359" xr:uid="{00000000-0005-0000-0000-000020750000}"/>
    <cellStyle name="Normal 7 2 2 3 3 2" xfId="42089" xr:uid="{00000000-0005-0000-0000-000021750000}"/>
    <cellStyle name="Normal 7 2 2 3 4" xfId="35360" xr:uid="{00000000-0005-0000-0000-000022750000}"/>
    <cellStyle name="Normal 7 2 2 3 5" xfId="35361" xr:uid="{00000000-0005-0000-0000-000023750000}"/>
    <cellStyle name="Normal 7 2 2 3 6" xfId="42086" xr:uid="{00000000-0005-0000-0000-000024750000}"/>
    <cellStyle name="Normal 7 2 2 4" xfId="35362" xr:uid="{00000000-0005-0000-0000-000025750000}"/>
    <cellStyle name="Normal 7 2 2 4 2" xfId="35363" xr:uid="{00000000-0005-0000-0000-000026750000}"/>
    <cellStyle name="Normal 7 2 2 4 2 2" xfId="42091" xr:uid="{00000000-0005-0000-0000-000027750000}"/>
    <cellStyle name="Normal 7 2 2 4 3" xfId="42090" xr:uid="{00000000-0005-0000-0000-000028750000}"/>
    <cellStyle name="Normal 7 2 2 5" xfId="35364" xr:uid="{00000000-0005-0000-0000-000029750000}"/>
    <cellStyle name="Normal 7 2 2 5 2" xfId="42092" xr:uid="{00000000-0005-0000-0000-00002A750000}"/>
    <cellStyle name="Normal 7 2 2 6" xfId="35365" xr:uid="{00000000-0005-0000-0000-00002B750000}"/>
    <cellStyle name="Normal 7 2 2 6 2" xfId="35366" xr:uid="{00000000-0005-0000-0000-00002C750000}"/>
    <cellStyle name="Normal 7 2 2 6 3" xfId="42093" xr:uid="{00000000-0005-0000-0000-00002D750000}"/>
    <cellStyle name="Normal 7 2 2 7" xfId="35367" xr:uid="{00000000-0005-0000-0000-00002E750000}"/>
    <cellStyle name="Normal 7 2 2 7 2" xfId="35368" xr:uid="{00000000-0005-0000-0000-00002F750000}"/>
    <cellStyle name="Normal 7 2 2 7 3" xfId="42094" xr:uid="{00000000-0005-0000-0000-000030750000}"/>
    <cellStyle name="Normal 7 2 2 8" xfId="35369" xr:uid="{00000000-0005-0000-0000-000031750000}"/>
    <cellStyle name="Normal 7 2 2 8 2" xfId="42095" xr:uid="{00000000-0005-0000-0000-000032750000}"/>
    <cellStyle name="Normal 7 2 2 9" xfId="35370" xr:uid="{00000000-0005-0000-0000-000033750000}"/>
    <cellStyle name="Normal 7 2 2 9 2" xfId="42096" xr:uid="{00000000-0005-0000-0000-000034750000}"/>
    <cellStyle name="Normal 7 2 3" xfId="5923" xr:uid="{00000000-0005-0000-0000-000035750000}"/>
    <cellStyle name="Normal 7 2 3 2" xfId="35372" xr:uid="{00000000-0005-0000-0000-000036750000}"/>
    <cellStyle name="Normal 7 2 3 2 2" xfId="35373" xr:uid="{00000000-0005-0000-0000-000037750000}"/>
    <cellStyle name="Normal 7 2 3 2 2 2" xfId="42098" xr:uid="{00000000-0005-0000-0000-000038750000}"/>
    <cellStyle name="Normal 7 2 3 2 3" xfId="35374" xr:uid="{00000000-0005-0000-0000-000039750000}"/>
    <cellStyle name="Normal 7 2 3 2 3 2" xfId="42099" xr:uid="{00000000-0005-0000-0000-00003A750000}"/>
    <cellStyle name="Normal 7 2 3 2 4" xfId="35375" xr:uid="{00000000-0005-0000-0000-00003B750000}"/>
    <cellStyle name="Normal 7 2 3 2 5" xfId="35376" xr:uid="{00000000-0005-0000-0000-00003C750000}"/>
    <cellStyle name="Normal 7 2 3 2 6" xfId="42097" xr:uid="{00000000-0005-0000-0000-00003D750000}"/>
    <cellStyle name="Normal 7 2 3 3" xfId="35377" xr:uid="{00000000-0005-0000-0000-00003E750000}"/>
    <cellStyle name="Normal 7 2 3 3 2" xfId="35378" xr:uid="{00000000-0005-0000-0000-00003F750000}"/>
    <cellStyle name="Normal 7 2 3 3 2 2" xfId="42101" xr:uid="{00000000-0005-0000-0000-000040750000}"/>
    <cellStyle name="Normal 7 2 3 3 3" xfId="42100" xr:uid="{00000000-0005-0000-0000-000041750000}"/>
    <cellStyle name="Normal 7 2 3 4" xfId="35379" xr:uid="{00000000-0005-0000-0000-000042750000}"/>
    <cellStyle name="Normal 7 2 3 4 2" xfId="42102" xr:uid="{00000000-0005-0000-0000-000043750000}"/>
    <cellStyle name="Normal 7 2 3 5" xfId="35380" xr:uid="{00000000-0005-0000-0000-000044750000}"/>
    <cellStyle name="Normal 7 2 3 5 2" xfId="35381" xr:uid="{00000000-0005-0000-0000-000045750000}"/>
    <cellStyle name="Normal 7 2 3 5 3" xfId="42103" xr:uid="{00000000-0005-0000-0000-000046750000}"/>
    <cellStyle name="Normal 7 2 3 6" xfId="35382" xr:uid="{00000000-0005-0000-0000-000047750000}"/>
    <cellStyle name="Normal 7 2 3 6 2" xfId="35383" xr:uid="{00000000-0005-0000-0000-000048750000}"/>
    <cellStyle name="Normal 7 2 3 6 3" xfId="42104" xr:uid="{00000000-0005-0000-0000-000049750000}"/>
    <cellStyle name="Normal 7 2 3 7" xfId="35384" xr:uid="{00000000-0005-0000-0000-00004A750000}"/>
    <cellStyle name="Normal 7 2 3 7 2" xfId="42105" xr:uid="{00000000-0005-0000-0000-00004B750000}"/>
    <cellStyle name="Normal 7 2 3 8" xfId="35371" xr:uid="{00000000-0005-0000-0000-00004C750000}"/>
    <cellStyle name="Normal 7 2 4" xfId="35385" xr:uid="{00000000-0005-0000-0000-00004D750000}"/>
    <cellStyle name="Normal 7 2 4 2" xfId="35386" xr:uid="{00000000-0005-0000-0000-00004E750000}"/>
    <cellStyle name="Normal 7 2 4 2 2" xfId="35387" xr:uid="{00000000-0005-0000-0000-00004F750000}"/>
    <cellStyle name="Normal 7 2 4 2 2 2" xfId="42107" xr:uid="{00000000-0005-0000-0000-000050750000}"/>
    <cellStyle name="Normal 7 2 4 2 3" xfId="42106" xr:uid="{00000000-0005-0000-0000-000051750000}"/>
    <cellStyle name="Normal 7 2 4 3" xfId="35388" xr:uid="{00000000-0005-0000-0000-000052750000}"/>
    <cellStyle name="Normal 7 2 4 3 2" xfId="42108" xr:uid="{00000000-0005-0000-0000-000053750000}"/>
    <cellStyle name="Normal 7 2 4 4" xfId="35389" xr:uid="{00000000-0005-0000-0000-000054750000}"/>
    <cellStyle name="Normal 7 2 4 4 2" xfId="35390" xr:uid="{00000000-0005-0000-0000-000055750000}"/>
    <cellStyle name="Normal 7 2 4 4 3" xfId="42109" xr:uid="{00000000-0005-0000-0000-000056750000}"/>
    <cellStyle name="Normal 7 2 4 5" xfId="35391" xr:uid="{00000000-0005-0000-0000-000057750000}"/>
    <cellStyle name="Normal 7 2 4 5 2" xfId="35392" xr:uid="{00000000-0005-0000-0000-000058750000}"/>
    <cellStyle name="Normal 7 2 4 5 3" xfId="42110" xr:uid="{00000000-0005-0000-0000-000059750000}"/>
    <cellStyle name="Normal 7 2 4 6" xfId="35393" xr:uid="{00000000-0005-0000-0000-00005A750000}"/>
    <cellStyle name="Normal 7 2 4 6 2" xfId="42111" xr:uid="{00000000-0005-0000-0000-00005B750000}"/>
    <cellStyle name="Normal 7 2 5" xfId="35394" xr:uid="{00000000-0005-0000-0000-00005C750000}"/>
    <cellStyle name="Normal 7 2 5 2" xfId="35395" xr:uid="{00000000-0005-0000-0000-00005D750000}"/>
    <cellStyle name="Normal 7 2 5 2 2" xfId="35396" xr:uid="{00000000-0005-0000-0000-00005E750000}"/>
    <cellStyle name="Normal 7 2 5 2 2 2" xfId="35397" xr:uid="{00000000-0005-0000-0000-00005F750000}"/>
    <cellStyle name="Normal 7 2 5 2 2 2 2" xfId="42114" xr:uid="{00000000-0005-0000-0000-000060750000}"/>
    <cellStyle name="Normal 7 2 5 2 2 3" xfId="42113" xr:uid="{00000000-0005-0000-0000-000061750000}"/>
    <cellStyle name="Normal 7 2 5 2 3" xfId="35398" xr:uid="{00000000-0005-0000-0000-000062750000}"/>
    <cellStyle name="Normal 7 2 5 2 3 2" xfId="42115" xr:uid="{00000000-0005-0000-0000-000063750000}"/>
    <cellStyle name="Normal 7 2 5 2 4" xfId="35399" xr:uid="{00000000-0005-0000-0000-000064750000}"/>
    <cellStyle name="Normal 7 2 5 2 4 2" xfId="42116" xr:uid="{00000000-0005-0000-0000-000065750000}"/>
    <cellStyle name="Normal 7 2 5 2 5" xfId="42112" xr:uid="{00000000-0005-0000-0000-000066750000}"/>
    <cellStyle name="Normal 7 2 5 3" xfId="35400" xr:uid="{00000000-0005-0000-0000-000067750000}"/>
    <cellStyle name="Normal 7 2 5 3 2" xfId="35401" xr:uid="{00000000-0005-0000-0000-000068750000}"/>
    <cellStyle name="Normal 7 2 5 3 2 2" xfId="42118" xr:uid="{00000000-0005-0000-0000-000069750000}"/>
    <cellStyle name="Normal 7 2 5 3 3" xfId="42117" xr:uid="{00000000-0005-0000-0000-00006A750000}"/>
    <cellStyle name="Normal 7 2 5 4" xfId="35402" xr:uid="{00000000-0005-0000-0000-00006B750000}"/>
    <cellStyle name="Normal 7 2 5 4 2" xfId="42119" xr:uid="{00000000-0005-0000-0000-00006C750000}"/>
    <cellStyle name="Normal 7 2 5 5" xfId="35403" xr:uid="{00000000-0005-0000-0000-00006D750000}"/>
    <cellStyle name="Normal 7 2 5 5 2" xfId="42120" xr:uid="{00000000-0005-0000-0000-00006E750000}"/>
    <cellStyle name="Normal 7 2 5 6" xfId="35404" xr:uid="{00000000-0005-0000-0000-00006F750000}"/>
    <cellStyle name="Normal 7 2 5 6 2" xfId="42121" xr:uid="{00000000-0005-0000-0000-000070750000}"/>
    <cellStyle name="Normal 7 2 5 7" xfId="35405" xr:uid="{00000000-0005-0000-0000-000071750000}"/>
    <cellStyle name="Normal 7 2 5 7 2" xfId="42122" xr:uid="{00000000-0005-0000-0000-000072750000}"/>
    <cellStyle name="Normal 7 2 6" xfId="35406" xr:uid="{00000000-0005-0000-0000-000073750000}"/>
    <cellStyle name="Normal 7 2 6 2" xfId="35407" xr:uid="{00000000-0005-0000-0000-000074750000}"/>
    <cellStyle name="Normal 7 2 6 2 2" xfId="42123" xr:uid="{00000000-0005-0000-0000-000075750000}"/>
    <cellStyle name="Normal 7 2 6 3" xfId="35408" xr:uid="{00000000-0005-0000-0000-000076750000}"/>
    <cellStyle name="Normal 7 2 6 3 2" xfId="42124" xr:uid="{00000000-0005-0000-0000-000077750000}"/>
    <cellStyle name="Normal 7 2 6 4" xfId="35409" xr:uid="{00000000-0005-0000-0000-000078750000}"/>
    <cellStyle name="Normal 7 2 6 4 2" xfId="42125" xr:uid="{00000000-0005-0000-0000-000079750000}"/>
    <cellStyle name="Normal 7 2 7" xfId="35410" xr:uid="{00000000-0005-0000-0000-00007A750000}"/>
    <cellStyle name="Normal 7 2 7 2" xfId="35411" xr:uid="{00000000-0005-0000-0000-00007B750000}"/>
    <cellStyle name="Normal 7 2 7 2 2" xfId="42126" xr:uid="{00000000-0005-0000-0000-00007C750000}"/>
    <cellStyle name="Normal 7 2 7 3" xfId="35412" xr:uid="{00000000-0005-0000-0000-00007D750000}"/>
    <cellStyle name="Normal 7 2 7 3 2" xfId="42127" xr:uid="{00000000-0005-0000-0000-00007E750000}"/>
    <cellStyle name="Normal 7 2 7 4" xfId="35413" xr:uid="{00000000-0005-0000-0000-00007F750000}"/>
    <cellStyle name="Normal 7 2 8" xfId="35414" xr:uid="{00000000-0005-0000-0000-000080750000}"/>
    <cellStyle name="Normal 7 2 8 2" xfId="35415" xr:uid="{00000000-0005-0000-0000-000081750000}"/>
    <cellStyle name="Normal 7 2 8 2 2" xfId="35416" xr:uid="{00000000-0005-0000-0000-000082750000}"/>
    <cellStyle name="Normal 7 2 8 2 3" xfId="42128" xr:uid="{00000000-0005-0000-0000-000083750000}"/>
    <cellStyle name="Normal 7 2 8 3" xfId="35417" xr:uid="{00000000-0005-0000-0000-000084750000}"/>
    <cellStyle name="Normal 7 2 8 3 2" xfId="35418" xr:uid="{00000000-0005-0000-0000-000085750000}"/>
    <cellStyle name="Normal 7 2 8 3 3" xfId="42129" xr:uid="{00000000-0005-0000-0000-000086750000}"/>
    <cellStyle name="Normal 7 2 8 4" xfId="35419" xr:uid="{00000000-0005-0000-0000-000087750000}"/>
    <cellStyle name="Normal 7 2 9" xfId="35420" xr:uid="{00000000-0005-0000-0000-000088750000}"/>
    <cellStyle name="Normal 7 2 9 2" xfId="35421" xr:uid="{00000000-0005-0000-0000-000089750000}"/>
    <cellStyle name="Normal 7 2 9 2 2" xfId="42130" xr:uid="{00000000-0005-0000-0000-00008A750000}"/>
    <cellStyle name="Normal 7 2 9 3" xfId="35422" xr:uid="{00000000-0005-0000-0000-00008B750000}"/>
    <cellStyle name="Normal 7 2 9 3 2" xfId="42131" xr:uid="{00000000-0005-0000-0000-00008C750000}"/>
    <cellStyle name="Normal 7 2 9 4" xfId="35423" xr:uid="{00000000-0005-0000-0000-00008D750000}"/>
    <cellStyle name="Normal 7 20" xfId="35424" xr:uid="{00000000-0005-0000-0000-00008E750000}"/>
    <cellStyle name="Normal 7 20 2" xfId="35425" xr:uid="{00000000-0005-0000-0000-00008F750000}"/>
    <cellStyle name="Normal 7 20 2 2" xfId="35426" xr:uid="{00000000-0005-0000-0000-000090750000}"/>
    <cellStyle name="Normal 7 20 2 2 2" xfId="42134" xr:uid="{00000000-0005-0000-0000-000091750000}"/>
    <cellStyle name="Normal 7 20 2 3" xfId="42133" xr:uid="{00000000-0005-0000-0000-000092750000}"/>
    <cellStyle name="Normal 7 20 3" xfId="35427" xr:uid="{00000000-0005-0000-0000-000093750000}"/>
    <cellStyle name="Normal 7 20 3 2" xfId="42135" xr:uid="{00000000-0005-0000-0000-000094750000}"/>
    <cellStyle name="Normal 7 20 4" xfId="42132" xr:uid="{00000000-0005-0000-0000-000095750000}"/>
    <cellStyle name="Normal 7 21" xfId="35428" xr:uid="{00000000-0005-0000-0000-000096750000}"/>
    <cellStyle name="Normal 7 21 2" xfId="35429" xr:uid="{00000000-0005-0000-0000-000097750000}"/>
    <cellStyle name="Normal 7 21 2 2" xfId="42137" xr:uid="{00000000-0005-0000-0000-000098750000}"/>
    <cellStyle name="Normal 7 21 3" xfId="42136" xr:uid="{00000000-0005-0000-0000-000099750000}"/>
    <cellStyle name="Normal 7 22" xfId="35430" xr:uid="{00000000-0005-0000-0000-00009A750000}"/>
    <cellStyle name="Normal 7 22 2" xfId="42138" xr:uid="{00000000-0005-0000-0000-00009B750000}"/>
    <cellStyle name="Normal 7 23" xfId="35431" xr:uid="{00000000-0005-0000-0000-00009C750000}"/>
    <cellStyle name="Normal 7 23 2" xfId="42139" xr:uid="{00000000-0005-0000-0000-00009D750000}"/>
    <cellStyle name="Normal 7 24" xfId="35432" xr:uid="{00000000-0005-0000-0000-00009E750000}"/>
    <cellStyle name="Normal 7 24 2" xfId="42140" xr:uid="{00000000-0005-0000-0000-00009F750000}"/>
    <cellStyle name="Normal 7 25" xfId="35433" xr:uid="{00000000-0005-0000-0000-0000A0750000}"/>
    <cellStyle name="Normal 7 25 2" xfId="42141" xr:uid="{00000000-0005-0000-0000-0000A1750000}"/>
    <cellStyle name="Normal 7 26" xfId="35434" xr:uid="{00000000-0005-0000-0000-0000A2750000}"/>
    <cellStyle name="Normal 7 26 2" xfId="42142" xr:uid="{00000000-0005-0000-0000-0000A3750000}"/>
    <cellStyle name="Normal 7 27" xfId="35286" xr:uid="{00000000-0005-0000-0000-0000A4750000}"/>
    <cellStyle name="Normal 7 28" xfId="5917" xr:uid="{00000000-0005-0000-0000-0000A5750000}"/>
    <cellStyle name="Normal 7 3" xfId="5924" xr:uid="{00000000-0005-0000-0000-0000A6750000}"/>
    <cellStyle name="Normal 7 3 10" xfId="35436" xr:uid="{00000000-0005-0000-0000-0000A7750000}"/>
    <cellStyle name="Normal 7 3 10 2" xfId="42143" xr:uid="{00000000-0005-0000-0000-0000A8750000}"/>
    <cellStyle name="Normal 7 3 11" xfId="35435" xr:uid="{00000000-0005-0000-0000-0000A9750000}"/>
    <cellStyle name="Normal 7 3 2" xfId="5925" xr:uid="{00000000-0005-0000-0000-0000AA750000}"/>
    <cellStyle name="Normal 7 3 2 2" xfId="35438" xr:uid="{00000000-0005-0000-0000-0000AB750000}"/>
    <cellStyle name="Normal 7 3 2 2 2" xfId="35439" xr:uid="{00000000-0005-0000-0000-0000AC750000}"/>
    <cellStyle name="Normal 7 3 2 2 2 2" xfId="42146" xr:uid="{00000000-0005-0000-0000-0000AD750000}"/>
    <cellStyle name="Normal 7 3 2 2 3" xfId="35440" xr:uid="{00000000-0005-0000-0000-0000AE750000}"/>
    <cellStyle name="Normal 7 3 2 2 3 2" xfId="42147" xr:uid="{00000000-0005-0000-0000-0000AF750000}"/>
    <cellStyle name="Normal 7 3 2 2 4" xfId="35441" xr:uid="{00000000-0005-0000-0000-0000B0750000}"/>
    <cellStyle name="Normal 7 3 2 2 5" xfId="35442" xr:uid="{00000000-0005-0000-0000-0000B1750000}"/>
    <cellStyle name="Normal 7 3 2 2 6" xfId="42145" xr:uid="{00000000-0005-0000-0000-0000B2750000}"/>
    <cellStyle name="Normal 7 3 2 3" xfId="35443" xr:uid="{00000000-0005-0000-0000-0000B3750000}"/>
    <cellStyle name="Normal 7 3 2 3 2" xfId="35444" xr:uid="{00000000-0005-0000-0000-0000B4750000}"/>
    <cellStyle name="Normal 7 3 2 3 2 2" xfId="42149" xr:uid="{00000000-0005-0000-0000-0000B5750000}"/>
    <cellStyle name="Normal 7 3 2 3 3" xfId="42148" xr:uid="{00000000-0005-0000-0000-0000B6750000}"/>
    <cellStyle name="Normal 7 3 2 4" xfId="35445" xr:uid="{00000000-0005-0000-0000-0000B7750000}"/>
    <cellStyle name="Normal 7 3 2 4 2" xfId="42150" xr:uid="{00000000-0005-0000-0000-0000B8750000}"/>
    <cellStyle name="Normal 7 3 2 5" xfId="35446" xr:uid="{00000000-0005-0000-0000-0000B9750000}"/>
    <cellStyle name="Normal 7 3 2 5 2" xfId="35447" xr:uid="{00000000-0005-0000-0000-0000BA750000}"/>
    <cellStyle name="Normal 7 3 2 5 3" xfId="42151" xr:uid="{00000000-0005-0000-0000-0000BB750000}"/>
    <cellStyle name="Normal 7 3 2 6" xfId="35448" xr:uid="{00000000-0005-0000-0000-0000BC750000}"/>
    <cellStyle name="Normal 7 3 2 7" xfId="42144" xr:uid="{00000000-0005-0000-0000-0000BD750000}"/>
    <cellStyle name="Normal 7 3 2 8" xfId="35437" xr:uid="{00000000-0005-0000-0000-0000BE750000}"/>
    <cellStyle name="Normal 7 3 3" xfId="5926" xr:uid="{00000000-0005-0000-0000-0000BF750000}"/>
    <cellStyle name="Normal 7 3 3 2" xfId="35450" xr:uid="{00000000-0005-0000-0000-0000C0750000}"/>
    <cellStyle name="Normal 7 3 3 2 2" xfId="35451" xr:uid="{00000000-0005-0000-0000-0000C1750000}"/>
    <cellStyle name="Normal 7 3 3 2 2 2" xfId="42154" xr:uid="{00000000-0005-0000-0000-0000C2750000}"/>
    <cellStyle name="Normal 7 3 3 2 3" xfId="42153" xr:uid="{00000000-0005-0000-0000-0000C3750000}"/>
    <cellStyle name="Normal 7 3 3 3" xfId="35452" xr:uid="{00000000-0005-0000-0000-0000C4750000}"/>
    <cellStyle name="Normal 7 3 3 3 2" xfId="42155" xr:uid="{00000000-0005-0000-0000-0000C5750000}"/>
    <cellStyle name="Normal 7 3 3 4" xfId="35453" xr:uid="{00000000-0005-0000-0000-0000C6750000}"/>
    <cellStyle name="Normal 7 3 3 4 2" xfId="35454" xr:uid="{00000000-0005-0000-0000-0000C7750000}"/>
    <cellStyle name="Normal 7 3 3 4 3" xfId="42156" xr:uid="{00000000-0005-0000-0000-0000C8750000}"/>
    <cellStyle name="Normal 7 3 3 5" xfId="35455" xr:uid="{00000000-0005-0000-0000-0000C9750000}"/>
    <cellStyle name="Normal 7 3 3 6" xfId="42152" xr:uid="{00000000-0005-0000-0000-0000CA750000}"/>
    <cellStyle name="Normal 7 3 3 7" xfId="35449" xr:uid="{00000000-0005-0000-0000-0000CB750000}"/>
    <cellStyle name="Normal 7 3 4" xfId="35456" xr:uid="{00000000-0005-0000-0000-0000CC750000}"/>
    <cellStyle name="Normal 7 3 4 2" xfId="35457" xr:uid="{00000000-0005-0000-0000-0000CD750000}"/>
    <cellStyle name="Normal 7 3 4 2 2" xfId="42158" xr:uid="{00000000-0005-0000-0000-0000CE750000}"/>
    <cellStyle name="Normal 7 3 4 3" xfId="35458" xr:uid="{00000000-0005-0000-0000-0000CF750000}"/>
    <cellStyle name="Normal 7 3 4 3 2" xfId="42159" xr:uid="{00000000-0005-0000-0000-0000D0750000}"/>
    <cellStyle name="Normal 7 3 4 4" xfId="42157" xr:uid="{00000000-0005-0000-0000-0000D1750000}"/>
    <cellStyle name="Normal 7 3 5" xfId="35459" xr:uid="{00000000-0005-0000-0000-0000D2750000}"/>
    <cellStyle name="Normal 7 3 5 2" xfId="42160" xr:uid="{00000000-0005-0000-0000-0000D3750000}"/>
    <cellStyle name="Normal 7 3 6" xfId="35460" xr:uid="{00000000-0005-0000-0000-0000D4750000}"/>
    <cellStyle name="Normal 7 3 6 2" xfId="35461" xr:uid="{00000000-0005-0000-0000-0000D5750000}"/>
    <cellStyle name="Normal 7 3 6 3" xfId="42161" xr:uid="{00000000-0005-0000-0000-0000D6750000}"/>
    <cellStyle name="Normal 7 3 7" xfId="35462" xr:uid="{00000000-0005-0000-0000-0000D7750000}"/>
    <cellStyle name="Normal 7 3 7 2" xfId="35463" xr:uid="{00000000-0005-0000-0000-0000D8750000}"/>
    <cellStyle name="Normal 7 3 7 3" xfId="42162" xr:uid="{00000000-0005-0000-0000-0000D9750000}"/>
    <cellStyle name="Normal 7 3 8" xfId="35464" xr:uid="{00000000-0005-0000-0000-0000DA750000}"/>
    <cellStyle name="Normal 7 3 8 2" xfId="42163" xr:uid="{00000000-0005-0000-0000-0000DB750000}"/>
    <cellStyle name="Normal 7 3 9" xfId="35465" xr:uid="{00000000-0005-0000-0000-0000DC750000}"/>
    <cellStyle name="Normal 7 3 9 2" xfId="42164" xr:uid="{00000000-0005-0000-0000-0000DD750000}"/>
    <cellStyle name="Normal 7 4" xfId="5927" xr:uid="{00000000-0005-0000-0000-0000DE750000}"/>
    <cellStyle name="Normal 7 4 2" xfId="5928" xr:uid="{00000000-0005-0000-0000-0000DF750000}"/>
    <cellStyle name="Normal 7 4 2 2" xfId="35468" xr:uid="{00000000-0005-0000-0000-0000E0750000}"/>
    <cellStyle name="Normal 7 4 2 2 2" xfId="35469" xr:uid="{00000000-0005-0000-0000-0000E1750000}"/>
    <cellStyle name="Normal 7 4 2 2 2 2" xfId="42168" xr:uid="{00000000-0005-0000-0000-0000E2750000}"/>
    <cellStyle name="Normal 7 4 2 2 3" xfId="35470" xr:uid="{00000000-0005-0000-0000-0000E3750000}"/>
    <cellStyle name="Normal 7 4 2 2 3 2" xfId="42169" xr:uid="{00000000-0005-0000-0000-0000E4750000}"/>
    <cellStyle name="Normal 7 4 2 2 4" xfId="42167" xr:uid="{00000000-0005-0000-0000-0000E5750000}"/>
    <cellStyle name="Normal 7 4 2 3" xfId="35471" xr:uid="{00000000-0005-0000-0000-0000E6750000}"/>
    <cellStyle name="Normal 7 4 2 3 2" xfId="42170" xr:uid="{00000000-0005-0000-0000-0000E7750000}"/>
    <cellStyle name="Normal 7 4 2 4" xfId="35472" xr:uid="{00000000-0005-0000-0000-0000E8750000}"/>
    <cellStyle name="Normal 7 4 2 4 2" xfId="35473" xr:uid="{00000000-0005-0000-0000-0000E9750000}"/>
    <cellStyle name="Normal 7 4 2 4 3" xfId="42171" xr:uid="{00000000-0005-0000-0000-0000EA750000}"/>
    <cellStyle name="Normal 7 4 2 5" xfId="35474" xr:uid="{00000000-0005-0000-0000-0000EB750000}"/>
    <cellStyle name="Normal 7 4 2 5 2" xfId="35475" xr:uid="{00000000-0005-0000-0000-0000EC750000}"/>
    <cellStyle name="Normal 7 4 2 5 3" xfId="42172" xr:uid="{00000000-0005-0000-0000-0000ED750000}"/>
    <cellStyle name="Normal 7 4 2 6" xfId="42166" xr:uid="{00000000-0005-0000-0000-0000EE750000}"/>
    <cellStyle name="Normal 7 4 2 7" xfId="35467" xr:uid="{00000000-0005-0000-0000-0000EF750000}"/>
    <cellStyle name="Normal 7 4 3" xfId="5929" xr:uid="{00000000-0005-0000-0000-0000F0750000}"/>
    <cellStyle name="Normal 7 4 3 2" xfId="35477" xr:uid="{00000000-0005-0000-0000-0000F1750000}"/>
    <cellStyle name="Normal 7 4 3 2 2" xfId="42174" xr:uid="{00000000-0005-0000-0000-0000F2750000}"/>
    <cellStyle name="Normal 7 4 3 3" xfId="35478" xr:uid="{00000000-0005-0000-0000-0000F3750000}"/>
    <cellStyle name="Normal 7 4 3 3 2" xfId="42175" xr:uid="{00000000-0005-0000-0000-0000F4750000}"/>
    <cellStyle name="Normal 7 4 3 4" xfId="35479" xr:uid="{00000000-0005-0000-0000-0000F5750000}"/>
    <cellStyle name="Normal 7 4 3 4 2" xfId="42176" xr:uid="{00000000-0005-0000-0000-0000F6750000}"/>
    <cellStyle name="Normal 7 4 3 5" xfId="42173" xr:uid="{00000000-0005-0000-0000-0000F7750000}"/>
    <cellStyle name="Normal 7 4 3 6" xfId="35476" xr:uid="{00000000-0005-0000-0000-0000F8750000}"/>
    <cellStyle name="Normal 7 4 4" xfId="35480" xr:uid="{00000000-0005-0000-0000-0000F9750000}"/>
    <cellStyle name="Normal 7 4 4 2" xfId="35481" xr:uid="{00000000-0005-0000-0000-0000FA750000}"/>
    <cellStyle name="Normal 7 4 4 2 2" xfId="42178" xr:uid="{00000000-0005-0000-0000-0000FB750000}"/>
    <cellStyle name="Normal 7 4 4 3" xfId="35482" xr:uid="{00000000-0005-0000-0000-0000FC750000}"/>
    <cellStyle name="Normal 7 4 4 3 2" xfId="42179" xr:uid="{00000000-0005-0000-0000-0000FD750000}"/>
    <cellStyle name="Normal 7 4 4 4" xfId="42177" xr:uid="{00000000-0005-0000-0000-0000FE750000}"/>
    <cellStyle name="Normal 7 4 5" xfId="35483" xr:uid="{00000000-0005-0000-0000-0000FF750000}"/>
    <cellStyle name="Normal 7 4 5 2" xfId="35484" xr:uid="{00000000-0005-0000-0000-000000760000}"/>
    <cellStyle name="Normal 7 4 5 3" xfId="42180" xr:uid="{00000000-0005-0000-0000-000001760000}"/>
    <cellStyle name="Normal 7 4 6" xfId="35485" xr:uid="{00000000-0005-0000-0000-000002760000}"/>
    <cellStyle name="Normal 7 4 6 2" xfId="35486" xr:uid="{00000000-0005-0000-0000-000003760000}"/>
    <cellStyle name="Normal 7 4 6 3" xfId="42181" xr:uid="{00000000-0005-0000-0000-000004760000}"/>
    <cellStyle name="Normal 7 4 7" xfId="42165" xr:uid="{00000000-0005-0000-0000-000005760000}"/>
    <cellStyle name="Normal 7 4 8" xfId="35466" xr:uid="{00000000-0005-0000-0000-000006760000}"/>
    <cellStyle name="Normal 7 5" xfId="5930" xr:uid="{00000000-0005-0000-0000-000007760000}"/>
    <cellStyle name="Normal 7 5 2" xfId="5931" xr:uid="{00000000-0005-0000-0000-000008760000}"/>
    <cellStyle name="Normal 7 5 2 2" xfId="35489" xr:uid="{00000000-0005-0000-0000-000009760000}"/>
    <cellStyle name="Normal 7 5 2 2 2" xfId="42184" xr:uid="{00000000-0005-0000-0000-00000A760000}"/>
    <cellStyle name="Normal 7 5 2 3" xfId="42183" xr:uid="{00000000-0005-0000-0000-00000B760000}"/>
    <cellStyle name="Normal 7 5 2 4" xfId="35488" xr:uid="{00000000-0005-0000-0000-00000C760000}"/>
    <cellStyle name="Normal 7 5 3" xfId="5932" xr:uid="{00000000-0005-0000-0000-00000D760000}"/>
    <cellStyle name="Normal 7 5 3 2" xfId="35491" xr:uid="{00000000-0005-0000-0000-00000E760000}"/>
    <cellStyle name="Normal 7 5 3 2 2" xfId="42186" xr:uid="{00000000-0005-0000-0000-00000F760000}"/>
    <cellStyle name="Normal 7 5 3 3" xfId="35492" xr:uid="{00000000-0005-0000-0000-000010760000}"/>
    <cellStyle name="Normal 7 5 3 3 2" xfId="42187" xr:uid="{00000000-0005-0000-0000-000011760000}"/>
    <cellStyle name="Normal 7 5 3 4" xfId="35493" xr:uid="{00000000-0005-0000-0000-000012760000}"/>
    <cellStyle name="Normal 7 5 3 4 2" xfId="42188" xr:uid="{00000000-0005-0000-0000-000013760000}"/>
    <cellStyle name="Normal 7 5 3 5" xfId="42185" xr:uid="{00000000-0005-0000-0000-000014760000}"/>
    <cellStyle name="Normal 7 5 3 6" xfId="35490" xr:uid="{00000000-0005-0000-0000-000015760000}"/>
    <cellStyle name="Normal 7 5 4" xfId="35494" xr:uid="{00000000-0005-0000-0000-000016760000}"/>
    <cellStyle name="Normal 7 5 4 2" xfId="35495" xr:uid="{00000000-0005-0000-0000-000017760000}"/>
    <cellStyle name="Normal 7 5 4 2 2" xfId="42190" xr:uid="{00000000-0005-0000-0000-000018760000}"/>
    <cellStyle name="Normal 7 5 4 3" xfId="35496" xr:uid="{00000000-0005-0000-0000-000019760000}"/>
    <cellStyle name="Normal 7 5 4 3 2" xfId="42191" xr:uid="{00000000-0005-0000-0000-00001A760000}"/>
    <cellStyle name="Normal 7 5 4 4" xfId="35497" xr:uid="{00000000-0005-0000-0000-00001B760000}"/>
    <cellStyle name="Normal 7 5 4 5" xfId="42189" xr:uid="{00000000-0005-0000-0000-00001C760000}"/>
    <cellStyle name="Normal 7 5 5" xfId="35498" xr:uid="{00000000-0005-0000-0000-00001D760000}"/>
    <cellStyle name="Normal 7 5 5 2" xfId="35499" xr:uid="{00000000-0005-0000-0000-00001E760000}"/>
    <cellStyle name="Normal 7 5 5 3" xfId="42192" xr:uid="{00000000-0005-0000-0000-00001F760000}"/>
    <cellStyle name="Normal 7 5 6" xfId="35500" xr:uid="{00000000-0005-0000-0000-000020760000}"/>
    <cellStyle name="Normal 7 5 6 2" xfId="42193" xr:uid="{00000000-0005-0000-0000-000021760000}"/>
    <cellStyle name="Normal 7 5 7" xfId="42182" xr:uid="{00000000-0005-0000-0000-000022760000}"/>
    <cellStyle name="Normal 7 5 8" xfId="35487" xr:uid="{00000000-0005-0000-0000-000023760000}"/>
    <cellStyle name="Normal 7 6" xfId="5933" xr:uid="{00000000-0005-0000-0000-000024760000}"/>
    <cellStyle name="Normal 7 6 2" xfId="5934" xr:uid="{00000000-0005-0000-0000-000025760000}"/>
    <cellStyle name="Normal 7 6 2 2" xfId="35503" xr:uid="{00000000-0005-0000-0000-000026760000}"/>
    <cellStyle name="Normal 7 6 2 2 2" xfId="35504" xr:uid="{00000000-0005-0000-0000-000027760000}"/>
    <cellStyle name="Normal 7 6 2 2 3" xfId="35505" xr:uid="{00000000-0005-0000-0000-000028760000}"/>
    <cellStyle name="Normal 7 6 2 2 4" xfId="35506" xr:uid="{00000000-0005-0000-0000-000029760000}"/>
    <cellStyle name="Normal 7 6 2 2 5" xfId="42196" xr:uid="{00000000-0005-0000-0000-00002A760000}"/>
    <cellStyle name="Normal 7 6 2 3" xfId="35507" xr:uid="{00000000-0005-0000-0000-00002B760000}"/>
    <cellStyle name="Normal 7 6 2 3 2" xfId="35508" xr:uid="{00000000-0005-0000-0000-00002C760000}"/>
    <cellStyle name="Normal 7 6 2 3 3" xfId="42197" xr:uid="{00000000-0005-0000-0000-00002D760000}"/>
    <cellStyle name="Normal 7 6 2 4" xfId="35509" xr:uid="{00000000-0005-0000-0000-00002E760000}"/>
    <cellStyle name="Normal 7 6 2 4 2" xfId="35510" xr:uid="{00000000-0005-0000-0000-00002F760000}"/>
    <cellStyle name="Normal 7 6 2 4 3" xfId="42198" xr:uid="{00000000-0005-0000-0000-000030760000}"/>
    <cellStyle name="Normal 7 6 2 5" xfId="35511" xr:uid="{00000000-0005-0000-0000-000031760000}"/>
    <cellStyle name="Normal 7 6 2 6" xfId="42195" xr:uid="{00000000-0005-0000-0000-000032760000}"/>
    <cellStyle name="Normal 7 6 2 7" xfId="35502" xr:uid="{00000000-0005-0000-0000-000033760000}"/>
    <cellStyle name="Normal 7 6 3" xfId="5935" xr:uid="{00000000-0005-0000-0000-000034760000}"/>
    <cellStyle name="Normal 7 6 3 2" xfId="35513" xr:uid="{00000000-0005-0000-0000-000035760000}"/>
    <cellStyle name="Normal 7 6 3 2 2" xfId="42200" xr:uid="{00000000-0005-0000-0000-000036760000}"/>
    <cellStyle name="Normal 7 6 3 3" xfId="42199" xr:uid="{00000000-0005-0000-0000-000037760000}"/>
    <cellStyle name="Normal 7 6 3 4" xfId="35512" xr:uid="{00000000-0005-0000-0000-000038760000}"/>
    <cellStyle name="Normal 7 6 4" xfId="35514" xr:uid="{00000000-0005-0000-0000-000039760000}"/>
    <cellStyle name="Normal 7 6 4 2" xfId="35515" xr:uid="{00000000-0005-0000-0000-00003A760000}"/>
    <cellStyle name="Normal 7 6 4 2 2" xfId="42202" xr:uid="{00000000-0005-0000-0000-00003B760000}"/>
    <cellStyle name="Normal 7 6 4 3" xfId="35516" xr:uid="{00000000-0005-0000-0000-00003C760000}"/>
    <cellStyle name="Normal 7 6 4 4" xfId="42201" xr:uid="{00000000-0005-0000-0000-00003D760000}"/>
    <cellStyle name="Normal 7 6 5" xfId="35517" xr:uid="{00000000-0005-0000-0000-00003E760000}"/>
    <cellStyle name="Normal 7 6 5 2" xfId="35518" xr:uid="{00000000-0005-0000-0000-00003F760000}"/>
    <cellStyle name="Normal 7 6 5 3" xfId="42203" xr:uid="{00000000-0005-0000-0000-000040760000}"/>
    <cellStyle name="Normal 7 6 6" xfId="35519" xr:uid="{00000000-0005-0000-0000-000041760000}"/>
    <cellStyle name="Normal 7 6 7" xfId="35520" xr:uid="{00000000-0005-0000-0000-000042760000}"/>
    <cellStyle name="Normal 7 6 8" xfId="42194" xr:uid="{00000000-0005-0000-0000-000043760000}"/>
    <cellStyle name="Normal 7 6 9" xfId="35501" xr:uid="{00000000-0005-0000-0000-000044760000}"/>
    <cellStyle name="Normal 7 7" xfId="5936" xr:uid="{00000000-0005-0000-0000-000045760000}"/>
    <cellStyle name="Normal 7 7 2" xfId="5937" xr:uid="{00000000-0005-0000-0000-000046760000}"/>
    <cellStyle name="Normal 7 7 2 2" xfId="35523" xr:uid="{00000000-0005-0000-0000-000047760000}"/>
    <cellStyle name="Normal 7 7 2 2 2" xfId="42206" xr:uid="{00000000-0005-0000-0000-000048760000}"/>
    <cellStyle name="Normal 7 7 2 3" xfId="42205" xr:uid="{00000000-0005-0000-0000-000049760000}"/>
    <cellStyle name="Normal 7 7 2 4" xfId="35522" xr:uid="{00000000-0005-0000-0000-00004A760000}"/>
    <cellStyle name="Normal 7 7 3" xfId="5938" xr:uid="{00000000-0005-0000-0000-00004B760000}"/>
    <cellStyle name="Normal 7 7 3 2" xfId="42207" xr:uid="{00000000-0005-0000-0000-00004C760000}"/>
    <cellStyle name="Normal 7 7 3 3" xfId="35524" xr:uid="{00000000-0005-0000-0000-00004D760000}"/>
    <cellStyle name="Normal 7 7 4" xfId="35525" xr:uid="{00000000-0005-0000-0000-00004E760000}"/>
    <cellStyle name="Normal 7 7 4 2" xfId="42208" xr:uid="{00000000-0005-0000-0000-00004F760000}"/>
    <cellStyle name="Normal 7 7 5" xfId="35526" xr:uid="{00000000-0005-0000-0000-000050760000}"/>
    <cellStyle name="Normal 7 7 5 2" xfId="42209" xr:uid="{00000000-0005-0000-0000-000051760000}"/>
    <cellStyle name="Normal 7 7 6" xfId="35527" xr:uid="{00000000-0005-0000-0000-000052760000}"/>
    <cellStyle name="Normal 7 7 7" xfId="42204" xr:uid="{00000000-0005-0000-0000-000053760000}"/>
    <cellStyle name="Normal 7 7 8" xfId="35521" xr:uid="{00000000-0005-0000-0000-000054760000}"/>
    <cellStyle name="Normal 7 8" xfId="5939" xr:uid="{00000000-0005-0000-0000-000055760000}"/>
    <cellStyle name="Normal 7 8 2" xfId="5940" xr:uid="{00000000-0005-0000-0000-000056760000}"/>
    <cellStyle name="Normal 7 8 2 2" xfId="42211" xr:uid="{00000000-0005-0000-0000-000057760000}"/>
    <cellStyle name="Normal 7 8 2 3" xfId="35529" xr:uid="{00000000-0005-0000-0000-000058760000}"/>
    <cellStyle name="Normal 7 8 3" xfId="5941" xr:uid="{00000000-0005-0000-0000-000059760000}"/>
    <cellStyle name="Normal 7 8 3 2" xfId="42212" xr:uid="{00000000-0005-0000-0000-00005A760000}"/>
    <cellStyle name="Normal 7 8 3 3" xfId="35530" xr:uid="{00000000-0005-0000-0000-00005B760000}"/>
    <cellStyle name="Normal 7 8 4" xfId="35531" xr:uid="{00000000-0005-0000-0000-00005C760000}"/>
    <cellStyle name="Normal 7 8 4 2" xfId="42213" xr:uid="{00000000-0005-0000-0000-00005D760000}"/>
    <cellStyle name="Normal 7 8 5" xfId="35532" xr:uid="{00000000-0005-0000-0000-00005E760000}"/>
    <cellStyle name="Normal 7 8 5 2" xfId="42214" xr:uid="{00000000-0005-0000-0000-00005F760000}"/>
    <cellStyle name="Normal 7 8 6" xfId="42210" xr:uid="{00000000-0005-0000-0000-000060760000}"/>
    <cellStyle name="Normal 7 8 7" xfId="35528" xr:uid="{00000000-0005-0000-0000-000061760000}"/>
    <cellStyle name="Normal 7 9" xfId="5942" xr:uid="{00000000-0005-0000-0000-000062760000}"/>
    <cellStyle name="Normal 7 9 2" xfId="5943" xr:uid="{00000000-0005-0000-0000-000063760000}"/>
    <cellStyle name="Normal 7 9 2 2" xfId="42216" xr:uid="{00000000-0005-0000-0000-000064760000}"/>
    <cellStyle name="Normal 7 9 2 3" xfId="35534" xr:uid="{00000000-0005-0000-0000-000065760000}"/>
    <cellStyle name="Normal 7 9 3" xfId="5944" xr:uid="{00000000-0005-0000-0000-000066760000}"/>
    <cellStyle name="Normal 7 9 3 2" xfId="42217" xr:uid="{00000000-0005-0000-0000-000067760000}"/>
    <cellStyle name="Normal 7 9 3 3" xfId="35535" xr:uid="{00000000-0005-0000-0000-000068760000}"/>
    <cellStyle name="Normal 7 9 4" xfId="35536" xr:uid="{00000000-0005-0000-0000-000069760000}"/>
    <cellStyle name="Normal 7 9 4 2" xfId="42218" xr:uid="{00000000-0005-0000-0000-00006A760000}"/>
    <cellStyle name="Normal 7 9 5" xfId="35537" xr:uid="{00000000-0005-0000-0000-00006B760000}"/>
    <cellStyle name="Normal 7 9 5 2" xfId="42219" xr:uid="{00000000-0005-0000-0000-00006C760000}"/>
    <cellStyle name="Normal 7 9 6" xfId="35538" xr:uid="{00000000-0005-0000-0000-00006D760000}"/>
    <cellStyle name="Normal 7 9 7" xfId="42215" xr:uid="{00000000-0005-0000-0000-00006E760000}"/>
    <cellStyle name="Normal 7 9 8" xfId="35533" xr:uid="{00000000-0005-0000-0000-00006F760000}"/>
    <cellStyle name="Normal 70" xfId="5945" xr:uid="{00000000-0005-0000-0000-000070760000}"/>
    <cellStyle name="Normal 70 2" xfId="5946" xr:uid="{00000000-0005-0000-0000-000071760000}"/>
    <cellStyle name="Normal 70 2 2" xfId="10630" xr:uid="{00000000-0005-0000-0000-000072760000}"/>
    <cellStyle name="Normal 70 2 2 2" xfId="42220" xr:uid="{00000000-0005-0000-0000-000073760000}"/>
    <cellStyle name="Normal 70 2 3" xfId="35539" xr:uid="{00000000-0005-0000-0000-000074760000}"/>
    <cellStyle name="Normal 70 3" xfId="5947" xr:uid="{00000000-0005-0000-0000-000075760000}"/>
    <cellStyle name="Normal 70 3 2" xfId="10631" xr:uid="{00000000-0005-0000-0000-000076760000}"/>
    <cellStyle name="Normal 70 3 2 2" xfId="42221" xr:uid="{00000000-0005-0000-0000-000077760000}"/>
    <cellStyle name="Normal 70 3 3" xfId="35540" xr:uid="{00000000-0005-0000-0000-000078760000}"/>
    <cellStyle name="Normal 70 4" xfId="5948" xr:uid="{00000000-0005-0000-0000-000079760000}"/>
    <cellStyle name="Normal 70 4 2" xfId="5949" xr:uid="{00000000-0005-0000-0000-00007A760000}"/>
    <cellStyle name="Normal 71" xfId="5950" xr:uid="{00000000-0005-0000-0000-00007B760000}"/>
    <cellStyle name="Normal 71 2" xfId="5951" xr:uid="{00000000-0005-0000-0000-00007C760000}"/>
    <cellStyle name="Normal 71 2 2" xfId="5952" xr:uid="{00000000-0005-0000-0000-00007D760000}"/>
    <cellStyle name="Normal 71 2 2 2" xfId="5953" xr:uid="{00000000-0005-0000-0000-00007E760000}"/>
    <cellStyle name="Normal 71 2 2 2 2" xfId="5954" xr:uid="{00000000-0005-0000-0000-00007F760000}"/>
    <cellStyle name="Normal 71 2 2 2 2 2" xfId="19000" xr:uid="{00000000-0005-0000-0000-000080760000}"/>
    <cellStyle name="Normal 71 2 2 2 3" xfId="18482" xr:uid="{00000000-0005-0000-0000-000081760000}"/>
    <cellStyle name="Normal 71 2 2 3" xfId="5955" xr:uid="{00000000-0005-0000-0000-000082760000}"/>
    <cellStyle name="Normal 71 2 2 3 2" xfId="18718" xr:uid="{00000000-0005-0000-0000-000083760000}"/>
    <cellStyle name="Normal 71 2 2 4" xfId="18191" xr:uid="{00000000-0005-0000-0000-000084760000}"/>
    <cellStyle name="Normal 71 2 2 5" xfId="42222" xr:uid="{00000000-0005-0000-0000-000085760000}"/>
    <cellStyle name="Normal 71 2 3" xfId="5956" xr:uid="{00000000-0005-0000-0000-000086760000}"/>
    <cellStyle name="Normal 71 2 3 2" xfId="5957" xr:uid="{00000000-0005-0000-0000-000087760000}"/>
    <cellStyle name="Normal 71 2 3 2 2" xfId="18880" xr:uid="{00000000-0005-0000-0000-000088760000}"/>
    <cellStyle name="Normal 71 2 3 3" xfId="18361" xr:uid="{00000000-0005-0000-0000-000089760000}"/>
    <cellStyle name="Normal 71 2 4" xfId="5958" xr:uid="{00000000-0005-0000-0000-00008A760000}"/>
    <cellStyle name="Normal 71 2 4 2" xfId="18601" xr:uid="{00000000-0005-0000-0000-00008B760000}"/>
    <cellStyle name="Normal 71 2 5" xfId="18047" xr:uid="{00000000-0005-0000-0000-00008C760000}"/>
    <cellStyle name="Normal 71 2 6" xfId="35542" xr:uid="{00000000-0005-0000-0000-00008D760000}"/>
    <cellStyle name="Normal 71 3" xfId="5959" xr:uid="{00000000-0005-0000-0000-00008E760000}"/>
    <cellStyle name="Normal 71 3 2" xfId="5960" xr:uid="{00000000-0005-0000-0000-00008F760000}"/>
    <cellStyle name="Normal 71 3 2 2" xfId="5961" xr:uid="{00000000-0005-0000-0000-000090760000}"/>
    <cellStyle name="Normal 71 3 2 2 2" xfId="18913" xr:uid="{00000000-0005-0000-0000-000091760000}"/>
    <cellStyle name="Normal 71 3 2 3" xfId="18395" xr:uid="{00000000-0005-0000-0000-000092760000}"/>
    <cellStyle name="Normal 71 3 2 4" xfId="42223" xr:uid="{00000000-0005-0000-0000-000093760000}"/>
    <cellStyle name="Normal 71 3 3" xfId="5962" xr:uid="{00000000-0005-0000-0000-000094760000}"/>
    <cellStyle name="Normal 71 3 3 2" xfId="18631" xr:uid="{00000000-0005-0000-0000-000095760000}"/>
    <cellStyle name="Normal 71 3 4" xfId="18104" xr:uid="{00000000-0005-0000-0000-000096760000}"/>
    <cellStyle name="Normal 71 3 5" xfId="35543" xr:uid="{00000000-0005-0000-0000-000097760000}"/>
    <cellStyle name="Normal 71 4" xfId="5963" xr:uid="{00000000-0005-0000-0000-000098760000}"/>
    <cellStyle name="Normal 71 4 2" xfId="5964" xr:uid="{00000000-0005-0000-0000-000099760000}"/>
    <cellStyle name="Normal 71 4 2 2" xfId="18793" xr:uid="{00000000-0005-0000-0000-00009A760000}"/>
    <cellStyle name="Normal 71 4 3" xfId="18266" xr:uid="{00000000-0005-0000-0000-00009B760000}"/>
    <cellStyle name="Normal 71 5" xfId="5965" xr:uid="{00000000-0005-0000-0000-00009C760000}"/>
    <cellStyle name="Normal 71 5 2" xfId="18514" xr:uid="{00000000-0005-0000-0000-00009D760000}"/>
    <cellStyle name="Normal 71 6" xfId="17598" xr:uid="{00000000-0005-0000-0000-00009E760000}"/>
    <cellStyle name="Normal 71 7" xfId="35541" xr:uid="{00000000-0005-0000-0000-00009F760000}"/>
    <cellStyle name="Normal 72" xfId="5966" xr:uid="{00000000-0005-0000-0000-0000A0760000}"/>
    <cellStyle name="Normal 72 2" xfId="5967" xr:uid="{00000000-0005-0000-0000-0000A1760000}"/>
    <cellStyle name="Normal 72 2 2" xfId="5968" xr:uid="{00000000-0005-0000-0000-0000A2760000}"/>
    <cellStyle name="Normal 72 2 2 2" xfId="5969" xr:uid="{00000000-0005-0000-0000-0000A3760000}"/>
    <cellStyle name="Normal 72 2 2 2 2" xfId="5970" xr:uid="{00000000-0005-0000-0000-0000A4760000}"/>
    <cellStyle name="Normal 72 2 2 2 2 2" xfId="19005" xr:uid="{00000000-0005-0000-0000-0000A5760000}"/>
    <cellStyle name="Normal 72 2 2 2 3" xfId="18487" xr:uid="{00000000-0005-0000-0000-0000A6760000}"/>
    <cellStyle name="Normal 72 2 2 3" xfId="5971" xr:uid="{00000000-0005-0000-0000-0000A7760000}"/>
    <cellStyle name="Normal 72 2 2 3 2" xfId="18723" xr:uid="{00000000-0005-0000-0000-0000A8760000}"/>
    <cellStyle name="Normal 72 2 2 4" xfId="18196" xr:uid="{00000000-0005-0000-0000-0000A9760000}"/>
    <cellStyle name="Normal 72 2 2 5" xfId="42224" xr:uid="{00000000-0005-0000-0000-0000AA760000}"/>
    <cellStyle name="Normal 72 2 3" xfId="5972" xr:uid="{00000000-0005-0000-0000-0000AB760000}"/>
    <cellStyle name="Normal 72 2 3 2" xfId="5973" xr:uid="{00000000-0005-0000-0000-0000AC760000}"/>
    <cellStyle name="Normal 72 2 3 2 2" xfId="18885" xr:uid="{00000000-0005-0000-0000-0000AD760000}"/>
    <cellStyle name="Normal 72 2 3 3" xfId="18366" xr:uid="{00000000-0005-0000-0000-0000AE760000}"/>
    <cellStyle name="Normal 72 2 4" xfId="5974" xr:uid="{00000000-0005-0000-0000-0000AF760000}"/>
    <cellStyle name="Normal 72 2 4 2" xfId="18606" xr:uid="{00000000-0005-0000-0000-0000B0760000}"/>
    <cellStyle name="Normal 72 2 5" xfId="18052" xr:uid="{00000000-0005-0000-0000-0000B1760000}"/>
    <cellStyle name="Normal 72 2 6" xfId="35545" xr:uid="{00000000-0005-0000-0000-0000B2760000}"/>
    <cellStyle name="Normal 72 3" xfId="5975" xr:uid="{00000000-0005-0000-0000-0000B3760000}"/>
    <cellStyle name="Normal 72 3 2" xfId="5976" xr:uid="{00000000-0005-0000-0000-0000B4760000}"/>
    <cellStyle name="Normal 72 3 2 2" xfId="5977" xr:uid="{00000000-0005-0000-0000-0000B5760000}"/>
    <cellStyle name="Normal 72 3 2 2 2" xfId="18918" xr:uid="{00000000-0005-0000-0000-0000B6760000}"/>
    <cellStyle name="Normal 72 3 2 3" xfId="18400" xr:uid="{00000000-0005-0000-0000-0000B7760000}"/>
    <cellStyle name="Normal 72 3 2 4" xfId="42225" xr:uid="{00000000-0005-0000-0000-0000B8760000}"/>
    <cellStyle name="Normal 72 3 3" xfId="5978" xr:uid="{00000000-0005-0000-0000-0000B9760000}"/>
    <cellStyle name="Normal 72 3 3 2" xfId="18636" xr:uid="{00000000-0005-0000-0000-0000BA760000}"/>
    <cellStyle name="Normal 72 3 4" xfId="18109" xr:uid="{00000000-0005-0000-0000-0000BB760000}"/>
    <cellStyle name="Normal 72 3 5" xfId="35546" xr:uid="{00000000-0005-0000-0000-0000BC760000}"/>
    <cellStyle name="Normal 72 4" xfId="5979" xr:uid="{00000000-0005-0000-0000-0000BD760000}"/>
    <cellStyle name="Normal 72 4 2" xfId="5980" xr:uid="{00000000-0005-0000-0000-0000BE760000}"/>
    <cellStyle name="Normal 72 4 2 2" xfId="18799" xr:uid="{00000000-0005-0000-0000-0000BF760000}"/>
    <cellStyle name="Normal 72 4 3" xfId="18272" xr:uid="{00000000-0005-0000-0000-0000C0760000}"/>
    <cellStyle name="Normal 72 5" xfId="5981" xr:uid="{00000000-0005-0000-0000-0000C1760000}"/>
    <cellStyle name="Normal 72 5 2" xfId="18519" xr:uid="{00000000-0005-0000-0000-0000C2760000}"/>
    <cellStyle name="Normal 72 6" xfId="17955" xr:uid="{00000000-0005-0000-0000-0000C3760000}"/>
    <cellStyle name="Normal 72 7" xfId="35544" xr:uid="{00000000-0005-0000-0000-0000C4760000}"/>
    <cellStyle name="Normal 73" xfId="5982" xr:uid="{00000000-0005-0000-0000-0000C5760000}"/>
    <cellStyle name="Normal 73 2" xfId="5983" xr:uid="{00000000-0005-0000-0000-0000C6760000}"/>
    <cellStyle name="Normal 73 2 2" xfId="5984" xr:uid="{00000000-0005-0000-0000-0000C7760000}"/>
    <cellStyle name="Normal 73 2 2 2" xfId="5985" xr:uid="{00000000-0005-0000-0000-0000C8760000}"/>
    <cellStyle name="Normal 73 2 2 2 2" xfId="5986" xr:uid="{00000000-0005-0000-0000-0000C9760000}"/>
    <cellStyle name="Normal 73 2 2 2 2 2" xfId="19019" xr:uid="{00000000-0005-0000-0000-0000CA760000}"/>
    <cellStyle name="Normal 73 2 2 2 3" xfId="18501" xr:uid="{00000000-0005-0000-0000-0000CB760000}"/>
    <cellStyle name="Normal 73 2 2 3" xfId="5987" xr:uid="{00000000-0005-0000-0000-0000CC760000}"/>
    <cellStyle name="Normal 73 2 2 3 2" xfId="18737" xr:uid="{00000000-0005-0000-0000-0000CD760000}"/>
    <cellStyle name="Normal 73 2 2 4" xfId="18210" xr:uid="{00000000-0005-0000-0000-0000CE760000}"/>
    <cellStyle name="Normal 73 2 2 5" xfId="42226" xr:uid="{00000000-0005-0000-0000-0000CF760000}"/>
    <cellStyle name="Normal 73 2 3" xfId="5988" xr:uid="{00000000-0005-0000-0000-0000D0760000}"/>
    <cellStyle name="Normal 73 2 3 2" xfId="5989" xr:uid="{00000000-0005-0000-0000-0000D1760000}"/>
    <cellStyle name="Normal 73 2 3 2 2" xfId="18899" xr:uid="{00000000-0005-0000-0000-0000D2760000}"/>
    <cellStyle name="Normal 73 2 3 3" xfId="18380" xr:uid="{00000000-0005-0000-0000-0000D3760000}"/>
    <cellStyle name="Normal 73 2 4" xfId="5990" xr:uid="{00000000-0005-0000-0000-0000D4760000}"/>
    <cellStyle name="Normal 73 2 4 2" xfId="18620" xr:uid="{00000000-0005-0000-0000-0000D5760000}"/>
    <cellStyle name="Normal 73 2 5" xfId="18066" xr:uid="{00000000-0005-0000-0000-0000D6760000}"/>
    <cellStyle name="Normal 73 2 6" xfId="35548" xr:uid="{00000000-0005-0000-0000-0000D7760000}"/>
    <cellStyle name="Normal 73 3" xfId="5991" xr:uid="{00000000-0005-0000-0000-0000D8760000}"/>
    <cellStyle name="Normal 73 3 2" xfId="5992" xr:uid="{00000000-0005-0000-0000-0000D9760000}"/>
    <cellStyle name="Normal 73 3 2 2" xfId="5993" xr:uid="{00000000-0005-0000-0000-0000DA760000}"/>
    <cellStyle name="Normal 73 3 2 2 2" xfId="18948" xr:uid="{00000000-0005-0000-0000-0000DB760000}"/>
    <cellStyle name="Normal 73 3 2 3" xfId="18430" xr:uid="{00000000-0005-0000-0000-0000DC760000}"/>
    <cellStyle name="Normal 73 3 2 4" xfId="42227" xr:uid="{00000000-0005-0000-0000-0000DD760000}"/>
    <cellStyle name="Normal 73 3 3" xfId="5994" xr:uid="{00000000-0005-0000-0000-0000DE760000}"/>
    <cellStyle name="Normal 73 3 3 2" xfId="18666" xr:uid="{00000000-0005-0000-0000-0000DF760000}"/>
    <cellStyle name="Normal 73 3 4" xfId="18139" xr:uid="{00000000-0005-0000-0000-0000E0760000}"/>
    <cellStyle name="Normal 73 3 5" xfId="35549" xr:uid="{00000000-0005-0000-0000-0000E1760000}"/>
    <cellStyle name="Normal 73 4" xfId="5995" xr:uid="{00000000-0005-0000-0000-0000E2760000}"/>
    <cellStyle name="Normal 73 4 2" xfId="5996" xr:uid="{00000000-0005-0000-0000-0000E3760000}"/>
    <cellStyle name="Normal 73 4 2 2" xfId="18813" xr:uid="{00000000-0005-0000-0000-0000E4760000}"/>
    <cellStyle name="Normal 73 4 3" xfId="18286" xr:uid="{00000000-0005-0000-0000-0000E5760000}"/>
    <cellStyle name="Normal 73 5" xfId="5997" xr:uid="{00000000-0005-0000-0000-0000E6760000}"/>
    <cellStyle name="Normal 73 5 2" xfId="18549" xr:uid="{00000000-0005-0000-0000-0000E7760000}"/>
    <cellStyle name="Normal 73 6" xfId="17985" xr:uid="{00000000-0005-0000-0000-0000E8760000}"/>
    <cellStyle name="Normal 73 7" xfId="35547" xr:uid="{00000000-0005-0000-0000-0000E9760000}"/>
    <cellStyle name="Normal 74" xfId="5998" xr:uid="{00000000-0005-0000-0000-0000EA760000}"/>
    <cellStyle name="Normal 74 2" xfId="5999" xr:uid="{00000000-0005-0000-0000-0000EB760000}"/>
    <cellStyle name="Normal 74 2 2" xfId="6000" xr:uid="{00000000-0005-0000-0000-0000EC760000}"/>
    <cellStyle name="Normal 74 2 2 2" xfId="6001" xr:uid="{00000000-0005-0000-0000-0000ED760000}"/>
    <cellStyle name="Normal 74 2 2 2 2" xfId="6002" xr:uid="{00000000-0005-0000-0000-0000EE760000}"/>
    <cellStyle name="Normal 74 2 2 2 2 2" xfId="19017" xr:uid="{00000000-0005-0000-0000-0000EF760000}"/>
    <cellStyle name="Normal 74 2 2 2 3" xfId="18499" xr:uid="{00000000-0005-0000-0000-0000F0760000}"/>
    <cellStyle name="Normal 74 2 2 3" xfId="6003" xr:uid="{00000000-0005-0000-0000-0000F1760000}"/>
    <cellStyle name="Normal 74 2 2 3 2" xfId="18735" xr:uid="{00000000-0005-0000-0000-0000F2760000}"/>
    <cellStyle name="Normal 74 2 2 4" xfId="18208" xr:uid="{00000000-0005-0000-0000-0000F3760000}"/>
    <cellStyle name="Normal 74 2 2 5" xfId="42228" xr:uid="{00000000-0005-0000-0000-0000F4760000}"/>
    <cellStyle name="Normal 74 2 3" xfId="6004" xr:uid="{00000000-0005-0000-0000-0000F5760000}"/>
    <cellStyle name="Normal 74 2 3 2" xfId="6005" xr:uid="{00000000-0005-0000-0000-0000F6760000}"/>
    <cellStyle name="Normal 74 2 3 2 2" xfId="18897" xr:uid="{00000000-0005-0000-0000-0000F7760000}"/>
    <cellStyle name="Normal 74 2 3 3" xfId="18378" xr:uid="{00000000-0005-0000-0000-0000F8760000}"/>
    <cellStyle name="Normal 74 2 4" xfId="6006" xr:uid="{00000000-0005-0000-0000-0000F9760000}"/>
    <cellStyle name="Normal 74 2 4 2" xfId="18618" xr:uid="{00000000-0005-0000-0000-0000FA760000}"/>
    <cellStyle name="Normal 74 2 5" xfId="18064" xr:uid="{00000000-0005-0000-0000-0000FB760000}"/>
    <cellStyle name="Normal 74 2 6" xfId="35551" xr:uid="{00000000-0005-0000-0000-0000FC760000}"/>
    <cellStyle name="Normal 74 3" xfId="6007" xr:uid="{00000000-0005-0000-0000-0000FD760000}"/>
    <cellStyle name="Normal 74 3 2" xfId="6008" xr:uid="{00000000-0005-0000-0000-0000FE760000}"/>
    <cellStyle name="Normal 74 3 2 2" xfId="6009" xr:uid="{00000000-0005-0000-0000-0000FF760000}"/>
    <cellStyle name="Normal 74 3 2 2 2" xfId="18946" xr:uid="{00000000-0005-0000-0000-000000770000}"/>
    <cellStyle name="Normal 74 3 2 3" xfId="18428" xr:uid="{00000000-0005-0000-0000-000001770000}"/>
    <cellStyle name="Normal 74 3 2 4" xfId="42229" xr:uid="{00000000-0005-0000-0000-000002770000}"/>
    <cellStyle name="Normal 74 3 3" xfId="6010" xr:uid="{00000000-0005-0000-0000-000003770000}"/>
    <cellStyle name="Normal 74 3 3 2" xfId="18664" xr:uid="{00000000-0005-0000-0000-000004770000}"/>
    <cellStyle name="Normal 74 3 4" xfId="18137" xr:uid="{00000000-0005-0000-0000-000005770000}"/>
    <cellStyle name="Normal 74 3 5" xfId="35552" xr:uid="{00000000-0005-0000-0000-000006770000}"/>
    <cellStyle name="Normal 74 4" xfId="6011" xr:uid="{00000000-0005-0000-0000-000007770000}"/>
    <cellStyle name="Normal 74 4 2" xfId="6012" xr:uid="{00000000-0005-0000-0000-000008770000}"/>
    <cellStyle name="Normal 74 4 2 2" xfId="18811" xr:uid="{00000000-0005-0000-0000-000009770000}"/>
    <cellStyle name="Normal 74 4 3" xfId="18284" xr:uid="{00000000-0005-0000-0000-00000A770000}"/>
    <cellStyle name="Normal 74 5" xfId="6013" xr:uid="{00000000-0005-0000-0000-00000B770000}"/>
    <cellStyle name="Normal 74 5 2" xfId="18547" xr:uid="{00000000-0005-0000-0000-00000C770000}"/>
    <cellStyle name="Normal 74 6" xfId="17983" xr:uid="{00000000-0005-0000-0000-00000D770000}"/>
    <cellStyle name="Normal 74 7" xfId="35550" xr:uid="{00000000-0005-0000-0000-00000E770000}"/>
    <cellStyle name="Normal 75" xfId="6014" xr:uid="{00000000-0005-0000-0000-00000F770000}"/>
    <cellStyle name="Normal 75 2" xfId="6015" xr:uid="{00000000-0005-0000-0000-000010770000}"/>
    <cellStyle name="Normal 75 2 2" xfId="6016" xr:uid="{00000000-0005-0000-0000-000011770000}"/>
    <cellStyle name="Normal 75 2 2 2" xfId="6017" xr:uid="{00000000-0005-0000-0000-000012770000}"/>
    <cellStyle name="Normal 75 2 2 2 2" xfId="6018" xr:uid="{00000000-0005-0000-0000-000013770000}"/>
    <cellStyle name="Normal 75 2 2 2 2 2" xfId="19018" xr:uid="{00000000-0005-0000-0000-000014770000}"/>
    <cellStyle name="Normal 75 2 2 2 3" xfId="18500" xr:uid="{00000000-0005-0000-0000-000015770000}"/>
    <cellStyle name="Normal 75 2 2 3" xfId="6019" xr:uid="{00000000-0005-0000-0000-000016770000}"/>
    <cellStyle name="Normal 75 2 2 3 2" xfId="18736" xr:uid="{00000000-0005-0000-0000-000017770000}"/>
    <cellStyle name="Normal 75 2 2 4" xfId="18209" xr:uid="{00000000-0005-0000-0000-000018770000}"/>
    <cellStyle name="Normal 75 2 2 5" xfId="42230" xr:uid="{00000000-0005-0000-0000-000019770000}"/>
    <cellStyle name="Normal 75 2 3" xfId="6020" xr:uid="{00000000-0005-0000-0000-00001A770000}"/>
    <cellStyle name="Normal 75 2 3 2" xfId="6021" xr:uid="{00000000-0005-0000-0000-00001B770000}"/>
    <cellStyle name="Normal 75 2 3 2 2" xfId="18898" xr:uid="{00000000-0005-0000-0000-00001C770000}"/>
    <cellStyle name="Normal 75 2 3 3" xfId="18379" xr:uid="{00000000-0005-0000-0000-00001D770000}"/>
    <cellStyle name="Normal 75 2 4" xfId="6022" xr:uid="{00000000-0005-0000-0000-00001E770000}"/>
    <cellStyle name="Normal 75 2 4 2" xfId="18619" xr:uid="{00000000-0005-0000-0000-00001F770000}"/>
    <cellStyle name="Normal 75 2 5" xfId="18065" xr:uid="{00000000-0005-0000-0000-000020770000}"/>
    <cellStyle name="Normal 75 2 6" xfId="35554" xr:uid="{00000000-0005-0000-0000-000021770000}"/>
    <cellStyle name="Normal 75 3" xfId="6023" xr:uid="{00000000-0005-0000-0000-000022770000}"/>
    <cellStyle name="Normal 75 3 2" xfId="6024" xr:uid="{00000000-0005-0000-0000-000023770000}"/>
    <cellStyle name="Normal 75 3 2 2" xfId="6025" xr:uid="{00000000-0005-0000-0000-000024770000}"/>
    <cellStyle name="Normal 75 3 2 2 2" xfId="18947" xr:uid="{00000000-0005-0000-0000-000025770000}"/>
    <cellStyle name="Normal 75 3 2 3" xfId="18429" xr:uid="{00000000-0005-0000-0000-000026770000}"/>
    <cellStyle name="Normal 75 3 2 4" xfId="42231" xr:uid="{00000000-0005-0000-0000-000027770000}"/>
    <cellStyle name="Normal 75 3 3" xfId="6026" xr:uid="{00000000-0005-0000-0000-000028770000}"/>
    <cellStyle name="Normal 75 3 3 2" xfId="18665" xr:uid="{00000000-0005-0000-0000-000029770000}"/>
    <cellStyle name="Normal 75 3 4" xfId="18138" xr:uid="{00000000-0005-0000-0000-00002A770000}"/>
    <cellStyle name="Normal 75 3 5" xfId="35555" xr:uid="{00000000-0005-0000-0000-00002B770000}"/>
    <cellStyle name="Normal 75 4" xfId="6027" xr:uid="{00000000-0005-0000-0000-00002C770000}"/>
    <cellStyle name="Normal 75 4 2" xfId="6028" xr:uid="{00000000-0005-0000-0000-00002D770000}"/>
    <cellStyle name="Normal 75 4 2 2" xfId="18812" xr:uid="{00000000-0005-0000-0000-00002E770000}"/>
    <cellStyle name="Normal 75 4 3" xfId="18285" xr:uid="{00000000-0005-0000-0000-00002F770000}"/>
    <cellStyle name="Normal 75 5" xfId="6029" xr:uid="{00000000-0005-0000-0000-000030770000}"/>
    <cellStyle name="Normal 75 5 2" xfId="18548" xr:uid="{00000000-0005-0000-0000-000031770000}"/>
    <cellStyle name="Normal 75 6" xfId="17984" xr:uid="{00000000-0005-0000-0000-000032770000}"/>
    <cellStyle name="Normal 75 7" xfId="35553" xr:uid="{00000000-0005-0000-0000-000033770000}"/>
    <cellStyle name="Normal 76" xfId="6030" xr:uid="{00000000-0005-0000-0000-000034770000}"/>
    <cellStyle name="Normal 76 2" xfId="6031" xr:uid="{00000000-0005-0000-0000-000035770000}"/>
    <cellStyle name="Normal 76 2 2" xfId="10632" xr:uid="{00000000-0005-0000-0000-000036770000}"/>
    <cellStyle name="Normal 76 2 2 2" xfId="42232" xr:uid="{00000000-0005-0000-0000-000037770000}"/>
    <cellStyle name="Normal 76 2 3" xfId="35556" xr:uid="{00000000-0005-0000-0000-000038770000}"/>
    <cellStyle name="Normal 76 3" xfId="6032" xr:uid="{00000000-0005-0000-0000-000039770000}"/>
    <cellStyle name="Normal 76 3 2" xfId="42233" xr:uid="{00000000-0005-0000-0000-00003A770000}"/>
    <cellStyle name="Normal 76 3 3" xfId="35557" xr:uid="{00000000-0005-0000-0000-00003B770000}"/>
    <cellStyle name="Normal 76 4" xfId="6033" xr:uid="{00000000-0005-0000-0000-00003C770000}"/>
    <cellStyle name="Normal 76 4 2" xfId="6034" xr:uid="{00000000-0005-0000-0000-00003D770000}"/>
    <cellStyle name="Normal 77" xfId="6035" xr:uid="{00000000-0005-0000-0000-00003E770000}"/>
    <cellStyle name="Normal 77 2" xfId="6036" xr:uid="{00000000-0005-0000-0000-00003F770000}"/>
    <cellStyle name="Normal 77 2 2" xfId="6037" xr:uid="{00000000-0005-0000-0000-000040770000}"/>
    <cellStyle name="Normal 77 2 2 2" xfId="6038" xr:uid="{00000000-0005-0000-0000-000041770000}"/>
    <cellStyle name="Normal 77 2 2 2 2" xfId="18951" xr:uid="{00000000-0005-0000-0000-000042770000}"/>
    <cellStyle name="Normal 77 2 2 3" xfId="18433" xr:uid="{00000000-0005-0000-0000-000043770000}"/>
    <cellStyle name="Normal 77 2 2 4" xfId="42234" xr:uid="{00000000-0005-0000-0000-000044770000}"/>
    <cellStyle name="Normal 77 2 3" xfId="6039" xr:uid="{00000000-0005-0000-0000-000045770000}"/>
    <cellStyle name="Normal 77 2 3 2" xfId="18669" xr:uid="{00000000-0005-0000-0000-000046770000}"/>
    <cellStyle name="Normal 77 2 4" xfId="18142" xr:uid="{00000000-0005-0000-0000-000047770000}"/>
    <cellStyle name="Normal 77 2 5" xfId="35559" xr:uid="{00000000-0005-0000-0000-000048770000}"/>
    <cellStyle name="Normal 77 3" xfId="6040" xr:uid="{00000000-0005-0000-0000-000049770000}"/>
    <cellStyle name="Normal 77 3 2" xfId="6041" xr:uid="{00000000-0005-0000-0000-00004A770000}"/>
    <cellStyle name="Normal 77 3 2 2" xfId="18830" xr:uid="{00000000-0005-0000-0000-00004B770000}"/>
    <cellStyle name="Normal 77 3 2 3" xfId="42235" xr:uid="{00000000-0005-0000-0000-00004C770000}"/>
    <cellStyle name="Normal 77 3 3" xfId="18309" xr:uid="{00000000-0005-0000-0000-00004D770000}"/>
    <cellStyle name="Normal 77 3 4" xfId="35560" xr:uid="{00000000-0005-0000-0000-00004E770000}"/>
    <cellStyle name="Normal 77 4" xfId="6042" xr:uid="{00000000-0005-0000-0000-00004F770000}"/>
    <cellStyle name="Normal 77 4 2" xfId="18552" xr:uid="{00000000-0005-0000-0000-000050770000}"/>
    <cellStyle name="Normal 77 5" xfId="17990" xr:uid="{00000000-0005-0000-0000-000051770000}"/>
    <cellStyle name="Normal 77 6" xfId="35558" xr:uid="{00000000-0005-0000-0000-000052770000}"/>
    <cellStyle name="Normal 78" xfId="6043" xr:uid="{00000000-0005-0000-0000-000053770000}"/>
    <cellStyle name="Normal 78 2" xfId="6044" xr:uid="{00000000-0005-0000-0000-000054770000}"/>
    <cellStyle name="Normal 78 2 2" xfId="6045" xr:uid="{00000000-0005-0000-0000-000055770000}"/>
    <cellStyle name="Normal 78 2 2 2" xfId="6046" xr:uid="{00000000-0005-0000-0000-000056770000}"/>
    <cellStyle name="Normal 78 2 2 2 2" xfId="18965" xr:uid="{00000000-0005-0000-0000-000057770000}"/>
    <cellStyle name="Normal 78 2 2 3" xfId="18447" xr:uid="{00000000-0005-0000-0000-000058770000}"/>
    <cellStyle name="Normal 78 2 2 4" xfId="42236" xr:uid="{00000000-0005-0000-0000-000059770000}"/>
    <cellStyle name="Normal 78 2 3" xfId="6047" xr:uid="{00000000-0005-0000-0000-00005A770000}"/>
    <cellStyle name="Normal 78 2 3 2" xfId="18683" xr:uid="{00000000-0005-0000-0000-00005B770000}"/>
    <cellStyle name="Normal 78 2 4" xfId="18156" xr:uid="{00000000-0005-0000-0000-00005C770000}"/>
    <cellStyle name="Normal 78 2 5" xfId="35562" xr:uid="{00000000-0005-0000-0000-00005D770000}"/>
    <cellStyle name="Normal 78 3" xfId="6048" xr:uid="{00000000-0005-0000-0000-00005E770000}"/>
    <cellStyle name="Normal 78 3 2" xfId="6049" xr:uid="{00000000-0005-0000-0000-00005F770000}"/>
    <cellStyle name="Normal 78 3 2 2" xfId="18844" xr:uid="{00000000-0005-0000-0000-000060770000}"/>
    <cellStyle name="Normal 78 3 2 3" xfId="42237" xr:uid="{00000000-0005-0000-0000-000061770000}"/>
    <cellStyle name="Normal 78 3 3" xfId="18323" xr:uid="{00000000-0005-0000-0000-000062770000}"/>
    <cellStyle name="Normal 78 3 4" xfId="35563" xr:uid="{00000000-0005-0000-0000-000063770000}"/>
    <cellStyle name="Normal 78 4" xfId="6050" xr:uid="{00000000-0005-0000-0000-000064770000}"/>
    <cellStyle name="Normal 78 4 2" xfId="18566" xr:uid="{00000000-0005-0000-0000-000065770000}"/>
    <cellStyle name="Normal 78 5" xfId="18007" xr:uid="{00000000-0005-0000-0000-000066770000}"/>
    <cellStyle name="Normal 78 6" xfId="35561" xr:uid="{00000000-0005-0000-0000-000067770000}"/>
    <cellStyle name="Normal 79" xfId="6051" xr:uid="{00000000-0005-0000-0000-000068770000}"/>
    <cellStyle name="Normal 79 2" xfId="6052" xr:uid="{00000000-0005-0000-0000-000069770000}"/>
    <cellStyle name="Normal 79 2 2" xfId="42238" xr:uid="{00000000-0005-0000-0000-00006A770000}"/>
    <cellStyle name="Normal 79 2 3" xfId="35564" xr:uid="{00000000-0005-0000-0000-00006B770000}"/>
    <cellStyle name="Normal 79 3" xfId="6053" xr:uid="{00000000-0005-0000-0000-00006C770000}"/>
    <cellStyle name="Normal 79 3 2" xfId="6054" xr:uid="{00000000-0005-0000-0000-00006D770000}"/>
    <cellStyle name="Normal 79 3 2 2" xfId="42239" xr:uid="{00000000-0005-0000-0000-00006E770000}"/>
    <cellStyle name="Normal 79 3 3" xfId="35565" xr:uid="{00000000-0005-0000-0000-00006F770000}"/>
    <cellStyle name="Normal 8" xfId="39" xr:uid="{00000000-0005-0000-0000-000070770000}"/>
    <cellStyle name="Normal 8 10" xfId="6056" xr:uid="{00000000-0005-0000-0000-000071770000}"/>
    <cellStyle name="Normal 8 10 2" xfId="6057" xr:uid="{00000000-0005-0000-0000-000072770000}"/>
    <cellStyle name="Normal 8 10 2 2" xfId="35568" xr:uid="{00000000-0005-0000-0000-000073770000}"/>
    <cellStyle name="Normal 8 10 2 2 2" xfId="42242" xr:uid="{00000000-0005-0000-0000-000074770000}"/>
    <cellStyle name="Normal 8 10 2 3" xfId="42241" xr:uid="{00000000-0005-0000-0000-000075770000}"/>
    <cellStyle name="Normal 8 10 2 4" xfId="35567" xr:uid="{00000000-0005-0000-0000-000076770000}"/>
    <cellStyle name="Normal 8 10 3" xfId="6058" xr:uid="{00000000-0005-0000-0000-000077770000}"/>
    <cellStyle name="Normal 8 10 3 2" xfId="35570" xr:uid="{00000000-0005-0000-0000-000078770000}"/>
    <cellStyle name="Normal 8 10 3 2 2" xfId="42244" xr:uid="{00000000-0005-0000-0000-000079770000}"/>
    <cellStyle name="Normal 8 10 3 3" xfId="42243" xr:uid="{00000000-0005-0000-0000-00007A770000}"/>
    <cellStyle name="Normal 8 10 3 4" xfId="35569" xr:uid="{00000000-0005-0000-0000-00007B770000}"/>
    <cellStyle name="Normal 8 10 4" xfId="35571" xr:uid="{00000000-0005-0000-0000-00007C770000}"/>
    <cellStyle name="Normal 8 10 4 2" xfId="35572" xr:uid="{00000000-0005-0000-0000-00007D770000}"/>
    <cellStyle name="Normal 8 10 4 2 2" xfId="42246" xr:uid="{00000000-0005-0000-0000-00007E770000}"/>
    <cellStyle name="Normal 8 10 4 3" xfId="42245" xr:uid="{00000000-0005-0000-0000-00007F770000}"/>
    <cellStyle name="Normal 8 10 5" xfId="35573" xr:uid="{00000000-0005-0000-0000-000080770000}"/>
    <cellStyle name="Normal 8 10 5 2" xfId="42247" xr:uid="{00000000-0005-0000-0000-000081770000}"/>
    <cellStyle name="Normal 8 10 6" xfId="35574" xr:uid="{00000000-0005-0000-0000-000082770000}"/>
    <cellStyle name="Normal 8 10 6 2" xfId="42248" xr:uid="{00000000-0005-0000-0000-000083770000}"/>
    <cellStyle name="Normal 8 10 7" xfId="35575" xr:uid="{00000000-0005-0000-0000-000084770000}"/>
    <cellStyle name="Normal 8 10 8" xfId="42240" xr:uid="{00000000-0005-0000-0000-000085770000}"/>
    <cellStyle name="Normal 8 10 9" xfId="35566" xr:uid="{00000000-0005-0000-0000-000086770000}"/>
    <cellStyle name="Normal 8 11" xfId="6059" xr:uid="{00000000-0005-0000-0000-000087770000}"/>
    <cellStyle name="Normal 8 11 2" xfId="6060" xr:uid="{00000000-0005-0000-0000-000088770000}"/>
    <cellStyle name="Normal 8 11 2 2" xfId="35578" xr:uid="{00000000-0005-0000-0000-000089770000}"/>
    <cellStyle name="Normal 8 11 2 2 2" xfId="42251" xr:uid="{00000000-0005-0000-0000-00008A770000}"/>
    <cellStyle name="Normal 8 11 2 3" xfId="42250" xr:uid="{00000000-0005-0000-0000-00008B770000}"/>
    <cellStyle name="Normal 8 11 2 4" xfId="35577" xr:uid="{00000000-0005-0000-0000-00008C770000}"/>
    <cellStyle name="Normal 8 11 3" xfId="6061" xr:uid="{00000000-0005-0000-0000-00008D770000}"/>
    <cellStyle name="Normal 8 11 3 2" xfId="35580" xr:uid="{00000000-0005-0000-0000-00008E770000}"/>
    <cellStyle name="Normal 8 11 3 2 2" xfId="42253" xr:uid="{00000000-0005-0000-0000-00008F770000}"/>
    <cellStyle name="Normal 8 11 3 3" xfId="42252" xr:uid="{00000000-0005-0000-0000-000090770000}"/>
    <cellStyle name="Normal 8 11 3 4" xfId="35579" xr:uid="{00000000-0005-0000-0000-000091770000}"/>
    <cellStyle name="Normal 8 11 4" xfId="35581" xr:uid="{00000000-0005-0000-0000-000092770000}"/>
    <cellStyle name="Normal 8 11 4 2" xfId="35582" xr:uid="{00000000-0005-0000-0000-000093770000}"/>
    <cellStyle name="Normal 8 11 4 2 2" xfId="42255" xr:uid="{00000000-0005-0000-0000-000094770000}"/>
    <cellStyle name="Normal 8 11 4 3" xfId="42254" xr:uid="{00000000-0005-0000-0000-000095770000}"/>
    <cellStyle name="Normal 8 11 5" xfId="35583" xr:uid="{00000000-0005-0000-0000-000096770000}"/>
    <cellStyle name="Normal 8 11 5 2" xfId="42256" xr:uid="{00000000-0005-0000-0000-000097770000}"/>
    <cellStyle name="Normal 8 11 6" xfId="35584" xr:uid="{00000000-0005-0000-0000-000098770000}"/>
    <cellStyle name="Normal 8 11 6 2" xfId="42257" xr:uid="{00000000-0005-0000-0000-000099770000}"/>
    <cellStyle name="Normal 8 11 7" xfId="42249" xr:uid="{00000000-0005-0000-0000-00009A770000}"/>
    <cellStyle name="Normal 8 11 8" xfId="35576" xr:uid="{00000000-0005-0000-0000-00009B770000}"/>
    <cellStyle name="Normal 8 12" xfId="6062" xr:uid="{00000000-0005-0000-0000-00009C770000}"/>
    <cellStyle name="Normal 8 12 2" xfId="6063" xr:uid="{00000000-0005-0000-0000-00009D770000}"/>
    <cellStyle name="Normal 8 12 2 2" xfId="35587" xr:uid="{00000000-0005-0000-0000-00009E770000}"/>
    <cellStyle name="Normal 8 12 2 2 2" xfId="42260" xr:uid="{00000000-0005-0000-0000-00009F770000}"/>
    <cellStyle name="Normal 8 12 2 3" xfId="42259" xr:uid="{00000000-0005-0000-0000-0000A0770000}"/>
    <cellStyle name="Normal 8 12 2 4" xfId="35586" xr:uid="{00000000-0005-0000-0000-0000A1770000}"/>
    <cellStyle name="Normal 8 12 3" xfId="6064" xr:uid="{00000000-0005-0000-0000-0000A2770000}"/>
    <cellStyle name="Normal 8 12 3 2" xfId="42261" xr:uid="{00000000-0005-0000-0000-0000A3770000}"/>
    <cellStyle name="Normal 8 12 3 3" xfId="35588" xr:uid="{00000000-0005-0000-0000-0000A4770000}"/>
    <cellStyle name="Normal 8 12 4" xfId="35589" xr:uid="{00000000-0005-0000-0000-0000A5770000}"/>
    <cellStyle name="Normal 8 12 4 2" xfId="42262" xr:uid="{00000000-0005-0000-0000-0000A6770000}"/>
    <cellStyle name="Normal 8 12 5" xfId="35590" xr:uid="{00000000-0005-0000-0000-0000A7770000}"/>
    <cellStyle name="Normal 8 12 5 2" xfId="42263" xr:uid="{00000000-0005-0000-0000-0000A8770000}"/>
    <cellStyle name="Normal 8 12 6" xfId="42258" xr:uid="{00000000-0005-0000-0000-0000A9770000}"/>
    <cellStyle name="Normal 8 12 7" xfId="35585" xr:uid="{00000000-0005-0000-0000-0000AA770000}"/>
    <cellStyle name="Normal 8 13" xfId="6065" xr:uid="{00000000-0005-0000-0000-0000AB770000}"/>
    <cellStyle name="Normal 8 13 2" xfId="6066" xr:uid="{00000000-0005-0000-0000-0000AC770000}"/>
    <cellStyle name="Normal 8 13 2 2" xfId="35593" xr:uid="{00000000-0005-0000-0000-0000AD770000}"/>
    <cellStyle name="Normal 8 13 2 2 2" xfId="42266" xr:uid="{00000000-0005-0000-0000-0000AE770000}"/>
    <cellStyle name="Normal 8 13 2 3" xfId="42265" xr:uid="{00000000-0005-0000-0000-0000AF770000}"/>
    <cellStyle name="Normal 8 13 2 4" xfId="35592" xr:uid="{00000000-0005-0000-0000-0000B0770000}"/>
    <cellStyle name="Normal 8 13 3" xfId="6067" xr:uid="{00000000-0005-0000-0000-0000B1770000}"/>
    <cellStyle name="Normal 8 13 3 2" xfId="42267" xr:uid="{00000000-0005-0000-0000-0000B2770000}"/>
    <cellStyle name="Normal 8 13 3 3" xfId="35594" xr:uid="{00000000-0005-0000-0000-0000B3770000}"/>
    <cellStyle name="Normal 8 13 4" xfId="35595" xr:uid="{00000000-0005-0000-0000-0000B4770000}"/>
    <cellStyle name="Normal 8 13 4 2" xfId="42268" xr:uid="{00000000-0005-0000-0000-0000B5770000}"/>
    <cellStyle name="Normal 8 13 5" xfId="35596" xr:uid="{00000000-0005-0000-0000-0000B6770000}"/>
    <cellStyle name="Normal 8 13 5 2" xfId="42269" xr:uid="{00000000-0005-0000-0000-0000B7770000}"/>
    <cellStyle name="Normal 8 13 6" xfId="42264" xr:uid="{00000000-0005-0000-0000-0000B8770000}"/>
    <cellStyle name="Normal 8 13 7" xfId="35591" xr:uid="{00000000-0005-0000-0000-0000B9770000}"/>
    <cellStyle name="Normal 8 14" xfId="6068" xr:uid="{00000000-0005-0000-0000-0000BA770000}"/>
    <cellStyle name="Normal 8 14 2" xfId="6069" xr:uid="{00000000-0005-0000-0000-0000BB770000}"/>
    <cellStyle name="Normal 8 14 2 2" xfId="35599" xr:uid="{00000000-0005-0000-0000-0000BC770000}"/>
    <cellStyle name="Normal 8 14 2 2 2" xfId="42272" xr:uid="{00000000-0005-0000-0000-0000BD770000}"/>
    <cellStyle name="Normal 8 14 2 3" xfId="42271" xr:uid="{00000000-0005-0000-0000-0000BE770000}"/>
    <cellStyle name="Normal 8 14 2 4" xfId="35598" xr:uid="{00000000-0005-0000-0000-0000BF770000}"/>
    <cellStyle name="Normal 8 14 3" xfId="6070" xr:uid="{00000000-0005-0000-0000-0000C0770000}"/>
    <cellStyle name="Normal 8 14 3 2" xfId="42273" xr:uid="{00000000-0005-0000-0000-0000C1770000}"/>
    <cellStyle name="Normal 8 14 3 3" xfId="35600" xr:uid="{00000000-0005-0000-0000-0000C2770000}"/>
    <cellStyle name="Normal 8 14 4" xfId="35601" xr:uid="{00000000-0005-0000-0000-0000C3770000}"/>
    <cellStyle name="Normal 8 14 4 2" xfId="42274" xr:uid="{00000000-0005-0000-0000-0000C4770000}"/>
    <cellStyle name="Normal 8 14 5" xfId="35602" xr:uid="{00000000-0005-0000-0000-0000C5770000}"/>
    <cellStyle name="Normal 8 14 5 2" xfId="42275" xr:uid="{00000000-0005-0000-0000-0000C6770000}"/>
    <cellStyle name="Normal 8 14 6" xfId="42270" xr:uid="{00000000-0005-0000-0000-0000C7770000}"/>
    <cellStyle name="Normal 8 14 7" xfId="35597" xr:uid="{00000000-0005-0000-0000-0000C8770000}"/>
    <cellStyle name="Normal 8 15" xfId="6071" xr:uid="{00000000-0005-0000-0000-0000C9770000}"/>
    <cellStyle name="Normal 8 15 2" xfId="10633" xr:uid="{00000000-0005-0000-0000-0000CA770000}"/>
    <cellStyle name="Normal 8 15 2 2" xfId="35605" xr:uid="{00000000-0005-0000-0000-0000CB770000}"/>
    <cellStyle name="Normal 8 15 2 2 2" xfId="42278" xr:uid="{00000000-0005-0000-0000-0000CC770000}"/>
    <cellStyle name="Normal 8 15 2 3" xfId="42277" xr:uid="{00000000-0005-0000-0000-0000CD770000}"/>
    <cellStyle name="Normal 8 15 2 4" xfId="35604" xr:uid="{00000000-0005-0000-0000-0000CE770000}"/>
    <cellStyle name="Normal 8 15 3" xfId="35606" xr:uid="{00000000-0005-0000-0000-0000CF770000}"/>
    <cellStyle name="Normal 8 15 3 2" xfId="42279" xr:uid="{00000000-0005-0000-0000-0000D0770000}"/>
    <cellStyle name="Normal 8 15 4" xfId="35607" xr:uid="{00000000-0005-0000-0000-0000D1770000}"/>
    <cellStyle name="Normal 8 15 4 2" xfId="42280" xr:uid="{00000000-0005-0000-0000-0000D2770000}"/>
    <cellStyle name="Normal 8 15 5" xfId="35608" xr:uid="{00000000-0005-0000-0000-0000D3770000}"/>
    <cellStyle name="Normal 8 15 5 2" xfId="42281" xr:uid="{00000000-0005-0000-0000-0000D4770000}"/>
    <cellStyle name="Normal 8 15 6" xfId="42276" xr:uid="{00000000-0005-0000-0000-0000D5770000}"/>
    <cellStyle name="Normal 8 15 7" xfId="35603" xr:uid="{00000000-0005-0000-0000-0000D6770000}"/>
    <cellStyle name="Normal 8 16" xfId="6072" xr:uid="{00000000-0005-0000-0000-0000D7770000}"/>
    <cellStyle name="Normal 8 16 2" xfId="10634" xr:uid="{00000000-0005-0000-0000-0000D8770000}"/>
    <cellStyle name="Normal 8 16 2 2" xfId="35611" xr:uid="{00000000-0005-0000-0000-0000D9770000}"/>
    <cellStyle name="Normal 8 16 2 2 2" xfId="42284" xr:uid="{00000000-0005-0000-0000-0000DA770000}"/>
    <cellStyle name="Normal 8 16 2 3" xfId="42283" xr:uid="{00000000-0005-0000-0000-0000DB770000}"/>
    <cellStyle name="Normal 8 16 2 4" xfId="35610" xr:uid="{00000000-0005-0000-0000-0000DC770000}"/>
    <cellStyle name="Normal 8 16 3" xfId="35612" xr:uid="{00000000-0005-0000-0000-0000DD770000}"/>
    <cellStyle name="Normal 8 16 3 2" xfId="42285" xr:uid="{00000000-0005-0000-0000-0000DE770000}"/>
    <cellStyle name="Normal 8 16 4" xfId="35613" xr:uid="{00000000-0005-0000-0000-0000DF770000}"/>
    <cellStyle name="Normal 8 16 4 2" xfId="42286" xr:uid="{00000000-0005-0000-0000-0000E0770000}"/>
    <cellStyle name="Normal 8 16 5" xfId="35614" xr:uid="{00000000-0005-0000-0000-0000E1770000}"/>
    <cellStyle name="Normal 8 16 5 2" xfId="42287" xr:uid="{00000000-0005-0000-0000-0000E2770000}"/>
    <cellStyle name="Normal 8 16 6" xfId="42282" xr:uid="{00000000-0005-0000-0000-0000E3770000}"/>
    <cellStyle name="Normal 8 16 7" xfId="35609" xr:uid="{00000000-0005-0000-0000-0000E4770000}"/>
    <cellStyle name="Normal 8 17" xfId="10635" xr:uid="{00000000-0005-0000-0000-0000E5770000}"/>
    <cellStyle name="Normal 8 17 2" xfId="35616" xr:uid="{00000000-0005-0000-0000-0000E6770000}"/>
    <cellStyle name="Normal 8 17 2 2" xfId="35617" xr:uid="{00000000-0005-0000-0000-0000E7770000}"/>
    <cellStyle name="Normal 8 17 2 2 2" xfId="42290" xr:uid="{00000000-0005-0000-0000-0000E8770000}"/>
    <cellStyle name="Normal 8 17 2 3" xfId="42289" xr:uid="{00000000-0005-0000-0000-0000E9770000}"/>
    <cellStyle name="Normal 8 17 3" xfId="35618" xr:uid="{00000000-0005-0000-0000-0000EA770000}"/>
    <cellStyle name="Normal 8 17 3 2" xfId="42291" xr:uid="{00000000-0005-0000-0000-0000EB770000}"/>
    <cellStyle name="Normal 8 17 4" xfId="35619" xr:uid="{00000000-0005-0000-0000-0000EC770000}"/>
    <cellStyle name="Normal 8 17 4 2" xfId="42292" xr:uid="{00000000-0005-0000-0000-0000ED770000}"/>
    <cellStyle name="Normal 8 17 5" xfId="35620" xr:uid="{00000000-0005-0000-0000-0000EE770000}"/>
    <cellStyle name="Normal 8 17 5 2" xfId="42293" xr:uid="{00000000-0005-0000-0000-0000EF770000}"/>
    <cellStyle name="Normal 8 17 6" xfId="42288" xr:uid="{00000000-0005-0000-0000-0000F0770000}"/>
    <cellStyle name="Normal 8 17 7" xfId="35615" xr:uid="{00000000-0005-0000-0000-0000F1770000}"/>
    <cellStyle name="Normal 8 18" xfId="35621" xr:uid="{00000000-0005-0000-0000-0000F2770000}"/>
    <cellStyle name="Normal 8 18 2" xfId="35622" xr:uid="{00000000-0005-0000-0000-0000F3770000}"/>
    <cellStyle name="Normal 8 18 2 2" xfId="35623" xr:uid="{00000000-0005-0000-0000-0000F4770000}"/>
    <cellStyle name="Normal 8 18 2 2 2" xfId="35624" xr:uid="{00000000-0005-0000-0000-0000F5770000}"/>
    <cellStyle name="Normal 8 18 2 2 2 2" xfId="42297" xr:uid="{00000000-0005-0000-0000-0000F6770000}"/>
    <cellStyle name="Normal 8 18 2 2 3" xfId="42296" xr:uid="{00000000-0005-0000-0000-0000F7770000}"/>
    <cellStyle name="Normal 8 18 2 3" xfId="35625" xr:uid="{00000000-0005-0000-0000-0000F8770000}"/>
    <cellStyle name="Normal 8 18 2 3 2" xfId="42298" xr:uid="{00000000-0005-0000-0000-0000F9770000}"/>
    <cellStyle name="Normal 8 18 2 4" xfId="35626" xr:uid="{00000000-0005-0000-0000-0000FA770000}"/>
    <cellStyle name="Normal 8 18 2 4 2" xfId="42299" xr:uid="{00000000-0005-0000-0000-0000FB770000}"/>
    <cellStyle name="Normal 8 18 2 5" xfId="42295" xr:uid="{00000000-0005-0000-0000-0000FC770000}"/>
    <cellStyle name="Normal 8 18 3" xfId="35627" xr:uid="{00000000-0005-0000-0000-0000FD770000}"/>
    <cellStyle name="Normal 8 18 3 2" xfId="35628" xr:uid="{00000000-0005-0000-0000-0000FE770000}"/>
    <cellStyle name="Normal 8 18 3 2 2" xfId="42301" xr:uid="{00000000-0005-0000-0000-0000FF770000}"/>
    <cellStyle name="Normal 8 18 3 3" xfId="42300" xr:uid="{00000000-0005-0000-0000-000000780000}"/>
    <cellStyle name="Normal 8 18 4" xfId="35629" xr:uid="{00000000-0005-0000-0000-000001780000}"/>
    <cellStyle name="Normal 8 18 4 2" xfId="42302" xr:uid="{00000000-0005-0000-0000-000002780000}"/>
    <cellStyle name="Normal 8 18 5" xfId="35630" xr:uid="{00000000-0005-0000-0000-000003780000}"/>
    <cellStyle name="Normal 8 18 5 2" xfId="42303" xr:uid="{00000000-0005-0000-0000-000004780000}"/>
    <cellStyle name="Normal 8 18 6" xfId="42294" xr:uid="{00000000-0005-0000-0000-000005780000}"/>
    <cellStyle name="Normal 8 19" xfId="35631" xr:uid="{00000000-0005-0000-0000-000006780000}"/>
    <cellStyle name="Normal 8 19 2" xfId="35632" xr:uid="{00000000-0005-0000-0000-000007780000}"/>
    <cellStyle name="Normal 8 19 2 2" xfId="42305" xr:uid="{00000000-0005-0000-0000-000008780000}"/>
    <cellStyle name="Normal 8 19 3" xfId="35633" xr:uid="{00000000-0005-0000-0000-000009780000}"/>
    <cellStyle name="Normal 8 19 3 2" xfId="42306" xr:uid="{00000000-0005-0000-0000-00000A780000}"/>
    <cellStyle name="Normal 8 19 4" xfId="42304" xr:uid="{00000000-0005-0000-0000-00000B780000}"/>
    <cellStyle name="Normal 8 2" xfId="6073" xr:uid="{00000000-0005-0000-0000-00000C780000}"/>
    <cellStyle name="Normal 8 2 10" xfId="42307" xr:uid="{00000000-0005-0000-0000-00000D780000}"/>
    <cellStyle name="Normal 8 2 11" xfId="35634" xr:uid="{00000000-0005-0000-0000-00000E780000}"/>
    <cellStyle name="Normal 8 2 2" xfId="6074" xr:uid="{00000000-0005-0000-0000-00000F780000}"/>
    <cellStyle name="Normal 8 2 2 10" xfId="35635" xr:uid="{00000000-0005-0000-0000-000010780000}"/>
    <cellStyle name="Normal 8 2 2 2" xfId="10636" xr:uid="{00000000-0005-0000-0000-000011780000}"/>
    <cellStyle name="Normal 8 2 2 2 2" xfId="35637" xr:uid="{00000000-0005-0000-0000-000012780000}"/>
    <cellStyle name="Normal 8 2 2 2 2 2" xfId="35638" xr:uid="{00000000-0005-0000-0000-000013780000}"/>
    <cellStyle name="Normal 8 2 2 2 2 2 2" xfId="42311" xr:uid="{00000000-0005-0000-0000-000014780000}"/>
    <cellStyle name="Normal 8 2 2 2 2 3" xfId="35639" xr:uid="{00000000-0005-0000-0000-000015780000}"/>
    <cellStyle name="Normal 8 2 2 2 2 3 2" xfId="42312" xr:uid="{00000000-0005-0000-0000-000016780000}"/>
    <cellStyle name="Normal 8 2 2 2 2 4" xfId="35640" xr:uid="{00000000-0005-0000-0000-000017780000}"/>
    <cellStyle name="Normal 8 2 2 2 2 5" xfId="35641" xr:uid="{00000000-0005-0000-0000-000018780000}"/>
    <cellStyle name="Normal 8 2 2 2 2 6" xfId="42310" xr:uid="{00000000-0005-0000-0000-000019780000}"/>
    <cellStyle name="Normal 8 2 2 2 3" xfId="35642" xr:uid="{00000000-0005-0000-0000-00001A780000}"/>
    <cellStyle name="Normal 8 2 2 2 3 2" xfId="35643" xr:uid="{00000000-0005-0000-0000-00001B780000}"/>
    <cellStyle name="Normal 8 2 2 2 3 2 2" xfId="42314" xr:uid="{00000000-0005-0000-0000-00001C780000}"/>
    <cellStyle name="Normal 8 2 2 2 3 3" xfId="42313" xr:uid="{00000000-0005-0000-0000-00001D780000}"/>
    <cellStyle name="Normal 8 2 2 2 4" xfId="35644" xr:uid="{00000000-0005-0000-0000-00001E780000}"/>
    <cellStyle name="Normal 8 2 2 2 4 2" xfId="42315" xr:uid="{00000000-0005-0000-0000-00001F780000}"/>
    <cellStyle name="Normal 8 2 2 2 5" xfId="35645" xr:uid="{00000000-0005-0000-0000-000020780000}"/>
    <cellStyle name="Normal 8 2 2 2 6" xfId="35646" xr:uid="{00000000-0005-0000-0000-000021780000}"/>
    <cellStyle name="Normal 8 2 2 2 7" xfId="42309" xr:uid="{00000000-0005-0000-0000-000022780000}"/>
    <cellStyle name="Normal 8 2 2 2 8" xfId="35636" xr:uid="{00000000-0005-0000-0000-000023780000}"/>
    <cellStyle name="Normal 8 2 2 3" xfId="35647" xr:uid="{00000000-0005-0000-0000-000024780000}"/>
    <cellStyle name="Normal 8 2 2 3 2" xfId="35648" xr:uid="{00000000-0005-0000-0000-000025780000}"/>
    <cellStyle name="Normal 8 2 2 3 2 2" xfId="35649" xr:uid="{00000000-0005-0000-0000-000026780000}"/>
    <cellStyle name="Normal 8 2 2 3 2 2 2" xfId="42318" xr:uid="{00000000-0005-0000-0000-000027780000}"/>
    <cellStyle name="Normal 8 2 2 3 2 3" xfId="42317" xr:uid="{00000000-0005-0000-0000-000028780000}"/>
    <cellStyle name="Normal 8 2 2 3 3" xfId="35650" xr:uid="{00000000-0005-0000-0000-000029780000}"/>
    <cellStyle name="Normal 8 2 2 3 3 2" xfId="42319" xr:uid="{00000000-0005-0000-0000-00002A780000}"/>
    <cellStyle name="Normal 8 2 2 3 4" xfId="35651" xr:uid="{00000000-0005-0000-0000-00002B780000}"/>
    <cellStyle name="Normal 8 2 2 3 5" xfId="35652" xr:uid="{00000000-0005-0000-0000-00002C780000}"/>
    <cellStyle name="Normal 8 2 2 3 6" xfId="42316" xr:uid="{00000000-0005-0000-0000-00002D780000}"/>
    <cellStyle name="Normal 8 2 2 4" xfId="35653" xr:uid="{00000000-0005-0000-0000-00002E780000}"/>
    <cellStyle name="Normal 8 2 2 4 2" xfId="35654" xr:uid="{00000000-0005-0000-0000-00002F780000}"/>
    <cellStyle name="Normal 8 2 2 4 2 2" xfId="42321" xr:uid="{00000000-0005-0000-0000-000030780000}"/>
    <cellStyle name="Normal 8 2 2 4 3" xfId="42320" xr:uid="{00000000-0005-0000-0000-000031780000}"/>
    <cellStyle name="Normal 8 2 2 5" xfId="35655" xr:uid="{00000000-0005-0000-0000-000032780000}"/>
    <cellStyle name="Normal 8 2 2 5 2" xfId="42322" xr:uid="{00000000-0005-0000-0000-000033780000}"/>
    <cellStyle name="Normal 8 2 2 6" xfId="35656" xr:uid="{00000000-0005-0000-0000-000034780000}"/>
    <cellStyle name="Normal 8 2 2 6 2" xfId="35657" xr:uid="{00000000-0005-0000-0000-000035780000}"/>
    <cellStyle name="Normal 8 2 2 6 3" xfId="42323" xr:uid="{00000000-0005-0000-0000-000036780000}"/>
    <cellStyle name="Normal 8 2 2 7" xfId="35658" xr:uid="{00000000-0005-0000-0000-000037780000}"/>
    <cellStyle name="Normal 8 2 2 7 2" xfId="35659" xr:uid="{00000000-0005-0000-0000-000038780000}"/>
    <cellStyle name="Normal 8 2 2 7 3" xfId="42324" xr:uid="{00000000-0005-0000-0000-000039780000}"/>
    <cellStyle name="Normal 8 2 2 8" xfId="35660" xr:uid="{00000000-0005-0000-0000-00003A780000}"/>
    <cellStyle name="Normal 8 2 2 8 2" xfId="42325" xr:uid="{00000000-0005-0000-0000-00003B780000}"/>
    <cellStyle name="Normal 8 2 2 9" xfId="42308" xr:uid="{00000000-0005-0000-0000-00003C780000}"/>
    <cellStyle name="Normal 8 2 3" xfId="6075" xr:uid="{00000000-0005-0000-0000-00003D780000}"/>
    <cellStyle name="Normal 8 2 3 2" xfId="10637" xr:uid="{00000000-0005-0000-0000-00003E780000}"/>
    <cellStyle name="Normal 8 2 3 2 2" xfId="35663" xr:uid="{00000000-0005-0000-0000-00003F780000}"/>
    <cellStyle name="Normal 8 2 3 2 2 2" xfId="42328" xr:uid="{00000000-0005-0000-0000-000040780000}"/>
    <cellStyle name="Normal 8 2 3 2 3" xfId="35664" xr:uid="{00000000-0005-0000-0000-000041780000}"/>
    <cellStyle name="Normal 8 2 3 2 3 2" xfId="42329" xr:uid="{00000000-0005-0000-0000-000042780000}"/>
    <cellStyle name="Normal 8 2 3 2 4" xfId="35665" xr:uid="{00000000-0005-0000-0000-000043780000}"/>
    <cellStyle name="Normal 8 2 3 2 5" xfId="35666" xr:uid="{00000000-0005-0000-0000-000044780000}"/>
    <cellStyle name="Normal 8 2 3 2 6" xfId="42327" xr:uid="{00000000-0005-0000-0000-000045780000}"/>
    <cellStyle name="Normal 8 2 3 2 7" xfId="35662" xr:uid="{00000000-0005-0000-0000-000046780000}"/>
    <cellStyle name="Normal 8 2 3 3" xfId="35667" xr:uid="{00000000-0005-0000-0000-000047780000}"/>
    <cellStyle name="Normal 8 2 3 3 2" xfId="35668" xr:uid="{00000000-0005-0000-0000-000048780000}"/>
    <cellStyle name="Normal 8 2 3 3 2 2" xfId="42331" xr:uid="{00000000-0005-0000-0000-000049780000}"/>
    <cellStyle name="Normal 8 2 3 3 3" xfId="42330" xr:uid="{00000000-0005-0000-0000-00004A780000}"/>
    <cellStyle name="Normal 8 2 3 4" xfId="35669" xr:uid="{00000000-0005-0000-0000-00004B780000}"/>
    <cellStyle name="Normal 8 2 3 4 2" xfId="42332" xr:uid="{00000000-0005-0000-0000-00004C780000}"/>
    <cellStyle name="Normal 8 2 3 5" xfId="35670" xr:uid="{00000000-0005-0000-0000-00004D780000}"/>
    <cellStyle name="Normal 8 2 3 5 2" xfId="35671" xr:uid="{00000000-0005-0000-0000-00004E780000}"/>
    <cellStyle name="Normal 8 2 3 5 3" xfId="42333" xr:uid="{00000000-0005-0000-0000-00004F780000}"/>
    <cellStyle name="Normal 8 2 3 6" xfId="35672" xr:uid="{00000000-0005-0000-0000-000050780000}"/>
    <cellStyle name="Normal 8 2 3 7" xfId="42326" xr:uid="{00000000-0005-0000-0000-000051780000}"/>
    <cellStyle name="Normal 8 2 3 8" xfId="35661" xr:uid="{00000000-0005-0000-0000-000052780000}"/>
    <cellStyle name="Normal 8 2 4" xfId="6076" xr:uid="{00000000-0005-0000-0000-000053780000}"/>
    <cellStyle name="Normal 8 2 4 2" xfId="10638" xr:uid="{00000000-0005-0000-0000-000054780000}"/>
    <cellStyle name="Normal 8 2 4 2 2" xfId="35675" xr:uid="{00000000-0005-0000-0000-000055780000}"/>
    <cellStyle name="Normal 8 2 4 2 2 2" xfId="42336" xr:uid="{00000000-0005-0000-0000-000056780000}"/>
    <cellStyle name="Normal 8 2 4 2 3" xfId="42335" xr:uid="{00000000-0005-0000-0000-000057780000}"/>
    <cellStyle name="Normal 8 2 4 2 4" xfId="35674" xr:uid="{00000000-0005-0000-0000-000058780000}"/>
    <cellStyle name="Normal 8 2 4 3" xfId="35676" xr:uid="{00000000-0005-0000-0000-000059780000}"/>
    <cellStyle name="Normal 8 2 4 3 2" xfId="42337" xr:uid="{00000000-0005-0000-0000-00005A780000}"/>
    <cellStyle name="Normal 8 2 4 4" xfId="35677" xr:uid="{00000000-0005-0000-0000-00005B780000}"/>
    <cellStyle name="Normal 8 2 4 4 2" xfId="35678" xr:uid="{00000000-0005-0000-0000-00005C780000}"/>
    <cellStyle name="Normal 8 2 4 4 3" xfId="42338" xr:uid="{00000000-0005-0000-0000-00005D780000}"/>
    <cellStyle name="Normal 8 2 4 5" xfId="35679" xr:uid="{00000000-0005-0000-0000-00005E780000}"/>
    <cellStyle name="Normal 8 2 4 6" xfId="42334" xr:uid="{00000000-0005-0000-0000-00005F780000}"/>
    <cellStyle name="Normal 8 2 4 7" xfId="35673" xr:uid="{00000000-0005-0000-0000-000060780000}"/>
    <cellStyle name="Normal 8 2 5" xfId="6077" xr:uid="{00000000-0005-0000-0000-000061780000}"/>
    <cellStyle name="Normal 8 2 5 2" xfId="10639" xr:uid="{00000000-0005-0000-0000-000062780000}"/>
    <cellStyle name="Normal 8 2 5 2 2" xfId="42340" xr:uid="{00000000-0005-0000-0000-000063780000}"/>
    <cellStyle name="Normal 8 2 5 2 3" xfId="35681" xr:uid="{00000000-0005-0000-0000-000064780000}"/>
    <cellStyle name="Normal 8 2 5 3" xfId="42339" xr:uid="{00000000-0005-0000-0000-000065780000}"/>
    <cellStyle name="Normal 8 2 5 4" xfId="35680" xr:uid="{00000000-0005-0000-0000-000066780000}"/>
    <cellStyle name="Normal 8 2 6" xfId="6078" xr:uid="{00000000-0005-0000-0000-000067780000}"/>
    <cellStyle name="Normal 8 2 6 2" xfId="42341" xr:uid="{00000000-0005-0000-0000-000068780000}"/>
    <cellStyle name="Normal 8 2 6 3" xfId="35682" xr:uid="{00000000-0005-0000-0000-000069780000}"/>
    <cellStyle name="Normal 8 2 7" xfId="6079" xr:uid="{00000000-0005-0000-0000-00006A780000}"/>
    <cellStyle name="Normal 8 2 7 2" xfId="35684" xr:uid="{00000000-0005-0000-0000-00006B780000}"/>
    <cellStyle name="Normal 8 2 7 3" xfId="42342" xr:uid="{00000000-0005-0000-0000-00006C780000}"/>
    <cellStyle name="Normal 8 2 7 4" xfId="35683" xr:uid="{00000000-0005-0000-0000-00006D780000}"/>
    <cellStyle name="Normal 8 2 8" xfId="35685" xr:uid="{00000000-0005-0000-0000-00006E780000}"/>
    <cellStyle name="Normal 8 2 8 2" xfId="35686" xr:uid="{00000000-0005-0000-0000-00006F780000}"/>
    <cellStyle name="Normal 8 2 8 3" xfId="42343" xr:uid="{00000000-0005-0000-0000-000070780000}"/>
    <cellStyle name="Normal 8 2 9" xfId="35687" xr:uid="{00000000-0005-0000-0000-000071780000}"/>
    <cellStyle name="Normal 8 2 9 2" xfId="42344" xr:uid="{00000000-0005-0000-0000-000072780000}"/>
    <cellStyle name="Normal 8 20" xfId="35688" xr:uid="{00000000-0005-0000-0000-000073780000}"/>
    <cellStyle name="Normal 8 20 2" xfId="35689" xr:uid="{00000000-0005-0000-0000-000074780000}"/>
    <cellStyle name="Normal 8 20 2 2" xfId="42346" xr:uid="{00000000-0005-0000-0000-000075780000}"/>
    <cellStyle name="Normal 8 20 3" xfId="42345" xr:uid="{00000000-0005-0000-0000-000076780000}"/>
    <cellStyle name="Normal 8 21" xfId="35690" xr:uid="{00000000-0005-0000-0000-000077780000}"/>
    <cellStyle name="Normal 8 21 2" xfId="35691" xr:uid="{00000000-0005-0000-0000-000078780000}"/>
    <cellStyle name="Normal 8 21 2 2" xfId="42348" xr:uid="{00000000-0005-0000-0000-000079780000}"/>
    <cellStyle name="Normal 8 21 3" xfId="42347" xr:uid="{00000000-0005-0000-0000-00007A780000}"/>
    <cellStyle name="Normal 8 22" xfId="35692" xr:uid="{00000000-0005-0000-0000-00007B780000}"/>
    <cellStyle name="Normal 8 22 2" xfId="35693" xr:uid="{00000000-0005-0000-0000-00007C780000}"/>
    <cellStyle name="Normal 8 22 2 2" xfId="42350" xr:uid="{00000000-0005-0000-0000-00007D780000}"/>
    <cellStyle name="Normal 8 22 3" xfId="42349" xr:uid="{00000000-0005-0000-0000-00007E780000}"/>
    <cellStyle name="Normal 8 23" xfId="35694" xr:uid="{00000000-0005-0000-0000-00007F780000}"/>
    <cellStyle name="Normal 8 23 2" xfId="35695" xr:uid="{00000000-0005-0000-0000-000080780000}"/>
    <cellStyle name="Normal 8 23 2 2" xfId="42352" xr:uid="{00000000-0005-0000-0000-000081780000}"/>
    <cellStyle name="Normal 8 23 3" xfId="42351" xr:uid="{00000000-0005-0000-0000-000082780000}"/>
    <cellStyle name="Normal 8 24" xfId="35696" xr:uid="{00000000-0005-0000-0000-000083780000}"/>
    <cellStyle name="Normal 8 24 2" xfId="35697" xr:uid="{00000000-0005-0000-0000-000084780000}"/>
    <cellStyle name="Normal 8 24 2 2" xfId="42354" xr:uid="{00000000-0005-0000-0000-000085780000}"/>
    <cellStyle name="Normal 8 24 3" xfId="42353" xr:uid="{00000000-0005-0000-0000-000086780000}"/>
    <cellStyle name="Normal 8 25" xfId="35698" xr:uid="{00000000-0005-0000-0000-000087780000}"/>
    <cellStyle name="Normal 8 25 2" xfId="42355" xr:uid="{00000000-0005-0000-0000-000088780000}"/>
    <cellStyle name="Normal 8 26" xfId="35699" xr:uid="{00000000-0005-0000-0000-000089780000}"/>
    <cellStyle name="Normal 8 26 2" xfId="42356" xr:uid="{00000000-0005-0000-0000-00008A780000}"/>
    <cellStyle name="Normal 8 27" xfId="35700" xr:uid="{00000000-0005-0000-0000-00008B780000}"/>
    <cellStyle name="Normal 8 27 2" xfId="42357" xr:uid="{00000000-0005-0000-0000-00008C780000}"/>
    <cellStyle name="Normal 8 28" xfId="35701" xr:uid="{00000000-0005-0000-0000-00008D780000}"/>
    <cellStyle name="Normal 8 28 2" xfId="42358" xr:uid="{00000000-0005-0000-0000-00008E780000}"/>
    <cellStyle name="Normal 8 29" xfId="35702" xr:uid="{00000000-0005-0000-0000-00008F780000}"/>
    <cellStyle name="Normal 8 29 2" xfId="42359" xr:uid="{00000000-0005-0000-0000-000090780000}"/>
    <cellStyle name="Normal 8 3" xfId="6080" xr:uid="{00000000-0005-0000-0000-000091780000}"/>
    <cellStyle name="Normal 8 3 10" xfId="35703" xr:uid="{00000000-0005-0000-0000-000092780000}"/>
    <cellStyle name="Normal 8 3 2" xfId="6081" xr:uid="{00000000-0005-0000-0000-000093780000}"/>
    <cellStyle name="Normal 8 3 2 2" xfId="10640" xr:uid="{00000000-0005-0000-0000-000094780000}"/>
    <cellStyle name="Normal 8 3 2 2 2" xfId="35706" xr:uid="{00000000-0005-0000-0000-000095780000}"/>
    <cellStyle name="Normal 8 3 2 2 2 2" xfId="42363" xr:uid="{00000000-0005-0000-0000-000096780000}"/>
    <cellStyle name="Normal 8 3 2 2 3" xfId="35707" xr:uid="{00000000-0005-0000-0000-000097780000}"/>
    <cellStyle name="Normal 8 3 2 2 3 2" xfId="42364" xr:uid="{00000000-0005-0000-0000-000098780000}"/>
    <cellStyle name="Normal 8 3 2 2 4" xfId="35708" xr:uid="{00000000-0005-0000-0000-000099780000}"/>
    <cellStyle name="Normal 8 3 2 2 5" xfId="35709" xr:uid="{00000000-0005-0000-0000-00009A780000}"/>
    <cellStyle name="Normal 8 3 2 2 6" xfId="42362" xr:uid="{00000000-0005-0000-0000-00009B780000}"/>
    <cellStyle name="Normal 8 3 2 2 7" xfId="35705" xr:uid="{00000000-0005-0000-0000-00009C780000}"/>
    <cellStyle name="Normal 8 3 2 3" xfId="35710" xr:uid="{00000000-0005-0000-0000-00009D780000}"/>
    <cellStyle name="Normal 8 3 2 3 2" xfId="35711" xr:uid="{00000000-0005-0000-0000-00009E780000}"/>
    <cellStyle name="Normal 8 3 2 3 2 2" xfId="42366" xr:uid="{00000000-0005-0000-0000-00009F780000}"/>
    <cellStyle name="Normal 8 3 2 3 3" xfId="42365" xr:uid="{00000000-0005-0000-0000-0000A0780000}"/>
    <cellStyle name="Normal 8 3 2 4" xfId="35712" xr:uid="{00000000-0005-0000-0000-0000A1780000}"/>
    <cellStyle name="Normal 8 3 2 4 2" xfId="42367" xr:uid="{00000000-0005-0000-0000-0000A2780000}"/>
    <cellStyle name="Normal 8 3 2 5" xfId="35713" xr:uid="{00000000-0005-0000-0000-0000A3780000}"/>
    <cellStyle name="Normal 8 3 2 5 2" xfId="35714" xr:uid="{00000000-0005-0000-0000-0000A4780000}"/>
    <cellStyle name="Normal 8 3 2 5 3" xfId="42368" xr:uid="{00000000-0005-0000-0000-0000A5780000}"/>
    <cellStyle name="Normal 8 3 2 6" xfId="35715" xr:uid="{00000000-0005-0000-0000-0000A6780000}"/>
    <cellStyle name="Normal 8 3 2 6 2" xfId="35716" xr:uid="{00000000-0005-0000-0000-0000A7780000}"/>
    <cellStyle name="Normal 8 3 2 6 3" xfId="42369" xr:uid="{00000000-0005-0000-0000-0000A8780000}"/>
    <cellStyle name="Normal 8 3 2 7" xfId="35717" xr:uid="{00000000-0005-0000-0000-0000A9780000}"/>
    <cellStyle name="Normal 8 3 2 7 2" xfId="42370" xr:uid="{00000000-0005-0000-0000-0000AA780000}"/>
    <cellStyle name="Normal 8 3 2 8" xfId="42361" xr:uid="{00000000-0005-0000-0000-0000AB780000}"/>
    <cellStyle name="Normal 8 3 2 9" xfId="35704" xr:uid="{00000000-0005-0000-0000-0000AC780000}"/>
    <cellStyle name="Normal 8 3 3" xfId="10641" xr:uid="{00000000-0005-0000-0000-0000AD780000}"/>
    <cellStyle name="Normal 8 3 3 2" xfId="35719" xr:uid="{00000000-0005-0000-0000-0000AE780000}"/>
    <cellStyle name="Normal 8 3 3 2 2" xfId="35720" xr:uid="{00000000-0005-0000-0000-0000AF780000}"/>
    <cellStyle name="Normal 8 3 3 2 2 2" xfId="42373" xr:uid="{00000000-0005-0000-0000-0000B0780000}"/>
    <cellStyle name="Normal 8 3 3 2 3" xfId="42372" xr:uid="{00000000-0005-0000-0000-0000B1780000}"/>
    <cellStyle name="Normal 8 3 3 3" xfId="35721" xr:uid="{00000000-0005-0000-0000-0000B2780000}"/>
    <cellStyle name="Normal 8 3 3 3 2" xfId="42374" xr:uid="{00000000-0005-0000-0000-0000B3780000}"/>
    <cellStyle name="Normal 8 3 3 4" xfId="35722" xr:uid="{00000000-0005-0000-0000-0000B4780000}"/>
    <cellStyle name="Normal 8 3 3 4 2" xfId="35723" xr:uid="{00000000-0005-0000-0000-0000B5780000}"/>
    <cellStyle name="Normal 8 3 3 4 3" xfId="42375" xr:uid="{00000000-0005-0000-0000-0000B6780000}"/>
    <cellStyle name="Normal 8 3 3 5" xfId="35724" xr:uid="{00000000-0005-0000-0000-0000B7780000}"/>
    <cellStyle name="Normal 8 3 3 6" xfId="42371" xr:uid="{00000000-0005-0000-0000-0000B8780000}"/>
    <cellStyle name="Normal 8 3 3 7" xfId="35718" xr:uid="{00000000-0005-0000-0000-0000B9780000}"/>
    <cellStyle name="Normal 8 3 4" xfId="35725" xr:uid="{00000000-0005-0000-0000-0000BA780000}"/>
    <cellStyle name="Normal 8 3 4 2" xfId="35726" xr:uid="{00000000-0005-0000-0000-0000BB780000}"/>
    <cellStyle name="Normal 8 3 4 2 2" xfId="42377" xr:uid="{00000000-0005-0000-0000-0000BC780000}"/>
    <cellStyle name="Normal 8 3 4 3" xfId="35727" xr:uid="{00000000-0005-0000-0000-0000BD780000}"/>
    <cellStyle name="Normal 8 3 4 3 2" xfId="42378" xr:uid="{00000000-0005-0000-0000-0000BE780000}"/>
    <cellStyle name="Normal 8 3 4 4" xfId="42376" xr:uid="{00000000-0005-0000-0000-0000BF780000}"/>
    <cellStyle name="Normal 8 3 5" xfId="35728" xr:uid="{00000000-0005-0000-0000-0000C0780000}"/>
    <cellStyle name="Normal 8 3 5 2" xfId="42379" xr:uid="{00000000-0005-0000-0000-0000C1780000}"/>
    <cellStyle name="Normal 8 3 6" xfId="35729" xr:uid="{00000000-0005-0000-0000-0000C2780000}"/>
    <cellStyle name="Normal 8 3 6 2" xfId="35730" xr:uid="{00000000-0005-0000-0000-0000C3780000}"/>
    <cellStyle name="Normal 8 3 6 3" xfId="42380" xr:uid="{00000000-0005-0000-0000-0000C4780000}"/>
    <cellStyle name="Normal 8 3 7" xfId="35731" xr:uid="{00000000-0005-0000-0000-0000C5780000}"/>
    <cellStyle name="Normal 8 3 7 2" xfId="35732" xr:uid="{00000000-0005-0000-0000-0000C6780000}"/>
    <cellStyle name="Normal 8 3 7 3" xfId="42381" xr:uid="{00000000-0005-0000-0000-0000C7780000}"/>
    <cellStyle name="Normal 8 3 8" xfId="35733" xr:uid="{00000000-0005-0000-0000-0000C8780000}"/>
    <cellStyle name="Normal 8 3 8 2" xfId="42382" xr:uid="{00000000-0005-0000-0000-0000C9780000}"/>
    <cellStyle name="Normal 8 3 9" xfId="42360" xr:uid="{00000000-0005-0000-0000-0000CA780000}"/>
    <cellStyle name="Normal 8 30" xfId="6055" xr:uid="{00000000-0005-0000-0000-0000CB780000}"/>
    <cellStyle name="Normal 8 4" xfId="6082" xr:uid="{00000000-0005-0000-0000-0000CC780000}"/>
    <cellStyle name="Normal 8 4 10" xfId="35734" xr:uid="{00000000-0005-0000-0000-0000CD780000}"/>
    <cellStyle name="Normal 8 4 2" xfId="6083" xr:uid="{00000000-0005-0000-0000-0000CE780000}"/>
    <cellStyle name="Normal 8 4 2 2" xfId="10642" xr:uid="{00000000-0005-0000-0000-0000CF780000}"/>
    <cellStyle name="Normal 8 4 2 2 2" xfId="35737" xr:uid="{00000000-0005-0000-0000-0000D0780000}"/>
    <cellStyle name="Normal 8 4 2 2 2 2" xfId="42386" xr:uid="{00000000-0005-0000-0000-0000D1780000}"/>
    <cellStyle name="Normal 8 4 2 2 3" xfId="35738" xr:uid="{00000000-0005-0000-0000-0000D2780000}"/>
    <cellStyle name="Normal 8 4 2 2 3 2" xfId="42387" xr:uid="{00000000-0005-0000-0000-0000D3780000}"/>
    <cellStyle name="Normal 8 4 2 2 4" xfId="42385" xr:uid="{00000000-0005-0000-0000-0000D4780000}"/>
    <cellStyle name="Normal 8 4 2 2 5" xfId="35736" xr:uid="{00000000-0005-0000-0000-0000D5780000}"/>
    <cellStyle name="Normal 8 4 2 3" xfId="35739" xr:uid="{00000000-0005-0000-0000-0000D6780000}"/>
    <cellStyle name="Normal 8 4 2 3 2" xfId="42388" xr:uid="{00000000-0005-0000-0000-0000D7780000}"/>
    <cellStyle name="Normal 8 4 2 4" xfId="35740" xr:uid="{00000000-0005-0000-0000-0000D8780000}"/>
    <cellStyle name="Normal 8 4 2 4 2" xfId="35741" xr:uid="{00000000-0005-0000-0000-0000D9780000}"/>
    <cellStyle name="Normal 8 4 2 4 3" xfId="42389" xr:uid="{00000000-0005-0000-0000-0000DA780000}"/>
    <cellStyle name="Normal 8 4 2 5" xfId="35742" xr:uid="{00000000-0005-0000-0000-0000DB780000}"/>
    <cellStyle name="Normal 8 4 2 5 2" xfId="35743" xr:uid="{00000000-0005-0000-0000-0000DC780000}"/>
    <cellStyle name="Normal 8 4 2 5 3" xfId="42390" xr:uid="{00000000-0005-0000-0000-0000DD780000}"/>
    <cellStyle name="Normal 8 4 2 6" xfId="35744" xr:uid="{00000000-0005-0000-0000-0000DE780000}"/>
    <cellStyle name="Normal 8 4 2 6 2" xfId="42391" xr:uid="{00000000-0005-0000-0000-0000DF780000}"/>
    <cellStyle name="Normal 8 4 2 7" xfId="35745" xr:uid="{00000000-0005-0000-0000-0000E0780000}"/>
    <cellStyle name="Normal 8 4 2 7 2" xfId="42392" xr:uid="{00000000-0005-0000-0000-0000E1780000}"/>
    <cellStyle name="Normal 8 4 2 8" xfId="42384" xr:uid="{00000000-0005-0000-0000-0000E2780000}"/>
    <cellStyle name="Normal 8 4 2 9" xfId="35735" xr:uid="{00000000-0005-0000-0000-0000E3780000}"/>
    <cellStyle name="Normal 8 4 3" xfId="10643" xr:uid="{00000000-0005-0000-0000-0000E4780000}"/>
    <cellStyle name="Normal 8 4 3 2" xfId="35747" xr:uid="{00000000-0005-0000-0000-0000E5780000}"/>
    <cellStyle name="Normal 8 4 3 2 2" xfId="42394" xr:uid="{00000000-0005-0000-0000-0000E6780000}"/>
    <cellStyle name="Normal 8 4 3 3" xfId="35748" xr:uid="{00000000-0005-0000-0000-0000E7780000}"/>
    <cellStyle name="Normal 8 4 3 3 2" xfId="42395" xr:uid="{00000000-0005-0000-0000-0000E8780000}"/>
    <cellStyle name="Normal 8 4 3 4" xfId="35749" xr:uid="{00000000-0005-0000-0000-0000E9780000}"/>
    <cellStyle name="Normal 8 4 3 4 2" xfId="42396" xr:uid="{00000000-0005-0000-0000-0000EA780000}"/>
    <cellStyle name="Normal 8 4 3 5" xfId="42393" xr:uid="{00000000-0005-0000-0000-0000EB780000}"/>
    <cellStyle name="Normal 8 4 3 6" xfId="35746" xr:uid="{00000000-0005-0000-0000-0000EC780000}"/>
    <cellStyle name="Normal 8 4 4" xfId="35750" xr:uid="{00000000-0005-0000-0000-0000ED780000}"/>
    <cellStyle name="Normal 8 4 4 2" xfId="35751" xr:uid="{00000000-0005-0000-0000-0000EE780000}"/>
    <cellStyle name="Normal 8 4 4 2 2" xfId="42398" xr:uid="{00000000-0005-0000-0000-0000EF780000}"/>
    <cellStyle name="Normal 8 4 4 3" xfId="35752" xr:uid="{00000000-0005-0000-0000-0000F0780000}"/>
    <cellStyle name="Normal 8 4 4 3 2" xfId="42399" xr:uid="{00000000-0005-0000-0000-0000F1780000}"/>
    <cellStyle name="Normal 8 4 4 4" xfId="42397" xr:uid="{00000000-0005-0000-0000-0000F2780000}"/>
    <cellStyle name="Normal 8 4 5" xfId="35753" xr:uid="{00000000-0005-0000-0000-0000F3780000}"/>
    <cellStyle name="Normal 8 4 5 2" xfId="35754" xr:uid="{00000000-0005-0000-0000-0000F4780000}"/>
    <cellStyle name="Normal 8 4 5 3" xfId="42400" xr:uid="{00000000-0005-0000-0000-0000F5780000}"/>
    <cellStyle name="Normal 8 4 6" xfId="35755" xr:uid="{00000000-0005-0000-0000-0000F6780000}"/>
    <cellStyle name="Normal 8 4 6 2" xfId="35756" xr:uid="{00000000-0005-0000-0000-0000F7780000}"/>
    <cellStyle name="Normal 8 4 6 3" xfId="42401" xr:uid="{00000000-0005-0000-0000-0000F8780000}"/>
    <cellStyle name="Normal 8 4 7" xfId="35757" xr:uid="{00000000-0005-0000-0000-0000F9780000}"/>
    <cellStyle name="Normal 8 4 7 2" xfId="42402" xr:uid="{00000000-0005-0000-0000-0000FA780000}"/>
    <cellStyle name="Normal 8 4 8" xfId="35758" xr:uid="{00000000-0005-0000-0000-0000FB780000}"/>
    <cellStyle name="Normal 8 4 8 2" xfId="42403" xr:uid="{00000000-0005-0000-0000-0000FC780000}"/>
    <cellStyle name="Normal 8 4 9" xfId="42383" xr:uid="{00000000-0005-0000-0000-0000FD780000}"/>
    <cellStyle name="Normal 8 5" xfId="6084" xr:uid="{00000000-0005-0000-0000-0000FE780000}"/>
    <cellStyle name="Normal 8 5 2" xfId="6085" xr:uid="{00000000-0005-0000-0000-0000FF780000}"/>
    <cellStyle name="Normal 8 5 2 2" xfId="10644" xr:uid="{00000000-0005-0000-0000-000000790000}"/>
    <cellStyle name="Normal 8 5 2 2 2" xfId="42406" xr:uid="{00000000-0005-0000-0000-000001790000}"/>
    <cellStyle name="Normal 8 5 2 2 3" xfId="35761" xr:uid="{00000000-0005-0000-0000-000002790000}"/>
    <cellStyle name="Normal 8 5 2 3" xfId="35762" xr:uid="{00000000-0005-0000-0000-000003790000}"/>
    <cellStyle name="Normal 8 5 2 3 2" xfId="42407" xr:uid="{00000000-0005-0000-0000-000004790000}"/>
    <cellStyle name="Normal 8 5 2 4" xfId="35763" xr:uid="{00000000-0005-0000-0000-000005790000}"/>
    <cellStyle name="Normal 8 5 2 4 2" xfId="42408" xr:uid="{00000000-0005-0000-0000-000006790000}"/>
    <cellStyle name="Normal 8 5 2 5" xfId="35764" xr:uid="{00000000-0005-0000-0000-000007790000}"/>
    <cellStyle name="Normal 8 5 2 5 2" xfId="42409" xr:uid="{00000000-0005-0000-0000-000008790000}"/>
    <cellStyle name="Normal 8 5 2 6" xfId="42405" xr:uid="{00000000-0005-0000-0000-000009790000}"/>
    <cellStyle name="Normal 8 5 2 7" xfId="35760" xr:uid="{00000000-0005-0000-0000-00000A790000}"/>
    <cellStyle name="Normal 8 5 3" xfId="10645" xr:uid="{00000000-0005-0000-0000-00000B790000}"/>
    <cellStyle name="Normal 8 5 3 2" xfId="35766" xr:uid="{00000000-0005-0000-0000-00000C790000}"/>
    <cellStyle name="Normal 8 5 3 2 2" xfId="42411" xr:uid="{00000000-0005-0000-0000-00000D790000}"/>
    <cellStyle name="Normal 8 5 3 3" xfId="35767" xr:uid="{00000000-0005-0000-0000-00000E790000}"/>
    <cellStyle name="Normal 8 5 3 3 2" xfId="42412" xr:uid="{00000000-0005-0000-0000-00000F790000}"/>
    <cellStyle name="Normal 8 5 3 4" xfId="35768" xr:uid="{00000000-0005-0000-0000-000010790000}"/>
    <cellStyle name="Normal 8 5 3 4 2" xfId="42413" xr:uid="{00000000-0005-0000-0000-000011790000}"/>
    <cellStyle name="Normal 8 5 3 5" xfId="42410" xr:uid="{00000000-0005-0000-0000-000012790000}"/>
    <cellStyle name="Normal 8 5 3 6" xfId="35765" xr:uid="{00000000-0005-0000-0000-000013790000}"/>
    <cellStyle name="Normal 8 5 4" xfId="35769" xr:uid="{00000000-0005-0000-0000-000014790000}"/>
    <cellStyle name="Normal 8 5 4 2" xfId="35770" xr:uid="{00000000-0005-0000-0000-000015790000}"/>
    <cellStyle name="Normal 8 5 4 2 2" xfId="42415" xr:uid="{00000000-0005-0000-0000-000016790000}"/>
    <cellStyle name="Normal 8 5 4 3" xfId="35771" xr:uid="{00000000-0005-0000-0000-000017790000}"/>
    <cellStyle name="Normal 8 5 4 3 2" xfId="42416" xr:uid="{00000000-0005-0000-0000-000018790000}"/>
    <cellStyle name="Normal 8 5 4 4" xfId="35772" xr:uid="{00000000-0005-0000-0000-000019790000}"/>
    <cellStyle name="Normal 8 5 4 5" xfId="42414" xr:uid="{00000000-0005-0000-0000-00001A790000}"/>
    <cellStyle name="Normal 8 5 5" xfId="35773" xr:uid="{00000000-0005-0000-0000-00001B790000}"/>
    <cellStyle name="Normal 8 5 5 2" xfId="35774" xr:uid="{00000000-0005-0000-0000-00001C790000}"/>
    <cellStyle name="Normal 8 5 5 3" xfId="42417" xr:uid="{00000000-0005-0000-0000-00001D790000}"/>
    <cellStyle name="Normal 8 5 6" xfId="35775" xr:uid="{00000000-0005-0000-0000-00001E790000}"/>
    <cellStyle name="Normal 8 5 6 2" xfId="42418" xr:uid="{00000000-0005-0000-0000-00001F790000}"/>
    <cellStyle name="Normal 8 5 7" xfId="42404" xr:uid="{00000000-0005-0000-0000-000020790000}"/>
    <cellStyle name="Normal 8 5 8" xfId="35759" xr:uid="{00000000-0005-0000-0000-000021790000}"/>
    <cellStyle name="Normal 8 6" xfId="6086" xr:uid="{00000000-0005-0000-0000-000022790000}"/>
    <cellStyle name="Normal 8 6 2" xfId="6087" xr:uid="{00000000-0005-0000-0000-000023790000}"/>
    <cellStyle name="Normal 8 6 2 10" xfId="35777" xr:uid="{00000000-0005-0000-0000-000024790000}"/>
    <cellStyle name="Normal 8 6 2 2" xfId="35778" xr:uid="{00000000-0005-0000-0000-000025790000}"/>
    <cellStyle name="Normal 8 6 2 2 2" xfId="35779" xr:uid="{00000000-0005-0000-0000-000026790000}"/>
    <cellStyle name="Normal 8 6 2 2 3" xfId="35780" xr:uid="{00000000-0005-0000-0000-000027790000}"/>
    <cellStyle name="Normal 8 6 2 2 4" xfId="35781" xr:uid="{00000000-0005-0000-0000-000028790000}"/>
    <cellStyle name="Normal 8 6 2 2 5" xfId="42421" xr:uid="{00000000-0005-0000-0000-000029790000}"/>
    <cellStyle name="Normal 8 6 2 3" xfId="35782" xr:uid="{00000000-0005-0000-0000-00002A790000}"/>
    <cellStyle name="Normal 8 6 2 3 2" xfId="35783" xr:uid="{00000000-0005-0000-0000-00002B790000}"/>
    <cellStyle name="Normal 8 6 2 3 3" xfId="42422" xr:uid="{00000000-0005-0000-0000-00002C790000}"/>
    <cellStyle name="Normal 8 6 2 4" xfId="35784" xr:uid="{00000000-0005-0000-0000-00002D790000}"/>
    <cellStyle name="Normal 8 6 2 4 2" xfId="35785" xr:uid="{00000000-0005-0000-0000-00002E790000}"/>
    <cellStyle name="Normal 8 6 2 4 3" xfId="42423" xr:uid="{00000000-0005-0000-0000-00002F790000}"/>
    <cellStyle name="Normal 8 6 2 5" xfId="35786" xr:uid="{00000000-0005-0000-0000-000030790000}"/>
    <cellStyle name="Normal 8 6 2 5 2" xfId="42424" xr:uid="{00000000-0005-0000-0000-000031790000}"/>
    <cellStyle name="Normal 8 6 2 6" xfId="35787" xr:uid="{00000000-0005-0000-0000-000032790000}"/>
    <cellStyle name="Normal 8 6 2 6 2" xfId="42425" xr:uid="{00000000-0005-0000-0000-000033790000}"/>
    <cellStyle name="Normal 8 6 2 7" xfId="35788" xr:uid="{00000000-0005-0000-0000-000034790000}"/>
    <cellStyle name="Normal 8 6 2 7 2" xfId="42426" xr:uid="{00000000-0005-0000-0000-000035790000}"/>
    <cellStyle name="Normal 8 6 2 8" xfId="35789" xr:uid="{00000000-0005-0000-0000-000036790000}"/>
    <cellStyle name="Normal 8 6 2 9" xfId="42420" xr:uid="{00000000-0005-0000-0000-000037790000}"/>
    <cellStyle name="Normal 8 6 3" xfId="6088" xr:uid="{00000000-0005-0000-0000-000038790000}"/>
    <cellStyle name="Normal 8 6 3 2" xfId="35791" xr:uid="{00000000-0005-0000-0000-000039790000}"/>
    <cellStyle name="Normal 8 6 3 2 2" xfId="42428" xr:uid="{00000000-0005-0000-0000-00003A790000}"/>
    <cellStyle name="Normal 8 6 3 3" xfId="42427" xr:uid="{00000000-0005-0000-0000-00003B790000}"/>
    <cellStyle name="Normal 8 6 3 4" xfId="35790" xr:uid="{00000000-0005-0000-0000-00003C790000}"/>
    <cellStyle name="Normal 8 6 4" xfId="35792" xr:uid="{00000000-0005-0000-0000-00003D790000}"/>
    <cellStyle name="Normal 8 6 4 2" xfId="35793" xr:uid="{00000000-0005-0000-0000-00003E790000}"/>
    <cellStyle name="Normal 8 6 4 2 2" xfId="42430" xr:uid="{00000000-0005-0000-0000-00003F790000}"/>
    <cellStyle name="Normal 8 6 4 3" xfId="42429" xr:uid="{00000000-0005-0000-0000-000040790000}"/>
    <cellStyle name="Normal 8 6 5" xfId="35794" xr:uid="{00000000-0005-0000-0000-000041790000}"/>
    <cellStyle name="Normal 8 6 5 2" xfId="42431" xr:uid="{00000000-0005-0000-0000-000042790000}"/>
    <cellStyle name="Normal 8 6 6" xfId="35795" xr:uid="{00000000-0005-0000-0000-000043790000}"/>
    <cellStyle name="Normal 8 6 7" xfId="42419" xr:uid="{00000000-0005-0000-0000-000044790000}"/>
    <cellStyle name="Normal 8 6 8" xfId="35776" xr:uid="{00000000-0005-0000-0000-000045790000}"/>
    <cellStyle name="Normal 8 7" xfId="6089" xr:uid="{00000000-0005-0000-0000-000046790000}"/>
    <cellStyle name="Normal 8 7 2" xfId="6090" xr:uid="{00000000-0005-0000-0000-000047790000}"/>
    <cellStyle name="Normal 8 7 2 2" xfId="35798" xr:uid="{00000000-0005-0000-0000-000048790000}"/>
    <cellStyle name="Normal 8 7 2 2 2" xfId="42434" xr:uid="{00000000-0005-0000-0000-000049790000}"/>
    <cellStyle name="Normal 8 7 2 3" xfId="35799" xr:uid="{00000000-0005-0000-0000-00004A790000}"/>
    <cellStyle name="Normal 8 7 2 3 2" xfId="42435" xr:uid="{00000000-0005-0000-0000-00004B790000}"/>
    <cellStyle name="Normal 8 7 2 4" xfId="35800" xr:uid="{00000000-0005-0000-0000-00004C790000}"/>
    <cellStyle name="Normal 8 7 2 4 2" xfId="42436" xr:uid="{00000000-0005-0000-0000-00004D790000}"/>
    <cellStyle name="Normal 8 7 2 5" xfId="35801" xr:uid="{00000000-0005-0000-0000-00004E790000}"/>
    <cellStyle name="Normal 8 7 2 5 2" xfId="42437" xr:uid="{00000000-0005-0000-0000-00004F790000}"/>
    <cellStyle name="Normal 8 7 2 6" xfId="42433" xr:uid="{00000000-0005-0000-0000-000050790000}"/>
    <cellStyle name="Normal 8 7 2 7" xfId="35797" xr:uid="{00000000-0005-0000-0000-000051790000}"/>
    <cellStyle name="Normal 8 7 3" xfId="6091" xr:uid="{00000000-0005-0000-0000-000052790000}"/>
    <cellStyle name="Normal 8 7 3 2" xfId="35803" xr:uid="{00000000-0005-0000-0000-000053790000}"/>
    <cellStyle name="Normal 8 7 3 2 2" xfId="42439" xr:uid="{00000000-0005-0000-0000-000054790000}"/>
    <cellStyle name="Normal 8 7 3 3" xfId="42438" xr:uid="{00000000-0005-0000-0000-000055790000}"/>
    <cellStyle name="Normal 8 7 3 4" xfId="35802" xr:uid="{00000000-0005-0000-0000-000056790000}"/>
    <cellStyle name="Normal 8 7 4" xfId="35804" xr:uid="{00000000-0005-0000-0000-000057790000}"/>
    <cellStyle name="Normal 8 7 4 2" xfId="35805" xr:uid="{00000000-0005-0000-0000-000058790000}"/>
    <cellStyle name="Normal 8 7 4 2 2" xfId="42441" xr:uid="{00000000-0005-0000-0000-000059790000}"/>
    <cellStyle name="Normal 8 7 4 3" xfId="42440" xr:uid="{00000000-0005-0000-0000-00005A790000}"/>
    <cellStyle name="Normal 8 7 5" xfId="35806" xr:uid="{00000000-0005-0000-0000-00005B790000}"/>
    <cellStyle name="Normal 8 7 5 2" xfId="42442" xr:uid="{00000000-0005-0000-0000-00005C790000}"/>
    <cellStyle name="Normal 8 7 6" xfId="35807" xr:uid="{00000000-0005-0000-0000-00005D790000}"/>
    <cellStyle name="Normal 8 7 6 2" xfId="42443" xr:uid="{00000000-0005-0000-0000-00005E790000}"/>
    <cellStyle name="Normal 8 7 7" xfId="35808" xr:uid="{00000000-0005-0000-0000-00005F790000}"/>
    <cellStyle name="Normal 8 7 8" xfId="42432" xr:uid="{00000000-0005-0000-0000-000060790000}"/>
    <cellStyle name="Normal 8 7 9" xfId="35796" xr:uid="{00000000-0005-0000-0000-000061790000}"/>
    <cellStyle name="Normal 8 8" xfId="6092" xr:uid="{00000000-0005-0000-0000-000062790000}"/>
    <cellStyle name="Normal 8 8 2" xfId="6093" xr:uid="{00000000-0005-0000-0000-000063790000}"/>
    <cellStyle name="Normal 8 8 2 2" xfId="35811" xr:uid="{00000000-0005-0000-0000-000064790000}"/>
    <cellStyle name="Normal 8 8 2 2 2" xfId="42446" xr:uid="{00000000-0005-0000-0000-000065790000}"/>
    <cellStyle name="Normal 8 8 2 3" xfId="42445" xr:uid="{00000000-0005-0000-0000-000066790000}"/>
    <cellStyle name="Normal 8 8 2 4" xfId="35810" xr:uid="{00000000-0005-0000-0000-000067790000}"/>
    <cellStyle name="Normal 8 8 3" xfId="6094" xr:uid="{00000000-0005-0000-0000-000068790000}"/>
    <cellStyle name="Normal 8 8 3 2" xfId="35813" xr:uid="{00000000-0005-0000-0000-000069790000}"/>
    <cellStyle name="Normal 8 8 3 2 2" xfId="42448" xr:uid="{00000000-0005-0000-0000-00006A790000}"/>
    <cellStyle name="Normal 8 8 3 3" xfId="42447" xr:uid="{00000000-0005-0000-0000-00006B790000}"/>
    <cellStyle name="Normal 8 8 3 4" xfId="35812" xr:uid="{00000000-0005-0000-0000-00006C790000}"/>
    <cellStyle name="Normal 8 8 4" xfId="35814" xr:uid="{00000000-0005-0000-0000-00006D790000}"/>
    <cellStyle name="Normal 8 8 4 2" xfId="35815" xr:uid="{00000000-0005-0000-0000-00006E790000}"/>
    <cellStyle name="Normal 8 8 4 2 2" xfId="42450" xr:uid="{00000000-0005-0000-0000-00006F790000}"/>
    <cellStyle name="Normal 8 8 4 3" xfId="42449" xr:uid="{00000000-0005-0000-0000-000070790000}"/>
    <cellStyle name="Normal 8 8 5" xfId="35816" xr:uid="{00000000-0005-0000-0000-000071790000}"/>
    <cellStyle name="Normal 8 8 5 2" xfId="42451" xr:uid="{00000000-0005-0000-0000-000072790000}"/>
    <cellStyle name="Normal 8 8 6" xfId="35817" xr:uid="{00000000-0005-0000-0000-000073790000}"/>
    <cellStyle name="Normal 8 8 6 2" xfId="42452" xr:uid="{00000000-0005-0000-0000-000074790000}"/>
    <cellStyle name="Normal 8 8 7" xfId="35818" xr:uid="{00000000-0005-0000-0000-000075790000}"/>
    <cellStyle name="Normal 8 8 8" xfId="42444" xr:uid="{00000000-0005-0000-0000-000076790000}"/>
    <cellStyle name="Normal 8 8 9" xfId="35809" xr:uid="{00000000-0005-0000-0000-000077790000}"/>
    <cellStyle name="Normal 8 9" xfId="6095" xr:uid="{00000000-0005-0000-0000-000078790000}"/>
    <cellStyle name="Normal 8 9 2" xfId="6096" xr:uid="{00000000-0005-0000-0000-000079790000}"/>
    <cellStyle name="Normal 8 9 2 2" xfId="35821" xr:uid="{00000000-0005-0000-0000-00007A790000}"/>
    <cellStyle name="Normal 8 9 2 2 2" xfId="42455" xr:uid="{00000000-0005-0000-0000-00007B790000}"/>
    <cellStyle name="Normal 8 9 2 3" xfId="42454" xr:uid="{00000000-0005-0000-0000-00007C790000}"/>
    <cellStyle name="Normal 8 9 2 4" xfId="35820" xr:uid="{00000000-0005-0000-0000-00007D790000}"/>
    <cellStyle name="Normal 8 9 3" xfId="6097" xr:uid="{00000000-0005-0000-0000-00007E790000}"/>
    <cellStyle name="Normal 8 9 3 2" xfId="35823" xr:uid="{00000000-0005-0000-0000-00007F790000}"/>
    <cellStyle name="Normal 8 9 3 2 2" xfId="42457" xr:uid="{00000000-0005-0000-0000-000080790000}"/>
    <cellStyle name="Normal 8 9 3 3" xfId="42456" xr:uid="{00000000-0005-0000-0000-000081790000}"/>
    <cellStyle name="Normal 8 9 3 4" xfId="35822" xr:uid="{00000000-0005-0000-0000-000082790000}"/>
    <cellStyle name="Normal 8 9 4" xfId="35824" xr:uid="{00000000-0005-0000-0000-000083790000}"/>
    <cellStyle name="Normal 8 9 4 2" xfId="35825" xr:uid="{00000000-0005-0000-0000-000084790000}"/>
    <cellStyle name="Normal 8 9 4 2 2" xfId="42459" xr:uid="{00000000-0005-0000-0000-000085790000}"/>
    <cellStyle name="Normal 8 9 4 3" xfId="42458" xr:uid="{00000000-0005-0000-0000-000086790000}"/>
    <cellStyle name="Normal 8 9 5" xfId="35826" xr:uid="{00000000-0005-0000-0000-000087790000}"/>
    <cellStyle name="Normal 8 9 5 2" xfId="42460" xr:uid="{00000000-0005-0000-0000-000088790000}"/>
    <cellStyle name="Normal 8 9 6" xfId="35827" xr:uid="{00000000-0005-0000-0000-000089790000}"/>
    <cellStyle name="Normal 8 9 6 2" xfId="42461" xr:uid="{00000000-0005-0000-0000-00008A790000}"/>
    <cellStyle name="Normal 8 9 7" xfId="35828" xr:uid="{00000000-0005-0000-0000-00008B790000}"/>
    <cellStyle name="Normal 8 9 8" xfId="42453" xr:uid="{00000000-0005-0000-0000-00008C790000}"/>
    <cellStyle name="Normal 8 9 9" xfId="35819" xr:uid="{00000000-0005-0000-0000-00008D790000}"/>
    <cellStyle name="Normal 80" xfId="6098" xr:uid="{00000000-0005-0000-0000-00008E790000}"/>
    <cellStyle name="Normal 80 2" xfId="6099" xr:uid="{00000000-0005-0000-0000-00008F790000}"/>
    <cellStyle name="Normal 80 2 2" xfId="42462" xr:uid="{00000000-0005-0000-0000-000090790000}"/>
    <cellStyle name="Normal 80 2 3" xfId="35829" xr:uid="{00000000-0005-0000-0000-000091790000}"/>
    <cellStyle name="Normal 80 3" xfId="6100" xr:uid="{00000000-0005-0000-0000-000092790000}"/>
    <cellStyle name="Normal 80 3 2" xfId="6101" xr:uid="{00000000-0005-0000-0000-000093790000}"/>
    <cellStyle name="Normal 80 3 2 2" xfId="42463" xr:uid="{00000000-0005-0000-0000-000094790000}"/>
    <cellStyle name="Normal 80 3 3" xfId="35830" xr:uid="{00000000-0005-0000-0000-000095790000}"/>
    <cellStyle name="Normal 81" xfId="6102" xr:uid="{00000000-0005-0000-0000-000096790000}"/>
    <cellStyle name="Normal 81 2" xfId="6103" xr:uid="{00000000-0005-0000-0000-000097790000}"/>
    <cellStyle name="Normal 81 2 2" xfId="42464" xr:uid="{00000000-0005-0000-0000-000098790000}"/>
    <cellStyle name="Normal 81 2 3" xfId="35831" xr:uid="{00000000-0005-0000-0000-000099790000}"/>
    <cellStyle name="Normal 81 3" xfId="6104" xr:uid="{00000000-0005-0000-0000-00009A790000}"/>
    <cellStyle name="Normal 81 3 2" xfId="6105" xr:uid="{00000000-0005-0000-0000-00009B790000}"/>
    <cellStyle name="Normal 81 3 2 2" xfId="42465" xr:uid="{00000000-0005-0000-0000-00009C790000}"/>
    <cellStyle name="Normal 81 3 3" xfId="35832" xr:uid="{00000000-0005-0000-0000-00009D790000}"/>
    <cellStyle name="Normal 82" xfId="6106" xr:uid="{00000000-0005-0000-0000-00009E790000}"/>
    <cellStyle name="Normal 82 2" xfId="6107" xr:uid="{00000000-0005-0000-0000-00009F790000}"/>
    <cellStyle name="Normal 82 2 2" xfId="42466" xr:uid="{00000000-0005-0000-0000-0000A0790000}"/>
    <cellStyle name="Normal 82 2 3" xfId="35834" xr:uid="{00000000-0005-0000-0000-0000A1790000}"/>
    <cellStyle name="Normal 82 3" xfId="6108" xr:uid="{00000000-0005-0000-0000-0000A2790000}"/>
    <cellStyle name="Normal 82 3 2" xfId="6109" xr:uid="{00000000-0005-0000-0000-0000A3790000}"/>
    <cellStyle name="Normal 82 3 2 2" xfId="42467" xr:uid="{00000000-0005-0000-0000-0000A4790000}"/>
    <cellStyle name="Normal 82 3 3" xfId="35835" xr:uid="{00000000-0005-0000-0000-0000A5790000}"/>
    <cellStyle name="Normal 82 4" xfId="35833" xr:uid="{00000000-0005-0000-0000-0000A6790000}"/>
    <cellStyle name="Normal 83" xfId="6110" xr:uid="{00000000-0005-0000-0000-0000A7790000}"/>
    <cellStyle name="Normal 83 2" xfId="6111" xr:uid="{00000000-0005-0000-0000-0000A8790000}"/>
    <cellStyle name="Normal 83 2 2" xfId="42468" xr:uid="{00000000-0005-0000-0000-0000A9790000}"/>
    <cellStyle name="Normal 83 2 3" xfId="35837" xr:uid="{00000000-0005-0000-0000-0000AA790000}"/>
    <cellStyle name="Normal 83 3" xfId="35838" xr:uid="{00000000-0005-0000-0000-0000AB790000}"/>
    <cellStyle name="Normal 83 3 2" xfId="42469" xr:uid="{00000000-0005-0000-0000-0000AC790000}"/>
    <cellStyle name="Normal 83 4" xfId="35836" xr:uid="{00000000-0005-0000-0000-0000AD790000}"/>
    <cellStyle name="Normal 84" xfId="6112" xr:uid="{00000000-0005-0000-0000-0000AE790000}"/>
    <cellStyle name="Normal 84 2" xfId="10646" xr:uid="{00000000-0005-0000-0000-0000AF790000}"/>
    <cellStyle name="Normal 84 2 2" xfId="42470" xr:uid="{00000000-0005-0000-0000-0000B0790000}"/>
    <cellStyle name="Normal 84 2 3" xfId="35840" xr:uid="{00000000-0005-0000-0000-0000B1790000}"/>
    <cellStyle name="Normal 84 3" xfId="35841" xr:uid="{00000000-0005-0000-0000-0000B2790000}"/>
    <cellStyle name="Normal 84 3 2" xfId="42471" xr:uid="{00000000-0005-0000-0000-0000B3790000}"/>
    <cellStyle name="Normal 84 4" xfId="35839" xr:uid="{00000000-0005-0000-0000-0000B4790000}"/>
    <cellStyle name="Normal 85" xfId="6113" xr:uid="{00000000-0005-0000-0000-0000B5790000}"/>
    <cellStyle name="Normal 85 2" xfId="10647" xr:uid="{00000000-0005-0000-0000-0000B6790000}"/>
    <cellStyle name="Normal 85 2 2" xfId="42472" xr:uid="{00000000-0005-0000-0000-0000B7790000}"/>
    <cellStyle name="Normal 85 2 3" xfId="35843" xr:uid="{00000000-0005-0000-0000-0000B8790000}"/>
    <cellStyle name="Normal 85 3" xfId="35844" xr:uid="{00000000-0005-0000-0000-0000B9790000}"/>
    <cellStyle name="Normal 85 3 2" xfId="42473" xr:uid="{00000000-0005-0000-0000-0000BA790000}"/>
    <cellStyle name="Normal 85 4" xfId="35842" xr:uid="{00000000-0005-0000-0000-0000BB790000}"/>
    <cellStyle name="Normal 86" xfId="6114" xr:uid="{00000000-0005-0000-0000-0000BC790000}"/>
    <cellStyle name="Normal 86 2" xfId="10648" xr:uid="{00000000-0005-0000-0000-0000BD790000}"/>
    <cellStyle name="Normal 86 2 2" xfId="42474" xr:uid="{00000000-0005-0000-0000-0000BE790000}"/>
    <cellStyle name="Normal 86 2 3" xfId="35846" xr:uid="{00000000-0005-0000-0000-0000BF790000}"/>
    <cellStyle name="Normal 86 3" xfId="10649" xr:uid="{00000000-0005-0000-0000-0000C0790000}"/>
    <cellStyle name="Normal 86 3 2" xfId="42475" xr:uid="{00000000-0005-0000-0000-0000C1790000}"/>
    <cellStyle name="Normal 86 3 3" xfId="35847" xr:uid="{00000000-0005-0000-0000-0000C2790000}"/>
    <cellStyle name="Normal 86 4" xfId="35845" xr:uid="{00000000-0005-0000-0000-0000C3790000}"/>
    <cellStyle name="Normal 87" xfId="6115" xr:uid="{00000000-0005-0000-0000-0000C4790000}"/>
    <cellStyle name="Normal 87 2" xfId="35849" xr:uid="{00000000-0005-0000-0000-0000C5790000}"/>
    <cellStyle name="Normal 87 2 2" xfId="42476" xr:uid="{00000000-0005-0000-0000-0000C6790000}"/>
    <cellStyle name="Normal 87 3" xfId="35850" xr:uid="{00000000-0005-0000-0000-0000C7790000}"/>
    <cellStyle name="Normal 87 3 2" xfId="42477" xr:uid="{00000000-0005-0000-0000-0000C8790000}"/>
    <cellStyle name="Normal 87 4" xfId="35848" xr:uid="{00000000-0005-0000-0000-0000C9790000}"/>
    <cellStyle name="Normal 88" xfId="6116" xr:uid="{00000000-0005-0000-0000-0000CA790000}"/>
    <cellStyle name="Normal 88 2" xfId="35852" xr:uid="{00000000-0005-0000-0000-0000CB790000}"/>
    <cellStyle name="Normal 88 2 2" xfId="42478" xr:uid="{00000000-0005-0000-0000-0000CC790000}"/>
    <cellStyle name="Normal 88 3" xfId="35853" xr:uid="{00000000-0005-0000-0000-0000CD790000}"/>
    <cellStyle name="Normal 88 3 2" xfId="42479" xr:uid="{00000000-0005-0000-0000-0000CE790000}"/>
    <cellStyle name="Normal 88 4" xfId="35851" xr:uid="{00000000-0005-0000-0000-0000CF790000}"/>
    <cellStyle name="Normal 89" xfId="6117" xr:uid="{00000000-0005-0000-0000-0000D0790000}"/>
    <cellStyle name="Normal 89 2" xfId="35855" xr:uid="{00000000-0005-0000-0000-0000D1790000}"/>
    <cellStyle name="Normal 89 2 2" xfId="42480" xr:uid="{00000000-0005-0000-0000-0000D2790000}"/>
    <cellStyle name="Normal 89 3" xfId="35856" xr:uid="{00000000-0005-0000-0000-0000D3790000}"/>
    <cellStyle name="Normal 89 3 2" xfId="42481" xr:uid="{00000000-0005-0000-0000-0000D4790000}"/>
    <cellStyle name="Normal 89 4" xfId="35854" xr:uid="{00000000-0005-0000-0000-0000D5790000}"/>
    <cellStyle name="Normal 9" xfId="49" xr:uid="{00000000-0005-0000-0000-0000D6790000}"/>
    <cellStyle name="Normal 9 10" xfId="6119" xr:uid="{00000000-0005-0000-0000-0000D7790000}"/>
    <cellStyle name="Normal 9 10 2" xfId="6120" xr:uid="{00000000-0005-0000-0000-0000D8790000}"/>
    <cellStyle name="Normal 9 10 2 2" xfId="42483" xr:uid="{00000000-0005-0000-0000-0000D9790000}"/>
    <cellStyle name="Normal 9 10 2 3" xfId="35858" xr:uid="{00000000-0005-0000-0000-0000DA790000}"/>
    <cellStyle name="Normal 9 10 3" xfId="6121" xr:uid="{00000000-0005-0000-0000-0000DB790000}"/>
    <cellStyle name="Normal 9 10 3 2" xfId="42484" xr:uid="{00000000-0005-0000-0000-0000DC790000}"/>
    <cellStyle name="Normal 9 10 3 3" xfId="35859" xr:uid="{00000000-0005-0000-0000-0000DD790000}"/>
    <cellStyle name="Normal 9 10 4" xfId="35860" xr:uid="{00000000-0005-0000-0000-0000DE790000}"/>
    <cellStyle name="Normal 9 10 4 2" xfId="42485" xr:uid="{00000000-0005-0000-0000-0000DF790000}"/>
    <cellStyle name="Normal 9 10 5" xfId="35861" xr:uid="{00000000-0005-0000-0000-0000E0790000}"/>
    <cellStyle name="Normal 9 10 5 2" xfId="42486" xr:uid="{00000000-0005-0000-0000-0000E1790000}"/>
    <cellStyle name="Normal 9 10 6" xfId="35862" xr:uid="{00000000-0005-0000-0000-0000E2790000}"/>
    <cellStyle name="Normal 9 10 7" xfId="42482" xr:uid="{00000000-0005-0000-0000-0000E3790000}"/>
    <cellStyle name="Normal 9 10 8" xfId="35857" xr:uid="{00000000-0005-0000-0000-0000E4790000}"/>
    <cellStyle name="Normal 9 11" xfId="6122" xr:uid="{00000000-0005-0000-0000-0000E5790000}"/>
    <cellStyle name="Normal 9 11 2" xfId="6123" xr:uid="{00000000-0005-0000-0000-0000E6790000}"/>
    <cellStyle name="Normal 9 11 2 2" xfId="42488" xr:uid="{00000000-0005-0000-0000-0000E7790000}"/>
    <cellStyle name="Normal 9 11 2 3" xfId="35864" xr:uid="{00000000-0005-0000-0000-0000E8790000}"/>
    <cellStyle name="Normal 9 11 3" xfId="6124" xr:uid="{00000000-0005-0000-0000-0000E9790000}"/>
    <cellStyle name="Normal 9 11 3 2" xfId="42489" xr:uid="{00000000-0005-0000-0000-0000EA790000}"/>
    <cellStyle name="Normal 9 11 3 3" xfId="35865" xr:uid="{00000000-0005-0000-0000-0000EB790000}"/>
    <cellStyle name="Normal 9 11 4" xfId="35866" xr:uid="{00000000-0005-0000-0000-0000EC790000}"/>
    <cellStyle name="Normal 9 11 4 2" xfId="42490" xr:uid="{00000000-0005-0000-0000-0000ED790000}"/>
    <cellStyle name="Normal 9 11 5" xfId="35867" xr:uid="{00000000-0005-0000-0000-0000EE790000}"/>
    <cellStyle name="Normal 9 11 5 2" xfId="42491" xr:uid="{00000000-0005-0000-0000-0000EF790000}"/>
    <cellStyle name="Normal 9 11 6" xfId="42487" xr:uid="{00000000-0005-0000-0000-0000F0790000}"/>
    <cellStyle name="Normal 9 11 7" xfId="35863" xr:uid="{00000000-0005-0000-0000-0000F1790000}"/>
    <cellStyle name="Normal 9 12" xfId="6125" xr:uid="{00000000-0005-0000-0000-0000F2790000}"/>
    <cellStyle name="Normal 9 12 2" xfId="10650" xr:uid="{00000000-0005-0000-0000-0000F3790000}"/>
    <cellStyle name="Normal 9 12 2 2" xfId="42493" xr:uid="{00000000-0005-0000-0000-0000F4790000}"/>
    <cellStyle name="Normal 9 12 2 3" xfId="35869" xr:uid="{00000000-0005-0000-0000-0000F5790000}"/>
    <cellStyle name="Normal 9 12 3" xfId="35870" xr:uid="{00000000-0005-0000-0000-0000F6790000}"/>
    <cellStyle name="Normal 9 12 3 2" xfId="42494" xr:uid="{00000000-0005-0000-0000-0000F7790000}"/>
    <cellStyle name="Normal 9 12 4" xfId="35871" xr:uid="{00000000-0005-0000-0000-0000F8790000}"/>
    <cellStyle name="Normal 9 12 4 2" xfId="42495" xr:uid="{00000000-0005-0000-0000-0000F9790000}"/>
    <cellStyle name="Normal 9 12 5" xfId="42492" xr:uid="{00000000-0005-0000-0000-0000FA790000}"/>
    <cellStyle name="Normal 9 12 6" xfId="35868" xr:uid="{00000000-0005-0000-0000-0000FB790000}"/>
    <cellStyle name="Normal 9 13" xfId="6126" xr:uid="{00000000-0005-0000-0000-0000FC790000}"/>
    <cellStyle name="Normal 9 13 2" xfId="10651" xr:uid="{00000000-0005-0000-0000-0000FD790000}"/>
    <cellStyle name="Normal 9 13 2 2" xfId="42497" xr:uid="{00000000-0005-0000-0000-0000FE790000}"/>
    <cellStyle name="Normal 9 13 2 3" xfId="35873" xr:uid="{00000000-0005-0000-0000-0000FF790000}"/>
    <cellStyle name="Normal 9 13 3" xfId="35874" xr:uid="{00000000-0005-0000-0000-0000007A0000}"/>
    <cellStyle name="Normal 9 13 3 2" xfId="42498" xr:uid="{00000000-0005-0000-0000-0000017A0000}"/>
    <cellStyle name="Normal 9 13 4" xfId="35875" xr:uid="{00000000-0005-0000-0000-0000027A0000}"/>
    <cellStyle name="Normal 9 13 4 2" xfId="42499" xr:uid="{00000000-0005-0000-0000-0000037A0000}"/>
    <cellStyle name="Normal 9 13 5" xfId="42496" xr:uid="{00000000-0005-0000-0000-0000047A0000}"/>
    <cellStyle name="Normal 9 13 6" xfId="35872" xr:uid="{00000000-0005-0000-0000-0000057A0000}"/>
    <cellStyle name="Normal 9 14" xfId="6127" xr:uid="{00000000-0005-0000-0000-0000067A0000}"/>
    <cellStyle name="Normal 9 14 2" xfId="6128" xr:uid="{00000000-0005-0000-0000-0000077A0000}"/>
    <cellStyle name="Normal 9 14 2 2" xfId="42501" xr:uid="{00000000-0005-0000-0000-0000087A0000}"/>
    <cellStyle name="Normal 9 14 2 3" xfId="35877" xr:uid="{00000000-0005-0000-0000-0000097A0000}"/>
    <cellStyle name="Normal 9 14 3" xfId="6129" xr:uid="{00000000-0005-0000-0000-00000A7A0000}"/>
    <cellStyle name="Normal 9 14 3 2" xfId="42502" xr:uid="{00000000-0005-0000-0000-00000B7A0000}"/>
    <cellStyle name="Normal 9 14 3 3" xfId="35878" xr:uid="{00000000-0005-0000-0000-00000C7A0000}"/>
    <cellStyle name="Normal 9 14 4" xfId="35879" xr:uid="{00000000-0005-0000-0000-00000D7A0000}"/>
    <cellStyle name="Normal 9 14 4 2" xfId="42503" xr:uid="{00000000-0005-0000-0000-00000E7A0000}"/>
    <cellStyle name="Normal 9 14 5" xfId="42500" xr:uid="{00000000-0005-0000-0000-00000F7A0000}"/>
    <cellStyle name="Normal 9 14 6" xfId="35876" xr:uid="{00000000-0005-0000-0000-0000107A0000}"/>
    <cellStyle name="Normal 9 15" xfId="6130" xr:uid="{00000000-0005-0000-0000-0000117A0000}"/>
    <cellStyle name="Normal 9 15 2" xfId="6131" xr:uid="{00000000-0005-0000-0000-0000127A0000}"/>
    <cellStyle name="Normal 9 15 2 2" xfId="42505" xr:uid="{00000000-0005-0000-0000-0000137A0000}"/>
    <cellStyle name="Normal 9 15 2 3" xfId="35881" xr:uid="{00000000-0005-0000-0000-0000147A0000}"/>
    <cellStyle name="Normal 9 15 3" xfId="6132" xr:uid="{00000000-0005-0000-0000-0000157A0000}"/>
    <cellStyle name="Normal 9 15 3 2" xfId="42506" xr:uid="{00000000-0005-0000-0000-0000167A0000}"/>
    <cellStyle name="Normal 9 15 3 3" xfId="35882" xr:uid="{00000000-0005-0000-0000-0000177A0000}"/>
    <cellStyle name="Normal 9 15 4" xfId="35883" xr:uid="{00000000-0005-0000-0000-0000187A0000}"/>
    <cellStyle name="Normal 9 15 4 2" xfId="42507" xr:uid="{00000000-0005-0000-0000-0000197A0000}"/>
    <cellStyle name="Normal 9 15 5" xfId="42504" xr:uid="{00000000-0005-0000-0000-00001A7A0000}"/>
    <cellStyle name="Normal 9 15 6" xfId="35880" xr:uid="{00000000-0005-0000-0000-00001B7A0000}"/>
    <cellStyle name="Normal 9 16" xfId="6133" xr:uid="{00000000-0005-0000-0000-00001C7A0000}"/>
    <cellStyle name="Normal 9 16 2" xfId="6134" xr:uid="{00000000-0005-0000-0000-00001D7A0000}"/>
    <cellStyle name="Normal 9 16 2 2" xfId="42509" xr:uid="{00000000-0005-0000-0000-00001E7A0000}"/>
    <cellStyle name="Normal 9 16 2 3" xfId="35885" xr:uid="{00000000-0005-0000-0000-00001F7A0000}"/>
    <cellStyle name="Normal 9 16 3" xfId="6135" xr:uid="{00000000-0005-0000-0000-0000207A0000}"/>
    <cellStyle name="Normal 9 16 3 2" xfId="42510" xr:uid="{00000000-0005-0000-0000-0000217A0000}"/>
    <cellStyle name="Normal 9 16 3 3" xfId="35886" xr:uid="{00000000-0005-0000-0000-0000227A0000}"/>
    <cellStyle name="Normal 9 16 4" xfId="35887" xr:uid="{00000000-0005-0000-0000-0000237A0000}"/>
    <cellStyle name="Normal 9 16 4 2" xfId="42511" xr:uid="{00000000-0005-0000-0000-0000247A0000}"/>
    <cellStyle name="Normal 9 16 5" xfId="42508" xr:uid="{00000000-0005-0000-0000-0000257A0000}"/>
    <cellStyle name="Normal 9 16 6" xfId="35884" xr:uid="{00000000-0005-0000-0000-0000267A0000}"/>
    <cellStyle name="Normal 9 17" xfId="6136" xr:uid="{00000000-0005-0000-0000-0000277A0000}"/>
    <cellStyle name="Normal 9 17 2" xfId="10652" xr:uid="{00000000-0005-0000-0000-0000287A0000}"/>
    <cellStyle name="Normal 9 17 2 2" xfId="42513" xr:uid="{00000000-0005-0000-0000-0000297A0000}"/>
    <cellStyle name="Normal 9 17 2 3" xfId="35889" xr:uid="{00000000-0005-0000-0000-00002A7A0000}"/>
    <cellStyle name="Normal 9 17 3" xfId="35890" xr:uid="{00000000-0005-0000-0000-00002B7A0000}"/>
    <cellStyle name="Normal 9 17 3 2" xfId="42514" xr:uid="{00000000-0005-0000-0000-00002C7A0000}"/>
    <cellStyle name="Normal 9 17 4" xfId="35891" xr:uid="{00000000-0005-0000-0000-00002D7A0000}"/>
    <cellStyle name="Normal 9 17 4 2" xfId="42515" xr:uid="{00000000-0005-0000-0000-00002E7A0000}"/>
    <cellStyle name="Normal 9 17 5" xfId="42512" xr:uid="{00000000-0005-0000-0000-00002F7A0000}"/>
    <cellStyle name="Normal 9 17 6" xfId="35888" xr:uid="{00000000-0005-0000-0000-0000307A0000}"/>
    <cellStyle name="Normal 9 18" xfId="6137" xr:uid="{00000000-0005-0000-0000-0000317A0000}"/>
    <cellStyle name="Normal 9 18 2" xfId="10653" xr:uid="{00000000-0005-0000-0000-0000327A0000}"/>
    <cellStyle name="Normal 9 18 2 2" xfId="35894" xr:uid="{00000000-0005-0000-0000-0000337A0000}"/>
    <cellStyle name="Normal 9 18 2 2 2" xfId="35895" xr:uid="{00000000-0005-0000-0000-0000347A0000}"/>
    <cellStyle name="Normal 9 18 2 2 2 2" xfId="42519" xr:uid="{00000000-0005-0000-0000-0000357A0000}"/>
    <cellStyle name="Normal 9 18 2 2 3" xfId="42518" xr:uid="{00000000-0005-0000-0000-0000367A0000}"/>
    <cellStyle name="Normal 9 18 2 3" xfId="35896" xr:uid="{00000000-0005-0000-0000-0000377A0000}"/>
    <cellStyle name="Normal 9 18 2 3 2" xfId="42520" xr:uid="{00000000-0005-0000-0000-0000387A0000}"/>
    <cellStyle name="Normal 9 18 2 4" xfId="42517" xr:uid="{00000000-0005-0000-0000-0000397A0000}"/>
    <cellStyle name="Normal 9 18 2 5" xfId="35893" xr:uid="{00000000-0005-0000-0000-00003A7A0000}"/>
    <cellStyle name="Normal 9 18 3" xfId="35897" xr:uid="{00000000-0005-0000-0000-00003B7A0000}"/>
    <cellStyle name="Normal 9 18 3 2" xfId="35898" xr:uid="{00000000-0005-0000-0000-00003C7A0000}"/>
    <cellStyle name="Normal 9 18 3 2 2" xfId="42522" xr:uid="{00000000-0005-0000-0000-00003D7A0000}"/>
    <cellStyle name="Normal 9 18 3 3" xfId="42521" xr:uid="{00000000-0005-0000-0000-00003E7A0000}"/>
    <cellStyle name="Normal 9 18 4" xfId="35899" xr:uid="{00000000-0005-0000-0000-00003F7A0000}"/>
    <cellStyle name="Normal 9 18 4 2" xfId="42523" xr:uid="{00000000-0005-0000-0000-0000407A0000}"/>
    <cellStyle name="Normal 9 18 5" xfId="42516" xr:uid="{00000000-0005-0000-0000-0000417A0000}"/>
    <cellStyle name="Normal 9 18 6" xfId="35892" xr:uid="{00000000-0005-0000-0000-0000427A0000}"/>
    <cellStyle name="Normal 9 19" xfId="35900" xr:uid="{00000000-0005-0000-0000-0000437A0000}"/>
    <cellStyle name="Normal 9 19 2" xfId="42524" xr:uid="{00000000-0005-0000-0000-0000447A0000}"/>
    <cellStyle name="Normal 9 2" xfId="6138" xr:uid="{00000000-0005-0000-0000-0000457A0000}"/>
    <cellStyle name="Normal 9 2 10" xfId="42525" xr:uid="{00000000-0005-0000-0000-0000467A0000}"/>
    <cellStyle name="Normal 9 2 11" xfId="35901" xr:uid="{00000000-0005-0000-0000-0000477A0000}"/>
    <cellStyle name="Normal 9 2 2" xfId="6139" xr:uid="{00000000-0005-0000-0000-0000487A0000}"/>
    <cellStyle name="Normal 9 2 2 10" xfId="35903" xr:uid="{00000000-0005-0000-0000-0000497A0000}"/>
    <cellStyle name="Normal 9 2 2 10 2" xfId="42527" xr:uid="{00000000-0005-0000-0000-00004A7A0000}"/>
    <cellStyle name="Normal 9 2 2 11" xfId="35904" xr:uid="{00000000-0005-0000-0000-00004B7A0000}"/>
    <cellStyle name="Normal 9 2 2 11 2" xfId="42528" xr:uid="{00000000-0005-0000-0000-00004C7A0000}"/>
    <cellStyle name="Normal 9 2 2 12" xfId="42526" xr:uid="{00000000-0005-0000-0000-00004D7A0000}"/>
    <cellStyle name="Normal 9 2 2 13" xfId="35902" xr:uid="{00000000-0005-0000-0000-00004E7A0000}"/>
    <cellStyle name="Normal 9 2 2 2" xfId="10654" xr:uid="{00000000-0005-0000-0000-00004F7A0000}"/>
    <cellStyle name="Normal 9 2 2 2 2" xfId="35906" xr:uid="{00000000-0005-0000-0000-0000507A0000}"/>
    <cellStyle name="Normal 9 2 2 2 2 2" xfId="35907" xr:uid="{00000000-0005-0000-0000-0000517A0000}"/>
    <cellStyle name="Normal 9 2 2 2 2 2 2" xfId="42531" xr:uid="{00000000-0005-0000-0000-0000527A0000}"/>
    <cellStyle name="Normal 9 2 2 2 2 3" xfId="35908" xr:uid="{00000000-0005-0000-0000-0000537A0000}"/>
    <cellStyle name="Normal 9 2 2 2 2 3 2" xfId="42532" xr:uid="{00000000-0005-0000-0000-0000547A0000}"/>
    <cellStyle name="Normal 9 2 2 2 2 4" xfId="35909" xr:uid="{00000000-0005-0000-0000-0000557A0000}"/>
    <cellStyle name="Normal 9 2 2 2 2 5" xfId="35910" xr:uid="{00000000-0005-0000-0000-0000567A0000}"/>
    <cellStyle name="Normal 9 2 2 2 2 6" xfId="42530" xr:uid="{00000000-0005-0000-0000-0000577A0000}"/>
    <cellStyle name="Normal 9 2 2 2 3" xfId="35911" xr:uid="{00000000-0005-0000-0000-0000587A0000}"/>
    <cellStyle name="Normal 9 2 2 2 3 2" xfId="42533" xr:uid="{00000000-0005-0000-0000-0000597A0000}"/>
    <cellStyle name="Normal 9 2 2 2 4" xfId="35912" xr:uid="{00000000-0005-0000-0000-00005A7A0000}"/>
    <cellStyle name="Normal 9 2 2 2 4 2" xfId="42534" xr:uid="{00000000-0005-0000-0000-00005B7A0000}"/>
    <cellStyle name="Normal 9 2 2 2 5" xfId="35913" xr:uid="{00000000-0005-0000-0000-00005C7A0000}"/>
    <cellStyle name="Normal 9 2 2 2 5 2" xfId="35914" xr:uid="{00000000-0005-0000-0000-00005D7A0000}"/>
    <cellStyle name="Normal 9 2 2 2 5 3" xfId="42535" xr:uid="{00000000-0005-0000-0000-00005E7A0000}"/>
    <cellStyle name="Normal 9 2 2 2 6" xfId="35915" xr:uid="{00000000-0005-0000-0000-00005F7A0000}"/>
    <cellStyle name="Normal 9 2 2 2 6 2" xfId="35916" xr:uid="{00000000-0005-0000-0000-0000607A0000}"/>
    <cellStyle name="Normal 9 2 2 2 6 3" xfId="42536" xr:uid="{00000000-0005-0000-0000-0000617A0000}"/>
    <cellStyle name="Normal 9 2 2 2 7" xfId="42529" xr:uid="{00000000-0005-0000-0000-0000627A0000}"/>
    <cellStyle name="Normal 9 2 2 2 8" xfId="35905" xr:uid="{00000000-0005-0000-0000-0000637A0000}"/>
    <cellStyle name="Normal 9 2 2 3" xfId="35917" xr:uid="{00000000-0005-0000-0000-0000647A0000}"/>
    <cellStyle name="Normal 9 2 2 3 2" xfId="35918" xr:uid="{00000000-0005-0000-0000-0000657A0000}"/>
    <cellStyle name="Normal 9 2 2 3 2 2" xfId="35919" xr:uid="{00000000-0005-0000-0000-0000667A0000}"/>
    <cellStyle name="Normal 9 2 2 3 2 2 2" xfId="42539" xr:uid="{00000000-0005-0000-0000-0000677A0000}"/>
    <cellStyle name="Normal 9 2 2 3 2 3" xfId="42538" xr:uid="{00000000-0005-0000-0000-0000687A0000}"/>
    <cellStyle name="Normal 9 2 2 3 3" xfId="35920" xr:uid="{00000000-0005-0000-0000-0000697A0000}"/>
    <cellStyle name="Normal 9 2 2 3 3 2" xfId="42540" xr:uid="{00000000-0005-0000-0000-00006A7A0000}"/>
    <cellStyle name="Normal 9 2 2 3 4" xfId="35921" xr:uid="{00000000-0005-0000-0000-00006B7A0000}"/>
    <cellStyle name="Normal 9 2 2 3 4 2" xfId="35922" xr:uid="{00000000-0005-0000-0000-00006C7A0000}"/>
    <cellStyle name="Normal 9 2 2 3 4 3" xfId="42541" xr:uid="{00000000-0005-0000-0000-00006D7A0000}"/>
    <cellStyle name="Normal 9 2 2 3 5" xfId="35923" xr:uid="{00000000-0005-0000-0000-00006E7A0000}"/>
    <cellStyle name="Normal 9 2 2 3 6" xfId="42537" xr:uid="{00000000-0005-0000-0000-00006F7A0000}"/>
    <cellStyle name="Normal 9 2 2 4" xfId="35924" xr:uid="{00000000-0005-0000-0000-0000707A0000}"/>
    <cellStyle name="Normal 9 2 2 4 2" xfId="42542" xr:uid="{00000000-0005-0000-0000-0000717A0000}"/>
    <cellStyle name="Normal 9 2 2 5" xfId="35925" xr:uid="{00000000-0005-0000-0000-0000727A0000}"/>
    <cellStyle name="Normal 9 2 2 5 2" xfId="42543" xr:uid="{00000000-0005-0000-0000-0000737A0000}"/>
    <cellStyle name="Normal 9 2 2 6" xfId="35926" xr:uid="{00000000-0005-0000-0000-0000747A0000}"/>
    <cellStyle name="Normal 9 2 2 6 2" xfId="35927" xr:uid="{00000000-0005-0000-0000-0000757A0000}"/>
    <cellStyle name="Normal 9 2 2 6 3" xfId="42544" xr:uid="{00000000-0005-0000-0000-0000767A0000}"/>
    <cellStyle name="Normal 9 2 2 7" xfId="35928" xr:uid="{00000000-0005-0000-0000-0000777A0000}"/>
    <cellStyle name="Normal 9 2 2 7 2" xfId="35929" xr:uid="{00000000-0005-0000-0000-0000787A0000}"/>
    <cellStyle name="Normal 9 2 2 7 3" xfId="42545" xr:uid="{00000000-0005-0000-0000-0000797A0000}"/>
    <cellStyle name="Normal 9 2 2 8" xfId="35930" xr:uid="{00000000-0005-0000-0000-00007A7A0000}"/>
    <cellStyle name="Normal 9 2 2 8 2" xfId="42546" xr:uid="{00000000-0005-0000-0000-00007B7A0000}"/>
    <cellStyle name="Normal 9 2 2 9" xfId="35931" xr:uid="{00000000-0005-0000-0000-00007C7A0000}"/>
    <cellStyle name="Normal 9 2 2 9 2" xfId="42547" xr:uid="{00000000-0005-0000-0000-00007D7A0000}"/>
    <cellStyle name="Normal 9 2 3" xfId="6140" xr:uid="{00000000-0005-0000-0000-00007E7A0000}"/>
    <cellStyle name="Normal 9 2 3 2" xfId="10655" xr:uid="{00000000-0005-0000-0000-00007F7A0000}"/>
    <cellStyle name="Normal 9 2 3 2 2" xfId="35934" xr:uid="{00000000-0005-0000-0000-0000807A0000}"/>
    <cellStyle name="Normal 9 2 3 2 2 2" xfId="42550" xr:uid="{00000000-0005-0000-0000-0000817A0000}"/>
    <cellStyle name="Normal 9 2 3 2 3" xfId="35935" xr:uid="{00000000-0005-0000-0000-0000827A0000}"/>
    <cellStyle name="Normal 9 2 3 2 3 2" xfId="42551" xr:uid="{00000000-0005-0000-0000-0000837A0000}"/>
    <cellStyle name="Normal 9 2 3 2 4" xfId="35936" xr:uid="{00000000-0005-0000-0000-0000847A0000}"/>
    <cellStyle name="Normal 9 2 3 2 5" xfId="35937" xr:uid="{00000000-0005-0000-0000-0000857A0000}"/>
    <cellStyle name="Normal 9 2 3 2 6" xfId="42549" xr:uid="{00000000-0005-0000-0000-0000867A0000}"/>
    <cellStyle name="Normal 9 2 3 2 7" xfId="35933" xr:uid="{00000000-0005-0000-0000-0000877A0000}"/>
    <cellStyle name="Normal 9 2 3 3" xfId="35938" xr:uid="{00000000-0005-0000-0000-0000887A0000}"/>
    <cellStyle name="Normal 9 2 3 3 2" xfId="42552" xr:uid="{00000000-0005-0000-0000-0000897A0000}"/>
    <cellStyle name="Normal 9 2 3 4" xfId="35939" xr:uid="{00000000-0005-0000-0000-00008A7A0000}"/>
    <cellStyle name="Normal 9 2 3 4 2" xfId="42553" xr:uid="{00000000-0005-0000-0000-00008B7A0000}"/>
    <cellStyle name="Normal 9 2 3 5" xfId="35940" xr:uid="{00000000-0005-0000-0000-00008C7A0000}"/>
    <cellStyle name="Normal 9 2 3 6" xfId="35941" xr:uid="{00000000-0005-0000-0000-00008D7A0000}"/>
    <cellStyle name="Normal 9 2 3 7" xfId="42548" xr:uid="{00000000-0005-0000-0000-00008E7A0000}"/>
    <cellStyle name="Normal 9 2 3 8" xfId="35932" xr:uid="{00000000-0005-0000-0000-00008F7A0000}"/>
    <cellStyle name="Normal 9 2 4" xfId="6141" xr:uid="{00000000-0005-0000-0000-0000907A0000}"/>
    <cellStyle name="Normal 9 2 4 2" xfId="10656" xr:uid="{00000000-0005-0000-0000-0000917A0000}"/>
    <cellStyle name="Normal 9 2 4 2 2" xfId="42555" xr:uid="{00000000-0005-0000-0000-0000927A0000}"/>
    <cellStyle name="Normal 9 2 4 2 3" xfId="35943" xr:uid="{00000000-0005-0000-0000-0000937A0000}"/>
    <cellStyle name="Normal 9 2 4 3" xfId="35944" xr:uid="{00000000-0005-0000-0000-0000947A0000}"/>
    <cellStyle name="Normal 9 2 4 3 2" xfId="42556" xr:uid="{00000000-0005-0000-0000-0000957A0000}"/>
    <cellStyle name="Normal 9 2 4 4" xfId="35945" xr:uid="{00000000-0005-0000-0000-0000967A0000}"/>
    <cellStyle name="Normal 9 2 4 5" xfId="35946" xr:uid="{00000000-0005-0000-0000-0000977A0000}"/>
    <cellStyle name="Normal 9 2 4 6" xfId="42554" xr:uid="{00000000-0005-0000-0000-0000987A0000}"/>
    <cellStyle name="Normal 9 2 4 7" xfId="35942" xr:uid="{00000000-0005-0000-0000-0000997A0000}"/>
    <cellStyle name="Normal 9 2 5" xfId="6142" xr:uid="{00000000-0005-0000-0000-00009A7A0000}"/>
    <cellStyle name="Normal 9 2 5 2" xfId="10657" xr:uid="{00000000-0005-0000-0000-00009B7A0000}"/>
    <cellStyle name="Normal 9 2 5 2 2" xfId="42557" xr:uid="{00000000-0005-0000-0000-00009C7A0000}"/>
    <cellStyle name="Normal 9 2 5 3" xfId="35947" xr:uid="{00000000-0005-0000-0000-00009D7A0000}"/>
    <cellStyle name="Normal 9 2 6" xfId="6143" xr:uid="{00000000-0005-0000-0000-00009E7A0000}"/>
    <cellStyle name="Normal 9 2 6 2" xfId="42558" xr:uid="{00000000-0005-0000-0000-00009F7A0000}"/>
    <cellStyle name="Normal 9 2 6 3" xfId="35948" xr:uid="{00000000-0005-0000-0000-0000A07A0000}"/>
    <cellStyle name="Normal 9 2 7" xfId="6144" xr:uid="{00000000-0005-0000-0000-0000A17A0000}"/>
    <cellStyle name="Normal 9 2 7 2" xfId="35950" xr:uid="{00000000-0005-0000-0000-0000A27A0000}"/>
    <cellStyle name="Normal 9 2 7 3" xfId="42559" xr:uid="{00000000-0005-0000-0000-0000A37A0000}"/>
    <cellStyle name="Normal 9 2 7 4" xfId="35949" xr:uid="{00000000-0005-0000-0000-0000A47A0000}"/>
    <cellStyle name="Normal 9 2 8" xfId="35951" xr:uid="{00000000-0005-0000-0000-0000A57A0000}"/>
    <cellStyle name="Normal 9 2 8 2" xfId="35952" xr:uid="{00000000-0005-0000-0000-0000A67A0000}"/>
    <cellStyle name="Normal 9 2 8 3" xfId="35953" xr:uid="{00000000-0005-0000-0000-0000A77A0000}"/>
    <cellStyle name="Normal 9 2 8 4" xfId="42560" xr:uid="{00000000-0005-0000-0000-0000A87A0000}"/>
    <cellStyle name="Normal 9 2 9" xfId="35954" xr:uid="{00000000-0005-0000-0000-0000A97A0000}"/>
    <cellStyle name="Normal 9 20" xfId="35955" xr:uid="{00000000-0005-0000-0000-0000AA7A0000}"/>
    <cellStyle name="Normal 9 20 2" xfId="42561" xr:uid="{00000000-0005-0000-0000-0000AB7A0000}"/>
    <cellStyle name="Normal 9 21" xfId="35956" xr:uid="{00000000-0005-0000-0000-0000AC7A0000}"/>
    <cellStyle name="Normal 9 21 2" xfId="42562" xr:uid="{00000000-0005-0000-0000-0000AD7A0000}"/>
    <cellStyle name="Normal 9 22" xfId="35957" xr:uid="{00000000-0005-0000-0000-0000AE7A0000}"/>
    <cellStyle name="Normal 9 22 2" xfId="42563" xr:uid="{00000000-0005-0000-0000-0000AF7A0000}"/>
    <cellStyle name="Normal 9 23" xfId="6118" xr:uid="{00000000-0005-0000-0000-0000B07A0000}"/>
    <cellStyle name="Normal 9 3" xfId="6145" xr:uid="{00000000-0005-0000-0000-0000B17A0000}"/>
    <cellStyle name="Normal 9 3 10" xfId="35958" xr:uid="{00000000-0005-0000-0000-0000B27A0000}"/>
    <cellStyle name="Normal 9 3 2" xfId="6146" xr:uid="{00000000-0005-0000-0000-0000B37A0000}"/>
    <cellStyle name="Normal 9 3 2 2" xfId="10658" xr:uid="{00000000-0005-0000-0000-0000B47A0000}"/>
    <cellStyle name="Normal 9 3 2 2 2" xfId="35961" xr:uid="{00000000-0005-0000-0000-0000B57A0000}"/>
    <cellStyle name="Normal 9 3 2 2 2 2" xfId="42567" xr:uid="{00000000-0005-0000-0000-0000B67A0000}"/>
    <cellStyle name="Normal 9 3 2 2 3" xfId="35962" xr:uid="{00000000-0005-0000-0000-0000B77A0000}"/>
    <cellStyle name="Normal 9 3 2 2 3 2" xfId="42568" xr:uid="{00000000-0005-0000-0000-0000B87A0000}"/>
    <cellStyle name="Normal 9 3 2 2 4" xfId="35963" xr:uid="{00000000-0005-0000-0000-0000B97A0000}"/>
    <cellStyle name="Normal 9 3 2 2 5" xfId="35964" xr:uid="{00000000-0005-0000-0000-0000BA7A0000}"/>
    <cellStyle name="Normal 9 3 2 2 6" xfId="42566" xr:uid="{00000000-0005-0000-0000-0000BB7A0000}"/>
    <cellStyle name="Normal 9 3 2 2 7" xfId="35960" xr:uid="{00000000-0005-0000-0000-0000BC7A0000}"/>
    <cellStyle name="Normal 9 3 2 3" xfId="35965" xr:uid="{00000000-0005-0000-0000-0000BD7A0000}"/>
    <cellStyle name="Normal 9 3 2 3 2" xfId="35966" xr:uid="{00000000-0005-0000-0000-0000BE7A0000}"/>
    <cellStyle name="Normal 9 3 2 3 2 2" xfId="42570" xr:uid="{00000000-0005-0000-0000-0000BF7A0000}"/>
    <cellStyle name="Normal 9 3 2 3 3" xfId="42569" xr:uid="{00000000-0005-0000-0000-0000C07A0000}"/>
    <cellStyle name="Normal 9 3 2 4" xfId="35967" xr:uid="{00000000-0005-0000-0000-0000C17A0000}"/>
    <cellStyle name="Normal 9 3 2 4 2" xfId="42571" xr:uid="{00000000-0005-0000-0000-0000C27A0000}"/>
    <cellStyle name="Normal 9 3 2 5" xfId="35968" xr:uid="{00000000-0005-0000-0000-0000C37A0000}"/>
    <cellStyle name="Normal 9 3 2 5 2" xfId="35969" xr:uid="{00000000-0005-0000-0000-0000C47A0000}"/>
    <cellStyle name="Normal 9 3 2 5 3" xfId="42572" xr:uid="{00000000-0005-0000-0000-0000C57A0000}"/>
    <cellStyle name="Normal 9 3 2 6" xfId="35970" xr:uid="{00000000-0005-0000-0000-0000C67A0000}"/>
    <cellStyle name="Normal 9 3 2 6 2" xfId="35971" xr:uid="{00000000-0005-0000-0000-0000C77A0000}"/>
    <cellStyle name="Normal 9 3 2 6 3" xfId="42573" xr:uid="{00000000-0005-0000-0000-0000C87A0000}"/>
    <cellStyle name="Normal 9 3 2 7" xfId="35972" xr:uid="{00000000-0005-0000-0000-0000C97A0000}"/>
    <cellStyle name="Normal 9 3 2 7 2" xfId="42574" xr:uid="{00000000-0005-0000-0000-0000CA7A0000}"/>
    <cellStyle name="Normal 9 3 2 8" xfId="42565" xr:uid="{00000000-0005-0000-0000-0000CB7A0000}"/>
    <cellStyle name="Normal 9 3 2 9" xfId="35959" xr:uid="{00000000-0005-0000-0000-0000CC7A0000}"/>
    <cellStyle name="Normal 9 3 3" xfId="10659" xr:uid="{00000000-0005-0000-0000-0000CD7A0000}"/>
    <cellStyle name="Normal 9 3 3 2" xfId="35974" xr:uid="{00000000-0005-0000-0000-0000CE7A0000}"/>
    <cellStyle name="Normal 9 3 3 2 2" xfId="35975" xr:uid="{00000000-0005-0000-0000-0000CF7A0000}"/>
    <cellStyle name="Normal 9 3 3 2 2 2" xfId="42577" xr:uid="{00000000-0005-0000-0000-0000D07A0000}"/>
    <cellStyle name="Normal 9 3 3 2 3" xfId="42576" xr:uid="{00000000-0005-0000-0000-0000D17A0000}"/>
    <cellStyle name="Normal 9 3 3 3" xfId="35976" xr:uid="{00000000-0005-0000-0000-0000D27A0000}"/>
    <cellStyle name="Normal 9 3 3 3 2" xfId="42578" xr:uid="{00000000-0005-0000-0000-0000D37A0000}"/>
    <cellStyle name="Normal 9 3 3 4" xfId="35977" xr:uid="{00000000-0005-0000-0000-0000D47A0000}"/>
    <cellStyle name="Normal 9 3 3 4 2" xfId="35978" xr:uid="{00000000-0005-0000-0000-0000D57A0000}"/>
    <cellStyle name="Normal 9 3 3 4 3" xfId="42579" xr:uid="{00000000-0005-0000-0000-0000D67A0000}"/>
    <cellStyle name="Normal 9 3 3 5" xfId="35979" xr:uid="{00000000-0005-0000-0000-0000D77A0000}"/>
    <cellStyle name="Normal 9 3 3 6" xfId="42575" xr:uid="{00000000-0005-0000-0000-0000D87A0000}"/>
    <cellStyle name="Normal 9 3 3 7" xfId="35973" xr:uid="{00000000-0005-0000-0000-0000D97A0000}"/>
    <cellStyle name="Normal 9 3 4" xfId="35980" xr:uid="{00000000-0005-0000-0000-0000DA7A0000}"/>
    <cellStyle name="Normal 9 3 4 2" xfId="35981" xr:uid="{00000000-0005-0000-0000-0000DB7A0000}"/>
    <cellStyle name="Normal 9 3 4 2 2" xfId="42581" xr:uid="{00000000-0005-0000-0000-0000DC7A0000}"/>
    <cellStyle name="Normal 9 3 4 3" xfId="35982" xr:uid="{00000000-0005-0000-0000-0000DD7A0000}"/>
    <cellStyle name="Normal 9 3 4 3 2" xfId="42582" xr:uid="{00000000-0005-0000-0000-0000DE7A0000}"/>
    <cellStyle name="Normal 9 3 4 4" xfId="42580" xr:uid="{00000000-0005-0000-0000-0000DF7A0000}"/>
    <cellStyle name="Normal 9 3 5" xfId="35983" xr:uid="{00000000-0005-0000-0000-0000E07A0000}"/>
    <cellStyle name="Normal 9 3 5 2" xfId="42583" xr:uid="{00000000-0005-0000-0000-0000E17A0000}"/>
    <cellStyle name="Normal 9 3 6" xfId="35984" xr:uid="{00000000-0005-0000-0000-0000E27A0000}"/>
    <cellStyle name="Normal 9 3 6 2" xfId="35985" xr:uid="{00000000-0005-0000-0000-0000E37A0000}"/>
    <cellStyle name="Normal 9 3 6 3" xfId="42584" xr:uid="{00000000-0005-0000-0000-0000E47A0000}"/>
    <cellStyle name="Normal 9 3 7" xfId="35986" xr:uid="{00000000-0005-0000-0000-0000E57A0000}"/>
    <cellStyle name="Normal 9 3 7 2" xfId="35987" xr:uid="{00000000-0005-0000-0000-0000E67A0000}"/>
    <cellStyle name="Normal 9 3 7 3" xfId="42585" xr:uid="{00000000-0005-0000-0000-0000E77A0000}"/>
    <cellStyle name="Normal 9 3 8" xfId="35988" xr:uid="{00000000-0005-0000-0000-0000E87A0000}"/>
    <cellStyle name="Normal 9 3 8 2" xfId="42586" xr:uid="{00000000-0005-0000-0000-0000E97A0000}"/>
    <cellStyle name="Normal 9 3 9" xfId="42564" xr:uid="{00000000-0005-0000-0000-0000EA7A0000}"/>
    <cellStyle name="Normal 9 4" xfId="6147" xr:uid="{00000000-0005-0000-0000-0000EB7A0000}"/>
    <cellStyle name="Normal 9 4 2" xfId="6148" xr:uid="{00000000-0005-0000-0000-0000EC7A0000}"/>
    <cellStyle name="Normal 9 4 2 2" xfId="10660" xr:uid="{00000000-0005-0000-0000-0000ED7A0000}"/>
    <cellStyle name="Normal 9 4 2 2 2" xfId="42589" xr:uid="{00000000-0005-0000-0000-0000EE7A0000}"/>
    <cellStyle name="Normal 9 4 2 2 3" xfId="35991" xr:uid="{00000000-0005-0000-0000-0000EF7A0000}"/>
    <cellStyle name="Normal 9 4 2 3" xfId="35992" xr:uid="{00000000-0005-0000-0000-0000F07A0000}"/>
    <cellStyle name="Normal 9 4 2 3 2" xfId="42590" xr:uid="{00000000-0005-0000-0000-0000F17A0000}"/>
    <cellStyle name="Normal 9 4 2 4" xfId="35993" xr:uid="{00000000-0005-0000-0000-0000F27A0000}"/>
    <cellStyle name="Normal 9 4 2 4 2" xfId="35994" xr:uid="{00000000-0005-0000-0000-0000F37A0000}"/>
    <cellStyle name="Normal 9 4 2 4 3" xfId="42591" xr:uid="{00000000-0005-0000-0000-0000F47A0000}"/>
    <cellStyle name="Normal 9 4 2 5" xfId="35995" xr:uid="{00000000-0005-0000-0000-0000F57A0000}"/>
    <cellStyle name="Normal 9 4 2 5 2" xfId="35996" xr:uid="{00000000-0005-0000-0000-0000F67A0000}"/>
    <cellStyle name="Normal 9 4 2 5 3" xfId="42592" xr:uid="{00000000-0005-0000-0000-0000F77A0000}"/>
    <cellStyle name="Normal 9 4 2 6" xfId="42588" xr:uid="{00000000-0005-0000-0000-0000F87A0000}"/>
    <cellStyle name="Normal 9 4 2 7" xfId="35990" xr:uid="{00000000-0005-0000-0000-0000F97A0000}"/>
    <cellStyle name="Normal 9 4 3" xfId="10661" xr:uid="{00000000-0005-0000-0000-0000FA7A0000}"/>
    <cellStyle name="Normal 9 4 3 2" xfId="42593" xr:uid="{00000000-0005-0000-0000-0000FB7A0000}"/>
    <cellStyle name="Normal 9 4 3 3" xfId="35997" xr:uid="{00000000-0005-0000-0000-0000FC7A0000}"/>
    <cellStyle name="Normal 9 4 4" xfId="35998" xr:uid="{00000000-0005-0000-0000-0000FD7A0000}"/>
    <cellStyle name="Normal 9 4 4 2" xfId="42594" xr:uid="{00000000-0005-0000-0000-0000FE7A0000}"/>
    <cellStyle name="Normal 9 4 5" xfId="35999" xr:uid="{00000000-0005-0000-0000-0000FF7A0000}"/>
    <cellStyle name="Normal 9 4 5 2" xfId="36000" xr:uid="{00000000-0005-0000-0000-0000007B0000}"/>
    <cellStyle name="Normal 9 4 5 3" xfId="42595" xr:uid="{00000000-0005-0000-0000-0000017B0000}"/>
    <cellStyle name="Normal 9 4 6" xfId="36001" xr:uid="{00000000-0005-0000-0000-0000027B0000}"/>
    <cellStyle name="Normal 9 4 7" xfId="42587" xr:uid="{00000000-0005-0000-0000-0000037B0000}"/>
    <cellStyle name="Normal 9 4 8" xfId="35989" xr:uid="{00000000-0005-0000-0000-0000047B0000}"/>
    <cellStyle name="Normal 9 5" xfId="6149" xr:uid="{00000000-0005-0000-0000-0000057B0000}"/>
    <cellStyle name="Normal 9 5 2" xfId="6150" xr:uid="{00000000-0005-0000-0000-0000067B0000}"/>
    <cellStyle name="Normal 9 5 2 2" xfId="10662" xr:uid="{00000000-0005-0000-0000-0000077B0000}"/>
    <cellStyle name="Normal 9 5 2 2 2" xfId="42598" xr:uid="{00000000-0005-0000-0000-0000087B0000}"/>
    <cellStyle name="Normal 9 5 2 2 3" xfId="36004" xr:uid="{00000000-0005-0000-0000-0000097B0000}"/>
    <cellStyle name="Normal 9 5 2 3" xfId="36005" xr:uid="{00000000-0005-0000-0000-00000A7B0000}"/>
    <cellStyle name="Normal 9 5 2 3 2" xfId="42599" xr:uid="{00000000-0005-0000-0000-00000B7B0000}"/>
    <cellStyle name="Normal 9 5 2 4" xfId="36006" xr:uid="{00000000-0005-0000-0000-00000C7B0000}"/>
    <cellStyle name="Normal 9 5 2 4 2" xfId="42600" xr:uid="{00000000-0005-0000-0000-00000D7B0000}"/>
    <cellStyle name="Normal 9 5 2 5" xfId="36007" xr:uid="{00000000-0005-0000-0000-00000E7B0000}"/>
    <cellStyle name="Normal 9 5 2 5 2" xfId="42601" xr:uid="{00000000-0005-0000-0000-00000F7B0000}"/>
    <cellStyle name="Normal 9 5 2 6" xfId="42597" xr:uid="{00000000-0005-0000-0000-0000107B0000}"/>
    <cellStyle name="Normal 9 5 2 7" xfId="36003" xr:uid="{00000000-0005-0000-0000-0000117B0000}"/>
    <cellStyle name="Normal 9 5 3" xfId="10663" xr:uid="{00000000-0005-0000-0000-0000127B0000}"/>
    <cellStyle name="Normal 9 5 3 2" xfId="36009" xr:uid="{00000000-0005-0000-0000-0000137B0000}"/>
    <cellStyle name="Normal 9 5 3 2 2" xfId="42603" xr:uid="{00000000-0005-0000-0000-0000147B0000}"/>
    <cellStyle name="Normal 9 5 3 3" xfId="36010" xr:uid="{00000000-0005-0000-0000-0000157B0000}"/>
    <cellStyle name="Normal 9 5 3 3 2" xfId="42604" xr:uid="{00000000-0005-0000-0000-0000167B0000}"/>
    <cellStyle name="Normal 9 5 3 4" xfId="36011" xr:uid="{00000000-0005-0000-0000-0000177B0000}"/>
    <cellStyle name="Normal 9 5 3 4 2" xfId="42605" xr:uid="{00000000-0005-0000-0000-0000187B0000}"/>
    <cellStyle name="Normal 9 5 3 5" xfId="42602" xr:uid="{00000000-0005-0000-0000-0000197B0000}"/>
    <cellStyle name="Normal 9 5 3 6" xfId="36008" xr:uid="{00000000-0005-0000-0000-00001A7B0000}"/>
    <cellStyle name="Normal 9 5 4" xfId="36012" xr:uid="{00000000-0005-0000-0000-00001B7B0000}"/>
    <cellStyle name="Normal 9 5 4 2" xfId="36013" xr:uid="{00000000-0005-0000-0000-00001C7B0000}"/>
    <cellStyle name="Normal 9 5 4 2 2" xfId="42607" xr:uid="{00000000-0005-0000-0000-00001D7B0000}"/>
    <cellStyle name="Normal 9 5 4 3" xfId="36014" xr:uid="{00000000-0005-0000-0000-00001E7B0000}"/>
    <cellStyle name="Normal 9 5 4 3 2" xfId="42608" xr:uid="{00000000-0005-0000-0000-00001F7B0000}"/>
    <cellStyle name="Normal 9 5 4 4" xfId="36015" xr:uid="{00000000-0005-0000-0000-0000207B0000}"/>
    <cellStyle name="Normal 9 5 4 5" xfId="42606" xr:uid="{00000000-0005-0000-0000-0000217B0000}"/>
    <cellStyle name="Normal 9 5 5" xfId="36016" xr:uid="{00000000-0005-0000-0000-0000227B0000}"/>
    <cellStyle name="Normal 9 5 5 2" xfId="36017" xr:uid="{00000000-0005-0000-0000-0000237B0000}"/>
    <cellStyle name="Normal 9 5 5 3" xfId="42609" xr:uid="{00000000-0005-0000-0000-0000247B0000}"/>
    <cellStyle name="Normal 9 5 6" xfId="36018" xr:uid="{00000000-0005-0000-0000-0000257B0000}"/>
    <cellStyle name="Normal 9 5 6 2" xfId="42610" xr:uid="{00000000-0005-0000-0000-0000267B0000}"/>
    <cellStyle name="Normal 9 5 7" xfId="42596" xr:uid="{00000000-0005-0000-0000-0000277B0000}"/>
    <cellStyle name="Normal 9 5 8" xfId="36002" xr:uid="{00000000-0005-0000-0000-0000287B0000}"/>
    <cellStyle name="Normal 9 6" xfId="6151" xr:uid="{00000000-0005-0000-0000-0000297B0000}"/>
    <cellStyle name="Normal 9 6 2" xfId="6152" xr:uid="{00000000-0005-0000-0000-00002A7B0000}"/>
    <cellStyle name="Normal 9 6 2 2" xfId="36021" xr:uid="{00000000-0005-0000-0000-00002B7B0000}"/>
    <cellStyle name="Normal 9 6 2 2 2" xfId="42613" xr:uid="{00000000-0005-0000-0000-00002C7B0000}"/>
    <cellStyle name="Normal 9 6 2 3" xfId="36022" xr:uid="{00000000-0005-0000-0000-00002D7B0000}"/>
    <cellStyle name="Normal 9 6 2 3 2" xfId="42614" xr:uid="{00000000-0005-0000-0000-00002E7B0000}"/>
    <cellStyle name="Normal 9 6 2 4" xfId="36023" xr:uid="{00000000-0005-0000-0000-00002F7B0000}"/>
    <cellStyle name="Normal 9 6 2 4 2" xfId="42615" xr:uid="{00000000-0005-0000-0000-0000307B0000}"/>
    <cellStyle name="Normal 9 6 2 5" xfId="42612" xr:uid="{00000000-0005-0000-0000-0000317B0000}"/>
    <cellStyle name="Normal 9 6 2 6" xfId="36020" xr:uid="{00000000-0005-0000-0000-0000327B0000}"/>
    <cellStyle name="Normal 9 6 3" xfId="6153" xr:uid="{00000000-0005-0000-0000-0000337B0000}"/>
    <cellStyle name="Normal 9 6 3 2" xfId="36025" xr:uid="{00000000-0005-0000-0000-0000347B0000}"/>
    <cellStyle name="Normal 9 6 3 2 2" xfId="42617" xr:uid="{00000000-0005-0000-0000-0000357B0000}"/>
    <cellStyle name="Normal 9 6 3 3" xfId="42616" xr:uid="{00000000-0005-0000-0000-0000367B0000}"/>
    <cellStyle name="Normal 9 6 3 4" xfId="36024" xr:uid="{00000000-0005-0000-0000-0000377B0000}"/>
    <cellStyle name="Normal 9 6 4" xfId="36026" xr:uid="{00000000-0005-0000-0000-0000387B0000}"/>
    <cellStyle name="Normal 9 6 4 2" xfId="36027" xr:uid="{00000000-0005-0000-0000-0000397B0000}"/>
    <cellStyle name="Normal 9 6 4 2 2" xfId="42619" xr:uid="{00000000-0005-0000-0000-00003A7B0000}"/>
    <cellStyle name="Normal 9 6 4 3" xfId="42618" xr:uid="{00000000-0005-0000-0000-00003B7B0000}"/>
    <cellStyle name="Normal 9 6 5" xfId="36028" xr:uid="{00000000-0005-0000-0000-00003C7B0000}"/>
    <cellStyle name="Normal 9 6 5 2" xfId="42620" xr:uid="{00000000-0005-0000-0000-00003D7B0000}"/>
    <cellStyle name="Normal 9 6 6" xfId="36029" xr:uid="{00000000-0005-0000-0000-00003E7B0000}"/>
    <cellStyle name="Normal 9 6 6 2" xfId="42621" xr:uid="{00000000-0005-0000-0000-00003F7B0000}"/>
    <cellStyle name="Normal 9 6 7" xfId="36030" xr:uid="{00000000-0005-0000-0000-0000407B0000}"/>
    <cellStyle name="Normal 9 6 7 2" xfId="42622" xr:uid="{00000000-0005-0000-0000-0000417B0000}"/>
    <cellStyle name="Normal 9 6 8" xfId="42611" xr:uid="{00000000-0005-0000-0000-0000427B0000}"/>
    <cellStyle name="Normal 9 6 9" xfId="36019" xr:uid="{00000000-0005-0000-0000-0000437B0000}"/>
    <cellStyle name="Normal 9 7" xfId="6154" xr:uid="{00000000-0005-0000-0000-0000447B0000}"/>
    <cellStyle name="Normal 9 7 2" xfId="6155" xr:uid="{00000000-0005-0000-0000-0000457B0000}"/>
    <cellStyle name="Normal 9 7 2 2" xfId="36033" xr:uid="{00000000-0005-0000-0000-0000467B0000}"/>
    <cellStyle name="Normal 9 7 2 2 2" xfId="42625" xr:uid="{00000000-0005-0000-0000-0000477B0000}"/>
    <cellStyle name="Normal 9 7 2 3" xfId="42624" xr:uid="{00000000-0005-0000-0000-0000487B0000}"/>
    <cellStyle name="Normal 9 7 2 4" xfId="36032" xr:uid="{00000000-0005-0000-0000-0000497B0000}"/>
    <cellStyle name="Normal 9 7 3" xfId="6156" xr:uid="{00000000-0005-0000-0000-00004A7B0000}"/>
    <cellStyle name="Normal 9 7 3 2" xfId="42626" xr:uid="{00000000-0005-0000-0000-00004B7B0000}"/>
    <cellStyle name="Normal 9 7 3 3" xfId="36034" xr:uid="{00000000-0005-0000-0000-00004C7B0000}"/>
    <cellStyle name="Normal 9 7 4" xfId="36035" xr:uid="{00000000-0005-0000-0000-00004D7B0000}"/>
    <cellStyle name="Normal 9 7 4 2" xfId="42627" xr:uid="{00000000-0005-0000-0000-00004E7B0000}"/>
    <cellStyle name="Normal 9 7 5" xfId="36036" xr:uid="{00000000-0005-0000-0000-00004F7B0000}"/>
    <cellStyle name="Normal 9 7 5 2" xfId="42628" xr:uid="{00000000-0005-0000-0000-0000507B0000}"/>
    <cellStyle name="Normal 9 7 6" xfId="42623" xr:uid="{00000000-0005-0000-0000-0000517B0000}"/>
    <cellStyle name="Normal 9 7 7" xfId="36031" xr:uid="{00000000-0005-0000-0000-0000527B0000}"/>
    <cellStyle name="Normal 9 8" xfId="6157" xr:uid="{00000000-0005-0000-0000-0000537B0000}"/>
    <cellStyle name="Normal 9 8 2" xfId="6158" xr:uid="{00000000-0005-0000-0000-0000547B0000}"/>
    <cellStyle name="Normal 9 8 2 2" xfId="42630" xr:uid="{00000000-0005-0000-0000-0000557B0000}"/>
    <cellStyle name="Normal 9 8 2 3" xfId="36038" xr:uid="{00000000-0005-0000-0000-0000567B0000}"/>
    <cellStyle name="Normal 9 8 3" xfId="6159" xr:uid="{00000000-0005-0000-0000-0000577B0000}"/>
    <cellStyle name="Normal 9 8 3 2" xfId="42631" xr:uid="{00000000-0005-0000-0000-0000587B0000}"/>
    <cellStyle name="Normal 9 8 3 3" xfId="36039" xr:uid="{00000000-0005-0000-0000-0000597B0000}"/>
    <cellStyle name="Normal 9 8 4" xfId="36040" xr:uid="{00000000-0005-0000-0000-00005A7B0000}"/>
    <cellStyle name="Normal 9 8 4 2" xfId="42632" xr:uid="{00000000-0005-0000-0000-00005B7B0000}"/>
    <cellStyle name="Normal 9 8 5" xfId="36041" xr:uid="{00000000-0005-0000-0000-00005C7B0000}"/>
    <cellStyle name="Normal 9 8 5 2" xfId="42633" xr:uid="{00000000-0005-0000-0000-00005D7B0000}"/>
    <cellStyle name="Normal 9 8 6" xfId="36042" xr:uid="{00000000-0005-0000-0000-00005E7B0000}"/>
    <cellStyle name="Normal 9 8 7" xfId="42629" xr:uid="{00000000-0005-0000-0000-00005F7B0000}"/>
    <cellStyle name="Normal 9 8 8" xfId="36037" xr:uid="{00000000-0005-0000-0000-0000607B0000}"/>
    <cellStyle name="Normal 9 9" xfId="6160" xr:uid="{00000000-0005-0000-0000-0000617B0000}"/>
    <cellStyle name="Normal 9 9 2" xfId="6161" xr:uid="{00000000-0005-0000-0000-0000627B0000}"/>
    <cellStyle name="Normal 9 9 2 2" xfId="36045" xr:uid="{00000000-0005-0000-0000-0000637B0000}"/>
    <cellStyle name="Normal 9 9 2 3" xfId="42635" xr:uid="{00000000-0005-0000-0000-0000647B0000}"/>
    <cellStyle name="Normal 9 9 2 4" xfId="36044" xr:uid="{00000000-0005-0000-0000-0000657B0000}"/>
    <cellStyle name="Normal 9 9 3" xfId="6162" xr:uid="{00000000-0005-0000-0000-0000667B0000}"/>
    <cellStyle name="Normal 9 9 3 2" xfId="36047" xr:uid="{00000000-0005-0000-0000-0000677B0000}"/>
    <cellStyle name="Normal 9 9 3 3" xfId="42636" xr:uid="{00000000-0005-0000-0000-0000687B0000}"/>
    <cellStyle name="Normal 9 9 3 4" xfId="36046" xr:uid="{00000000-0005-0000-0000-0000697B0000}"/>
    <cellStyle name="Normal 9 9 4" xfId="36048" xr:uid="{00000000-0005-0000-0000-00006A7B0000}"/>
    <cellStyle name="Normal 9 9 4 2" xfId="42637" xr:uid="{00000000-0005-0000-0000-00006B7B0000}"/>
    <cellStyle name="Normal 9 9 5" xfId="36049" xr:uid="{00000000-0005-0000-0000-00006C7B0000}"/>
    <cellStyle name="Normal 9 9 5 2" xfId="42638" xr:uid="{00000000-0005-0000-0000-00006D7B0000}"/>
    <cellStyle name="Normal 9 9 6" xfId="36050" xr:uid="{00000000-0005-0000-0000-00006E7B0000}"/>
    <cellStyle name="Normal 9 9 7" xfId="42634" xr:uid="{00000000-0005-0000-0000-00006F7B0000}"/>
    <cellStyle name="Normal 9 9 8" xfId="36043" xr:uid="{00000000-0005-0000-0000-0000707B0000}"/>
    <cellStyle name="Normal 90" xfId="6163" xr:uid="{00000000-0005-0000-0000-0000717B0000}"/>
    <cellStyle name="Normal 90 2" xfId="6164" xr:uid="{00000000-0005-0000-0000-0000727B0000}"/>
    <cellStyle name="Normal 90 2 2" xfId="18740" xr:uid="{00000000-0005-0000-0000-0000737B0000}"/>
    <cellStyle name="Normal 90 2 2 2" xfId="42639" xr:uid="{00000000-0005-0000-0000-0000747B0000}"/>
    <cellStyle name="Normal 90 2 3" xfId="36052" xr:uid="{00000000-0005-0000-0000-0000757B0000}"/>
    <cellStyle name="Normal 90 3" xfId="18213" xr:uid="{00000000-0005-0000-0000-0000767B0000}"/>
    <cellStyle name="Normal 90 3 2" xfId="42640" xr:uid="{00000000-0005-0000-0000-0000777B0000}"/>
    <cellStyle name="Normal 90 3 3" xfId="36053" xr:uid="{00000000-0005-0000-0000-0000787B0000}"/>
    <cellStyle name="Normal 90 4" xfId="36051" xr:uid="{00000000-0005-0000-0000-0000797B0000}"/>
    <cellStyle name="Normal 91" xfId="6165" xr:uid="{00000000-0005-0000-0000-00007A7B0000}"/>
    <cellStyle name="Normal 91 2" xfId="6166" xr:uid="{00000000-0005-0000-0000-00007B7B0000}"/>
    <cellStyle name="Normal 91 2 2" xfId="18768" xr:uid="{00000000-0005-0000-0000-00007C7B0000}"/>
    <cellStyle name="Normal 91 2 2 2" xfId="42641" xr:uid="{00000000-0005-0000-0000-00007D7B0000}"/>
    <cellStyle name="Normal 91 2 3" xfId="36055" xr:uid="{00000000-0005-0000-0000-00007E7B0000}"/>
    <cellStyle name="Normal 91 3" xfId="18241" xr:uid="{00000000-0005-0000-0000-00007F7B0000}"/>
    <cellStyle name="Normal 91 3 2" xfId="42642" xr:uid="{00000000-0005-0000-0000-0000807B0000}"/>
    <cellStyle name="Normal 91 3 3" xfId="36056" xr:uid="{00000000-0005-0000-0000-0000817B0000}"/>
    <cellStyle name="Normal 91 4" xfId="36054" xr:uid="{00000000-0005-0000-0000-0000827B0000}"/>
    <cellStyle name="Normal 92" xfId="6167" xr:uid="{00000000-0005-0000-0000-0000837B0000}"/>
    <cellStyle name="Normal 92 2" xfId="6168" xr:uid="{00000000-0005-0000-0000-0000847B0000}"/>
    <cellStyle name="Normal 92 2 2" xfId="18866" xr:uid="{00000000-0005-0000-0000-0000857B0000}"/>
    <cellStyle name="Normal 92 2 2 2" xfId="42643" xr:uid="{00000000-0005-0000-0000-0000867B0000}"/>
    <cellStyle name="Normal 92 2 3" xfId="36058" xr:uid="{00000000-0005-0000-0000-0000877B0000}"/>
    <cellStyle name="Normal 92 3" xfId="18345" xr:uid="{00000000-0005-0000-0000-0000887B0000}"/>
    <cellStyle name="Normal 92 3 2" xfId="42644" xr:uid="{00000000-0005-0000-0000-0000897B0000}"/>
    <cellStyle name="Normal 92 3 3" xfId="36059" xr:uid="{00000000-0005-0000-0000-00008A7B0000}"/>
    <cellStyle name="Normal 92 4" xfId="36057" xr:uid="{00000000-0005-0000-0000-00008B7B0000}"/>
    <cellStyle name="Normal 93" xfId="6169" xr:uid="{00000000-0005-0000-0000-00008C7B0000}"/>
    <cellStyle name="Normal 93 2" xfId="36060" xr:uid="{00000000-0005-0000-0000-00008D7B0000}"/>
    <cellStyle name="Normal 93 2 2" xfId="42645" xr:uid="{00000000-0005-0000-0000-00008E7B0000}"/>
    <cellStyle name="Normal 93 3" xfId="36061" xr:uid="{00000000-0005-0000-0000-00008F7B0000}"/>
    <cellStyle name="Normal 93 3 2" xfId="42646" xr:uid="{00000000-0005-0000-0000-0000907B0000}"/>
    <cellStyle name="Normal 94" xfId="6170" xr:uid="{00000000-0005-0000-0000-0000917B0000}"/>
    <cellStyle name="Normal 94 2" xfId="10664" xr:uid="{00000000-0005-0000-0000-0000927B0000}"/>
    <cellStyle name="Normal 94 2 2" xfId="42647" xr:uid="{00000000-0005-0000-0000-0000937B0000}"/>
    <cellStyle name="Normal 94 2 3" xfId="36062" xr:uid="{00000000-0005-0000-0000-0000947B0000}"/>
    <cellStyle name="Normal 94 3" xfId="36063" xr:uid="{00000000-0005-0000-0000-0000957B0000}"/>
    <cellStyle name="Normal 94 3 2" xfId="42648" xr:uid="{00000000-0005-0000-0000-0000967B0000}"/>
    <cellStyle name="Normal 95" xfId="6171" xr:uid="{00000000-0005-0000-0000-0000977B0000}"/>
    <cellStyle name="Normal 95 2" xfId="36065" xr:uid="{00000000-0005-0000-0000-0000987B0000}"/>
    <cellStyle name="Normal 95 2 2" xfId="42649" xr:uid="{00000000-0005-0000-0000-0000997B0000}"/>
    <cellStyle name="Normal 95 3" xfId="36066" xr:uid="{00000000-0005-0000-0000-00009A7B0000}"/>
    <cellStyle name="Normal 95 3 2" xfId="42650" xr:uid="{00000000-0005-0000-0000-00009B7B0000}"/>
    <cellStyle name="Normal 95 4" xfId="36064" xr:uid="{00000000-0005-0000-0000-00009C7B0000}"/>
    <cellStyle name="Normal 96" xfId="6172" xr:uid="{00000000-0005-0000-0000-00009D7B0000}"/>
    <cellStyle name="Normal 96 2" xfId="36067" xr:uid="{00000000-0005-0000-0000-00009E7B0000}"/>
    <cellStyle name="Normal 96 2 2" xfId="42651" xr:uid="{00000000-0005-0000-0000-00009F7B0000}"/>
    <cellStyle name="Normal 96 3" xfId="36068" xr:uid="{00000000-0005-0000-0000-0000A07B0000}"/>
    <cellStyle name="Normal 96 3 2" xfId="42652" xr:uid="{00000000-0005-0000-0000-0000A17B0000}"/>
    <cellStyle name="Normal 97" xfId="6173" xr:uid="{00000000-0005-0000-0000-0000A27B0000}"/>
    <cellStyle name="Normal 97 2" xfId="36070" xr:uid="{00000000-0005-0000-0000-0000A37B0000}"/>
    <cellStyle name="Normal 97 2 2" xfId="42653" xr:uid="{00000000-0005-0000-0000-0000A47B0000}"/>
    <cellStyle name="Normal 97 3" xfId="36071" xr:uid="{00000000-0005-0000-0000-0000A57B0000}"/>
    <cellStyle name="Normal 97 3 2" xfId="42654" xr:uid="{00000000-0005-0000-0000-0000A67B0000}"/>
    <cellStyle name="Normal 97 4" xfId="36072" xr:uid="{00000000-0005-0000-0000-0000A77B0000}"/>
    <cellStyle name="Normal 97 4 2" xfId="42655" xr:uid="{00000000-0005-0000-0000-0000A87B0000}"/>
    <cellStyle name="Normal 97 5" xfId="36069" xr:uid="{00000000-0005-0000-0000-0000A97B0000}"/>
    <cellStyle name="Normal 98" xfId="6174" xr:uid="{00000000-0005-0000-0000-0000AA7B0000}"/>
    <cellStyle name="Normal 98 2" xfId="36074" xr:uid="{00000000-0005-0000-0000-0000AB7B0000}"/>
    <cellStyle name="Normal 98 2 2" xfId="42656" xr:uid="{00000000-0005-0000-0000-0000AC7B0000}"/>
    <cellStyle name="Normal 98 3" xfId="36075" xr:uid="{00000000-0005-0000-0000-0000AD7B0000}"/>
    <cellStyle name="Normal 98 3 2" xfId="42657" xr:uid="{00000000-0005-0000-0000-0000AE7B0000}"/>
    <cellStyle name="Normal 98 4" xfId="36073" xr:uid="{00000000-0005-0000-0000-0000AF7B0000}"/>
    <cellStyle name="Normal 99" xfId="6175" xr:uid="{00000000-0005-0000-0000-0000B07B0000}"/>
    <cellStyle name="Normal 99 2" xfId="36077" xr:uid="{00000000-0005-0000-0000-0000B17B0000}"/>
    <cellStyle name="Normal 99 2 2" xfId="36078" xr:uid="{00000000-0005-0000-0000-0000B27B0000}"/>
    <cellStyle name="Normal 99 2 3" xfId="42658" xr:uid="{00000000-0005-0000-0000-0000B37B0000}"/>
    <cellStyle name="Normal 99 3" xfId="36079" xr:uid="{00000000-0005-0000-0000-0000B47B0000}"/>
    <cellStyle name="Normal 99 3 2" xfId="42659" xr:uid="{00000000-0005-0000-0000-0000B57B0000}"/>
    <cellStyle name="Normal 99 4" xfId="36080" xr:uid="{00000000-0005-0000-0000-0000B67B0000}"/>
    <cellStyle name="Normal 99 5" xfId="36076" xr:uid="{00000000-0005-0000-0000-0000B77B0000}"/>
    <cellStyle name="Normal[0]" xfId="36081" xr:uid="{00000000-0005-0000-0000-0000B87B0000}"/>
    <cellStyle name="Normal[0] 2" xfId="42660" xr:uid="{00000000-0005-0000-0000-0000B97B0000}"/>
    <cellStyle name="Normal[hi" xfId="36082" xr:uid="{00000000-0005-0000-0000-0000BA7B0000}"/>
    <cellStyle name="Normal[hi 2" xfId="42661" xr:uid="{00000000-0005-0000-0000-0000BB7B0000}"/>
    <cellStyle name="NormalRO" xfId="36083" xr:uid="{00000000-0005-0000-0000-0000BF7B0000}"/>
    <cellStyle name="NormalRO 2" xfId="42662" xr:uid="{00000000-0005-0000-0000-0000C07B0000}"/>
    <cellStyle name="NormalUP" xfId="36084" xr:uid="{00000000-0005-0000-0000-0000C17B0000}"/>
    <cellStyle name="NormalUP 2" xfId="36085" xr:uid="{00000000-0005-0000-0000-0000C27B0000}"/>
    <cellStyle name="NormalUP 2 2" xfId="42664" xr:uid="{00000000-0005-0000-0000-0000C37B0000}"/>
    <cellStyle name="NormalUP 3" xfId="36086" xr:uid="{00000000-0005-0000-0000-0000C47B0000}"/>
    <cellStyle name="NormalUP 3 2" xfId="36087" xr:uid="{00000000-0005-0000-0000-0000C57B0000}"/>
    <cellStyle name="NormalUP 3 2 2" xfId="42666" xr:uid="{00000000-0005-0000-0000-0000C67B0000}"/>
    <cellStyle name="NormalUP 3 3" xfId="42665" xr:uid="{00000000-0005-0000-0000-0000C77B0000}"/>
    <cellStyle name="NormalUP 4" xfId="36088" xr:uid="{00000000-0005-0000-0000-0000C87B0000}"/>
    <cellStyle name="NormalUP 4 2" xfId="36089" xr:uid="{00000000-0005-0000-0000-0000C97B0000}"/>
    <cellStyle name="NormalUP 4 2 2" xfId="42668" xr:uid="{00000000-0005-0000-0000-0000CA7B0000}"/>
    <cellStyle name="NormalUP 4 3" xfId="42667" xr:uid="{00000000-0005-0000-0000-0000CB7B0000}"/>
    <cellStyle name="NormalUP 5" xfId="36090" xr:uid="{00000000-0005-0000-0000-0000CC7B0000}"/>
    <cellStyle name="NormalUP 5 2" xfId="36091" xr:uid="{00000000-0005-0000-0000-0000CD7B0000}"/>
    <cellStyle name="NormalUP 5 2 2" xfId="42670" xr:uid="{00000000-0005-0000-0000-0000CE7B0000}"/>
    <cellStyle name="NormalUP 5 3" xfId="42669" xr:uid="{00000000-0005-0000-0000-0000CF7B0000}"/>
    <cellStyle name="NormalUP 6" xfId="42663" xr:uid="{00000000-0005-0000-0000-0000D07B0000}"/>
    <cellStyle name="Note 10" xfId="36092" xr:uid="{00000000-0005-0000-0000-0000D17B0000}"/>
    <cellStyle name="Note 10 2" xfId="6176" xr:uid="{00000000-0005-0000-0000-0000D27B0000}"/>
    <cellStyle name="Note 10 2 10" xfId="36093" xr:uid="{00000000-0005-0000-0000-0000D37B0000}"/>
    <cellStyle name="Note 10 2 2" xfId="6177" xr:uid="{00000000-0005-0000-0000-0000D47B0000}"/>
    <cellStyle name="Note 10 2 2 2" xfId="10665" xr:uid="{00000000-0005-0000-0000-0000D57B0000}"/>
    <cellStyle name="Note 10 2 2 2 2" xfId="10666" xr:uid="{00000000-0005-0000-0000-0000D67B0000}"/>
    <cellStyle name="Note 10 2 2 2 3" xfId="10667" xr:uid="{00000000-0005-0000-0000-0000D77B0000}"/>
    <cellStyle name="Note 10 2 2 2 4" xfId="10668" xr:uid="{00000000-0005-0000-0000-0000D87B0000}"/>
    <cellStyle name="Note 10 2 2 3" xfId="10669" xr:uid="{00000000-0005-0000-0000-0000D97B0000}"/>
    <cellStyle name="Note 10 2 2 4" xfId="10670" xr:uid="{00000000-0005-0000-0000-0000DA7B0000}"/>
    <cellStyle name="Note 10 2 2 5" xfId="10671" xr:uid="{00000000-0005-0000-0000-0000DB7B0000}"/>
    <cellStyle name="Note 10 2 2 6" xfId="16793" xr:uid="{00000000-0005-0000-0000-0000DC7B0000}"/>
    <cellStyle name="Note 10 2 2 7" xfId="15470" xr:uid="{00000000-0005-0000-0000-0000DD7B0000}"/>
    <cellStyle name="Note 10 2 3" xfId="6178" xr:uid="{00000000-0005-0000-0000-0000DE7B0000}"/>
    <cellStyle name="Note 10 2 3 2" xfId="10672" xr:uid="{00000000-0005-0000-0000-0000DF7B0000}"/>
    <cellStyle name="Note 10 2 3 2 2" xfId="10673" xr:uid="{00000000-0005-0000-0000-0000E07B0000}"/>
    <cellStyle name="Note 10 2 3 2 3" xfId="10674" xr:uid="{00000000-0005-0000-0000-0000E17B0000}"/>
    <cellStyle name="Note 10 2 3 2 4" xfId="10675" xr:uid="{00000000-0005-0000-0000-0000E27B0000}"/>
    <cellStyle name="Note 10 2 3 3" xfId="10676" xr:uid="{00000000-0005-0000-0000-0000E37B0000}"/>
    <cellStyle name="Note 10 2 3 4" xfId="10677" xr:uid="{00000000-0005-0000-0000-0000E47B0000}"/>
    <cellStyle name="Note 10 2 3 5" xfId="10678" xr:uid="{00000000-0005-0000-0000-0000E57B0000}"/>
    <cellStyle name="Note 10 2 3 6" xfId="16794" xr:uid="{00000000-0005-0000-0000-0000E67B0000}"/>
    <cellStyle name="Note 10 2 3 7" xfId="17775" xr:uid="{00000000-0005-0000-0000-0000E77B0000}"/>
    <cellStyle name="Note 10 2 4" xfId="10679" xr:uid="{00000000-0005-0000-0000-0000E87B0000}"/>
    <cellStyle name="Note 10 2 4 2" xfId="10680" xr:uid="{00000000-0005-0000-0000-0000E97B0000}"/>
    <cellStyle name="Note 10 2 4 3" xfId="10681" xr:uid="{00000000-0005-0000-0000-0000EA7B0000}"/>
    <cellStyle name="Note 10 2 4 4" xfId="10682" xr:uid="{00000000-0005-0000-0000-0000EB7B0000}"/>
    <cellStyle name="Note 10 2 5" xfId="10683" xr:uid="{00000000-0005-0000-0000-0000EC7B0000}"/>
    <cellStyle name="Note 10 2 6" xfId="10684" xr:uid="{00000000-0005-0000-0000-0000ED7B0000}"/>
    <cellStyle name="Note 10 2 7" xfId="10685" xr:uid="{00000000-0005-0000-0000-0000EE7B0000}"/>
    <cellStyle name="Note 10 2 8" xfId="15887" xr:uid="{00000000-0005-0000-0000-0000EF7B0000}"/>
    <cellStyle name="Note 10 2 9" xfId="15787" xr:uid="{00000000-0005-0000-0000-0000F07B0000}"/>
    <cellStyle name="Note 10 3" xfId="6179" xr:uid="{00000000-0005-0000-0000-0000F17B0000}"/>
    <cellStyle name="Note 10 3 10" xfId="42671" xr:uid="{00000000-0005-0000-0000-0000F27B0000}"/>
    <cellStyle name="Note 10 3 2" xfId="6180" xr:uid="{00000000-0005-0000-0000-0000F37B0000}"/>
    <cellStyle name="Note 10 3 2 2" xfId="10686" xr:uid="{00000000-0005-0000-0000-0000F47B0000}"/>
    <cellStyle name="Note 10 3 2 2 2" xfId="10687" xr:uid="{00000000-0005-0000-0000-0000F57B0000}"/>
    <cellStyle name="Note 10 3 2 2 3" xfId="10688" xr:uid="{00000000-0005-0000-0000-0000F67B0000}"/>
    <cellStyle name="Note 10 3 2 2 4" xfId="10689" xr:uid="{00000000-0005-0000-0000-0000F77B0000}"/>
    <cellStyle name="Note 10 3 2 3" xfId="10690" xr:uid="{00000000-0005-0000-0000-0000F87B0000}"/>
    <cellStyle name="Note 10 3 2 4" xfId="10691" xr:uid="{00000000-0005-0000-0000-0000F97B0000}"/>
    <cellStyle name="Note 10 3 2 5" xfId="10692" xr:uid="{00000000-0005-0000-0000-0000FA7B0000}"/>
    <cellStyle name="Note 10 3 2 6" xfId="16795" xr:uid="{00000000-0005-0000-0000-0000FB7B0000}"/>
    <cellStyle name="Note 10 3 2 7" xfId="16343" xr:uid="{00000000-0005-0000-0000-0000FC7B0000}"/>
    <cellStyle name="Note 10 3 3" xfId="6181" xr:uid="{00000000-0005-0000-0000-0000FD7B0000}"/>
    <cellStyle name="Note 10 3 3 2" xfId="10693" xr:uid="{00000000-0005-0000-0000-0000FE7B0000}"/>
    <cellStyle name="Note 10 3 3 2 2" xfId="10694" xr:uid="{00000000-0005-0000-0000-0000FF7B0000}"/>
    <cellStyle name="Note 10 3 3 2 3" xfId="10695" xr:uid="{00000000-0005-0000-0000-0000007C0000}"/>
    <cellStyle name="Note 10 3 3 2 4" xfId="10696" xr:uid="{00000000-0005-0000-0000-0000017C0000}"/>
    <cellStyle name="Note 10 3 3 3" xfId="10697" xr:uid="{00000000-0005-0000-0000-0000027C0000}"/>
    <cellStyle name="Note 10 3 3 4" xfId="10698" xr:uid="{00000000-0005-0000-0000-0000037C0000}"/>
    <cellStyle name="Note 10 3 3 5" xfId="10699" xr:uid="{00000000-0005-0000-0000-0000047C0000}"/>
    <cellStyle name="Note 10 3 3 6" xfId="16796" xr:uid="{00000000-0005-0000-0000-0000057C0000}"/>
    <cellStyle name="Note 10 3 3 7" xfId="15469" xr:uid="{00000000-0005-0000-0000-0000067C0000}"/>
    <cellStyle name="Note 10 3 4" xfId="10700" xr:uid="{00000000-0005-0000-0000-0000077C0000}"/>
    <cellStyle name="Note 10 3 4 2" xfId="10701" xr:uid="{00000000-0005-0000-0000-0000087C0000}"/>
    <cellStyle name="Note 10 3 4 3" xfId="10702" xr:uid="{00000000-0005-0000-0000-0000097C0000}"/>
    <cellStyle name="Note 10 3 4 4" xfId="10703" xr:uid="{00000000-0005-0000-0000-00000A7C0000}"/>
    <cellStyle name="Note 10 3 5" xfId="10704" xr:uid="{00000000-0005-0000-0000-00000B7C0000}"/>
    <cellStyle name="Note 10 3 6" xfId="10705" xr:uid="{00000000-0005-0000-0000-00000C7C0000}"/>
    <cellStyle name="Note 10 3 7" xfId="10706" xr:uid="{00000000-0005-0000-0000-00000D7C0000}"/>
    <cellStyle name="Note 10 3 8" xfId="15888" xr:uid="{00000000-0005-0000-0000-00000E7C0000}"/>
    <cellStyle name="Note 10 3 9" xfId="15786" xr:uid="{00000000-0005-0000-0000-00000F7C0000}"/>
    <cellStyle name="Note 11" xfId="36094" xr:uid="{00000000-0005-0000-0000-0000107C0000}"/>
    <cellStyle name="Note 11 2" xfId="6182" xr:uid="{00000000-0005-0000-0000-0000117C0000}"/>
    <cellStyle name="Note 11 2 10" xfId="36095" xr:uid="{00000000-0005-0000-0000-0000127C0000}"/>
    <cellStyle name="Note 11 2 2" xfId="6183" xr:uid="{00000000-0005-0000-0000-0000137C0000}"/>
    <cellStyle name="Note 11 2 2 2" xfId="10707" xr:uid="{00000000-0005-0000-0000-0000147C0000}"/>
    <cellStyle name="Note 11 2 2 2 2" xfId="10708" xr:uid="{00000000-0005-0000-0000-0000157C0000}"/>
    <cellStyle name="Note 11 2 2 2 3" xfId="10709" xr:uid="{00000000-0005-0000-0000-0000167C0000}"/>
    <cellStyle name="Note 11 2 2 2 4" xfId="10710" xr:uid="{00000000-0005-0000-0000-0000177C0000}"/>
    <cellStyle name="Note 11 2 2 3" xfId="10711" xr:uid="{00000000-0005-0000-0000-0000187C0000}"/>
    <cellStyle name="Note 11 2 2 4" xfId="10712" xr:uid="{00000000-0005-0000-0000-0000197C0000}"/>
    <cellStyle name="Note 11 2 2 5" xfId="10713" xr:uid="{00000000-0005-0000-0000-00001A7C0000}"/>
    <cellStyle name="Note 11 2 2 6" xfId="16797" xr:uid="{00000000-0005-0000-0000-00001B7C0000}"/>
    <cellStyle name="Note 11 2 2 7" xfId="17774" xr:uid="{00000000-0005-0000-0000-00001C7C0000}"/>
    <cellStyle name="Note 11 2 3" xfId="6184" xr:uid="{00000000-0005-0000-0000-00001D7C0000}"/>
    <cellStyle name="Note 11 2 3 2" xfId="10714" xr:uid="{00000000-0005-0000-0000-00001E7C0000}"/>
    <cellStyle name="Note 11 2 3 2 2" xfId="10715" xr:uid="{00000000-0005-0000-0000-00001F7C0000}"/>
    <cellStyle name="Note 11 2 3 2 3" xfId="10716" xr:uid="{00000000-0005-0000-0000-0000207C0000}"/>
    <cellStyle name="Note 11 2 3 2 4" xfId="10717" xr:uid="{00000000-0005-0000-0000-0000217C0000}"/>
    <cellStyle name="Note 11 2 3 3" xfId="10718" xr:uid="{00000000-0005-0000-0000-0000227C0000}"/>
    <cellStyle name="Note 11 2 3 4" xfId="10719" xr:uid="{00000000-0005-0000-0000-0000237C0000}"/>
    <cellStyle name="Note 11 2 3 5" xfId="10720" xr:uid="{00000000-0005-0000-0000-0000247C0000}"/>
    <cellStyle name="Note 11 2 3 6" xfId="16798" xr:uid="{00000000-0005-0000-0000-0000257C0000}"/>
    <cellStyle name="Note 11 2 3 7" xfId="16342" xr:uid="{00000000-0005-0000-0000-0000267C0000}"/>
    <cellStyle name="Note 11 2 4" xfId="10721" xr:uid="{00000000-0005-0000-0000-0000277C0000}"/>
    <cellStyle name="Note 11 2 4 2" xfId="10722" xr:uid="{00000000-0005-0000-0000-0000287C0000}"/>
    <cellStyle name="Note 11 2 4 3" xfId="10723" xr:uid="{00000000-0005-0000-0000-0000297C0000}"/>
    <cellStyle name="Note 11 2 4 4" xfId="10724" xr:uid="{00000000-0005-0000-0000-00002A7C0000}"/>
    <cellStyle name="Note 11 2 5" xfId="10725" xr:uid="{00000000-0005-0000-0000-00002B7C0000}"/>
    <cellStyle name="Note 11 2 6" xfId="10726" xr:uid="{00000000-0005-0000-0000-00002C7C0000}"/>
    <cellStyle name="Note 11 2 7" xfId="10727" xr:uid="{00000000-0005-0000-0000-00002D7C0000}"/>
    <cellStyle name="Note 11 2 8" xfId="15889" xr:uid="{00000000-0005-0000-0000-00002E7C0000}"/>
    <cellStyle name="Note 11 2 9" xfId="15785" xr:uid="{00000000-0005-0000-0000-00002F7C0000}"/>
    <cellStyle name="Note 11 3" xfId="6185" xr:uid="{00000000-0005-0000-0000-0000307C0000}"/>
    <cellStyle name="Note 11 3 2" xfId="6186" xr:uid="{00000000-0005-0000-0000-0000317C0000}"/>
    <cellStyle name="Note 11 3 2 2" xfId="10728" xr:uid="{00000000-0005-0000-0000-0000327C0000}"/>
    <cellStyle name="Note 11 3 2 2 2" xfId="10729" xr:uid="{00000000-0005-0000-0000-0000337C0000}"/>
    <cellStyle name="Note 11 3 2 2 3" xfId="10730" xr:uid="{00000000-0005-0000-0000-0000347C0000}"/>
    <cellStyle name="Note 11 3 2 2 4" xfId="10731" xr:uid="{00000000-0005-0000-0000-0000357C0000}"/>
    <cellStyle name="Note 11 3 2 3" xfId="10732" xr:uid="{00000000-0005-0000-0000-0000367C0000}"/>
    <cellStyle name="Note 11 3 2 4" xfId="10733" xr:uid="{00000000-0005-0000-0000-0000377C0000}"/>
    <cellStyle name="Note 11 3 2 5" xfId="10734" xr:uid="{00000000-0005-0000-0000-0000387C0000}"/>
    <cellStyle name="Note 11 3 2 6" xfId="16799" xr:uid="{00000000-0005-0000-0000-0000397C0000}"/>
    <cellStyle name="Note 11 3 2 7" xfId="15468" xr:uid="{00000000-0005-0000-0000-00003A7C0000}"/>
    <cellStyle name="Note 11 3 3" xfId="6187" xr:uid="{00000000-0005-0000-0000-00003B7C0000}"/>
    <cellStyle name="Note 11 3 3 2" xfId="10735" xr:uid="{00000000-0005-0000-0000-00003C7C0000}"/>
    <cellStyle name="Note 11 3 3 2 2" xfId="10736" xr:uid="{00000000-0005-0000-0000-00003D7C0000}"/>
    <cellStyle name="Note 11 3 3 2 3" xfId="10737" xr:uid="{00000000-0005-0000-0000-00003E7C0000}"/>
    <cellStyle name="Note 11 3 3 2 4" xfId="10738" xr:uid="{00000000-0005-0000-0000-00003F7C0000}"/>
    <cellStyle name="Note 11 3 3 3" xfId="10739" xr:uid="{00000000-0005-0000-0000-0000407C0000}"/>
    <cellStyle name="Note 11 3 3 4" xfId="10740" xr:uid="{00000000-0005-0000-0000-0000417C0000}"/>
    <cellStyle name="Note 11 3 3 5" xfId="10741" xr:uid="{00000000-0005-0000-0000-0000427C0000}"/>
    <cellStyle name="Note 11 3 3 6" xfId="16800" xr:uid="{00000000-0005-0000-0000-0000437C0000}"/>
    <cellStyle name="Note 11 3 3 7" xfId="15467" xr:uid="{00000000-0005-0000-0000-0000447C0000}"/>
    <cellStyle name="Note 11 3 4" xfId="10742" xr:uid="{00000000-0005-0000-0000-0000457C0000}"/>
    <cellStyle name="Note 11 3 4 2" xfId="10743" xr:uid="{00000000-0005-0000-0000-0000467C0000}"/>
    <cellStyle name="Note 11 3 4 3" xfId="10744" xr:uid="{00000000-0005-0000-0000-0000477C0000}"/>
    <cellStyle name="Note 11 3 4 4" xfId="10745" xr:uid="{00000000-0005-0000-0000-0000487C0000}"/>
    <cellStyle name="Note 11 3 5" xfId="10746" xr:uid="{00000000-0005-0000-0000-0000497C0000}"/>
    <cellStyle name="Note 11 3 6" xfId="10747" xr:uid="{00000000-0005-0000-0000-00004A7C0000}"/>
    <cellStyle name="Note 11 3 7" xfId="10748" xr:uid="{00000000-0005-0000-0000-00004B7C0000}"/>
    <cellStyle name="Note 11 3 8" xfId="15890" xr:uid="{00000000-0005-0000-0000-00004C7C0000}"/>
    <cellStyle name="Note 11 3 9" xfId="15784" xr:uid="{00000000-0005-0000-0000-00004D7C0000}"/>
    <cellStyle name="Note 12 2" xfId="6188" xr:uid="{00000000-0005-0000-0000-00004E7C0000}"/>
    <cellStyle name="Note 12 2 2" xfId="6189" xr:uid="{00000000-0005-0000-0000-00004F7C0000}"/>
    <cellStyle name="Note 12 2 2 2" xfId="10749" xr:uid="{00000000-0005-0000-0000-0000507C0000}"/>
    <cellStyle name="Note 12 2 2 2 2" xfId="10750" xr:uid="{00000000-0005-0000-0000-0000517C0000}"/>
    <cellStyle name="Note 12 2 2 2 3" xfId="10751" xr:uid="{00000000-0005-0000-0000-0000527C0000}"/>
    <cellStyle name="Note 12 2 2 2 4" xfId="10752" xr:uid="{00000000-0005-0000-0000-0000537C0000}"/>
    <cellStyle name="Note 12 2 2 3" xfId="10753" xr:uid="{00000000-0005-0000-0000-0000547C0000}"/>
    <cellStyle name="Note 12 2 2 4" xfId="10754" xr:uid="{00000000-0005-0000-0000-0000557C0000}"/>
    <cellStyle name="Note 12 2 2 5" xfId="10755" xr:uid="{00000000-0005-0000-0000-0000567C0000}"/>
    <cellStyle name="Note 12 2 2 6" xfId="16801" xr:uid="{00000000-0005-0000-0000-0000577C0000}"/>
    <cellStyle name="Note 12 2 2 7" xfId="17773" xr:uid="{00000000-0005-0000-0000-0000587C0000}"/>
    <cellStyle name="Note 12 2 3" xfId="6190" xr:uid="{00000000-0005-0000-0000-0000597C0000}"/>
    <cellStyle name="Note 12 2 3 2" xfId="10756" xr:uid="{00000000-0005-0000-0000-00005A7C0000}"/>
    <cellStyle name="Note 12 2 3 2 2" xfId="10757" xr:uid="{00000000-0005-0000-0000-00005B7C0000}"/>
    <cellStyle name="Note 12 2 3 2 3" xfId="10758" xr:uid="{00000000-0005-0000-0000-00005C7C0000}"/>
    <cellStyle name="Note 12 2 3 2 4" xfId="10759" xr:uid="{00000000-0005-0000-0000-00005D7C0000}"/>
    <cellStyle name="Note 12 2 3 3" xfId="10760" xr:uid="{00000000-0005-0000-0000-00005E7C0000}"/>
    <cellStyle name="Note 12 2 3 4" xfId="10761" xr:uid="{00000000-0005-0000-0000-00005F7C0000}"/>
    <cellStyle name="Note 12 2 3 5" xfId="10762" xr:uid="{00000000-0005-0000-0000-0000607C0000}"/>
    <cellStyle name="Note 12 2 3 6" xfId="16802" xr:uid="{00000000-0005-0000-0000-0000617C0000}"/>
    <cellStyle name="Note 12 2 3 7" xfId="16341" xr:uid="{00000000-0005-0000-0000-0000627C0000}"/>
    <cellStyle name="Note 12 2 4" xfId="10763" xr:uid="{00000000-0005-0000-0000-0000637C0000}"/>
    <cellStyle name="Note 12 2 4 2" xfId="10764" xr:uid="{00000000-0005-0000-0000-0000647C0000}"/>
    <cellStyle name="Note 12 2 4 3" xfId="10765" xr:uid="{00000000-0005-0000-0000-0000657C0000}"/>
    <cellStyle name="Note 12 2 4 4" xfId="10766" xr:uid="{00000000-0005-0000-0000-0000667C0000}"/>
    <cellStyle name="Note 12 2 5" xfId="10767" xr:uid="{00000000-0005-0000-0000-0000677C0000}"/>
    <cellStyle name="Note 12 2 6" xfId="10768" xr:uid="{00000000-0005-0000-0000-0000687C0000}"/>
    <cellStyle name="Note 12 2 7" xfId="10769" xr:uid="{00000000-0005-0000-0000-0000697C0000}"/>
    <cellStyle name="Note 12 2 8" xfId="15891" xr:uid="{00000000-0005-0000-0000-00006A7C0000}"/>
    <cellStyle name="Note 12 2 9" xfId="15783" xr:uid="{00000000-0005-0000-0000-00006B7C0000}"/>
    <cellStyle name="Note 12 3" xfId="6191" xr:uid="{00000000-0005-0000-0000-00006C7C0000}"/>
    <cellStyle name="Note 12 3 2" xfId="6192" xr:uid="{00000000-0005-0000-0000-00006D7C0000}"/>
    <cellStyle name="Note 12 3 2 2" xfId="10770" xr:uid="{00000000-0005-0000-0000-00006E7C0000}"/>
    <cellStyle name="Note 12 3 2 2 2" xfId="10771" xr:uid="{00000000-0005-0000-0000-00006F7C0000}"/>
    <cellStyle name="Note 12 3 2 2 3" xfId="10772" xr:uid="{00000000-0005-0000-0000-0000707C0000}"/>
    <cellStyle name="Note 12 3 2 2 4" xfId="10773" xr:uid="{00000000-0005-0000-0000-0000717C0000}"/>
    <cellStyle name="Note 12 3 2 3" xfId="10774" xr:uid="{00000000-0005-0000-0000-0000727C0000}"/>
    <cellStyle name="Note 12 3 2 4" xfId="10775" xr:uid="{00000000-0005-0000-0000-0000737C0000}"/>
    <cellStyle name="Note 12 3 2 5" xfId="10776" xr:uid="{00000000-0005-0000-0000-0000747C0000}"/>
    <cellStyle name="Note 12 3 2 6" xfId="16803" xr:uid="{00000000-0005-0000-0000-0000757C0000}"/>
    <cellStyle name="Note 12 3 2 7" xfId="15466" xr:uid="{00000000-0005-0000-0000-0000767C0000}"/>
    <cellStyle name="Note 12 3 3" xfId="6193" xr:uid="{00000000-0005-0000-0000-0000777C0000}"/>
    <cellStyle name="Note 12 3 3 2" xfId="10777" xr:uid="{00000000-0005-0000-0000-0000787C0000}"/>
    <cellStyle name="Note 12 3 3 2 2" xfId="10778" xr:uid="{00000000-0005-0000-0000-0000797C0000}"/>
    <cellStyle name="Note 12 3 3 2 3" xfId="10779" xr:uid="{00000000-0005-0000-0000-00007A7C0000}"/>
    <cellStyle name="Note 12 3 3 2 4" xfId="10780" xr:uid="{00000000-0005-0000-0000-00007B7C0000}"/>
    <cellStyle name="Note 12 3 3 3" xfId="10781" xr:uid="{00000000-0005-0000-0000-00007C7C0000}"/>
    <cellStyle name="Note 12 3 3 4" xfId="10782" xr:uid="{00000000-0005-0000-0000-00007D7C0000}"/>
    <cellStyle name="Note 12 3 3 5" xfId="10783" xr:uid="{00000000-0005-0000-0000-00007E7C0000}"/>
    <cellStyle name="Note 12 3 3 6" xfId="16804" xr:uid="{00000000-0005-0000-0000-00007F7C0000}"/>
    <cellStyle name="Note 12 3 3 7" xfId="17772" xr:uid="{00000000-0005-0000-0000-0000807C0000}"/>
    <cellStyle name="Note 12 3 4" xfId="10784" xr:uid="{00000000-0005-0000-0000-0000817C0000}"/>
    <cellStyle name="Note 12 3 4 2" xfId="10785" xr:uid="{00000000-0005-0000-0000-0000827C0000}"/>
    <cellStyle name="Note 12 3 4 3" xfId="10786" xr:uid="{00000000-0005-0000-0000-0000837C0000}"/>
    <cellStyle name="Note 12 3 4 4" xfId="10787" xr:uid="{00000000-0005-0000-0000-0000847C0000}"/>
    <cellStyle name="Note 12 3 5" xfId="10788" xr:uid="{00000000-0005-0000-0000-0000857C0000}"/>
    <cellStyle name="Note 12 3 6" xfId="10789" xr:uid="{00000000-0005-0000-0000-0000867C0000}"/>
    <cellStyle name="Note 12 3 7" xfId="10790" xr:uid="{00000000-0005-0000-0000-0000877C0000}"/>
    <cellStyle name="Note 12 3 8" xfId="15892" xr:uid="{00000000-0005-0000-0000-0000887C0000}"/>
    <cellStyle name="Note 12 3 9" xfId="15782" xr:uid="{00000000-0005-0000-0000-0000897C0000}"/>
    <cellStyle name="Note 13 2" xfId="6194" xr:uid="{00000000-0005-0000-0000-00008A7C0000}"/>
    <cellStyle name="Note 13 2 2" xfId="6195" xr:uid="{00000000-0005-0000-0000-00008B7C0000}"/>
    <cellStyle name="Note 13 2 2 2" xfId="10791" xr:uid="{00000000-0005-0000-0000-00008C7C0000}"/>
    <cellStyle name="Note 13 2 2 2 2" xfId="10792" xr:uid="{00000000-0005-0000-0000-00008D7C0000}"/>
    <cellStyle name="Note 13 2 2 2 3" xfId="10793" xr:uid="{00000000-0005-0000-0000-00008E7C0000}"/>
    <cellStyle name="Note 13 2 2 2 4" xfId="10794" xr:uid="{00000000-0005-0000-0000-00008F7C0000}"/>
    <cellStyle name="Note 13 2 2 3" xfId="10795" xr:uid="{00000000-0005-0000-0000-0000907C0000}"/>
    <cellStyle name="Note 13 2 2 4" xfId="10796" xr:uid="{00000000-0005-0000-0000-0000917C0000}"/>
    <cellStyle name="Note 13 2 2 5" xfId="10797" xr:uid="{00000000-0005-0000-0000-0000927C0000}"/>
    <cellStyle name="Note 13 2 2 6" xfId="16805" xr:uid="{00000000-0005-0000-0000-0000937C0000}"/>
    <cellStyle name="Note 13 2 2 7" xfId="16340" xr:uid="{00000000-0005-0000-0000-0000947C0000}"/>
    <cellStyle name="Note 13 2 3" xfId="6196" xr:uid="{00000000-0005-0000-0000-0000957C0000}"/>
    <cellStyle name="Note 13 2 3 2" xfId="10798" xr:uid="{00000000-0005-0000-0000-0000967C0000}"/>
    <cellStyle name="Note 13 2 3 2 2" xfId="10799" xr:uid="{00000000-0005-0000-0000-0000977C0000}"/>
    <cellStyle name="Note 13 2 3 2 3" xfId="10800" xr:uid="{00000000-0005-0000-0000-0000987C0000}"/>
    <cellStyle name="Note 13 2 3 2 4" xfId="10801" xr:uid="{00000000-0005-0000-0000-0000997C0000}"/>
    <cellStyle name="Note 13 2 3 3" xfId="10802" xr:uid="{00000000-0005-0000-0000-00009A7C0000}"/>
    <cellStyle name="Note 13 2 3 4" xfId="10803" xr:uid="{00000000-0005-0000-0000-00009B7C0000}"/>
    <cellStyle name="Note 13 2 3 5" xfId="10804" xr:uid="{00000000-0005-0000-0000-00009C7C0000}"/>
    <cellStyle name="Note 13 2 3 6" xfId="16806" xr:uid="{00000000-0005-0000-0000-00009D7C0000}"/>
    <cellStyle name="Note 13 2 3 7" xfId="15465" xr:uid="{00000000-0005-0000-0000-00009E7C0000}"/>
    <cellStyle name="Note 13 2 4" xfId="10805" xr:uid="{00000000-0005-0000-0000-00009F7C0000}"/>
    <cellStyle name="Note 13 2 4 2" xfId="10806" xr:uid="{00000000-0005-0000-0000-0000A07C0000}"/>
    <cellStyle name="Note 13 2 4 3" xfId="10807" xr:uid="{00000000-0005-0000-0000-0000A17C0000}"/>
    <cellStyle name="Note 13 2 4 4" xfId="10808" xr:uid="{00000000-0005-0000-0000-0000A27C0000}"/>
    <cellStyle name="Note 13 2 5" xfId="10809" xr:uid="{00000000-0005-0000-0000-0000A37C0000}"/>
    <cellStyle name="Note 13 2 6" xfId="10810" xr:uid="{00000000-0005-0000-0000-0000A47C0000}"/>
    <cellStyle name="Note 13 2 7" xfId="10811" xr:uid="{00000000-0005-0000-0000-0000A57C0000}"/>
    <cellStyle name="Note 13 2 8" xfId="15893" xr:uid="{00000000-0005-0000-0000-0000A67C0000}"/>
    <cellStyle name="Note 13 2 9" xfId="15781" xr:uid="{00000000-0005-0000-0000-0000A77C0000}"/>
    <cellStyle name="Note 13 3" xfId="6197" xr:uid="{00000000-0005-0000-0000-0000A87C0000}"/>
    <cellStyle name="Note 13 3 2" xfId="6198" xr:uid="{00000000-0005-0000-0000-0000A97C0000}"/>
    <cellStyle name="Note 13 3 2 2" xfId="10812" xr:uid="{00000000-0005-0000-0000-0000AA7C0000}"/>
    <cellStyle name="Note 13 3 2 2 2" xfId="10813" xr:uid="{00000000-0005-0000-0000-0000AB7C0000}"/>
    <cellStyle name="Note 13 3 2 2 3" xfId="10814" xr:uid="{00000000-0005-0000-0000-0000AC7C0000}"/>
    <cellStyle name="Note 13 3 2 2 4" xfId="10815" xr:uid="{00000000-0005-0000-0000-0000AD7C0000}"/>
    <cellStyle name="Note 13 3 2 3" xfId="10816" xr:uid="{00000000-0005-0000-0000-0000AE7C0000}"/>
    <cellStyle name="Note 13 3 2 4" xfId="10817" xr:uid="{00000000-0005-0000-0000-0000AF7C0000}"/>
    <cellStyle name="Note 13 3 2 5" xfId="10818" xr:uid="{00000000-0005-0000-0000-0000B07C0000}"/>
    <cellStyle name="Note 13 3 2 6" xfId="16807" xr:uid="{00000000-0005-0000-0000-0000B17C0000}"/>
    <cellStyle name="Note 13 3 2 7" xfId="15456" xr:uid="{00000000-0005-0000-0000-0000B27C0000}"/>
    <cellStyle name="Note 13 3 3" xfId="6199" xr:uid="{00000000-0005-0000-0000-0000B37C0000}"/>
    <cellStyle name="Note 13 3 3 2" xfId="10819" xr:uid="{00000000-0005-0000-0000-0000B47C0000}"/>
    <cellStyle name="Note 13 3 3 2 2" xfId="10820" xr:uid="{00000000-0005-0000-0000-0000B57C0000}"/>
    <cellStyle name="Note 13 3 3 2 3" xfId="10821" xr:uid="{00000000-0005-0000-0000-0000B67C0000}"/>
    <cellStyle name="Note 13 3 3 2 4" xfId="10822" xr:uid="{00000000-0005-0000-0000-0000B77C0000}"/>
    <cellStyle name="Note 13 3 3 3" xfId="10823" xr:uid="{00000000-0005-0000-0000-0000B87C0000}"/>
    <cellStyle name="Note 13 3 3 4" xfId="10824" xr:uid="{00000000-0005-0000-0000-0000B97C0000}"/>
    <cellStyle name="Note 13 3 3 5" xfId="10825" xr:uid="{00000000-0005-0000-0000-0000BA7C0000}"/>
    <cellStyle name="Note 13 3 3 6" xfId="16808" xr:uid="{00000000-0005-0000-0000-0000BB7C0000}"/>
    <cellStyle name="Note 13 3 3 7" xfId="17771" xr:uid="{00000000-0005-0000-0000-0000BC7C0000}"/>
    <cellStyle name="Note 13 3 4" xfId="10826" xr:uid="{00000000-0005-0000-0000-0000BD7C0000}"/>
    <cellStyle name="Note 13 3 4 2" xfId="10827" xr:uid="{00000000-0005-0000-0000-0000BE7C0000}"/>
    <cellStyle name="Note 13 3 4 3" xfId="10828" xr:uid="{00000000-0005-0000-0000-0000BF7C0000}"/>
    <cellStyle name="Note 13 3 4 4" xfId="10829" xr:uid="{00000000-0005-0000-0000-0000C07C0000}"/>
    <cellStyle name="Note 13 3 5" xfId="10830" xr:uid="{00000000-0005-0000-0000-0000C17C0000}"/>
    <cellStyle name="Note 13 3 6" xfId="10831" xr:uid="{00000000-0005-0000-0000-0000C27C0000}"/>
    <cellStyle name="Note 13 3 7" xfId="10832" xr:uid="{00000000-0005-0000-0000-0000C37C0000}"/>
    <cellStyle name="Note 13 3 8" xfId="15894" xr:uid="{00000000-0005-0000-0000-0000C47C0000}"/>
    <cellStyle name="Note 13 3 9" xfId="15780" xr:uid="{00000000-0005-0000-0000-0000C57C0000}"/>
    <cellStyle name="Note 14 2" xfId="6200" xr:uid="{00000000-0005-0000-0000-0000C67C0000}"/>
    <cellStyle name="Note 14 2 2" xfId="6201" xr:uid="{00000000-0005-0000-0000-0000C77C0000}"/>
    <cellStyle name="Note 14 2 2 2" xfId="10833" xr:uid="{00000000-0005-0000-0000-0000C87C0000}"/>
    <cellStyle name="Note 14 2 2 2 2" xfId="10834" xr:uid="{00000000-0005-0000-0000-0000C97C0000}"/>
    <cellStyle name="Note 14 2 2 2 3" xfId="10835" xr:uid="{00000000-0005-0000-0000-0000CA7C0000}"/>
    <cellStyle name="Note 14 2 2 2 4" xfId="10836" xr:uid="{00000000-0005-0000-0000-0000CB7C0000}"/>
    <cellStyle name="Note 14 2 2 3" xfId="10837" xr:uid="{00000000-0005-0000-0000-0000CC7C0000}"/>
    <cellStyle name="Note 14 2 2 4" xfId="10838" xr:uid="{00000000-0005-0000-0000-0000CD7C0000}"/>
    <cellStyle name="Note 14 2 2 5" xfId="10839" xr:uid="{00000000-0005-0000-0000-0000CE7C0000}"/>
    <cellStyle name="Note 14 2 2 6" xfId="16809" xr:uid="{00000000-0005-0000-0000-0000CF7C0000}"/>
    <cellStyle name="Note 14 2 2 7" xfId="16339" xr:uid="{00000000-0005-0000-0000-0000D07C0000}"/>
    <cellStyle name="Note 14 2 3" xfId="6202" xr:uid="{00000000-0005-0000-0000-0000D17C0000}"/>
    <cellStyle name="Note 14 2 3 2" xfId="10840" xr:uid="{00000000-0005-0000-0000-0000D27C0000}"/>
    <cellStyle name="Note 14 2 3 2 2" xfId="10841" xr:uid="{00000000-0005-0000-0000-0000D37C0000}"/>
    <cellStyle name="Note 14 2 3 2 3" xfId="10842" xr:uid="{00000000-0005-0000-0000-0000D47C0000}"/>
    <cellStyle name="Note 14 2 3 2 4" xfId="10843" xr:uid="{00000000-0005-0000-0000-0000D57C0000}"/>
    <cellStyle name="Note 14 2 3 3" xfId="10844" xr:uid="{00000000-0005-0000-0000-0000D67C0000}"/>
    <cellStyle name="Note 14 2 3 4" xfId="10845" xr:uid="{00000000-0005-0000-0000-0000D77C0000}"/>
    <cellStyle name="Note 14 2 3 5" xfId="10846" xr:uid="{00000000-0005-0000-0000-0000D87C0000}"/>
    <cellStyle name="Note 14 2 3 6" xfId="16810" xr:uid="{00000000-0005-0000-0000-0000D97C0000}"/>
    <cellStyle name="Note 14 2 3 7" xfId="15464" xr:uid="{00000000-0005-0000-0000-0000DA7C0000}"/>
    <cellStyle name="Note 14 2 4" xfId="10847" xr:uid="{00000000-0005-0000-0000-0000DB7C0000}"/>
    <cellStyle name="Note 14 2 4 2" xfId="10848" xr:uid="{00000000-0005-0000-0000-0000DC7C0000}"/>
    <cellStyle name="Note 14 2 4 3" xfId="10849" xr:uid="{00000000-0005-0000-0000-0000DD7C0000}"/>
    <cellStyle name="Note 14 2 4 4" xfId="10850" xr:uid="{00000000-0005-0000-0000-0000DE7C0000}"/>
    <cellStyle name="Note 14 2 5" xfId="10851" xr:uid="{00000000-0005-0000-0000-0000DF7C0000}"/>
    <cellStyle name="Note 14 2 6" xfId="10852" xr:uid="{00000000-0005-0000-0000-0000E07C0000}"/>
    <cellStyle name="Note 14 2 7" xfId="10853" xr:uid="{00000000-0005-0000-0000-0000E17C0000}"/>
    <cellStyle name="Note 14 2 8" xfId="15895" xr:uid="{00000000-0005-0000-0000-0000E27C0000}"/>
    <cellStyle name="Note 14 2 9" xfId="15779" xr:uid="{00000000-0005-0000-0000-0000E37C0000}"/>
    <cellStyle name="Note 14 3" xfId="6203" xr:uid="{00000000-0005-0000-0000-0000E47C0000}"/>
    <cellStyle name="Note 14 3 2" xfId="6204" xr:uid="{00000000-0005-0000-0000-0000E57C0000}"/>
    <cellStyle name="Note 14 3 2 2" xfId="10854" xr:uid="{00000000-0005-0000-0000-0000E67C0000}"/>
    <cellStyle name="Note 14 3 2 2 2" xfId="10855" xr:uid="{00000000-0005-0000-0000-0000E77C0000}"/>
    <cellStyle name="Note 14 3 2 2 3" xfId="10856" xr:uid="{00000000-0005-0000-0000-0000E87C0000}"/>
    <cellStyle name="Note 14 3 2 2 4" xfId="10857" xr:uid="{00000000-0005-0000-0000-0000E97C0000}"/>
    <cellStyle name="Note 14 3 2 3" xfId="10858" xr:uid="{00000000-0005-0000-0000-0000EA7C0000}"/>
    <cellStyle name="Note 14 3 2 4" xfId="10859" xr:uid="{00000000-0005-0000-0000-0000EB7C0000}"/>
    <cellStyle name="Note 14 3 2 5" xfId="10860" xr:uid="{00000000-0005-0000-0000-0000EC7C0000}"/>
    <cellStyle name="Note 14 3 2 6" xfId="16811" xr:uid="{00000000-0005-0000-0000-0000ED7C0000}"/>
    <cellStyle name="Note 14 3 2 7" xfId="17770" xr:uid="{00000000-0005-0000-0000-0000EE7C0000}"/>
    <cellStyle name="Note 14 3 3" xfId="6205" xr:uid="{00000000-0005-0000-0000-0000EF7C0000}"/>
    <cellStyle name="Note 14 3 3 2" xfId="10861" xr:uid="{00000000-0005-0000-0000-0000F07C0000}"/>
    <cellStyle name="Note 14 3 3 2 2" xfId="10862" xr:uid="{00000000-0005-0000-0000-0000F17C0000}"/>
    <cellStyle name="Note 14 3 3 2 3" xfId="10863" xr:uid="{00000000-0005-0000-0000-0000F27C0000}"/>
    <cellStyle name="Note 14 3 3 2 4" xfId="10864" xr:uid="{00000000-0005-0000-0000-0000F37C0000}"/>
    <cellStyle name="Note 14 3 3 3" xfId="10865" xr:uid="{00000000-0005-0000-0000-0000F47C0000}"/>
    <cellStyle name="Note 14 3 3 4" xfId="10866" xr:uid="{00000000-0005-0000-0000-0000F57C0000}"/>
    <cellStyle name="Note 14 3 3 5" xfId="10867" xr:uid="{00000000-0005-0000-0000-0000F67C0000}"/>
    <cellStyle name="Note 14 3 3 6" xfId="16812" xr:uid="{00000000-0005-0000-0000-0000F77C0000}"/>
    <cellStyle name="Note 14 3 3 7" xfId="16338" xr:uid="{00000000-0005-0000-0000-0000F87C0000}"/>
    <cellStyle name="Note 14 3 4" xfId="10868" xr:uid="{00000000-0005-0000-0000-0000F97C0000}"/>
    <cellStyle name="Note 14 3 4 2" xfId="10869" xr:uid="{00000000-0005-0000-0000-0000FA7C0000}"/>
    <cellStyle name="Note 14 3 4 3" xfId="10870" xr:uid="{00000000-0005-0000-0000-0000FB7C0000}"/>
    <cellStyle name="Note 14 3 4 4" xfId="10871" xr:uid="{00000000-0005-0000-0000-0000FC7C0000}"/>
    <cellStyle name="Note 14 3 5" xfId="10872" xr:uid="{00000000-0005-0000-0000-0000FD7C0000}"/>
    <cellStyle name="Note 14 3 6" xfId="10873" xr:uid="{00000000-0005-0000-0000-0000FE7C0000}"/>
    <cellStyle name="Note 14 3 7" xfId="10874" xr:uid="{00000000-0005-0000-0000-0000FF7C0000}"/>
    <cellStyle name="Note 14 3 8" xfId="15896" xr:uid="{00000000-0005-0000-0000-0000007D0000}"/>
    <cellStyle name="Note 14 3 9" xfId="15778" xr:uid="{00000000-0005-0000-0000-0000017D0000}"/>
    <cellStyle name="Note 15 2" xfId="6206" xr:uid="{00000000-0005-0000-0000-0000027D0000}"/>
    <cellStyle name="Note 15 2 2" xfId="6207" xr:uid="{00000000-0005-0000-0000-0000037D0000}"/>
    <cellStyle name="Note 15 2 2 2" xfId="10875" xr:uid="{00000000-0005-0000-0000-0000047D0000}"/>
    <cellStyle name="Note 15 2 2 2 2" xfId="10876" xr:uid="{00000000-0005-0000-0000-0000057D0000}"/>
    <cellStyle name="Note 15 2 2 2 3" xfId="10877" xr:uid="{00000000-0005-0000-0000-0000067D0000}"/>
    <cellStyle name="Note 15 2 2 2 4" xfId="10878" xr:uid="{00000000-0005-0000-0000-0000077D0000}"/>
    <cellStyle name="Note 15 2 2 3" xfId="10879" xr:uid="{00000000-0005-0000-0000-0000087D0000}"/>
    <cellStyle name="Note 15 2 2 4" xfId="10880" xr:uid="{00000000-0005-0000-0000-0000097D0000}"/>
    <cellStyle name="Note 15 2 2 5" xfId="10881" xr:uid="{00000000-0005-0000-0000-00000A7D0000}"/>
    <cellStyle name="Note 15 2 2 6" xfId="16813" xr:uid="{00000000-0005-0000-0000-00000B7D0000}"/>
    <cellStyle name="Note 15 2 2 7" xfId="15463" xr:uid="{00000000-0005-0000-0000-00000C7D0000}"/>
    <cellStyle name="Note 15 2 3" xfId="6208" xr:uid="{00000000-0005-0000-0000-00000D7D0000}"/>
    <cellStyle name="Note 15 2 3 2" xfId="10882" xr:uid="{00000000-0005-0000-0000-00000E7D0000}"/>
    <cellStyle name="Note 15 2 3 2 2" xfId="10883" xr:uid="{00000000-0005-0000-0000-00000F7D0000}"/>
    <cellStyle name="Note 15 2 3 2 3" xfId="10884" xr:uid="{00000000-0005-0000-0000-0000107D0000}"/>
    <cellStyle name="Note 15 2 3 2 4" xfId="10885" xr:uid="{00000000-0005-0000-0000-0000117D0000}"/>
    <cellStyle name="Note 15 2 3 3" xfId="10886" xr:uid="{00000000-0005-0000-0000-0000127D0000}"/>
    <cellStyle name="Note 15 2 3 4" xfId="10887" xr:uid="{00000000-0005-0000-0000-0000137D0000}"/>
    <cellStyle name="Note 15 2 3 5" xfId="10888" xr:uid="{00000000-0005-0000-0000-0000147D0000}"/>
    <cellStyle name="Note 15 2 3 6" xfId="16814" xr:uid="{00000000-0005-0000-0000-0000157D0000}"/>
    <cellStyle name="Note 15 2 3 7" xfId="17769" xr:uid="{00000000-0005-0000-0000-0000167D0000}"/>
    <cellStyle name="Note 15 2 4" xfId="10889" xr:uid="{00000000-0005-0000-0000-0000177D0000}"/>
    <cellStyle name="Note 15 2 4 2" xfId="10890" xr:uid="{00000000-0005-0000-0000-0000187D0000}"/>
    <cellStyle name="Note 15 2 4 3" xfId="10891" xr:uid="{00000000-0005-0000-0000-0000197D0000}"/>
    <cellStyle name="Note 15 2 4 4" xfId="10892" xr:uid="{00000000-0005-0000-0000-00001A7D0000}"/>
    <cellStyle name="Note 15 2 5" xfId="10893" xr:uid="{00000000-0005-0000-0000-00001B7D0000}"/>
    <cellStyle name="Note 15 2 6" xfId="10894" xr:uid="{00000000-0005-0000-0000-00001C7D0000}"/>
    <cellStyle name="Note 15 2 7" xfId="10895" xr:uid="{00000000-0005-0000-0000-00001D7D0000}"/>
    <cellStyle name="Note 15 2 8" xfId="15897" xr:uid="{00000000-0005-0000-0000-00001E7D0000}"/>
    <cellStyle name="Note 15 2 9" xfId="15777" xr:uid="{00000000-0005-0000-0000-00001F7D0000}"/>
    <cellStyle name="Note 15 3" xfId="6209" xr:uid="{00000000-0005-0000-0000-0000207D0000}"/>
    <cellStyle name="Note 15 3 2" xfId="6210" xr:uid="{00000000-0005-0000-0000-0000217D0000}"/>
    <cellStyle name="Note 15 3 2 2" xfId="10896" xr:uid="{00000000-0005-0000-0000-0000227D0000}"/>
    <cellStyle name="Note 15 3 2 2 2" xfId="10897" xr:uid="{00000000-0005-0000-0000-0000237D0000}"/>
    <cellStyle name="Note 15 3 2 2 3" xfId="10898" xr:uid="{00000000-0005-0000-0000-0000247D0000}"/>
    <cellStyle name="Note 15 3 2 2 4" xfId="10899" xr:uid="{00000000-0005-0000-0000-0000257D0000}"/>
    <cellStyle name="Note 15 3 2 3" xfId="10900" xr:uid="{00000000-0005-0000-0000-0000267D0000}"/>
    <cellStyle name="Note 15 3 2 4" xfId="10901" xr:uid="{00000000-0005-0000-0000-0000277D0000}"/>
    <cellStyle name="Note 15 3 2 5" xfId="10902" xr:uid="{00000000-0005-0000-0000-0000287D0000}"/>
    <cellStyle name="Note 15 3 2 6" xfId="16815" xr:uid="{00000000-0005-0000-0000-0000297D0000}"/>
    <cellStyle name="Note 15 3 2 7" xfId="16337" xr:uid="{00000000-0005-0000-0000-00002A7D0000}"/>
    <cellStyle name="Note 15 3 3" xfId="6211" xr:uid="{00000000-0005-0000-0000-00002B7D0000}"/>
    <cellStyle name="Note 15 3 3 2" xfId="10903" xr:uid="{00000000-0005-0000-0000-00002C7D0000}"/>
    <cellStyle name="Note 15 3 3 2 2" xfId="10904" xr:uid="{00000000-0005-0000-0000-00002D7D0000}"/>
    <cellStyle name="Note 15 3 3 2 3" xfId="10905" xr:uid="{00000000-0005-0000-0000-00002E7D0000}"/>
    <cellStyle name="Note 15 3 3 2 4" xfId="10906" xr:uid="{00000000-0005-0000-0000-00002F7D0000}"/>
    <cellStyle name="Note 15 3 3 3" xfId="10907" xr:uid="{00000000-0005-0000-0000-0000307D0000}"/>
    <cellStyle name="Note 15 3 3 4" xfId="10908" xr:uid="{00000000-0005-0000-0000-0000317D0000}"/>
    <cellStyle name="Note 15 3 3 5" xfId="10909" xr:uid="{00000000-0005-0000-0000-0000327D0000}"/>
    <cellStyle name="Note 15 3 3 6" xfId="16816" xr:uid="{00000000-0005-0000-0000-0000337D0000}"/>
    <cellStyle name="Note 15 3 3 7" xfId="15462" xr:uid="{00000000-0005-0000-0000-0000347D0000}"/>
    <cellStyle name="Note 15 3 4" xfId="10910" xr:uid="{00000000-0005-0000-0000-0000357D0000}"/>
    <cellStyle name="Note 15 3 4 2" xfId="10911" xr:uid="{00000000-0005-0000-0000-0000367D0000}"/>
    <cellStyle name="Note 15 3 4 3" xfId="10912" xr:uid="{00000000-0005-0000-0000-0000377D0000}"/>
    <cellStyle name="Note 15 3 4 4" xfId="10913" xr:uid="{00000000-0005-0000-0000-0000387D0000}"/>
    <cellStyle name="Note 15 3 5" xfId="10914" xr:uid="{00000000-0005-0000-0000-0000397D0000}"/>
    <cellStyle name="Note 15 3 6" xfId="10915" xr:uid="{00000000-0005-0000-0000-00003A7D0000}"/>
    <cellStyle name="Note 15 3 7" xfId="10916" xr:uid="{00000000-0005-0000-0000-00003B7D0000}"/>
    <cellStyle name="Note 15 3 8" xfId="15898" xr:uid="{00000000-0005-0000-0000-00003C7D0000}"/>
    <cellStyle name="Note 15 3 9" xfId="15776" xr:uid="{00000000-0005-0000-0000-00003D7D0000}"/>
    <cellStyle name="Note 16" xfId="6212" xr:uid="{00000000-0005-0000-0000-00003E7D0000}"/>
    <cellStyle name="Note 16 10" xfId="10917" xr:uid="{00000000-0005-0000-0000-00003F7D0000}"/>
    <cellStyle name="Note 16 10 2" xfId="10918" xr:uid="{00000000-0005-0000-0000-0000407D0000}"/>
    <cellStyle name="Note 16 10 3" xfId="10919" xr:uid="{00000000-0005-0000-0000-0000417D0000}"/>
    <cellStyle name="Note 16 10 4" xfId="10920" xr:uid="{00000000-0005-0000-0000-0000427D0000}"/>
    <cellStyle name="Note 16 11" xfId="10921" xr:uid="{00000000-0005-0000-0000-0000437D0000}"/>
    <cellStyle name="Note 16 12" xfId="10922" xr:uid="{00000000-0005-0000-0000-0000447D0000}"/>
    <cellStyle name="Note 16 13" xfId="10923" xr:uid="{00000000-0005-0000-0000-0000457D0000}"/>
    <cellStyle name="Note 16 14" xfId="15899" xr:uid="{00000000-0005-0000-0000-0000467D0000}"/>
    <cellStyle name="Note 16 15" xfId="15775" xr:uid="{00000000-0005-0000-0000-0000477D0000}"/>
    <cellStyle name="Note 16 2" xfId="6213" xr:uid="{00000000-0005-0000-0000-0000487D0000}"/>
    <cellStyle name="Note 16 2 2" xfId="6214" xr:uid="{00000000-0005-0000-0000-0000497D0000}"/>
    <cellStyle name="Note 16 2 2 2" xfId="10924" xr:uid="{00000000-0005-0000-0000-00004A7D0000}"/>
    <cellStyle name="Note 16 2 2 2 2" xfId="10925" xr:uid="{00000000-0005-0000-0000-00004B7D0000}"/>
    <cellStyle name="Note 16 2 2 2 3" xfId="10926" xr:uid="{00000000-0005-0000-0000-00004C7D0000}"/>
    <cellStyle name="Note 16 2 2 2 4" xfId="10927" xr:uid="{00000000-0005-0000-0000-00004D7D0000}"/>
    <cellStyle name="Note 16 2 2 3" xfId="10928" xr:uid="{00000000-0005-0000-0000-00004E7D0000}"/>
    <cellStyle name="Note 16 2 2 4" xfId="10929" xr:uid="{00000000-0005-0000-0000-00004F7D0000}"/>
    <cellStyle name="Note 16 2 2 5" xfId="10930" xr:uid="{00000000-0005-0000-0000-0000507D0000}"/>
    <cellStyle name="Note 16 2 2 6" xfId="16817" xr:uid="{00000000-0005-0000-0000-0000517D0000}"/>
    <cellStyle name="Note 16 2 2 7" xfId="17768" xr:uid="{00000000-0005-0000-0000-0000527D0000}"/>
    <cellStyle name="Note 16 2 3" xfId="6215" xr:uid="{00000000-0005-0000-0000-0000537D0000}"/>
    <cellStyle name="Note 16 2 3 2" xfId="10931" xr:uid="{00000000-0005-0000-0000-0000547D0000}"/>
    <cellStyle name="Note 16 2 3 2 2" xfId="10932" xr:uid="{00000000-0005-0000-0000-0000557D0000}"/>
    <cellStyle name="Note 16 2 3 2 3" xfId="10933" xr:uid="{00000000-0005-0000-0000-0000567D0000}"/>
    <cellStyle name="Note 16 2 3 2 4" xfId="10934" xr:uid="{00000000-0005-0000-0000-0000577D0000}"/>
    <cellStyle name="Note 16 2 3 3" xfId="10935" xr:uid="{00000000-0005-0000-0000-0000587D0000}"/>
    <cellStyle name="Note 16 2 3 4" xfId="10936" xr:uid="{00000000-0005-0000-0000-0000597D0000}"/>
    <cellStyle name="Note 16 2 3 5" xfId="10937" xr:uid="{00000000-0005-0000-0000-00005A7D0000}"/>
    <cellStyle name="Note 16 2 3 6" xfId="16818" xr:uid="{00000000-0005-0000-0000-00005B7D0000}"/>
    <cellStyle name="Note 16 2 3 7" xfId="16336" xr:uid="{00000000-0005-0000-0000-00005C7D0000}"/>
    <cellStyle name="Note 16 2 4" xfId="10938" xr:uid="{00000000-0005-0000-0000-00005D7D0000}"/>
    <cellStyle name="Note 16 2 4 2" xfId="10939" xr:uid="{00000000-0005-0000-0000-00005E7D0000}"/>
    <cellStyle name="Note 16 2 4 3" xfId="10940" xr:uid="{00000000-0005-0000-0000-00005F7D0000}"/>
    <cellStyle name="Note 16 2 4 4" xfId="10941" xr:uid="{00000000-0005-0000-0000-0000607D0000}"/>
    <cellStyle name="Note 16 2 5" xfId="10942" xr:uid="{00000000-0005-0000-0000-0000617D0000}"/>
    <cellStyle name="Note 16 2 6" xfId="10943" xr:uid="{00000000-0005-0000-0000-0000627D0000}"/>
    <cellStyle name="Note 16 2 7" xfId="10944" xr:uid="{00000000-0005-0000-0000-0000637D0000}"/>
    <cellStyle name="Note 16 2 8" xfId="15900" xr:uid="{00000000-0005-0000-0000-0000647D0000}"/>
    <cellStyle name="Note 16 2 9" xfId="15774" xr:uid="{00000000-0005-0000-0000-0000657D0000}"/>
    <cellStyle name="Note 16 3" xfId="6216" xr:uid="{00000000-0005-0000-0000-0000667D0000}"/>
    <cellStyle name="Note 16 3 2" xfId="6217" xr:uid="{00000000-0005-0000-0000-0000677D0000}"/>
    <cellStyle name="Note 16 3 2 2" xfId="10945" xr:uid="{00000000-0005-0000-0000-0000687D0000}"/>
    <cellStyle name="Note 16 3 2 2 2" xfId="10946" xr:uid="{00000000-0005-0000-0000-0000697D0000}"/>
    <cellStyle name="Note 16 3 2 2 3" xfId="10947" xr:uid="{00000000-0005-0000-0000-00006A7D0000}"/>
    <cellStyle name="Note 16 3 2 2 4" xfId="10948" xr:uid="{00000000-0005-0000-0000-00006B7D0000}"/>
    <cellStyle name="Note 16 3 2 3" xfId="10949" xr:uid="{00000000-0005-0000-0000-00006C7D0000}"/>
    <cellStyle name="Note 16 3 2 4" xfId="10950" xr:uid="{00000000-0005-0000-0000-00006D7D0000}"/>
    <cellStyle name="Note 16 3 2 5" xfId="10951" xr:uid="{00000000-0005-0000-0000-00006E7D0000}"/>
    <cellStyle name="Note 16 3 2 6" xfId="16819" xr:uid="{00000000-0005-0000-0000-00006F7D0000}"/>
    <cellStyle name="Note 16 3 2 7" xfId="15461" xr:uid="{00000000-0005-0000-0000-0000707D0000}"/>
    <cellStyle name="Note 16 3 3" xfId="6218" xr:uid="{00000000-0005-0000-0000-0000717D0000}"/>
    <cellStyle name="Note 16 3 3 2" xfId="10952" xr:uid="{00000000-0005-0000-0000-0000727D0000}"/>
    <cellStyle name="Note 16 3 3 2 2" xfId="10953" xr:uid="{00000000-0005-0000-0000-0000737D0000}"/>
    <cellStyle name="Note 16 3 3 2 3" xfId="10954" xr:uid="{00000000-0005-0000-0000-0000747D0000}"/>
    <cellStyle name="Note 16 3 3 2 4" xfId="10955" xr:uid="{00000000-0005-0000-0000-0000757D0000}"/>
    <cellStyle name="Note 16 3 3 3" xfId="10956" xr:uid="{00000000-0005-0000-0000-0000767D0000}"/>
    <cellStyle name="Note 16 3 3 4" xfId="10957" xr:uid="{00000000-0005-0000-0000-0000777D0000}"/>
    <cellStyle name="Note 16 3 3 5" xfId="10958" xr:uid="{00000000-0005-0000-0000-0000787D0000}"/>
    <cellStyle name="Note 16 3 3 6" xfId="16820" xr:uid="{00000000-0005-0000-0000-0000797D0000}"/>
    <cellStyle name="Note 16 3 3 7" xfId="18087" xr:uid="{00000000-0005-0000-0000-00007A7D0000}"/>
    <cellStyle name="Note 16 3 4" xfId="10959" xr:uid="{00000000-0005-0000-0000-00007B7D0000}"/>
    <cellStyle name="Note 16 3 4 2" xfId="10960" xr:uid="{00000000-0005-0000-0000-00007C7D0000}"/>
    <cellStyle name="Note 16 3 4 3" xfId="10961" xr:uid="{00000000-0005-0000-0000-00007D7D0000}"/>
    <cellStyle name="Note 16 3 4 4" xfId="10962" xr:uid="{00000000-0005-0000-0000-00007E7D0000}"/>
    <cellStyle name="Note 16 3 5" xfId="10963" xr:uid="{00000000-0005-0000-0000-00007F7D0000}"/>
    <cellStyle name="Note 16 3 6" xfId="10964" xr:uid="{00000000-0005-0000-0000-0000807D0000}"/>
    <cellStyle name="Note 16 3 7" xfId="10965" xr:uid="{00000000-0005-0000-0000-0000817D0000}"/>
    <cellStyle name="Note 16 3 8" xfId="15901" xr:uid="{00000000-0005-0000-0000-0000827D0000}"/>
    <cellStyle name="Note 16 3 9" xfId="15773" xr:uid="{00000000-0005-0000-0000-0000837D0000}"/>
    <cellStyle name="Note 16 4" xfId="6219" xr:uid="{00000000-0005-0000-0000-0000847D0000}"/>
    <cellStyle name="Note 16 4 2" xfId="6220" xr:uid="{00000000-0005-0000-0000-0000857D0000}"/>
    <cellStyle name="Note 16 4 2 2" xfId="10966" xr:uid="{00000000-0005-0000-0000-0000867D0000}"/>
    <cellStyle name="Note 16 4 2 2 2" xfId="10967" xr:uid="{00000000-0005-0000-0000-0000877D0000}"/>
    <cellStyle name="Note 16 4 2 2 3" xfId="10968" xr:uid="{00000000-0005-0000-0000-0000887D0000}"/>
    <cellStyle name="Note 16 4 2 2 4" xfId="10969" xr:uid="{00000000-0005-0000-0000-0000897D0000}"/>
    <cellStyle name="Note 16 4 2 3" xfId="10970" xr:uid="{00000000-0005-0000-0000-00008A7D0000}"/>
    <cellStyle name="Note 16 4 2 4" xfId="10971" xr:uid="{00000000-0005-0000-0000-00008B7D0000}"/>
    <cellStyle name="Note 16 4 2 5" xfId="10972" xr:uid="{00000000-0005-0000-0000-00008C7D0000}"/>
    <cellStyle name="Note 16 4 2 6" xfId="16821" xr:uid="{00000000-0005-0000-0000-00008D7D0000}"/>
    <cellStyle name="Note 16 4 2 7" xfId="17767" xr:uid="{00000000-0005-0000-0000-00008E7D0000}"/>
    <cellStyle name="Note 16 4 3" xfId="6221" xr:uid="{00000000-0005-0000-0000-00008F7D0000}"/>
    <cellStyle name="Note 16 4 3 2" xfId="10973" xr:uid="{00000000-0005-0000-0000-0000907D0000}"/>
    <cellStyle name="Note 16 4 3 2 2" xfId="10974" xr:uid="{00000000-0005-0000-0000-0000917D0000}"/>
    <cellStyle name="Note 16 4 3 2 3" xfId="10975" xr:uid="{00000000-0005-0000-0000-0000927D0000}"/>
    <cellStyle name="Note 16 4 3 2 4" xfId="10976" xr:uid="{00000000-0005-0000-0000-0000937D0000}"/>
    <cellStyle name="Note 16 4 3 3" xfId="10977" xr:uid="{00000000-0005-0000-0000-0000947D0000}"/>
    <cellStyle name="Note 16 4 3 4" xfId="10978" xr:uid="{00000000-0005-0000-0000-0000957D0000}"/>
    <cellStyle name="Note 16 4 3 5" xfId="10979" xr:uid="{00000000-0005-0000-0000-0000967D0000}"/>
    <cellStyle name="Note 16 4 3 6" xfId="16822" xr:uid="{00000000-0005-0000-0000-0000977D0000}"/>
    <cellStyle name="Note 16 4 3 7" xfId="16335" xr:uid="{00000000-0005-0000-0000-0000987D0000}"/>
    <cellStyle name="Note 16 4 4" xfId="10980" xr:uid="{00000000-0005-0000-0000-0000997D0000}"/>
    <cellStyle name="Note 16 4 4 2" xfId="10981" xr:uid="{00000000-0005-0000-0000-00009A7D0000}"/>
    <cellStyle name="Note 16 4 4 3" xfId="10982" xr:uid="{00000000-0005-0000-0000-00009B7D0000}"/>
    <cellStyle name="Note 16 4 4 4" xfId="10983" xr:uid="{00000000-0005-0000-0000-00009C7D0000}"/>
    <cellStyle name="Note 16 4 5" xfId="10984" xr:uid="{00000000-0005-0000-0000-00009D7D0000}"/>
    <cellStyle name="Note 16 4 6" xfId="10985" xr:uid="{00000000-0005-0000-0000-00009E7D0000}"/>
    <cellStyle name="Note 16 4 7" xfId="10986" xr:uid="{00000000-0005-0000-0000-00009F7D0000}"/>
    <cellStyle name="Note 16 4 8" xfId="15902" xr:uid="{00000000-0005-0000-0000-0000A07D0000}"/>
    <cellStyle name="Note 16 4 9" xfId="15772" xr:uid="{00000000-0005-0000-0000-0000A17D0000}"/>
    <cellStyle name="Note 16 5" xfId="6222" xr:uid="{00000000-0005-0000-0000-0000A27D0000}"/>
    <cellStyle name="Note 16 5 2" xfId="6223" xr:uid="{00000000-0005-0000-0000-0000A37D0000}"/>
    <cellStyle name="Note 16 5 2 2" xfId="10987" xr:uid="{00000000-0005-0000-0000-0000A47D0000}"/>
    <cellStyle name="Note 16 5 2 2 2" xfId="10988" xr:uid="{00000000-0005-0000-0000-0000A57D0000}"/>
    <cellStyle name="Note 16 5 2 2 3" xfId="10989" xr:uid="{00000000-0005-0000-0000-0000A67D0000}"/>
    <cellStyle name="Note 16 5 2 2 4" xfId="10990" xr:uid="{00000000-0005-0000-0000-0000A77D0000}"/>
    <cellStyle name="Note 16 5 2 3" xfId="10991" xr:uid="{00000000-0005-0000-0000-0000A87D0000}"/>
    <cellStyle name="Note 16 5 2 4" xfId="10992" xr:uid="{00000000-0005-0000-0000-0000A97D0000}"/>
    <cellStyle name="Note 16 5 2 5" xfId="10993" xr:uid="{00000000-0005-0000-0000-0000AA7D0000}"/>
    <cellStyle name="Note 16 5 2 6" xfId="16823" xr:uid="{00000000-0005-0000-0000-0000AB7D0000}"/>
    <cellStyle name="Note 16 5 2 7" xfId="15460" xr:uid="{00000000-0005-0000-0000-0000AC7D0000}"/>
    <cellStyle name="Note 16 5 3" xfId="6224" xr:uid="{00000000-0005-0000-0000-0000AD7D0000}"/>
    <cellStyle name="Note 16 5 3 2" xfId="10994" xr:uid="{00000000-0005-0000-0000-0000AE7D0000}"/>
    <cellStyle name="Note 16 5 3 2 2" xfId="10995" xr:uid="{00000000-0005-0000-0000-0000AF7D0000}"/>
    <cellStyle name="Note 16 5 3 2 3" xfId="10996" xr:uid="{00000000-0005-0000-0000-0000B07D0000}"/>
    <cellStyle name="Note 16 5 3 2 4" xfId="10997" xr:uid="{00000000-0005-0000-0000-0000B17D0000}"/>
    <cellStyle name="Note 16 5 3 3" xfId="10998" xr:uid="{00000000-0005-0000-0000-0000B27D0000}"/>
    <cellStyle name="Note 16 5 3 4" xfId="10999" xr:uid="{00000000-0005-0000-0000-0000B37D0000}"/>
    <cellStyle name="Note 16 5 3 5" xfId="11000" xr:uid="{00000000-0005-0000-0000-0000B47D0000}"/>
    <cellStyle name="Note 16 5 3 6" xfId="16824" xr:uid="{00000000-0005-0000-0000-0000B57D0000}"/>
    <cellStyle name="Note 16 5 3 7" xfId="17766" xr:uid="{00000000-0005-0000-0000-0000B67D0000}"/>
    <cellStyle name="Note 16 5 4" xfId="11001" xr:uid="{00000000-0005-0000-0000-0000B77D0000}"/>
    <cellStyle name="Note 16 5 4 2" xfId="11002" xr:uid="{00000000-0005-0000-0000-0000B87D0000}"/>
    <cellStyle name="Note 16 5 4 3" xfId="11003" xr:uid="{00000000-0005-0000-0000-0000B97D0000}"/>
    <cellStyle name="Note 16 5 4 4" xfId="11004" xr:uid="{00000000-0005-0000-0000-0000BA7D0000}"/>
    <cellStyle name="Note 16 5 5" xfId="11005" xr:uid="{00000000-0005-0000-0000-0000BB7D0000}"/>
    <cellStyle name="Note 16 5 6" xfId="11006" xr:uid="{00000000-0005-0000-0000-0000BC7D0000}"/>
    <cellStyle name="Note 16 5 7" xfId="11007" xr:uid="{00000000-0005-0000-0000-0000BD7D0000}"/>
    <cellStyle name="Note 16 5 8" xfId="15903" xr:uid="{00000000-0005-0000-0000-0000BE7D0000}"/>
    <cellStyle name="Note 16 5 9" xfId="15771" xr:uid="{00000000-0005-0000-0000-0000BF7D0000}"/>
    <cellStyle name="Note 16 6" xfId="6225" xr:uid="{00000000-0005-0000-0000-0000C07D0000}"/>
    <cellStyle name="Note 16 6 2" xfId="6226" xr:uid="{00000000-0005-0000-0000-0000C17D0000}"/>
    <cellStyle name="Note 16 6 2 2" xfId="11008" xr:uid="{00000000-0005-0000-0000-0000C27D0000}"/>
    <cellStyle name="Note 16 6 2 2 2" xfId="11009" xr:uid="{00000000-0005-0000-0000-0000C37D0000}"/>
    <cellStyle name="Note 16 6 2 2 3" xfId="11010" xr:uid="{00000000-0005-0000-0000-0000C47D0000}"/>
    <cellStyle name="Note 16 6 2 2 4" xfId="11011" xr:uid="{00000000-0005-0000-0000-0000C57D0000}"/>
    <cellStyle name="Note 16 6 2 3" xfId="11012" xr:uid="{00000000-0005-0000-0000-0000C67D0000}"/>
    <cellStyle name="Note 16 6 2 4" xfId="11013" xr:uid="{00000000-0005-0000-0000-0000C77D0000}"/>
    <cellStyle name="Note 16 6 2 5" xfId="11014" xr:uid="{00000000-0005-0000-0000-0000C87D0000}"/>
    <cellStyle name="Note 16 6 2 6" xfId="16825" xr:uid="{00000000-0005-0000-0000-0000C97D0000}"/>
    <cellStyle name="Note 16 6 2 7" xfId="16334" xr:uid="{00000000-0005-0000-0000-0000CA7D0000}"/>
    <cellStyle name="Note 16 6 3" xfId="6227" xr:uid="{00000000-0005-0000-0000-0000CB7D0000}"/>
    <cellStyle name="Note 16 6 3 2" xfId="11015" xr:uid="{00000000-0005-0000-0000-0000CC7D0000}"/>
    <cellStyle name="Note 16 6 3 2 2" xfId="11016" xr:uid="{00000000-0005-0000-0000-0000CD7D0000}"/>
    <cellStyle name="Note 16 6 3 2 3" xfId="11017" xr:uid="{00000000-0005-0000-0000-0000CE7D0000}"/>
    <cellStyle name="Note 16 6 3 2 4" xfId="11018" xr:uid="{00000000-0005-0000-0000-0000CF7D0000}"/>
    <cellStyle name="Note 16 6 3 3" xfId="11019" xr:uid="{00000000-0005-0000-0000-0000D07D0000}"/>
    <cellStyle name="Note 16 6 3 4" xfId="11020" xr:uid="{00000000-0005-0000-0000-0000D17D0000}"/>
    <cellStyle name="Note 16 6 3 5" xfId="11021" xr:uid="{00000000-0005-0000-0000-0000D27D0000}"/>
    <cellStyle name="Note 16 6 3 6" xfId="16826" xr:uid="{00000000-0005-0000-0000-0000D37D0000}"/>
    <cellStyle name="Note 16 6 3 7" xfId="15459" xr:uid="{00000000-0005-0000-0000-0000D47D0000}"/>
    <cellStyle name="Note 16 6 4" xfId="11022" xr:uid="{00000000-0005-0000-0000-0000D57D0000}"/>
    <cellStyle name="Note 16 6 4 2" xfId="11023" xr:uid="{00000000-0005-0000-0000-0000D67D0000}"/>
    <cellStyle name="Note 16 6 4 3" xfId="11024" xr:uid="{00000000-0005-0000-0000-0000D77D0000}"/>
    <cellStyle name="Note 16 6 4 4" xfId="11025" xr:uid="{00000000-0005-0000-0000-0000D87D0000}"/>
    <cellStyle name="Note 16 6 5" xfId="11026" xr:uid="{00000000-0005-0000-0000-0000D97D0000}"/>
    <cellStyle name="Note 16 6 6" xfId="11027" xr:uid="{00000000-0005-0000-0000-0000DA7D0000}"/>
    <cellStyle name="Note 16 6 7" xfId="11028" xr:uid="{00000000-0005-0000-0000-0000DB7D0000}"/>
    <cellStyle name="Note 16 6 8" xfId="15904" xr:uid="{00000000-0005-0000-0000-0000DC7D0000}"/>
    <cellStyle name="Note 16 6 9" xfId="15770" xr:uid="{00000000-0005-0000-0000-0000DD7D0000}"/>
    <cellStyle name="Note 16 7" xfId="6228" xr:uid="{00000000-0005-0000-0000-0000DE7D0000}"/>
    <cellStyle name="Note 16 7 2" xfId="6229" xr:uid="{00000000-0005-0000-0000-0000DF7D0000}"/>
    <cellStyle name="Note 16 7 2 2" xfId="11029" xr:uid="{00000000-0005-0000-0000-0000E07D0000}"/>
    <cellStyle name="Note 16 7 2 2 2" xfId="11030" xr:uid="{00000000-0005-0000-0000-0000E17D0000}"/>
    <cellStyle name="Note 16 7 2 2 3" xfId="11031" xr:uid="{00000000-0005-0000-0000-0000E27D0000}"/>
    <cellStyle name="Note 16 7 2 2 4" xfId="11032" xr:uid="{00000000-0005-0000-0000-0000E37D0000}"/>
    <cellStyle name="Note 16 7 2 3" xfId="11033" xr:uid="{00000000-0005-0000-0000-0000E47D0000}"/>
    <cellStyle name="Note 16 7 2 4" xfId="11034" xr:uid="{00000000-0005-0000-0000-0000E57D0000}"/>
    <cellStyle name="Note 16 7 2 5" xfId="11035" xr:uid="{00000000-0005-0000-0000-0000E67D0000}"/>
    <cellStyle name="Note 16 7 2 6" xfId="16827" xr:uid="{00000000-0005-0000-0000-0000E77D0000}"/>
    <cellStyle name="Note 16 7 2 7" xfId="17765" xr:uid="{00000000-0005-0000-0000-0000E87D0000}"/>
    <cellStyle name="Note 16 7 3" xfId="6230" xr:uid="{00000000-0005-0000-0000-0000E97D0000}"/>
    <cellStyle name="Note 16 7 3 2" xfId="11036" xr:uid="{00000000-0005-0000-0000-0000EA7D0000}"/>
    <cellStyle name="Note 16 7 3 2 2" xfId="11037" xr:uid="{00000000-0005-0000-0000-0000EB7D0000}"/>
    <cellStyle name="Note 16 7 3 2 3" xfId="11038" xr:uid="{00000000-0005-0000-0000-0000EC7D0000}"/>
    <cellStyle name="Note 16 7 3 2 4" xfId="11039" xr:uid="{00000000-0005-0000-0000-0000ED7D0000}"/>
    <cellStyle name="Note 16 7 3 3" xfId="11040" xr:uid="{00000000-0005-0000-0000-0000EE7D0000}"/>
    <cellStyle name="Note 16 7 3 4" xfId="11041" xr:uid="{00000000-0005-0000-0000-0000EF7D0000}"/>
    <cellStyle name="Note 16 7 3 5" xfId="11042" xr:uid="{00000000-0005-0000-0000-0000F07D0000}"/>
    <cellStyle name="Note 16 7 3 6" xfId="16828" xr:uid="{00000000-0005-0000-0000-0000F17D0000}"/>
    <cellStyle name="Note 16 7 3 7" xfId="16333" xr:uid="{00000000-0005-0000-0000-0000F27D0000}"/>
    <cellStyle name="Note 16 7 4" xfId="11043" xr:uid="{00000000-0005-0000-0000-0000F37D0000}"/>
    <cellStyle name="Note 16 7 4 2" xfId="11044" xr:uid="{00000000-0005-0000-0000-0000F47D0000}"/>
    <cellStyle name="Note 16 7 4 3" xfId="11045" xr:uid="{00000000-0005-0000-0000-0000F57D0000}"/>
    <cellStyle name="Note 16 7 4 4" xfId="11046" xr:uid="{00000000-0005-0000-0000-0000F67D0000}"/>
    <cellStyle name="Note 16 7 5" xfId="11047" xr:uid="{00000000-0005-0000-0000-0000F77D0000}"/>
    <cellStyle name="Note 16 7 6" xfId="11048" xr:uid="{00000000-0005-0000-0000-0000F87D0000}"/>
    <cellStyle name="Note 16 7 7" xfId="11049" xr:uid="{00000000-0005-0000-0000-0000F97D0000}"/>
    <cellStyle name="Note 16 7 8" xfId="15905" xr:uid="{00000000-0005-0000-0000-0000FA7D0000}"/>
    <cellStyle name="Note 16 7 9" xfId="15769" xr:uid="{00000000-0005-0000-0000-0000FB7D0000}"/>
    <cellStyle name="Note 16 8" xfId="6231" xr:uid="{00000000-0005-0000-0000-0000FC7D0000}"/>
    <cellStyle name="Note 16 8 2" xfId="11050" xr:uid="{00000000-0005-0000-0000-0000FD7D0000}"/>
    <cellStyle name="Note 16 8 2 2" xfId="11051" xr:uid="{00000000-0005-0000-0000-0000FE7D0000}"/>
    <cellStyle name="Note 16 8 2 3" xfId="11052" xr:uid="{00000000-0005-0000-0000-0000FF7D0000}"/>
    <cellStyle name="Note 16 8 2 4" xfId="11053" xr:uid="{00000000-0005-0000-0000-0000007E0000}"/>
    <cellStyle name="Note 16 8 3" xfId="11054" xr:uid="{00000000-0005-0000-0000-0000017E0000}"/>
    <cellStyle name="Note 16 8 4" xfId="11055" xr:uid="{00000000-0005-0000-0000-0000027E0000}"/>
    <cellStyle name="Note 16 8 5" xfId="11056" xr:uid="{00000000-0005-0000-0000-0000037E0000}"/>
    <cellStyle name="Note 16 8 6" xfId="16829" xr:uid="{00000000-0005-0000-0000-0000047E0000}"/>
    <cellStyle name="Note 16 8 7" xfId="15458" xr:uid="{00000000-0005-0000-0000-0000057E0000}"/>
    <cellStyle name="Note 16 9" xfId="6232" xr:uid="{00000000-0005-0000-0000-0000067E0000}"/>
    <cellStyle name="Note 16 9 2" xfId="11057" xr:uid="{00000000-0005-0000-0000-0000077E0000}"/>
    <cellStyle name="Note 16 9 2 2" xfId="11058" xr:uid="{00000000-0005-0000-0000-0000087E0000}"/>
    <cellStyle name="Note 16 9 2 3" xfId="11059" xr:uid="{00000000-0005-0000-0000-0000097E0000}"/>
    <cellStyle name="Note 16 9 2 4" xfId="11060" xr:uid="{00000000-0005-0000-0000-00000A7E0000}"/>
    <cellStyle name="Note 16 9 3" xfId="11061" xr:uid="{00000000-0005-0000-0000-00000B7E0000}"/>
    <cellStyle name="Note 16 9 4" xfId="11062" xr:uid="{00000000-0005-0000-0000-00000C7E0000}"/>
    <cellStyle name="Note 16 9 5" xfId="11063" xr:uid="{00000000-0005-0000-0000-00000D7E0000}"/>
    <cellStyle name="Note 16 9 6" xfId="16830" xr:uid="{00000000-0005-0000-0000-00000E7E0000}"/>
    <cellStyle name="Note 16 9 7" xfId="17764" xr:uid="{00000000-0005-0000-0000-00000F7E0000}"/>
    <cellStyle name="Note 17" xfId="6233" xr:uid="{00000000-0005-0000-0000-0000107E0000}"/>
    <cellStyle name="Note 17 2" xfId="6234" xr:uid="{00000000-0005-0000-0000-0000117E0000}"/>
    <cellStyle name="Note 17 2 2" xfId="11064" xr:uid="{00000000-0005-0000-0000-0000127E0000}"/>
    <cellStyle name="Note 17 2 2 2" xfId="11065" xr:uid="{00000000-0005-0000-0000-0000137E0000}"/>
    <cellStyle name="Note 17 2 2 3" xfId="11066" xr:uid="{00000000-0005-0000-0000-0000147E0000}"/>
    <cellStyle name="Note 17 2 2 4" xfId="11067" xr:uid="{00000000-0005-0000-0000-0000157E0000}"/>
    <cellStyle name="Note 17 2 3" xfId="11068" xr:uid="{00000000-0005-0000-0000-0000167E0000}"/>
    <cellStyle name="Note 17 2 4" xfId="11069" xr:uid="{00000000-0005-0000-0000-0000177E0000}"/>
    <cellStyle name="Note 17 2 5" xfId="11070" xr:uid="{00000000-0005-0000-0000-0000187E0000}"/>
    <cellStyle name="Note 17 2 6" xfId="16831" xr:uid="{00000000-0005-0000-0000-0000197E0000}"/>
    <cellStyle name="Note 17 2 7" xfId="16332" xr:uid="{00000000-0005-0000-0000-00001A7E0000}"/>
    <cellStyle name="Note 17 3" xfId="6235" xr:uid="{00000000-0005-0000-0000-00001B7E0000}"/>
    <cellStyle name="Note 17 3 2" xfId="11071" xr:uid="{00000000-0005-0000-0000-00001C7E0000}"/>
    <cellStyle name="Note 17 3 2 2" xfId="11072" xr:uid="{00000000-0005-0000-0000-00001D7E0000}"/>
    <cellStyle name="Note 17 3 2 3" xfId="11073" xr:uid="{00000000-0005-0000-0000-00001E7E0000}"/>
    <cellStyle name="Note 17 3 2 4" xfId="11074" xr:uid="{00000000-0005-0000-0000-00001F7E0000}"/>
    <cellStyle name="Note 17 3 3" xfId="11075" xr:uid="{00000000-0005-0000-0000-0000207E0000}"/>
    <cellStyle name="Note 17 3 4" xfId="11076" xr:uid="{00000000-0005-0000-0000-0000217E0000}"/>
    <cellStyle name="Note 17 3 5" xfId="11077" xr:uid="{00000000-0005-0000-0000-0000227E0000}"/>
    <cellStyle name="Note 17 3 6" xfId="16832" xr:uid="{00000000-0005-0000-0000-0000237E0000}"/>
    <cellStyle name="Note 17 3 7" xfId="15457" xr:uid="{00000000-0005-0000-0000-0000247E0000}"/>
    <cellStyle name="Note 17 4" xfId="11078" xr:uid="{00000000-0005-0000-0000-0000257E0000}"/>
    <cellStyle name="Note 17 4 2" xfId="11079" xr:uid="{00000000-0005-0000-0000-0000267E0000}"/>
    <cellStyle name="Note 17 4 3" xfId="11080" xr:uid="{00000000-0005-0000-0000-0000277E0000}"/>
    <cellStyle name="Note 17 4 4" xfId="11081" xr:uid="{00000000-0005-0000-0000-0000287E0000}"/>
    <cellStyle name="Note 17 5" xfId="11082" xr:uid="{00000000-0005-0000-0000-0000297E0000}"/>
    <cellStyle name="Note 17 6" xfId="11083" xr:uid="{00000000-0005-0000-0000-00002A7E0000}"/>
    <cellStyle name="Note 17 7" xfId="11084" xr:uid="{00000000-0005-0000-0000-00002B7E0000}"/>
    <cellStyle name="Note 17 8" xfId="15906" xr:uid="{00000000-0005-0000-0000-00002C7E0000}"/>
    <cellStyle name="Note 17 9" xfId="15768" xr:uid="{00000000-0005-0000-0000-00002D7E0000}"/>
    <cellStyle name="Note 18" xfId="6236" xr:uid="{00000000-0005-0000-0000-00002E7E0000}"/>
    <cellStyle name="Note 18 2" xfId="6237" xr:uid="{00000000-0005-0000-0000-00002F7E0000}"/>
    <cellStyle name="Note 18 2 2" xfId="11085" xr:uid="{00000000-0005-0000-0000-0000307E0000}"/>
    <cellStyle name="Note 18 2 2 2" xfId="11086" xr:uid="{00000000-0005-0000-0000-0000317E0000}"/>
    <cellStyle name="Note 18 2 2 3" xfId="11087" xr:uid="{00000000-0005-0000-0000-0000327E0000}"/>
    <cellStyle name="Note 18 2 2 4" xfId="11088" xr:uid="{00000000-0005-0000-0000-0000337E0000}"/>
    <cellStyle name="Note 18 2 3" xfId="11089" xr:uid="{00000000-0005-0000-0000-0000347E0000}"/>
    <cellStyle name="Note 18 2 4" xfId="11090" xr:uid="{00000000-0005-0000-0000-0000357E0000}"/>
    <cellStyle name="Note 18 2 5" xfId="11091" xr:uid="{00000000-0005-0000-0000-0000367E0000}"/>
    <cellStyle name="Note 18 2 6" xfId="16833" xr:uid="{00000000-0005-0000-0000-0000377E0000}"/>
    <cellStyle name="Note 18 2 7" xfId="16126" xr:uid="{00000000-0005-0000-0000-0000387E0000}"/>
    <cellStyle name="Note 18 3" xfId="6238" xr:uid="{00000000-0005-0000-0000-0000397E0000}"/>
    <cellStyle name="Note 18 3 2" xfId="11092" xr:uid="{00000000-0005-0000-0000-00003A7E0000}"/>
    <cellStyle name="Note 18 3 2 2" xfId="11093" xr:uid="{00000000-0005-0000-0000-00003B7E0000}"/>
    <cellStyle name="Note 18 3 2 3" xfId="11094" xr:uid="{00000000-0005-0000-0000-00003C7E0000}"/>
    <cellStyle name="Note 18 3 2 4" xfId="11095" xr:uid="{00000000-0005-0000-0000-00003D7E0000}"/>
    <cellStyle name="Note 18 3 3" xfId="11096" xr:uid="{00000000-0005-0000-0000-00003E7E0000}"/>
    <cellStyle name="Note 18 3 4" xfId="11097" xr:uid="{00000000-0005-0000-0000-00003F7E0000}"/>
    <cellStyle name="Note 18 3 5" xfId="11098" xr:uid="{00000000-0005-0000-0000-0000407E0000}"/>
    <cellStyle name="Note 18 3 6" xfId="16834" xr:uid="{00000000-0005-0000-0000-0000417E0000}"/>
    <cellStyle name="Note 18 3 7" xfId="17763" xr:uid="{00000000-0005-0000-0000-0000427E0000}"/>
    <cellStyle name="Note 18 4" xfId="11099" xr:uid="{00000000-0005-0000-0000-0000437E0000}"/>
    <cellStyle name="Note 18 4 2" xfId="11100" xr:uid="{00000000-0005-0000-0000-0000447E0000}"/>
    <cellStyle name="Note 18 4 3" xfId="11101" xr:uid="{00000000-0005-0000-0000-0000457E0000}"/>
    <cellStyle name="Note 18 4 4" xfId="11102" xr:uid="{00000000-0005-0000-0000-0000467E0000}"/>
    <cellStyle name="Note 18 5" xfId="11103" xr:uid="{00000000-0005-0000-0000-0000477E0000}"/>
    <cellStyle name="Note 18 6" xfId="11104" xr:uid="{00000000-0005-0000-0000-0000487E0000}"/>
    <cellStyle name="Note 18 7" xfId="11105" xr:uid="{00000000-0005-0000-0000-0000497E0000}"/>
    <cellStyle name="Note 18 8" xfId="15907" xr:uid="{00000000-0005-0000-0000-00004A7E0000}"/>
    <cellStyle name="Note 18 9" xfId="15767" xr:uid="{00000000-0005-0000-0000-00004B7E0000}"/>
    <cellStyle name="Note 19" xfId="6239" xr:uid="{00000000-0005-0000-0000-00004C7E0000}"/>
    <cellStyle name="Note 19 2" xfId="6240" xr:uid="{00000000-0005-0000-0000-00004D7E0000}"/>
    <cellStyle name="Note 19 2 2" xfId="11106" xr:uid="{00000000-0005-0000-0000-00004E7E0000}"/>
    <cellStyle name="Note 19 2 2 2" xfId="11107" xr:uid="{00000000-0005-0000-0000-00004F7E0000}"/>
    <cellStyle name="Note 19 2 2 3" xfId="11108" xr:uid="{00000000-0005-0000-0000-0000507E0000}"/>
    <cellStyle name="Note 19 2 2 4" xfId="11109" xr:uid="{00000000-0005-0000-0000-0000517E0000}"/>
    <cellStyle name="Note 19 2 3" xfId="11110" xr:uid="{00000000-0005-0000-0000-0000527E0000}"/>
    <cellStyle name="Note 19 2 4" xfId="11111" xr:uid="{00000000-0005-0000-0000-0000537E0000}"/>
    <cellStyle name="Note 19 2 5" xfId="11112" xr:uid="{00000000-0005-0000-0000-0000547E0000}"/>
    <cellStyle name="Note 19 2 6" xfId="16835" xr:uid="{00000000-0005-0000-0000-0000557E0000}"/>
    <cellStyle name="Note 19 2 7" xfId="16331" xr:uid="{00000000-0005-0000-0000-0000567E0000}"/>
    <cellStyle name="Note 19 3" xfId="6241" xr:uid="{00000000-0005-0000-0000-0000577E0000}"/>
    <cellStyle name="Note 19 3 2" xfId="11113" xr:uid="{00000000-0005-0000-0000-0000587E0000}"/>
    <cellStyle name="Note 19 3 2 2" xfId="11114" xr:uid="{00000000-0005-0000-0000-0000597E0000}"/>
    <cellStyle name="Note 19 3 2 3" xfId="11115" xr:uid="{00000000-0005-0000-0000-00005A7E0000}"/>
    <cellStyle name="Note 19 3 2 4" xfId="11116" xr:uid="{00000000-0005-0000-0000-00005B7E0000}"/>
    <cellStyle name="Note 19 3 3" xfId="11117" xr:uid="{00000000-0005-0000-0000-00005C7E0000}"/>
    <cellStyle name="Note 19 3 4" xfId="11118" xr:uid="{00000000-0005-0000-0000-00005D7E0000}"/>
    <cellStyle name="Note 19 3 5" xfId="11119" xr:uid="{00000000-0005-0000-0000-00005E7E0000}"/>
    <cellStyle name="Note 19 3 6" xfId="16836" xr:uid="{00000000-0005-0000-0000-00005F7E0000}"/>
    <cellStyle name="Note 19 3 7" xfId="15455" xr:uid="{00000000-0005-0000-0000-0000607E0000}"/>
    <cellStyle name="Note 19 4" xfId="11120" xr:uid="{00000000-0005-0000-0000-0000617E0000}"/>
    <cellStyle name="Note 19 4 2" xfId="11121" xr:uid="{00000000-0005-0000-0000-0000627E0000}"/>
    <cellStyle name="Note 19 4 3" xfId="11122" xr:uid="{00000000-0005-0000-0000-0000637E0000}"/>
    <cellStyle name="Note 19 4 4" xfId="11123" xr:uid="{00000000-0005-0000-0000-0000647E0000}"/>
    <cellStyle name="Note 19 5" xfId="11124" xr:uid="{00000000-0005-0000-0000-0000657E0000}"/>
    <cellStyle name="Note 19 6" xfId="11125" xr:uid="{00000000-0005-0000-0000-0000667E0000}"/>
    <cellStyle name="Note 19 7" xfId="11126" xr:uid="{00000000-0005-0000-0000-0000677E0000}"/>
    <cellStyle name="Note 19 8" xfId="15908" xr:uid="{00000000-0005-0000-0000-0000687E0000}"/>
    <cellStyle name="Note 19 9" xfId="15766" xr:uid="{00000000-0005-0000-0000-0000697E0000}"/>
    <cellStyle name="Note 2" xfId="6242" xr:uid="{00000000-0005-0000-0000-00006A7E0000}"/>
    <cellStyle name="Note 2 10" xfId="6243" xr:uid="{00000000-0005-0000-0000-00006B7E0000}"/>
    <cellStyle name="Note 2 10 10" xfId="36096" xr:uid="{00000000-0005-0000-0000-00006C7E0000}"/>
    <cellStyle name="Note 2 10 2" xfId="6244" xr:uid="{00000000-0005-0000-0000-00006D7E0000}"/>
    <cellStyle name="Note 2 10 2 2" xfId="6245" xr:uid="{00000000-0005-0000-0000-00006E7E0000}"/>
    <cellStyle name="Note 2 10 2 2 2" xfId="11127" xr:uid="{00000000-0005-0000-0000-00006F7E0000}"/>
    <cellStyle name="Note 2 10 2 2 3" xfId="11128" xr:uid="{00000000-0005-0000-0000-0000707E0000}"/>
    <cellStyle name="Note 2 10 2 2 4" xfId="11129" xr:uid="{00000000-0005-0000-0000-0000717E0000}"/>
    <cellStyle name="Note 2 10 2 2 5" xfId="16837" xr:uid="{00000000-0005-0000-0000-0000727E0000}"/>
    <cellStyle name="Note 2 10 2 2 6" xfId="17762" xr:uid="{00000000-0005-0000-0000-0000737E0000}"/>
    <cellStyle name="Note 2 10 2 3" xfId="6246" xr:uid="{00000000-0005-0000-0000-0000747E0000}"/>
    <cellStyle name="Note 2 10 2 3 2" xfId="11130" xr:uid="{00000000-0005-0000-0000-0000757E0000}"/>
    <cellStyle name="Note 2 10 2 3 3" xfId="11131" xr:uid="{00000000-0005-0000-0000-0000767E0000}"/>
    <cellStyle name="Note 2 10 2 3 4" xfId="11132" xr:uid="{00000000-0005-0000-0000-0000777E0000}"/>
    <cellStyle name="Note 2 10 2 3 5" xfId="16838" xr:uid="{00000000-0005-0000-0000-0000787E0000}"/>
    <cellStyle name="Note 2 10 2 3 6" xfId="16330" xr:uid="{00000000-0005-0000-0000-0000797E0000}"/>
    <cellStyle name="Note 2 10 2 4" xfId="11133" xr:uid="{00000000-0005-0000-0000-00007A7E0000}"/>
    <cellStyle name="Note 2 10 2 5" xfId="11134" xr:uid="{00000000-0005-0000-0000-00007B7E0000}"/>
    <cellStyle name="Note 2 10 2 6" xfId="11135" xr:uid="{00000000-0005-0000-0000-00007C7E0000}"/>
    <cellStyle name="Note 2 10 2 7" xfId="16523" xr:uid="{00000000-0005-0000-0000-00007D7E0000}"/>
    <cellStyle name="Note 2 10 2 8" xfId="15620" xr:uid="{00000000-0005-0000-0000-00007E7E0000}"/>
    <cellStyle name="Note 2 10 2 9" xfId="42672" xr:uid="{00000000-0005-0000-0000-00007F7E0000}"/>
    <cellStyle name="Note 2 10 3" xfId="6247" xr:uid="{00000000-0005-0000-0000-0000807E0000}"/>
    <cellStyle name="Note 2 10 3 2" xfId="11136" xr:uid="{00000000-0005-0000-0000-0000817E0000}"/>
    <cellStyle name="Note 2 10 3 3" xfId="11137" xr:uid="{00000000-0005-0000-0000-0000827E0000}"/>
    <cellStyle name="Note 2 10 3 4" xfId="11138" xr:uid="{00000000-0005-0000-0000-0000837E0000}"/>
    <cellStyle name="Note 2 10 3 5" xfId="16839" xr:uid="{00000000-0005-0000-0000-0000847E0000}"/>
    <cellStyle name="Note 2 10 3 6" xfId="15454" xr:uid="{00000000-0005-0000-0000-0000857E0000}"/>
    <cellStyle name="Note 2 10 4" xfId="6248" xr:uid="{00000000-0005-0000-0000-0000867E0000}"/>
    <cellStyle name="Note 2 10 4 2" xfId="11139" xr:uid="{00000000-0005-0000-0000-0000877E0000}"/>
    <cellStyle name="Note 2 10 4 3" xfId="11140" xr:uid="{00000000-0005-0000-0000-0000887E0000}"/>
    <cellStyle name="Note 2 10 4 4" xfId="11141" xr:uid="{00000000-0005-0000-0000-0000897E0000}"/>
    <cellStyle name="Note 2 10 4 5" xfId="16840" xr:uid="{00000000-0005-0000-0000-00008A7E0000}"/>
    <cellStyle name="Note 2 10 4 6" xfId="16148" xr:uid="{00000000-0005-0000-0000-00008B7E0000}"/>
    <cellStyle name="Note 2 10 5" xfId="11142" xr:uid="{00000000-0005-0000-0000-00008C7E0000}"/>
    <cellStyle name="Note 2 10 6" xfId="11143" xr:uid="{00000000-0005-0000-0000-00008D7E0000}"/>
    <cellStyle name="Note 2 10 7" xfId="11144" xr:uid="{00000000-0005-0000-0000-00008E7E0000}"/>
    <cellStyle name="Note 2 10 8" xfId="15910" xr:uid="{00000000-0005-0000-0000-00008F7E0000}"/>
    <cellStyle name="Note 2 10 9" xfId="15764" xr:uid="{00000000-0005-0000-0000-0000907E0000}"/>
    <cellStyle name="Note 2 11" xfId="6249" xr:uid="{00000000-0005-0000-0000-0000917E0000}"/>
    <cellStyle name="Note 2 11 10" xfId="6250" xr:uid="{00000000-0005-0000-0000-0000927E0000}"/>
    <cellStyle name="Note 2 11 10 2" xfId="11145" xr:uid="{00000000-0005-0000-0000-0000937E0000}"/>
    <cellStyle name="Note 2 11 10 3" xfId="11146" xr:uid="{00000000-0005-0000-0000-0000947E0000}"/>
    <cellStyle name="Note 2 11 10 4" xfId="11147" xr:uid="{00000000-0005-0000-0000-0000957E0000}"/>
    <cellStyle name="Note 2 11 10 5" xfId="16841" xr:uid="{00000000-0005-0000-0000-0000967E0000}"/>
    <cellStyle name="Note 2 11 10 6" xfId="17761" xr:uid="{00000000-0005-0000-0000-0000977E0000}"/>
    <cellStyle name="Note 2 11 11" xfId="11148" xr:uid="{00000000-0005-0000-0000-0000987E0000}"/>
    <cellStyle name="Note 2 11 12" xfId="11149" xr:uid="{00000000-0005-0000-0000-0000997E0000}"/>
    <cellStyle name="Note 2 11 13" xfId="11150" xr:uid="{00000000-0005-0000-0000-00009A7E0000}"/>
    <cellStyle name="Note 2 11 14" xfId="15911" xr:uid="{00000000-0005-0000-0000-00009B7E0000}"/>
    <cellStyle name="Note 2 11 15" xfId="15763" xr:uid="{00000000-0005-0000-0000-00009C7E0000}"/>
    <cellStyle name="Note 2 11 16" xfId="36097" xr:uid="{00000000-0005-0000-0000-00009D7E0000}"/>
    <cellStyle name="Note 2 11 2" xfId="6251" xr:uid="{00000000-0005-0000-0000-00009E7E0000}"/>
    <cellStyle name="Note 2 11 2 10" xfId="11151" xr:uid="{00000000-0005-0000-0000-00009F7E0000}"/>
    <cellStyle name="Note 2 11 2 10 2" xfId="11152" xr:uid="{00000000-0005-0000-0000-0000A07E0000}"/>
    <cellStyle name="Note 2 11 2 10 3" xfId="11153" xr:uid="{00000000-0005-0000-0000-0000A17E0000}"/>
    <cellStyle name="Note 2 11 2 10 4" xfId="11154" xr:uid="{00000000-0005-0000-0000-0000A27E0000}"/>
    <cellStyle name="Note 2 11 2 11" xfId="11155" xr:uid="{00000000-0005-0000-0000-0000A37E0000}"/>
    <cellStyle name="Note 2 11 2 12" xfId="11156" xr:uid="{00000000-0005-0000-0000-0000A47E0000}"/>
    <cellStyle name="Note 2 11 2 13" xfId="11157" xr:uid="{00000000-0005-0000-0000-0000A57E0000}"/>
    <cellStyle name="Note 2 11 2 14" xfId="15912" xr:uid="{00000000-0005-0000-0000-0000A67E0000}"/>
    <cellStyle name="Note 2 11 2 15" xfId="15762" xr:uid="{00000000-0005-0000-0000-0000A77E0000}"/>
    <cellStyle name="Note 2 11 2 16" xfId="42673" xr:uid="{00000000-0005-0000-0000-0000A87E0000}"/>
    <cellStyle name="Note 2 11 2 2" xfId="6252" xr:uid="{00000000-0005-0000-0000-0000A97E0000}"/>
    <cellStyle name="Note 2 11 2 2 2" xfId="6253" xr:uid="{00000000-0005-0000-0000-0000AA7E0000}"/>
    <cellStyle name="Note 2 11 2 2 2 2" xfId="6254" xr:uid="{00000000-0005-0000-0000-0000AB7E0000}"/>
    <cellStyle name="Note 2 11 2 2 2 2 2" xfId="11158" xr:uid="{00000000-0005-0000-0000-0000AC7E0000}"/>
    <cellStyle name="Note 2 11 2 2 2 2 3" xfId="11159" xr:uid="{00000000-0005-0000-0000-0000AD7E0000}"/>
    <cellStyle name="Note 2 11 2 2 2 2 4" xfId="11160" xr:uid="{00000000-0005-0000-0000-0000AE7E0000}"/>
    <cellStyle name="Note 2 11 2 2 2 2 5" xfId="16842" xr:uid="{00000000-0005-0000-0000-0000AF7E0000}"/>
    <cellStyle name="Note 2 11 2 2 2 2 6" xfId="16329" xr:uid="{00000000-0005-0000-0000-0000B07E0000}"/>
    <cellStyle name="Note 2 11 2 2 2 3" xfId="6255" xr:uid="{00000000-0005-0000-0000-0000B17E0000}"/>
    <cellStyle name="Note 2 11 2 2 2 3 2" xfId="11161" xr:uid="{00000000-0005-0000-0000-0000B27E0000}"/>
    <cellStyle name="Note 2 11 2 2 2 3 3" xfId="11162" xr:uid="{00000000-0005-0000-0000-0000B37E0000}"/>
    <cellStyle name="Note 2 11 2 2 2 3 4" xfId="11163" xr:uid="{00000000-0005-0000-0000-0000B47E0000}"/>
    <cellStyle name="Note 2 11 2 2 2 3 5" xfId="16843" xr:uid="{00000000-0005-0000-0000-0000B57E0000}"/>
    <cellStyle name="Note 2 11 2 2 2 3 6" xfId="15453" xr:uid="{00000000-0005-0000-0000-0000B67E0000}"/>
    <cellStyle name="Note 2 11 2 2 2 4" xfId="11164" xr:uid="{00000000-0005-0000-0000-0000B77E0000}"/>
    <cellStyle name="Note 2 11 2 2 2 5" xfId="11165" xr:uid="{00000000-0005-0000-0000-0000B87E0000}"/>
    <cellStyle name="Note 2 11 2 2 2 6" xfId="11166" xr:uid="{00000000-0005-0000-0000-0000B97E0000}"/>
    <cellStyle name="Note 2 11 2 2 2 7" xfId="16525" xr:uid="{00000000-0005-0000-0000-0000BA7E0000}"/>
    <cellStyle name="Note 2 11 2 2 2 8" xfId="16490" xr:uid="{00000000-0005-0000-0000-0000BB7E0000}"/>
    <cellStyle name="Note 2 11 2 2 3" xfId="6256" xr:uid="{00000000-0005-0000-0000-0000BC7E0000}"/>
    <cellStyle name="Note 2 11 2 2 3 2" xfId="11167" xr:uid="{00000000-0005-0000-0000-0000BD7E0000}"/>
    <cellStyle name="Note 2 11 2 2 3 3" xfId="11168" xr:uid="{00000000-0005-0000-0000-0000BE7E0000}"/>
    <cellStyle name="Note 2 11 2 2 3 4" xfId="11169" xr:uid="{00000000-0005-0000-0000-0000BF7E0000}"/>
    <cellStyle name="Note 2 11 2 2 3 5" xfId="16844" xr:uid="{00000000-0005-0000-0000-0000C07E0000}"/>
    <cellStyle name="Note 2 11 2 2 3 6" xfId="17760" xr:uid="{00000000-0005-0000-0000-0000C17E0000}"/>
    <cellStyle name="Note 2 11 2 2 4" xfId="6257" xr:uid="{00000000-0005-0000-0000-0000C27E0000}"/>
    <cellStyle name="Note 2 11 2 2 4 2" xfId="11170" xr:uid="{00000000-0005-0000-0000-0000C37E0000}"/>
    <cellStyle name="Note 2 11 2 2 4 3" xfId="11171" xr:uid="{00000000-0005-0000-0000-0000C47E0000}"/>
    <cellStyle name="Note 2 11 2 2 4 4" xfId="11172" xr:uid="{00000000-0005-0000-0000-0000C57E0000}"/>
    <cellStyle name="Note 2 11 2 2 4 5" xfId="16845" xr:uid="{00000000-0005-0000-0000-0000C67E0000}"/>
    <cellStyle name="Note 2 11 2 2 4 6" xfId="16328" xr:uid="{00000000-0005-0000-0000-0000C77E0000}"/>
    <cellStyle name="Note 2 11 2 2 5" xfId="11173" xr:uid="{00000000-0005-0000-0000-0000C87E0000}"/>
    <cellStyle name="Note 2 11 2 2 6" xfId="11174" xr:uid="{00000000-0005-0000-0000-0000C97E0000}"/>
    <cellStyle name="Note 2 11 2 2 7" xfId="11175" xr:uid="{00000000-0005-0000-0000-0000CA7E0000}"/>
    <cellStyle name="Note 2 11 2 2 8" xfId="15913" xr:uid="{00000000-0005-0000-0000-0000CB7E0000}"/>
    <cellStyle name="Note 2 11 2 2 9" xfId="15761" xr:uid="{00000000-0005-0000-0000-0000CC7E0000}"/>
    <cellStyle name="Note 2 11 2 3" xfId="6258" xr:uid="{00000000-0005-0000-0000-0000CD7E0000}"/>
    <cellStyle name="Note 2 11 2 3 2" xfId="6259" xr:uid="{00000000-0005-0000-0000-0000CE7E0000}"/>
    <cellStyle name="Note 2 11 2 3 2 2" xfId="6260" xr:uid="{00000000-0005-0000-0000-0000CF7E0000}"/>
    <cellStyle name="Note 2 11 2 3 2 2 2" xfId="11176" xr:uid="{00000000-0005-0000-0000-0000D07E0000}"/>
    <cellStyle name="Note 2 11 2 3 2 2 3" xfId="11177" xr:uid="{00000000-0005-0000-0000-0000D17E0000}"/>
    <cellStyle name="Note 2 11 2 3 2 2 4" xfId="11178" xr:uid="{00000000-0005-0000-0000-0000D27E0000}"/>
    <cellStyle name="Note 2 11 2 3 2 2 5" xfId="16846" xr:uid="{00000000-0005-0000-0000-0000D37E0000}"/>
    <cellStyle name="Note 2 11 2 3 2 2 6" xfId="15452" xr:uid="{00000000-0005-0000-0000-0000D47E0000}"/>
    <cellStyle name="Note 2 11 2 3 2 3" xfId="6261" xr:uid="{00000000-0005-0000-0000-0000D57E0000}"/>
    <cellStyle name="Note 2 11 2 3 2 3 2" xfId="11179" xr:uid="{00000000-0005-0000-0000-0000D67E0000}"/>
    <cellStyle name="Note 2 11 2 3 2 3 3" xfId="11180" xr:uid="{00000000-0005-0000-0000-0000D77E0000}"/>
    <cellStyle name="Note 2 11 2 3 2 3 4" xfId="11181" xr:uid="{00000000-0005-0000-0000-0000D87E0000}"/>
    <cellStyle name="Note 2 11 2 3 2 3 5" xfId="16847" xr:uid="{00000000-0005-0000-0000-0000D97E0000}"/>
    <cellStyle name="Note 2 11 2 3 2 3 6" xfId="16141" xr:uid="{00000000-0005-0000-0000-0000DA7E0000}"/>
    <cellStyle name="Note 2 11 2 3 2 4" xfId="11182" xr:uid="{00000000-0005-0000-0000-0000DB7E0000}"/>
    <cellStyle name="Note 2 11 2 3 2 5" xfId="11183" xr:uid="{00000000-0005-0000-0000-0000DC7E0000}"/>
    <cellStyle name="Note 2 11 2 3 2 6" xfId="11184" xr:uid="{00000000-0005-0000-0000-0000DD7E0000}"/>
    <cellStyle name="Note 2 11 2 3 2 7" xfId="16526" xr:uid="{00000000-0005-0000-0000-0000DE7E0000}"/>
    <cellStyle name="Note 2 11 2 3 2 8" xfId="15619" xr:uid="{00000000-0005-0000-0000-0000DF7E0000}"/>
    <cellStyle name="Note 2 11 2 3 3" xfId="6262" xr:uid="{00000000-0005-0000-0000-0000E07E0000}"/>
    <cellStyle name="Note 2 11 2 3 3 2" xfId="11185" xr:uid="{00000000-0005-0000-0000-0000E17E0000}"/>
    <cellStyle name="Note 2 11 2 3 3 3" xfId="11186" xr:uid="{00000000-0005-0000-0000-0000E27E0000}"/>
    <cellStyle name="Note 2 11 2 3 3 4" xfId="11187" xr:uid="{00000000-0005-0000-0000-0000E37E0000}"/>
    <cellStyle name="Note 2 11 2 3 3 5" xfId="16848" xr:uid="{00000000-0005-0000-0000-0000E47E0000}"/>
    <cellStyle name="Note 2 11 2 3 3 6" xfId="17759" xr:uid="{00000000-0005-0000-0000-0000E57E0000}"/>
    <cellStyle name="Note 2 11 2 3 4" xfId="6263" xr:uid="{00000000-0005-0000-0000-0000E67E0000}"/>
    <cellStyle name="Note 2 11 2 3 4 2" xfId="11188" xr:uid="{00000000-0005-0000-0000-0000E77E0000}"/>
    <cellStyle name="Note 2 11 2 3 4 3" xfId="11189" xr:uid="{00000000-0005-0000-0000-0000E87E0000}"/>
    <cellStyle name="Note 2 11 2 3 4 4" xfId="11190" xr:uid="{00000000-0005-0000-0000-0000E97E0000}"/>
    <cellStyle name="Note 2 11 2 3 4 5" xfId="16849" xr:uid="{00000000-0005-0000-0000-0000EA7E0000}"/>
    <cellStyle name="Note 2 11 2 3 4 6" xfId="16327" xr:uid="{00000000-0005-0000-0000-0000EB7E0000}"/>
    <cellStyle name="Note 2 11 2 3 5" xfId="11191" xr:uid="{00000000-0005-0000-0000-0000EC7E0000}"/>
    <cellStyle name="Note 2 11 2 3 6" xfId="11192" xr:uid="{00000000-0005-0000-0000-0000ED7E0000}"/>
    <cellStyle name="Note 2 11 2 3 7" xfId="11193" xr:uid="{00000000-0005-0000-0000-0000EE7E0000}"/>
    <cellStyle name="Note 2 11 2 3 8" xfId="15914" xr:uid="{00000000-0005-0000-0000-0000EF7E0000}"/>
    <cellStyle name="Note 2 11 2 3 9" xfId="15760" xr:uid="{00000000-0005-0000-0000-0000F07E0000}"/>
    <cellStyle name="Note 2 11 2 4" xfId="6264" xr:uid="{00000000-0005-0000-0000-0000F17E0000}"/>
    <cellStyle name="Note 2 11 2 4 2" xfId="6265" xr:uid="{00000000-0005-0000-0000-0000F27E0000}"/>
    <cellStyle name="Note 2 11 2 4 2 2" xfId="6266" xr:uid="{00000000-0005-0000-0000-0000F37E0000}"/>
    <cellStyle name="Note 2 11 2 4 2 2 2" xfId="11194" xr:uid="{00000000-0005-0000-0000-0000F47E0000}"/>
    <cellStyle name="Note 2 11 2 4 2 2 3" xfId="11195" xr:uid="{00000000-0005-0000-0000-0000F57E0000}"/>
    <cellStyle name="Note 2 11 2 4 2 2 4" xfId="11196" xr:uid="{00000000-0005-0000-0000-0000F67E0000}"/>
    <cellStyle name="Note 2 11 2 4 2 2 5" xfId="16850" xr:uid="{00000000-0005-0000-0000-0000F77E0000}"/>
    <cellStyle name="Note 2 11 2 4 2 2 6" xfId="15451" xr:uid="{00000000-0005-0000-0000-0000F87E0000}"/>
    <cellStyle name="Note 2 11 2 4 2 3" xfId="6267" xr:uid="{00000000-0005-0000-0000-0000F97E0000}"/>
    <cellStyle name="Note 2 11 2 4 2 3 2" xfId="11197" xr:uid="{00000000-0005-0000-0000-0000FA7E0000}"/>
    <cellStyle name="Note 2 11 2 4 2 3 3" xfId="11198" xr:uid="{00000000-0005-0000-0000-0000FB7E0000}"/>
    <cellStyle name="Note 2 11 2 4 2 3 4" xfId="11199" xr:uid="{00000000-0005-0000-0000-0000FC7E0000}"/>
    <cellStyle name="Note 2 11 2 4 2 3 5" xfId="16851" xr:uid="{00000000-0005-0000-0000-0000FD7E0000}"/>
    <cellStyle name="Note 2 11 2 4 2 3 6" xfId="17758" xr:uid="{00000000-0005-0000-0000-0000FE7E0000}"/>
    <cellStyle name="Note 2 11 2 4 2 4" xfId="11200" xr:uid="{00000000-0005-0000-0000-0000FF7E0000}"/>
    <cellStyle name="Note 2 11 2 4 2 5" xfId="11201" xr:uid="{00000000-0005-0000-0000-0000007F0000}"/>
    <cellStyle name="Note 2 11 2 4 2 6" xfId="11202" xr:uid="{00000000-0005-0000-0000-0000017F0000}"/>
    <cellStyle name="Note 2 11 2 4 2 7" xfId="16527" xr:uid="{00000000-0005-0000-0000-0000027F0000}"/>
    <cellStyle name="Note 2 11 2 4 2 8" xfId="18091" xr:uid="{00000000-0005-0000-0000-0000037F0000}"/>
    <cellStyle name="Note 2 11 2 4 3" xfId="6268" xr:uid="{00000000-0005-0000-0000-0000047F0000}"/>
    <cellStyle name="Note 2 11 2 4 3 2" xfId="11203" xr:uid="{00000000-0005-0000-0000-0000057F0000}"/>
    <cellStyle name="Note 2 11 2 4 3 3" xfId="11204" xr:uid="{00000000-0005-0000-0000-0000067F0000}"/>
    <cellStyle name="Note 2 11 2 4 3 4" xfId="11205" xr:uid="{00000000-0005-0000-0000-0000077F0000}"/>
    <cellStyle name="Note 2 11 2 4 3 5" xfId="16852" xr:uid="{00000000-0005-0000-0000-0000087F0000}"/>
    <cellStyle name="Note 2 11 2 4 3 6" xfId="16326" xr:uid="{00000000-0005-0000-0000-0000097F0000}"/>
    <cellStyle name="Note 2 11 2 4 4" xfId="6269" xr:uid="{00000000-0005-0000-0000-00000A7F0000}"/>
    <cellStyle name="Note 2 11 2 4 4 2" xfId="11206" xr:uid="{00000000-0005-0000-0000-00000B7F0000}"/>
    <cellStyle name="Note 2 11 2 4 4 3" xfId="11207" xr:uid="{00000000-0005-0000-0000-00000C7F0000}"/>
    <cellStyle name="Note 2 11 2 4 4 4" xfId="11208" xr:uid="{00000000-0005-0000-0000-00000D7F0000}"/>
    <cellStyle name="Note 2 11 2 4 4 5" xfId="16853" xr:uid="{00000000-0005-0000-0000-00000E7F0000}"/>
    <cellStyle name="Note 2 11 2 4 4 6" xfId="15450" xr:uid="{00000000-0005-0000-0000-00000F7F0000}"/>
    <cellStyle name="Note 2 11 2 4 5" xfId="11209" xr:uid="{00000000-0005-0000-0000-0000107F0000}"/>
    <cellStyle name="Note 2 11 2 4 6" xfId="11210" xr:uid="{00000000-0005-0000-0000-0000117F0000}"/>
    <cellStyle name="Note 2 11 2 4 7" xfId="11211" xr:uid="{00000000-0005-0000-0000-0000127F0000}"/>
    <cellStyle name="Note 2 11 2 4 8" xfId="15915" xr:uid="{00000000-0005-0000-0000-0000137F0000}"/>
    <cellStyle name="Note 2 11 2 4 9" xfId="15759" xr:uid="{00000000-0005-0000-0000-0000147F0000}"/>
    <cellStyle name="Note 2 11 2 5" xfId="6270" xr:uid="{00000000-0005-0000-0000-0000157F0000}"/>
    <cellStyle name="Note 2 11 2 5 2" xfId="6271" xr:uid="{00000000-0005-0000-0000-0000167F0000}"/>
    <cellStyle name="Note 2 11 2 5 2 2" xfId="6272" xr:uid="{00000000-0005-0000-0000-0000177F0000}"/>
    <cellStyle name="Note 2 11 2 5 2 2 2" xfId="11212" xr:uid="{00000000-0005-0000-0000-0000187F0000}"/>
    <cellStyle name="Note 2 11 2 5 2 2 3" xfId="11213" xr:uid="{00000000-0005-0000-0000-0000197F0000}"/>
    <cellStyle name="Note 2 11 2 5 2 2 4" xfId="11214" xr:uid="{00000000-0005-0000-0000-00001A7F0000}"/>
    <cellStyle name="Note 2 11 2 5 2 2 5" xfId="16854" xr:uid="{00000000-0005-0000-0000-00001B7F0000}"/>
    <cellStyle name="Note 2 11 2 5 2 2 6" xfId="16149" xr:uid="{00000000-0005-0000-0000-00001C7F0000}"/>
    <cellStyle name="Note 2 11 2 5 2 3" xfId="6273" xr:uid="{00000000-0005-0000-0000-00001D7F0000}"/>
    <cellStyle name="Note 2 11 2 5 2 3 2" xfId="11215" xr:uid="{00000000-0005-0000-0000-00001E7F0000}"/>
    <cellStyle name="Note 2 11 2 5 2 3 3" xfId="11216" xr:uid="{00000000-0005-0000-0000-00001F7F0000}"/>
    <cellStyle name="Note 2 11 2 5 2 3 4" xfId="11217" xr:uid="{00000000-0005-0000-0000-0000207F0000}"/>
    <cellStyle name="Note 2 11 2 5 2 3 5" xfId="16855" xr:uid="{00000000-0005-0000-0000-0000217F0000}"/>
    <cellStyle name="Note 2 11 2 5 2 3 6" xfId="17757" xr:uid="{00000000-0005-0000-0000-0000227F0000}"/>
    <cellStyle name="Note 2 11 2 5 2 4" xfId="11218" xr:uid="{00000000-0005-0000-0000-0000237F0000}"/>
    <cellStyle name="Note 2 11 2 5 2 5" xfId="11219" xr:uid="{00000000-0005-0000-0000-0000247F0000}"/>
    <cellStyle name="Note 2 11 2 5 2 6" xfId="11220" xr:uid="{00000000-0005-0000-0000-0000257F0000}"/>
    <cellStyle name="Note 2 11 2 5 2 7" xfId="16528" xr:uid="{00000000-0005-0000-0000-0000267F0000}"/>
    <cellStyle name="Note 2 11 2 5 2 8" xfId="17920" xr:uid="{00000000-0005-0000-0000-0000277F0000}"/>
    <cellStyle name="Note 2 11 2 5 3" xfId="6274" xr:uid="{00000000-0005-0000-0000-0000287F0000}"/>
    <cellStyle name="Note 2 11 2 5 3 2" xfId="11221" xr:uid="{00000000-0005-0000-0000-0000297F0000}"/>
    <cellStyle name="Note 2 11 2 5 3 3" xfId="11222" xr:uid="{00000000-0005-0000-0000-00002A7F0000}"/>
    <cellStyle name="Note 2 11 2 5 3 4" xfId="11223" xr:uid="{00000000-0005-0000-0000-00002B7F0000}"/>
    <cellStyle name="Note 2 11 2 5 3 5" xfId="16856" xr:uid="{00000000-0005-0000-0000-00002C7F0000}"/>
    <cellStyle name="Note 2 11 2 5 3 6" xfId="16325" xr:uid="{00000000-0005-0000-0000-00002D7F0000}"/>
    <cellStyle name="Note 2 11 2 5 4" xfId="6275" xr:uid="{00000000-0005-0000-0000-00002E7F0000}"/>
    <cellStyle name="Note 2 11 2 5 4 2" xfId="11224" xr:uid="{00000000-0005-0000-0000-00002F7F0000}"/>
    <cellStyle name="Note 2 11 2 5 4 3" xfId="11225" xr:uid="{00000000-0005-0000-0000-0000307F0000}"/>
    <cellStyle name="Note 2 11 2 5 4 4" xfId="11226" xr:uid="{00000000-0005-0000-0000-0000317F0000}"/>
    <cellStyle name="Note 2 11 2 5 4 5" xfId="16857" xr:uid="{00000000-0005-0000-0000-0000327F0000}"/>
    <cellStyle name="Note 2 11 2 5 4 6" xfId="15449" xr:uid="{00000000-0005-0000-0000-0000337F0000}"/>
    <cellStyle name="Note 2 11 2 5 5" xfId="11227" xr:uid="{00000000-0005-0000-0000-0000347F0000}"/>
    <cellStyle name="Note 2 11 2 5 6" xfId="11228" xr:uid="{00000000-0005-0000-0000-0000357F0000}"/>
    <cellStyle name="Note 2 11 2 5 7" xfId="11229" xr:uid="{00000000-0005-0000-0000-0000367F0000}"/>
    <cellStyle name="Note 2 11 2 5 8" xfId="15916" xr:uid="{00000000-0005-0000-0000-0000377F0000}"/>
    <cellStyle name="Note 2 11 2 5 9" xfId="15758" xr:uid="{00000000-0005-0000-0000-0000387F0000}"/>
    <cellStyle name="Note 2 11 2 6" xfId="6276" xr:uid="{00000000-0005-0000-0000-0000397F0000}"/>
    <cellStyle name="Note 2 11 2 6 2" xfId="6277" xr:uid="{00000000-0005-0000-0000-00003A7F0000}"/>
    <cellStyle name="Note 2 11 2 6 2 2" xfId="6278" xr:uid="{00000000-0005-0000-0000-00003B7F0000}"/>
    <cellStyle name="Note 2 11 2 6 2 2 2" xfId="11230" xr:uid="{00000000-0005-0000-0000-00003C7F0000}"/>
    <cellStyle name="Note 2 11 2 6 2 2 3" xfId="11231" xr:uid="{00000000-0005-0000-0000-00003D7F0000}"/>
    <cellStyle name="Note 2 11 2 6 2 2 4" xfId="11232" xr:uid="{00000000-0005-0000-0000-00003E7F0000}"/>
    <cellStyle name="Note 2 11 2 6 2 2 5" xfId="16858" xr:uid="{00000000-0005-0000-0000-00003F7F0000}"/>
    <cellStyle name="Note 2 11 2 6 2 2 6" xfId="17756" xr:uid="{00000000-0005-0000-0000-0000407F0000}"/>
    <cellStyle name="Note 2 11 2 6 2 3" xfId="6279" xr:uid="{00000000-0005-0000-0000-0000417F0000}"/>
    <cellStyle name="Note 2 11 2 6 2 3 2" xfId="11233" xr:uid="{00000000-0005-0000-0000-0000427F0000}"/>
    <cellStyle name="Note 2 11 2 6 2 3 3" xfId="11234" xr:uid="{00000000-0005-0000-0000-0000437F0000}"/>
    <cellStyle name="Note 2 11 2 6 2 3 4" xfId="11235" xr:uid="{00000000-0005-0000-0000-0000447F0000}"/>
    <cellStyle name="Note 2 11 2 6 2 3 5" xfId="16859" xr:uid="{00000000-0005-0000-0000-0000457F0000}"/>
    <cellStyle name="Note 2 11 2 6 2 3 6" xfId="16324" xr:uid="{00000000-0005-0000-0000-0000467F0000}"/>
    <cellStyle name="Note 2 11 2 6 2 4" xfId="11236" xr:uid="{00000000-0005-0000-0000-0000477F0000}"/>
    <cellStyle name="Note 2 11 2 6 2 5" xfId="11237" xr:uid="{00000000-0005-0000-0000-0000487F0000}"/>
    <cellStyle name="Note 2 11 2 6 2 6" xfId="11238" xr:uid="{00000000-0005-0000-0000-0000497F0000}"/>
    <cellStyle name="Note 2 11 2 6 2 7" xfId="16529" xr:uid="{00000000-0005-0000-0000-00004A7F0000}"/>
    <cellStyle name="Note 2 11 2 6 2 8" xfId="16489" xr:uid="{00000000-0005-0000-0000-00004B7F0000}"/>
    <cellStyle name="Note 2 11 2 6 3" xfId="6280" xr:uid="{00000000-0005-0000-0000-00004C7F0000}"/>
    <cellStyle name="Note 2 11 2 6 3 2" xfId="11239" xr:uid="{00000000-0005-0000-0000-00004D7F0000}"/>
    <cellStyle name="Note 2 11 2 6 3 3" xfId="11240" xr:uid="{00000000-0005-0000-0000-00004E7F0000}"/>
    <cellStyle name="Note 2 11 2 6 3 4" xfId="11241" xr:uid="{00000000-0005-0000-0000-00004F7F0000}"/>
    <cellStyle name="Note 2 11 2 6 3 5" xfId="16860" xr:uid="{00000000-0005-0000-0000-0000507F0000}"/>
    <cellStyle name="Note 2 11 2 6 3 6" xfId="15448" xr:uid="{00000000-0005-0000-0000-0000517F0000}"/>
    <cellStyle name="Note 2 11 2 6 4" xfId="6281" xr:uid="{00000000-0005-0000-0000-0000527F0000}"/>
    <cellStyle name="Note 2 11 2 6 4 2" xfId="11242" xr:uid="{00000000-0005-0000-0000-0000537F0000}"/>
    <cellStyle name="Note 2 11 2 6 4 3" xfId="11243" xr:uid="{00000000-0005-0000-0000-0000547F0000}"/>
    <cellStyle name="Note 2 11 2 6 4 4" xfId="11244" xr:uid="{00000000-0005-0000-0000-0000557F0000}"/>
    <cellStyle name="Note 2 11 2 6 4 5" xfId="16861" xr:uid="{00000000-0005-0000-0000-0000567F0000}"/>
    <cellStyle name="Note 2 11 2 6 4 6" xfId="16143" xr:uid="{00000000-0005-0000-0000-0000577F0000}"/>
    <cellStyle name="Note 2 11 2 6 5" xfId="11245" xr:uid="{00000000-0005-0000-0000-0000587F0000}"/>
    <cellStyle name="Note 2 11 2 6 6" xfId="11246" xr:uid="{00000000-0005-0000-0000-0000597F0000}"/>
    <cellStyle name="Note 2 11 2 6 7" xfId="11247" xr:uid="{00000000-0005-0000-0000-00005A7F0000}"/>
    <cellStyle name="Note 2 11 2 6 8" xfId="15917" xr:uid="{00000000-0005-0000-0000-00005B7F0000}"/>
    <cellStyle name="Note 2 11 2 6 9" xfId="15757" xr:uid="{00000000-0005-0000-0000-00005C7F0000}"/>
    <cellStyle name="Note 2 11 2 7" xfId="6282" xr:uid="{00000000-0005-0000-0000-00005D7F0000}"/>
    <cellStyle name="Note 2 11 2 7 2" xfId="6283" xr:uid="{00000000-0005-0000-0000-00005E7F0000}"/>
    <cellStyle name="Note 2 11 2 7 2 2" xfId="6284" xr:uid="{00000000-0005-0000-0000-00005F7F0000}"/>
    <cellStyle name="Note 2 11 2 7 2 2 2" xfId="11248" xr:uid="{00000000-0005-0000-0000-0000607F0000}"/>
    <cellStyle name="Note 2 11 2 7 2 2 3" xfId="11249" xr:uid="{00000000-0005-0000-0000-0000617F0000}"/>
    <cellStyle name="Note 2 11 2 7 2 2 4" xfId="11250" xr:uid="{00000000-0005-0000-0000-0000627F0000}"/>
    <cellStyle name="Note 2 11 2 7 2 2 5" xfId="16862" xr:uid="{00000000-0005-0000-0000-0000637F0000}"/>
    <cellStyle name="Note 2 11 2 7 2 2 6" xfId="17755" xr:uid="{00000000-0005-0000-0000-0000647F0000}"/>
    <cellStyle name="Note 2 11 2 7 2 3" xfId="6285" xr:uid="{00000000-0005-0000-0000-0000657F0000}"/>
    <cellStyle name="Note 2 11 2 7 2 3 2" xfId="11251" xr:uid="{00000000-0005-0000-0000-0000667F0000}"/>
    <cellStyle name="Note 2 11 2 7 2 3 3" xfId="11252" xr:uid="{00000000-0005-0000-0000-0000677F0000}"/>
    <cellStyle name="Note 2 11 2 7 2 3 4" xfId="11253" xr:uid="{00000000-0005-0000-0000-0000687F0000}"/>
    <cellStyle name="Note 2 11 2 7 2 3 5" xfId="16863" xr:uid="{00000000-0005-0000-0000-0000697F0000}"/>
    <cellStyle name="Note 2 11 2 7 2 3 6" xfId="16323" xr:uid="{00000000-0005-0000-0000-00006A7F0000}"/>
    <cellStyle name="Note 2 11 2 7 2 4" xfId="11254" xr:uid="{00000000-0005-0000-0000-00006B7F0000}"/>
    <cellStyle name="Note 2 11 2 7 2 5" xfId="11255" xr:uid="{00000000-0005-0000-0000-00006C7F0000}"/>
    <cellStyle name="Note 2 11 2 7 2 6" xfId="11256" xr:uid="{00000000-0005-0000-0000-00006D7F0000}"/>
    <cellStyle name="Note 2 11 2 7 2 7" xfId="16530" xr:uid="{00000000-0005-0000-0000-00006E7F0000}"/>
    <cellStyle name="Note 2 11 2 7 2 8" xfId="15618" xr:uid="{00000000-0005-0000-0000-00006F7F0000}"/>
    <cellStyle name="Note 2 11 2 7 3" xfId="6286" xr:uid="{00000000-0005-0000-0000-0000707F0000}"/>
    <cellStyle name="Note 2 11 2 7 3 2" xfId="11257" xr:uid="{00000000-0005-0000-0000-0000717F0000}"/>
    <cellStyle name="Note 2 11 2 7 3 3" xfId="11258" xr:uid="{00000000-0005-0000-0000-0000727F0000}"/>
    <cellStyle name="Note 2 11 2 7 3 4" xfId="11259" xr:uid="{00000000-0005-0000-0000-0000737F0000}"/>
    <cellStyle name="Note 2 11 2 7 3 5" xfId="16864" xr:uid="{00000000-0005-0000-0000-0000747F0000}"/>
    <cellStyle name="Note 2 11 2 7 3 6" xfId="15447" xr:uid="{00000000-0005-0000-0000-0000757F0000}"/>
    <cellStyle name="Note 2 11 2 7 4" xfId="6287" xr:uid="{00000000-0005-0000-0000-0000767F0000}"/>
    <cellStyle name="Note 2 11 2 7 4 2" xfId="11260" xr:uid="{00000000-0005-0000-0000-0000777F0000}"/>
    <cellStyle name="Note 2 11 2 7 4 3" xfId="11261" xr:uid="{00000000-0005-0000-0000-0000787F0000}"/>
    <cellStyle name="Note 2 11 2 7 4 4" xfId="11262" xr:uid="{00000000-0005-0000-0000-0000797F0000}"/>
    <cellStyle name="Note 2 11 2 7 4 5" xfId="16865" xr:uid="{00000000-0005-0000-0000-00007A7F0000}"/>
    <cellStyle name="Note 2 11 2 7 4 6" xfId="17754" xr:uid="{00000000-0005-0000-0000-00007B7F0000}"/>
    <cellStyle name="Note 2 11 2 7 5" xfId="11263" xr:uid="{00000000-0005-0000-0000-00007C7F0000}"/>
    <cellStyle name="Note 2 11 2 7 6" xfId="11264" xr:uid="{00000000-0005-0000-0000-00007D7F0000}"/>
    <cellStyle name="Note 2 11 2 7 7" xfId="11265" xr:uid="{00000000-0005-0000-0000-00007E7F0000}"/>
    <cellStyle name="Note 2 11 2 7 8" xfId="15918" xr:uid="{00000000-0005-0000-0000-00007F7F0000}"/>
    <cellStyle name="Note 2 11 2 7 9" xfId="15756" xr:uid="{00000000-0005-0000-0000-0000807F0000}"/>
    <cellStyle name="Note 2 11 2 8" xfId="6288" xr:uid="{00000000-0005-0000-0000-0000817F0000}"/>
    <cellStyle name="Note 2 11 2 8 2" xfId="11266" xr:uid="{00000000-0005-0000-0000-0000827F0000}"/>
    <cellStyle name="Note 2 11 2 8 2 2" xfId="11267" xr:uid="{00000000-0005-0000-0000-0000837F0000}"/>
    <cellStyle name="Note 2 11 2 8 2 3" xfId="11268" xr:uid="{00000000-0005-0000-0000-0000847F0000}"/>
    <cellStyle name="Note 2 11 2 8 2 4" xfId="11269" xr:uid="{00000000-0005-0000-0000-0000857F0000}"/>
    <cellStyle name="Note 2 11 2 8 3" xfId="11270" xr:uid="{00000000-0005-0000-0000-0000867F0000}"/>
    <cellStyle name="Note 2 11 2 8 4" xfId="11271" xr:uid="{00000000-0005-0000-0000-0000877F0000}"/>
    <cellStyle name="Note 2 11 2 8 5" xfId="11272" xr:uid="{00000000-0005-0000-0000-0000887F0000}"/>
    <cellStyle name="Note 2 11 2 8 6" xfId="16866" xr:uid="{00000000-0005-0000-0000-0000897F0000}"/>
    <cellStyle name="Note 2 11 2 8 7" xfId="16322" xr:uid="{00000000-0005-0000-0000-00008A7F0000}"/>
    <cellStyle name="Note 2 11 2 9" xfId="6289" xr:uid="{00000000-0005-0000-0000-00008B7F0000}"/>
    <cellStyle name="Note 2 11 2 9 2" xfId="11273" xr:uid="{00000000-0005-0000-0000-00008C7F0000}"/>
    <cellStyle name="Note 2 11 2 9 2 2" xfId="11274" xr:uid="{00000000-0005-0000-0000-00008D7F0000}"/>
    <cellStyle name="Note 2 11 2 9 2 3" xfId="11275" xr:uid="{00000000-0005-0000-0000-00008E7F0000}"/>
    <cellStyle name="Note 2 11 2 9 2 4" xfId="11276" xr:uid="{00000000-0005-0000-0000-00008F7F0000}"/>
    <cellStyle name="Note 2 11 2 9 3" xfId="11277" xr:uid="{00000000-0005-0000-0000-0000907F0000}"/>
    <cellStyle name="Note 2 11 2 9 4" xfId="11278" xr:uid="{00000000-0005-0000-0000-0000917F0000}"/>
    <cellStyle name="Note 2 11 2 9 5" xfId="11279" xr:uid="{00000000-0005-0000-0000-0000927F0000}"/>
    <cellStyle name="Note 2 11 2 9 6" xfId="16867" xr:uid="{00000000-0005-0000-0000-0000937F0000}"/>
    <cellStyle name="Note 2 11 2 9 7" xfId="15446" xr:uid="{00000000-0005-0000-0000-0000947F0000}"/>
    <cellStyle name="Note 2 11 3" xfId="6290" xr:uid="{00000000-0005-0000-0000-0000957F0000}"/>
    <cellStyle name="Note 2 11 3 2" xfId="6291" xr:uid="{00000000-0005-0000-0000-0000967F0000}"/>
    <cellStyle name="Note 2 11 3 2 2" xfId="11280" xr:uid="{00000000-0005-0000-0000-0000977F0000}"/>
    <cellStyle name="Note 2 11 3 2 2 2" xfId="11281" xr:uid="{00000000-0005-0000-0000-0000987F0000}"/>
    <cellStyle name="Note 2 11 3 2 2 3" xfId="11282" xr:uid="{00000000-0005-0000-0000-0000997F0000}"/>
    <cellStyle name="Note 2 11 3 2 2 4" xfId="11283" xr:uid="{00000000-0005-0000-0000-00009A7F0000}"/>
    <cellStyle name="Note 2 11 3 2 3" xfId="11284" xr:uid="{00000000-0005-0000-0000-00009B7F0000}"/>
    <cellStyle name="Note 2 11 3 2 4" xfId="11285" xr:uid="{00000000-0005-0000-0000-00009C7F0000}"/>
    <cellStyle name="Note 2 11 3 2 5" xfId="11286" xr:uid="{00000000-0005-0000-0000-00009D7F0000}"/>
    <cellStyle name="Note 2 11 3 2 6" xfId="16868" xr:uid="{00000000-0005-0000-0000-00009E7F0000}"/>
    <cellStyle name="Note 2 11 3 2 7" xfId="16131" xr:uid="{00000000-0005-0000-0000-00009F7F0000}"/>
    <cellStyle name="Note 2 11 3 3" xfId="6292" xr:uid="{00000000-0005-0000-0000-0000A07F0000}"/>
    <cellStyle name="Note 2 11 3 3 2" xfId="11287" xr:uid="{00000000-0005-0000-0000-0000A17F0000}"/>
    <cellStyle name="Note 2 11 3 3 2 2" xfId="11288" xr:uid="{00000000-0005-0000-0000-0000A27F0000}"/>
    <cellStyle name="Note 2 11 3 3 2 3" xfId="11289" xr:uid="{00000000-0005-0000-0000-0000A37F0000}"/>
    <cellStyle name="Note 2 11 3 3 2 4" xfId="11290" xr:uid="{00000000-0005-0000-0000-0000A47F0000}"/>
    <cellStyle name="Note 2 11 3 3 3" xfId="11291" xr:uid="{00000000-0005-0000-0000-0000A57F0000}"/>
    <cellStyle name="Note 2 11 3 3 4" xfId="11292" xr:uid="{00000000-0005-0000-0000-0000A67F0000}"/>
    <cellStyle name="Note 2 11 3 3 5" xfId="11293" xr:uid="{00000000-0005-0000-0000-0000A77F0000}"/>
    <cellStyle name="Note 2 11 3 3 6" xfId="16869" xr:uid="{00000000-0005-0000-0000-0000A87F0000}"/>
    <cellStyle name="Note 2 11 3 3 7" xfId="17753" xr:uid="{00000000-0005-0000-0000-0000A97F0000}"/>
    <cellStyle name="Note 2 11 3 4" xfId="11294" xr:uid="{00000000-0005-0000-0000-0000AA7F0000}"/>
    <cellStyle name="Note 2 11 3 4 2" xfId="11295" xr:uid="{00000000-0005-0000-0000-0000AB7F0000}"/>
    <cellStyle name="Note 2 11 3 4 3" xfId="11296" xr:uid="{00000000-0005-0000-0000-0000AC7F0000}"/>
    <cellStyle name="Note 2 11 3 4 4" xfId="11297" xr:uid="{00000000-0005-0000-0000-0000AD7F0000}"/>
    <cellStyle name="Note 2 11 3 5" xfId="11298" xr:uid="{00000000-0005-0000-0000-0000AE7F0000}"/>
    <cellStyle name="Note 2 11 3 6" xfId="11299" xr:uid="{00000000-0005-0000-0000-0000AF7F0000}"/>
    <cellStyle name="Note 2 11 3 7" xfId="11300" xr:uid="{00000000-0005-0000-0000-0000B07F0000}"/>
    <cellStyle name="Note 2 11 3 8" xfId="15919" xr:uid="{00000000-0005-0000-0000-0000B17F0000}"/>
    <cellStyle name="Note 2 11 3 9" xfId="17597" xr:uid="{00000000-0005-0000-0000-0000B27F0000}"/>
    <cellStyle name="Note 2 11 4" xfId="6293" xr:uid="{00000000-0005-0000-0000-0000B37F0000}"/>
    <cellStyle name="Note 2 11 4 2" xfId="6294" xr:uid="{00000000-0005-0000-0000-0000B47F0000}"/>
    <cellStyle name="Note 2 11 4 2 2" xfId="11301" xr:uid="{00000000-0005-0000-0000-0000B57F0000}"/>
    <cellStyle name="Note 2 11 4 2 2 2" xfId="11302" xr:uid="{00000000-0005-0000-0000-0000B67F0000}"/>
    <cellStyle name="Note 2 11 4 2 2 3" xfId="11303" xr:uid="{00000000-0005-0000-0000-0000B77F0000}"/>
    <cellStyle name="Note 2 11 4 2 2 4" xfId="11304" xr:uid="{00000000-0005-0000-0000-0000B87F0000}"/>
    <cellStyle name="Note 2 11 4 2 3" xfId="11305" xr:uid="{00000000-0005-0000-0000-0000B97F0000}"/>
    <cellStyle name="Note 2 11 4 2 4" xfId="11306" xr:uid="{00000000-0005-0000-0000-0000BA7F0000}"/>
    <cellStyle name="Note 2 11 4 2 5" xfId="11307" xr:uid="{00000000-0005-0000-0000-0000BB7F0000}"/>
    <cellStyle name="Note 2 11 4 2 6" xfId="16870" xr:uid="{00000000-0005-0000-0000-0000BC7F0000}"/>
    <cellStyle name="Note 2 11 4 2 7" xfId="16321" xr:uid="{00000000-0005-0000-0000-0000BD7F0000}"/>
    <cellStyle name="Note 2 11 4 3" xfId="6295" xr:uid="{00000000-0005-0000-0000-0000BE7F0000}"/>
    <cellStyle name="Note 2 11 4 3 2" xfId="11308" xr:uid="{00000000-0005-0000-0000-0000BF7F0000}"/>
    <cellStyle name="Note 2 11 4 3 2 2" xfId="11309" xr:uid="{00000000-0005-0000-0000-0000C07F0000}"/>
    <cellStyle name="Note 2 11 4 3 2 3" xfId="11310" xr:uid="{00000000-0005-0000-0000-0000C17F0000}"/>
    <cellStyle name="Note 2 11 4 3 2 4" xfId="11311" xr:uid="{00000000-0005-0000-0000-0000C27F0000}"/>
    <cellStyle name="Note 2 11 4 3 3" xfId="11312" xr:uid="{00000000-0005-0000-0000-0000C37F0000}"/>
    <cellStyle name="Note 2 11 4 3 4" xfId="11313" xr:uid="{00000000-0005-0000-0000-0000C47F0000}"/>
    <cellStyle name="Note 2 11 4 3 5" xfId="11314" xr:uid="{00000000-0005-0000-0000-0000C57F0000}"/>
    <cellStyle name="Note 2 11 4 3 6" xfId="16871" xr:uid="{00000000-0005-0000-0000-0000C67F0000}"/>
    <cellStyle name="Note 2 11 4 3 7" xfId="15445" xr:uid="{00000000-0005-0000-0000-0000C77F0000}"/>
    <cellStyle name="Note 2 11 4 4" xfId="11315" xr:uid="{00000000-0005-0000-0000-0000C87F0000}"/>
    <cellStyle name="Note 2 11 4 4 2" xfId="11316" xr:uid="{00000000-0005-0000-0000-0000C97F0000}"/>
    <cellStyle name="Note 2 11 4 4 3" xfId="11317" xr:uid="{00000000-0005-0000-0000-0000CA7F0000}"/>
    <cellStyle name="Note 2 11 4 4 4" xfId="11318" xr:uid="{00000000-0005-0000-0000-0000CB7F0000}"/>
    <cellStyle name="Note 2 11 4 5" xfId="11319" xr:uid="{00000000-0005-0000-0000-0000CC7F0000}"/>
    <cellStyle name="Note 2 11 4 6" xfId="11320" xr:uid="{00000000-0005-0000-0000-0000CD7F0000}"/>
    <cellStyle name="Note 2 11 4 7" xfId="11321" xr:uid="{00000000-0005-0000-0000-0000CE7F0000}"/>
    <cellStyle name="Note 2 11 4 8" xfId="15920" xr:uid="{00000000-0005-0000-0000-0000CF7F0000}"/>
    <cellStyle name="Note 2 11 4 9" xfId="18791" xr:uid="{00000000-0005-0000-0000-0000D07F0000}"/>
    <cellStyle name="Note 2 11 5" xfId="6296" xr:uid="{00000000-0005-0000-0000-0000D17F0000}"/>
    <cellStyle name="Note 2 11 5 2" xfId="6297" xr:uid="{00000000-0005-0000-0000-0000D27F0000}"/>
    <cellStyle name="Note 2 11 5 2 2" xfId="11322" xr:uid="{00000000-0005-0000-0000-0000D37F0000}"/>
    <cellStyle name="Note 2 11 5 2 2 2" xfId="11323" xr:uid="{00000000-0005-0000-0000-0000D47F0000}"/>
    <cellStyle name="Note 2 11 5 2 2 3" xfId="11324" xr:uid="{00000000-0005-0000-0000-0000D57F0000}"/>
    <cellStyle name="Note 2 11 5 2 2 4" xfId="11325" xr:uid="{00000000-0005-0000-0000-0000D67F0000}"/>
    <cellStyle name="Note 2 11 5 2 3" xfId="11326" xr:uid="{00000000-0005-0000-0000-0000D77F0000}"/>
    <cellStyle name="Note 2 11 5 2 4" xfId="11327" xr:uid="{00000000-0005-0000-0000-0000D87F0000}"/>
    <cellStyle name="Note 2 11 5 2 5" xfId="11328" xr:uid="{00000000-0005-0000-0000-0000D97F0000}"/>
    <cellStyle name="Note 2 11 5 2 6" xfId="16872" xr:uid="{00000000-0005-0000-0000-0000DA7F0000}"/>
    <cellStyle name="Note 2 11 5 2 7" xfId="17752" xr:uid="{00000000-0005-0000-0000-0000DB7F0000}"/>
    <cellStyle name="Note 2 11 5 3" xfId="6298" xr:uid="{00000000-0005-0000-0000-0000DC7F0000}"/>
    <cellStyle name="Note 2 11 5 3 2" xfId="11329" xr:uid="{00000000-0005-0000-0000-0000DD7F0000}"/>
    <cellStyle name="Note 2 11 5 3 2 2" xfId="11330" xr:uid="{00000000-0005-0000-0000-0000DE7F0000}"/>
    <cellStyle name="Note 2 11 5 3 2 3" xfId="11331" xr:uid="{00000000-0005-0000-0000-0000DF7F0000}"/>
    <cellStyle name="Note 2 11 5 3 2 4" xfId="11332" xr:uid="{00000000-0005-0000-0000-0000E07F0000}"/>
    <cellStyle name="Note 2 11 5 3 3" xfId="11333" xr:uid="{00000000-0005-0000-0000-0000E17F0000}"/>
    <cellStyle name="Note 2 11 5 3 4" xfId="11334" xr:uid="{00000000-0005-0000-0000-0000E27F0000}"/>
    <cellStyle name="Note 2 11 5 3 5" xfId="11335" xr:uid="{00000000-0005-0000-0000-0000E37F0000}"/>
    <cellStyle name="Note 2 11 5 3 6" xfId="16873" xr:uid="{00000000-0005-0000-0000-0000E47F0000}"/>
    <cellStyle name="Note 2 11 5 3 7" xfId="16320" xr:uid="{00000000-0005-0000-0000-0000E57F0000}"/>
    <cellStyle name="Note 2 11 5 4" xfId="11336" xr:uid="{00000000-0005-0000-0000-0000E67F0000}"/>
    <cellStyle name="Note 2 11 5 4 2" xfId="11337" xr:uid="{00000000-0005-0000-0000-0000E77F0000}"/>
    <cellStyle name="Note 2 11 5 4 3" xfId="11338" xr:uid="{00000000-0005-0000-0000-0000E87F0000}"/>
    <cellStyle name="Note 2 11 5 4 4" xfId="11339" xr:uid="{00000000-0005-0000-0000-0000E97F0000}"/>
    <cellStyle name="Note 2 11 5 5" xfId="11340" xr:uid="{00000000-0005-0000-0000-0000EA7F0000}"/>
    <cellStyle name="Note 2 11 5 6" xfId="11341" xr:uid="{00000000-0005-0000-0000-0000EB7F0000}"/>
    <cellStyle name="Note 2 11 5 7" xfId="11342" xr:uid="{00000000-0005-0000-0000-0000EC7F0000}"/>
    <cellStyle name="Note 2 11 5 8" xfId="15921" xr:uid="{00000000-0005-0000-0000-0000ED7F0000}"/>
    <cellStyle name="Note 2 11 5 9" xfId="18264" xr:uid="{00000000-0005-0000-0000-0000EE7F0000}"/>
    <cellStyle name="Note 2 11 6" xfId="6299" xr:uid="{00000000-0005-0000-0000-0000EF7F0000}"/>
    <cellStyle name="Note 2 11 6 2" xfId="6300" xr:uid="{00000000-0005-0000-0000-0000F07F0000}"/>
    <cellStyle name="Note 2 11 6 2 2" xfId="11343" xr:uid="{00000000-0005-0000-0000-0000F17F0000}"/>
    <cellStyle name="Note 2 11 6 2 2 2" xfId="11344" xr:uid="{00000000-0005-0000-0000-0000F27F0000}"/>
    <cellStyle name="Note 2 11 6 2 2 3" xfId="11345" xr:uid="{00000000-0005-0000-0000-0000F37F0000}"/>
    <cellStyle name="Note 2 11 6 2 2 4" xfId="11346" xr:uid="{00000000-0005-0000-0000-0000F47F0000}"/>
    <cellStyle name="Note 2 11 6 2 3" xfId="11347" xr:uid="{00000000-0005-0000-0000-0000F57F0000}"/>
    <cellStyle name="Note 2 11 6 2 4" xfId="11348" xr:uid="{00000000-0005-0000-0000-0000F67F0000}"/>
    <cellStyle name="Note 2 11 6 2 5" xfId="11349" xr:uid="{00000000-0005-0000-0000-0000F77F0000}"/>
    <cellStyle name="Note 2 11 6 2 6" xfId="16874" xr:uid="{00000000-0005-0000-0000-0000F87F0000}"/>
    <cellStyle name="Note 2 11 6 2 7" xfId="15444" xr:uid="{00000000-0005-0000-0000-0000F97F0000}"/>
    <cellStyle name="Note 2 11 6 3" xfId="6301" xr:uid="{00000000-0005-0000-0000-0000FA7F0000}"/>
    <cellStyle name="Note 2 11 6 3 2" xfId="11350" xr:uid="{00000000-0005-0000-0000-0000FB7F0000}"/>
    <cellStyle name="Note 2 11 6 3 2 2" xfId="11351" xr:uid="{00000000-0005-0000-0000-0000FC7F0000}"/>
    <cellStyle name="Note 2 11 6 3 2 3" xfId="11352" xr:uid="{00000000-0005-0000-0000-0000FD7F0000}"/>
    <cellStyle name="Note 2 11 6 3 2 4" xfId="11353" xr:uid="{00000000-0005-0000-0000-0000FE7F0000}"/>
    <cellStyle name="Note 2 11 6 3 3" xfId="11354" xr:uid="{00000000-0005-0000-0000-0000FF7F0000}"/>
    <cellStyle name="Note 2 11 6 3 4" xfId="11355" xr:uid="{00000000-0005-0000-0000-000000800000}"/>
    <cellStyle name="Note 2 11 6 3 5" xfId="11356" xr:uid="{00000000-0005-0000-0000-000001800000}"/>
    <cellStyle name="Note 2 11 6 3 6" xfId="16875" xr:uid="{00000000-0005-0000-0000-000002800000}"/>
    <cellStyle name="Note 2 11 6 3 7" xfId="16122" xr:uid="{00000000-0005-0000-0000-000003800000}"/>
    <cellStyle name="Note 2 11 6 4" xfId="11357" xr:uid="{00000000-0005-0000-0000-000004800000}"/>
    <cellStyle name="Note 2 11 6 4 2" xfId="11358" xr:uid="{00000000-0005-0000-0000-000005800000}"/>
    <cellStyle name="Note 2 11 6 4 3" xfId="11359" xr:uid="{00000000-0005-0000-0000-000006800000}"/>
    <cellStyle name="Note 2 11 6 4 4" xfId="11360" xr:uid="{00000000-0005-0000-0000-000007800000}"/>
    <cellStyle name="Note 2 11 6 5" xfId="11361" xr:uid="{00000000-0005-0000-0000-000008800000}"/>
    <cellStyle name="Note 2 11 6 6" xfId="11362" xr:uid="{00000000-0005-0000-0000-000009800000}"/>
    <cellStyle name="Note 2 11 6 7" xfId="11363" xr:uid="{00000000-0005-0000-0000-00000A800000}"/>
    <cellStyle name="Note 2 11 6 8" xfId="15922" xr:uid="{00000000-0005-0000-0000-00000B800000}"/>
    <cellStyle name="Note 2 11 6 9" xfId="18360" xr:uid="{00000000-0005-0000-0000-00000C800000}"/>
    <cellStyle name="Note 2 11 7" xfId="6302" xr:uid="{00000000-0005-0000-0000-00000D800000}"/>
    <cellStyle name="Note 2 11 7 2" xfId="6303" xr:uid="{00000000-0005-0000-0000-00000E800000}"/>
    <cellStyle name="Note 2 11 7 2 2" xfId="11364" xr:uid="{00000000-0005-0000-0000-00000F800000}"/>
    <cellStyle name="Note 2 11 7 2 2 2" xfId="11365" xr:uid="{00000000-0005-0000-0000-000010800000}"/>
    <cellStyle name="Note 2 11 7 2 2 3" xfId="11366" xr:uid="{00000000-0005-0000-0000-000011800000}"/>
    <cellStyle name="Note 2 11 7 2 2 4" xfId="11367" xr:uid="{00000000-0005-0000-0000-000012800000}"/>
    <cellStyle name="Note 2 11 7 2 3" xfId="11368" xr:uid="{00000000-0005-0000-0000-000013800000}"/>
    <cellStyle name="Note 2 11 7 2 4" xfId="11369" xr:uid="{00000000-0005-0000-0000-000014800000}"/>
    <cellStyle name="Note 2 11 7 2 5" xfId="11370" xr:uid="{00000000-0005-0000-0000-000015800000}"/>
    <cellStyle name="Note 2 11 7 2 6" xfId="16876" xr:uid="{00000000-0005-0000-0000-000016800000}"/>
    <cellStyle name="Note 2 11 7 2 7" xfId="17751" xr:uid="{00000000-0005-0000-0000-000017800000}"/>
    <cellStyle name="Note 2 11 7 3" xfId="6304" xr:uid="{00000000-0005-0000-0000-000018800000}"/>
    <cellStyle name="Note 2 11 7 3 2" xfId="11371" xr:uid="{00000000-0005-0000-0000-000019800000}"/>
    <cellStyle name="Note 2 11 7 3 2 2" xfId="11372" xr:uid="{00000000-0005-0000-0000-00001A800000}"/>
    <cellStyle name="Note 2 11 7 3 2 3" xfId="11373" xr:uid="{00000000-0005-0000-0000-00001B800000}"/>
    <cellStyle name="Note 2 11 7 3 2 4" xfId="11374" xr:uid="{00000000-0005-0000-0000-00001C800000}"/>
    <cellStyle name="Note 2 11 7 3 3" xfId="11375" xr:uid="{00000000-0005-0000-0000-00001D800000}"/>
    <cellStyle name="Note 2 11 7 3 4" xfId="11376" xr:uid="{00000000-0005-0000-0000-00001E800000}"/>
    <cellStyle name="Note 2 11 7 3 5" xfId="11377" xr:uid="{00000000-0005-0000-0000-00001F800000}"/>
    <cellStyle name="Note 2 11 7 3 6" xfId="16877" xr:uid="{00000000-0005-0000-0000-000020800000}"/>
    <cellStyle name="Note 2 11 7 3 7" xfId="16319" xr:uid="{00000000-0005-0000-0000-000021800000}"/>
    <cellStyle name="Note 2 11 7 4" xfId="11378" xr:uid="{00000000-0005-0000-0000-000022800000}"/>
    <cellStyle name="Note 2 11 7 4 2" xfId="11379" xr:uid="{00000000-0005-0000-0000-000023800000}"/>
    <cellStyle name="Note 2 11 7 4 3" xfId="11380" xr:uid="{00000000-0005-0000-0000-000024800000}"/>
    <cellStyle name="Note 2 11 7 4 4" xfId="11381" xr:uid="{00000000-0005-0000-0000-000025800000}"/>
    <cellStyle name="Note 2 11 7 5" xfId="11382" xr:uid="{00000000-0005-0000-0000-000026800000}"/>
    <cellStyle name="Note 2 11 7 6" xfId="11383" xr:uid="{00000000-0005-0000-0000-000027800000}"/>
    <cellStyle name="Note 2 11 7 7" xfId="11384" xr:uid="{00000000-0005-0000-0000-000028800000}"/>
    <cellStyle name="Note 2 11 7 8" xfId="15923" xr:uid="{00000000-0005-0000-0000-000029800000}"/>
    <cellStyle name="Note 2 11 7 9" xfId="18015" xr:uid="{00000000-0005-0000-0000-00002A800000}"/>
    <cellStyle name="Note 2 11 8" xfId="6305" xr:uid="{00000000-0005-0000-0000-00002B800000}"/>
    <cellStyle name="Note 2 11 8 2" xfId="6306" xr:uid="{00000000-0005-0000-0000-00002C800000}"/>
    <cellStyle name="Note 2 11 8 2 2" xfId="11385" xr:uid="{00000000-0005-0000-0000-00002D800000}"/>
    <cellStyle name="Note 2 11 8 2 3" xfId="11386" xr:uid="{00000000-0005-0000-0000-00002E800000}"/>
    <cellStyle name="Note 2 11 8 2 4" xfId="11387" xr:uid="{00000000-0005-0000-0000-00002F800000}"/>
    <cellStyle name="Note 2 11 8 2 5" xfId="16878" xr:uid="{00000000-0005-0000-0000-000030800000}"/>
    <cellStyle name="Note 2 11 8 2 6" xfId="15443" xr:uid="{00000000-0005-0000-0000-000031800000}"/>
    <cellStyle name="Note 2 11 8 3" xfId="6307" xr:uid="{00000000-0005-0000-0000-000032800000}"/>
    <cellStyle name="Note 2 11 8 3 2" xfId="11388" xr:uid="{00000000-0005-0000-0000-000033800000}"/>
    <cellStyle name="Note 2 11 8 3 3" xfId="11389" xr:uid="{00000000-0005-0000-0000-000034800000}"/>
    <cellStyle name="Note 2 11 8 3 4" xfId="11390" xr:uid="{00000000-0005-0000-0000-000035800000}"/>
    <cellStyle name="Note 2 11 8 3 5" xfId="16879" xr:uid="{00000000-0005-0000-0000-000036800000}"/>
    <cellStyle name="Note 2 11 8 3 6" xfId="17750" xr:uid="{00000000-0005-0000-0000-000037800000}"/>
    <cellStyle name="Note 2 11 8 4" xfId="11391" xr:uid="{00000000-0005-0000-0000-000038800000}"/>
    <cellStyle name="Note 2 11 8 5" xfId="11392" xr:uid="{00000000-0005-0000-0000-000039800000}"/>
    <cellStyle name="Note 2 11 8 6" xfId="11393" xr:uid="{00000000-0005-0000-0000-00003A800000}"/>
    <cellStyle name="Note 2 11 8 7" xfId="16524" xr:uid="{00000000-0005-0000-0000-00003B800000}"/>
    <cellStyle name="Note 2 11 8 8" xfId="17921" xr:uid="{00000000-0005-0000-0000-00003C800000}"/>
    <cellStyle name="Note 2 11 9" xfId="6308" xr:uid="{00000000-0005-0000-0000-00003D800000}"/>
    <cellStyle name="Note 2 11 9 2" xfId="11394" xr:uid="{00000000-0005-0000-0000-00003E800000}"/>
    <cellStyle name="Note 2 11 9 3" xfId="11395" xr:uid="{00000000-0005-0000-0000-00003F800000}"/>
    <cellStyle name="Note 2 11 9 4" xfId="11396" xr:uid="{00000000-0005-0000-0000-000040800000}"/>
    <cellStyle name="Note 2 11 9 5" xfId="16880" xr:uid="{00000000-0005-0000-0000-000041800000}"/>
    <cellStyle name="Note 2 11 9 6" xfId="16318" xr:uid="{00000000-0005-0000-0000-000042800000}"/>
    <cellStyle name="Note 2 12" xfId="6309" xr:uid="{00000000-0005-0000-0000-000043800000}"/>
    <cellStyle name="Note 2 12 10" xfId="36098" xr:uid="{00000000-0005-0000-0000-000044800000}"/>
    <cellStyle name="Note 2 12 2" xfId="6310" xr:uid="{00000000-0005-0000-0000-000045800000}"/>
    <cellStyle name="Note 2 12 2 2" xfId="6311" xr:uid="{00000000-0005-0000-0000-000046800000}"/>
    <cellStyle name="Note 2 12 2 2 2" xfId="11397" xr:uid="{00000000-0005-0000-0000-000047800000}"/>
    <cellStyle name="Note 2 12 2 2 3" xfId="11398" xr:uid="{00000000-0005-0000-0000-000048800000}"/>
    <cellStyle name="Note 2 12 2 2 4" xfId="11399" xr:uid="{00000000-0005-0000-0000-000049800000}"/>
    <cellStyle name="Note 2 12 2 2 5" xfId="16881" xr:uid="{00000000-0005-0000-0000-00004A800000}"/>
    <cellStyle name="Note 2 12 2 2 6" xfId="15442" xr:uid="{00000000-0005-0000-0000-00004B800000}"/>
    <cellStyle name="Note 2 12 2 3" xfId="6312" xr:uid="{00000000-0005-0000-0000-00004C800000}"/>
    <cellStyle name="Note 2 12 2 3 2" xfId="11400" xr:uid="{00000000-0005-0000-0000-00004D800000}"/>
    <cellStyle name="Note 2 12 2 3 3" xfId="11401" xr:uid="{00000000-0005-0000-0000-00004E800000}"/>
    <cellStyle name="Note 2 12 2 3 4" xfId="11402" xr:uid="{00000000-0005-0000-0000-00004F800000}"/>
    <cellStyle name="Note 2 12 2 3 5" xfId="16882" xr:uid="{00000000-0005-0000-0000-000050800000}"/>
    <cellStyle name="Note 2 12 2 3 6" xfId="16115" xr:uid="{00000000-0005-0000-0000-000051800000}"/>
    <cellStyle name="Note 2 12 2 4" xfId="11403" xr:uid="{00000000-0005-0000-0000-000052800000}"/>
    <cellStyle name="Note 2 12 2 5" xfId="11404" xr:uid="{00000000-0005-0000-0000-000053800000}"/>
    <cellStyle name="Note 2 12 2 6" xfId="11405" xr:uid="{00000000-0005-0000-0000-000054800000}"/>
    <cellStyle name="Note 2 12 2 7" xfId="16531" xr:uid="{00000000-0005-0000-0000-000055800000}"/>
    <cellStyle name="Note 2 12 2 8" xfId="17919" xr:uid="{00000000-0005-0000-0000-000056800000}"/>
    <cellStyle name="Note 2 12 2 9" xfId="42674" xr:uid="{00000000-0005-0000-0000-000057800000}"/>
    <cellStyle name="Note 2 12 3" xfId="6313" xr:uid="{00000000-0005-0000-0000-000058800000}"/>
    <cellStyle name="Note 2 12 3 2" xfId="11406" xr:uid="{00000000-0005-0000-0000-000059800000}"/>
    <cellStyle name="Note 2 12 3 3" xfId="11407" xr:uid="{00000000-0005-0000-0000-00005A800000}"/>
    <cellStyle name="Note 2 12 3 4" xfId="11408" xr:uid="{00000000-0005-0000-0000-00005B800000}"/>
    <cellStyle name="Note 2 12 3 5" xfId="16883" xr:uid="{00000000-0005-0000-0000-00005C800000}"/>
    <cellStyle name="Note 2 12 3 6" xfId="17749" xr:uid="{00000000-0005-0000-0000-00005D800000}"/>
    <cellStyle name="Note 2 12 4" xfId="6314" xr:uid="{00000000-0005-0000-0000-00005E800000}"/>
    <cellStyle name="Note 2 12 4 2" xfId="11409" xr:uid="{00000000-0005-0000-0000-00005F800000}"/>
    <cellStyle name="Note 2 12 4 3" xfId="11410" xr:uid="{00000000-0005-0000-0000-000060800000}"/>
    <cellStyle name="Note 2 12 4 4" xfId="11411" xr:uid="{00000000-0005-0000-0000-000061800000}"/>
    <cellStyle name="Note 2 12 4 5" xfId="16884" xr:uid="{00000000-0005-0000-0000-000062800000}"/>
    <cellStyle name="Note 2 12 4 6" xfId="16317" xr:uid="{00000000-0005-0000-0000-000063800000}"/>
    <cellStyle name="Note 2 12 5" xfId="11412" xr:uid="{00000000-0005-0000-0000-000064800000}"/>
    <cellStyle name="Note 2 12 6" xfId="11413" xr:uid="{00000000-0005-0000-0000-000065800000}"/>
    <cellStyle name="Note 2 12 7" xfId="11414" xr:uid="{00000000-0005-0000-0000-000066800000}"/>
    <cellStyle name="Note 2 12 8" xfId="15924" xr:uid="{00000000-0005-0000-0000-000067800000}"/>
    <cellStyle name="Note 2 12 9" xfId="18044" xr:uid="{00000000-0005-0000-0000-000068800000}"/>
    <cellStyle name="Note 2 13" xfId="6315" xr:uid="{00000000-0005-0000-0000-000069800000}"/>
    <cellStyle name="Note 2 13 10" xfId="36099" xr:uid="{00000000-0005-0000-0000-00006A800000}"/>
    <cellStyle name="Note 2 13 2" xfId="6316" xr:uid="{00000000-0005-0000-0000-00006B800000}"/>
    <cellStyle name="Note 2 13 2 2" xfId="6317" xr:uid="{00000000-0005-0000-0000-00006C800000}"/>
    <cellStyle name="Note 2 13 2 2 2" xfId="11415" xr:uid="{00000000-0005-0000-0000-00006D800000}"/>
    <cellStyle name="Note 2 13 2 2 3" xfId="11416" xr:uid="{00000000-0005-0000-0000-00006E800000}"/>
    <cellStyle name="Note 2 13 2 2 4" xfId="11417" xr:uid="{00000000-0005-0000-0000-00006F800000}"/>
    <cellStyle name="Note 2 13 2 2 5" xfId="16885" xr:uid="{00000000-0005-0000-0000-000070800000}"/>
    <cellStyle name="Note 2 13 2 2 6" xfId="15441" xr:uid="{00000000-0005-0000-0000-000071800000}"/>
    <cellStyle name="Note 2 13 2 3" xfId="6318" xr:uid="{00000000-0005-0000-0000-000072800000}"/>
    <cellStyle name="Note 2 13 2 3 2" xfId="11418" xr:uid="{00000000-0005-0000-0000-000073800000}"/>
    <cellStyle name="Note 2 13 2 3 3" xfId="11419" xr:uid="{00000000-0005-0000-0000-000074800000}"/>
    <cellStyle name="Note 2 13 2 3 4" xfId="11420" xr:uid="{00000000-0005-0000-0000-000075800000}"/>
    <cellStyle name="Note 2 13 2 3 5" xfId="16886" xr:uid="{00000000-0005-0000-0000-000076800000}"/>
    <cellStyle name="Note 2 13 2 3 6" xfId="17748" xr:uid="{00000000-0005-0000-0000-000077800000}"/>
    <cellStyle name="Note 2 13 2 4" xfId="11421" xr:uid="{00000000-0005-0000-0000-000078800000}"/>
    <cellStyle name="Note 2 13 2 5" xfId="11422" xr:uid="{00000000-0005-0000-0000-000079800000}"/>
    <cellStyle name="Note 2 13 2 6" xfId="11423" xr:uid="{00000000-0005-0000-0000-00007A800000}"/>
    <cellStyle name="Note 2 13 2 7" xfId="16532" xr:uid="{00000000-0005-0000-0000-00007B800000}"/>
    <cellStyle name="Note 2 13 2 8" xfId="16488" xr:uid="{00000000-0005-0000-0000-00007C800000}"/>
    <cellStyle name="Note 2 13 2 9" xfId="42675" xr:uid="{00000000-0005-0000-0000-00007D800000}"/>
    <cellStyle name="Note 2 13 3" xfId="6319" xr:uid="{00000000-0005-0000-0000-00007E800000}"/>
    <cellStyle name="Note 2 13 3 2" xfId="11424" xr:uid="{00000000-0005-0000-0000-00007F800000}"/>
    <cellStyle name="Note 2 13 3 3" xfId="11425" xr:uid="{00000000-0005-0000-0000-000080800000}"/>
    <cellStyle name="Note 2 13 3 4" xfId="11426" xr:uid="{00000000-0005-0000-0000-000081800000}"/>
    <cellStyle name="Note 2 13 3 5" xfId="16887" xr:uid="{00000000-0005-0000-0000-000082800000}"/>
    <cellStyle name="Note 2 13 3 6" xfId="16316" xr:uid="{00000000-0005-0000-0000-000083800000}"/>
    <cellStyle name="Note 2 13 4" xfId="6320" xr:uid="{00000000-0005-0000-0000-000084800000}"/>
    <cellStyle name="Note 2 13 4 2" xfId="11427" xr:uid="{00000000-0005-0000-0000-000085800000}"/>
    <cellStyle name="Note 2 13 4 3" xfId="11428" xr:uid="{00000000-0005-0000-0000-000086800000}"/>
    <cellStyle name="Note 2 13 4 4" xfId="11429" xr:uid="{00000000-0005-0000-0000-000087800000}"/>
    <cellStyle name="Note 2 13 4 5" xfId="16888" xr:uid="{00000000-0005-0000-0000-000088800000}"/>
    <cellStyle name="Note 2 13 4 6" xfId="15440" xr:uid="{00000000-0005-0000-0000-000089800000}"/>
    <cellStyle name="Note 2 13 5" xfId="11430" xr:uid="{00000000-0005-0000-0000-00008A800000}"/>
    <cellStyle name="Note 2 13 6" xfId="11431" xr:uid="{00000000-0005-0000-0000-00008B800000}"/>
    <cellStyle name="Note 2 13 7" xfId="11432" xr:uid="{00000000-0005-0000-0000-00008C800000}"/>
    <cellStyle name="Note 2 13 8" xfId="15925" xr:uid="{00000000-0005-0000-0000-00008D800000}"/>
    <cellStyle name="Note 2 13 9" xfId="17939" xr:uid="{00000000-0005-0000-0000-00008E800000}"/>
    <cellStyle name="Note 2 14" xfId="6321" xr:uid="{00000000-0005-0000-0000-00008F800000}"/>
    <cellStyle name="Note 2 14 10" xfId="36100" xr:uid="{00000000-0005-0000-0000-000090800000}"/>
    <cellStyle name="Note 2 14 2" xfId="6322" xr:uid="{00000000-0005-0000-0000-000091800000}"/>
    <cellStyle name="Note 2 14 2 2" xfId="6323" xr:uid="{00000000-0005-0000-0000-000092800000}"/>
    <cellStyle name="Note 2 14 2 2 2" xfId="11433" xr:uid="{00000000-0005-0000-0000-000093800000}"/>
    <cellStyle name="Note 2 14 2 2 3" xfId="11434" xr:uid="{00000000-0005-0000-0000-000094800000}"/>
    <cellStyle name="Note 2 14 2 2 4" xfId="11435" xr:uid="{00000000-0005-0000-0000-000095800000}"/>
    <cellStyle name="Note 2 14 2 2 5" xfId="16889" xr:uid="{00000000-0005-0000-0000-000096800000}"/>
    <cellStyle name="Note 2 14 2 2 6" xfId="17747" xr:uid="{00000000-0005-0000-0000-000097800000}"/>
    <cellStyle name="Note 2 14 2 3" xfId="6324" xr:uid="{00000000-0005-0000-0000-000098800000}"/>
    <cellStyle name="Note 2 14 2 3 2" xfId="11436" xr:uid="{00000000-0005-0000-0000-000099800000}"/>
    <cellStyle name="Note 2 14 2 3 3" xfId="11437" xr:uid="{00000000-0005-0000-0000-00009A800000}"/>
    <cellStyle name="Note 2 14 2 3 4" xfId="11438" xr:uid="{00000000-0005-0000-0000-00009B800000}"/>
    <cellStyle name="Note 2 14 2 3 5" xfId="16890" xr:uid="{00000000-0005-0000-0000-00009C800000}"/>
    <cellStyle name="Note 2 14 2 3 6" xfId="16315" xr:uid="{00000000-0005-0000-0000-00009D800000}"/>
    <cellStyle name="Note 2 14 2 4" xfId="11439" xr:uid="{00000000-0005-0000-0000-00009E800000}"/>
    <cellStyle name="Note 2 14 2 5" xfId="11440" xr:uid="{00000000-0005-0000-0000-00009F800000}"/>
    <cellStyle name="Note 2 14 2 6" xfId="11441" xr:uid="{00000000-0005-0000-0000-0000A0800000}"/>
    <cellStyle name="Note 2 14 2 7" xfId="16533" xr:uid="{00000000-0005-0000-0000-0000A1800000}"/>
    <cellStyle name="Note 2 14 2 8" xfId="15617" xr:uid="{00000000-0005-0000-0000-0000A2800000}"/>
    <cellStyle name="Note 2 14 2 9" xfId="42676" xr:uid="{00000000-0005-0000-0000-0000A3800000}"/>
    <cellStyle name="Note 2 14 3" xfId="6325" xr:uid="{00000000-0005-0000-0000-0000A4800000}"/>
    <cellStyle name="Note 2 14 3 2" xfId="11442" xr:uid="{00000000-0005-0000-0000-0000A5800000}"/>
    <cellStyle name="Note 2 14 3 3" xfId="11443" xr:uid="{00000000-0005-0000-0000-0000A6800000}"/>
    <cellStyle name="Note 2 14 3 4" xfId="11444" xr:uid="{00000000-0005-0000-0000-0000A7800000}"/>
    <cellStyle name="Note 2 14 3 5" xfId="16891" xr:uid="{00000000-0005-0000-0000-0000A8800000}"/>
    <cellStyle name="Note 2 14 3 6" xfId="15439" xr:uid="{00000000-0005-0000-0000-0000A9800000}"/>
    <cellStyle name="Note 2 14 4" xfId="6326" xr:uid="{00000000-0005-0000-0000-0000AA800000}"/>
    <cellStyle name="Note 2 14 4 2" xfId="11445" xr:uid="{00000000-0005-0000-0000-0000AB800000}"/>
    <cellStyle name="Note 2 14 4 3" xfId="11446" xr:uid="{00000000-0005-0000-0000-0000AC800000}"/>
    <cellStyle name="Note 2 14 4 4" xfId="11447" xr:uid="{00000000-0005-0000-0000-0000AD800000}"/>
    <cellStyle name="Note 2 14 4 5" xfId="16892" xr:uid="{00000000-0005-0000-0000-0000AE800000}"/>
    <cellStyle name="Note 2 14 4 6" xfId="17746" xr:uid="{00000000-0005-0000-0000-0000AF800000}"/>
    <cellStyle name="Note 2 14 5" xfId="11448" xr:uid="{00000000-0005-0000-0000-0000B0800000}"/>
    <cellStyle name="Note 2 14 6" xfId="11449" xr:uid="{00000000-0005-0000-0000-0000B1800000}"/>
    <cellStyle name="Note 2 14 7" xfId="11450" xr:uid="{00000000-0005-0000-0000-0000B2800000}"/>
    <cellStyle name="Note 2 14 8" xfId="15926" xr:uid="{00000000-0005-0000-0000-0000B3800000}"/>
    <cellStyle name="Note 2 14 9" xfId="16509" xr:uid="{00000000-0005-0000-0000-0000B4800000}"/>
    <cellStyle name="Note 2 15" xfId="6327" xr:uid="{00000000-0005-0000-0000-0000B5800000}"/>
    <cellStyle name="Note 2 15 10" xfId="36101" xr:uid="{00000000-0005-0000-0000-0000B6800000}"/>
    <cellStyle name="Note 2 15 2" xfId="6328" xr:uid="{00000000-0005-0000-0000-0000B7800000}"/>
    <cellStyle name="Note 2 15 2 2" xfId="6329" xr:uid="{00000000-0005-0000-0000-0000B8800000}"/>
    <cellStyle name="Note 2 15 2 2 2" xfId="11451" xr:uid="{00000000-0005-0000-0000-0000B9800000}"/>
    <cellStyle name="Note 2 15 2 2 3" xfId="11452" xr:uid="{00000000-0005-0000-0000-0000BA800000}"/>
    <cellStyle name="Note 2 15 2 2 4" xfId="11453" xr:uid="{00000000-0005-0000-0000-0000BB800000}"/>
    <cellStyle name="Note 2 15 2 2 5" xfId="16893" xr:uid="{00000000-0005-0000-0000-0000BC800000}"/>
    <cellStyle name="Note 2 15 2 2 6" xfId="16314" xr:uid="{00000000-0005-0000-0000-0000BD800000}"/>
    <cellStyle name="Note 2 15 2 3" xfId="6330" xr:uid="{00000000-0005-0000-0000-0000BE800000}"/>
    <cellStyle name="Note 2 15 2 3 2" xfId="11454" xr:uid="{00000000-0005-0000-0000-0000BF800000}"/>
    <cellStyle name="Note 2 15 2 3 3" xfId="11455" xr:uid="{00000000-0005-0000-0000-0000C0800000}"/>
    <cellStyle name="Note 2 15 2 3 4" xfId="11456" xr:uid="{00000000-0005-0000-0000-0000C1800000}"/>
    <cellStyle name="Note 2 15 2 3 5" xfId="16894" xr:uid="{00000000-0005-0000-0000-0000C2800000}"/>
    <cellStyle name="Note 2 15 2 3 6" xfId="15438" xr:uid="{00000000-0005-0000-0000-0000C3800000}"/>
    <cellStyle name="Note 2 15 2 4" xfId="11457" xr:uid="{00000000-0005-0000-0000-0000C4800000}"/>
    <cellStyle name="Note 2 15 2 5" xfId="11458" xr:uid="{00000000-0005-0000-0000-0000C5800000}"/>
    <cellStyle name="Note 2 15 2 6" xfId="11459" xr:uid="{00000000-0005-0000-0000-0000C6800000}"/>
    <cellStyle name="Note 2 15 2 7" xfId="16534" xr:uid="{00000000-0005-0000-0000-0000C7800000}"/>
    <cellStyle name="Note 2 15 2 8" xfId="17918" xr:uid="{00000000-0005-0000-0000-0000C8800000}"/>
    <cellStyle name="Note 2 15 3" xfId="6331" xr:uid="{00000000-0005-0000-0000-0000C9800000}"/>
    <cellStyle name="Note 2 15 3 2" xfId="11460" xr:uid="{00000000-0005-0000-0000-0000CA800000}"/>
    <cellStyle name="Note 2 15 3 3" xfId="11461" xr:uid="{00000000-0005-0000-0000-0000CB800000}"/>
    <cellStyle name="Note 2 15 3 4" xfId="11462" xr:uid="{00000000-0005-0000-0000-0000CC800000}"/>
    <cellStyle name="Note 2 15 3 5" xfId="16895" xr:uid="{00000000-0005-0000-0000-0000CD800000}"/>
    <cellStyle name="Note 2 15 3 6" xfId="17745" xr:uid="{00000000-0005-0000-0000-0000CE800000}"/>
    <cellStyle name="Note 2 15 4" xfId="6332" xr:uid="{00000000-0005-0000-0000-0000CF800000}"/>
    <cellStyle name="Note 2 15 4 2" xfId="11463" xr:uid="{00000000-0005-0000-0000-0000D0800000}"/>
    <cellStyle name="Note 2 15 4 3" xfId="11464" xr:uid="{00000000-0005-0000-0000-0000D1800000}"/>
    <cellStyle name="Note 2 15 4 4" xfId="11465" xr:uid="{00000000-0005-0000-0000-0000D2800000}"/>
    <cellStyle name="Note 2 15 4 5" xfId="16896" xr:uid="{00000000-0005-0000-0000-0000D3800000}"/>
    <cellStyle name="Note 2 15 4 6" xfId="16313" xr:uid="{00000000-0005-0000-0000-0000D4800000}"/>
    <cellStyle name="Note 2 15 5" xfId="11466" xr:uid="{00000000-0005-0000-0000-0000D5800000}"/>
    <cellStyle name="Note 2 15 6" xfId="11467" xr:uid="{00000000-0005-0000-0000-0000D6800000}"/>
    <cellStyle name="Note 2 15 7" xfId="11468" xr:uid="{00000000-0005-0000-0000-0000D7800000}"/>
    <cellStyle name="Note 2 15 8" xfId="15927" xr:uid="{00000000-0005-0000-0000-0000D8800000}"/>
    <cellStyle name="Note 2 15 9" xfId="15755" xr:uid="{00000000-0005-0000-0000-0000D9800000}"/>
    <cellStyle name="Note 2 16" xfId="6333" xr:uid="{00000000-0005-0000-0000-0000DA800000}"/>
    <cellStyle name="Note 2 16 10" xfId="36102" xr:uid="{00000000-0005-0000-0000-0000DB800000}"/>
    <cellStyle name="Note 2 16 2" xfId="6334" xr:uid="{00000000-0005-0000-0000-0000DC800000}"/>
    <cellStyle name="Note 2 16 2 2" xfId="6335" xr:uid="{00000000-0005-0000-0000-0000DD800000}"/>
    <cellStyle name="Note 2 16 2 2 2" xfId="11469" xr:uid="{00000000-0005-0000-0000-0000DE800000}"/>
    <cellStyle name="Note 2 16 2 2 3" xfId="11470" xr:uid="{00000000-0005-0000-0000-0000DF800000}"/>
    <cellStyle name="Note 2 16 2 2 4" xfId="11471" xr:uid="{00000000-0005-0000-0000-0000E0800000}"/>
    <cellStyle name="Note 2 16 2 2 5" xfId="16897" xr:uid="{00000000-0005-0000-0000-0000E1800000}"/>
    <cellStyle name="Note 2 16 2 2 6" xfId="15437" xr:uid="{00000000-0005-0000-0000-0000E2800000}"/>
    <cellStyle name="Note 2 16 2 3" xfId="6336" xr:uid="{00000000-0005-0000-0000-0000E3800000}"/>
    <cellStyle name="Note 2 16 2 3 2" xfId="11472" xr:uid="{00000000-0005-0000-0000-0000E4800000}"/>
    <cellStyle name="Note 2 16 2 3 3" xfId="11473" xr:uid="{00000000-0005-0000-0000-0000E5800000}"/>
    <cellStyle name="Note 2 16 2 3 4" xfId="11474" xr:uid="{00000000-0005-0000-0000-0000E6800000}"/>
    <cellStyle name="Note 2 16 2 3 5" xfId="16898" xr:uid="{00000000-0005-0000-0000-0000E7800000}"/>
    <cellStyle name="Note 2 16 2 3 6" xfId="16105" xr:uid="{00000000-0005-0000-0000-0000E8800000}"/>
    <cellStyle name="Note 2 16 2 4" xfId="11475" xr:uid="{00000000-0005-0000-0000-0000E9800000}"/>
    <cellStyle name="Note 2 16 2 5" xfId="11476" xr:uid="{00000000-0005-0000-0000-0000EA800000}"/>
    <cellStyle name="Note 2 16 2 6" xfId="11477" xr:uid="{00000000-0005-0000-0000-0000EB800000}"/>
    <cellStyle name="Note 2 16 2 7" xfId="16535" xr:uid="{00000000-0005-0000-0000-0000EC800000}"/>
    <cellStyle name="Note 2 16 2 8" xfId="16487" xr:uid="{00000000-0005-0000-0000-0000ED800000}"/>
    <cellStyle name="Note 2 16 3" xfId="6337" xr:uid="{00000000-0005-0000-0000-0000EE800000}"/>
    <cellStyle name="Note 2 16 3 2" xfId="11478" xr:uid="{00000000-0005-0000-0000-0000EF800000}"/>
    <cellStyle name="Note 2 16 3 3" xfId="11479" xr:uid="{00000000-0005-0000-0000-0000F0800000}"/>
    <cellStyle name="Note 2 16 3 4" xfId="11480" xr:uid="{00000000-0005-0000-0000-0000F1800000}"/>
    <cellStyle name="Note 2 16 3 5" xfId="16899" xr:uid="{00000000-0005-0000-0000-0000F2800000}"/>
    <cellStyle name="Note 2 16 3 6" xfId="17744" xr:uid="{00000000-0005-0000-0000-0000F3800000}"/>
    <cellStyle name="Note 2 16 4" xfId="6338" xr:uid="{00000000-0005-0000-0000-0000F4800000}"/>
    <cellStyle name="Note 2 16 4 2" xfId="11481" xr:uid="{00000000-0005-0000-0000-0000F5800000}"/>
    <cellStyle name="Note 2 16 4 3" xfId="11482" xr:uid="{00000000-0005-0000-0000-0000F6800000}"/>
    <cellStyle name="Note 2 16 4 4" xfId="11483" xr:uid="{00000000-0005-0000-0000-0000F7800000}"/>
    <cellStyle name="Note 2 16 4 5" xfId="16900" xr:uid="{00000000-0005-0000-0000-0000F8800000}"/>
    <cellStyle name="Note 2 16 4 6" xfId="16312" xr:uid="{00000000-0005-0000-0000-0000F9800000}"/>
    <cellStyle name="Note 2 16 5" xfId="11484" xr:uid="{00000000-0005-0000-0000-0000FA800000}"/>
    <cellStyle name="Note 2 16 6" xfId="11485" xr:uid="{00000000-0005-0000-0000-0000FB800000}"/>
    <cellStyle name="Note 2 16 7" xfId="11486" xr:uid="{00000000-0005-0000-0000-0000FC800000}"/>
    <cellStyle name="Note 2 16 8" xfId="15928" xr:uid="{00000000-0005-0000-0000-0000FD800000}"/>
    <cellStyle name="Note 2 16 9" xfId="15754" xr:uid="{00000000-0005-0000-0000-0000FE800000}"/>
    <cellStyle name="Note 2 17" xfId="6339" xr:uid="{00000000-0005-0000-0000-0000FF800000}"/>
    <cellStyle name="Note 2 17 2" xfId="6340" xr:uid="{00000000-0005-0000-0000-000000810000}"/>
    <cellStyle name="Note 2 17 2 2" xfId="6341" xr:uid="{00000000-0005-0000-0000-000001810000}"/>
    <cellStyle name="Note 2 17 2 2 2" xfId="11487" xr:uid="{00000000-0005-0000-0000-000002810000}"/>
    <cellStyle name="Note 2 17 2 2 3" xfId="11488" xr:uid="{00000000-0005-0000-0000-000003810000}"/>
    <cellStyle name="Note 2 17 2 2 4" xfId="11489" xr:uid="{00000000-0005-0000-0000-000004810000}"/>
    <cellStyle name="Note 2 17 2 2 5" xfId="16901" xr:uid="{00000000-0005-0000-0000-000005810000}"/>
    <cellStyle name="Note 2 17 2 2 6" xfId="15436" xr:uid="{00000000-0005-0000-0000-000006810000}"/>
    <cellStyle name="Note 2 17 2 3" xfId="6342" xr:uid="{00000000-0005-0000-0000-000007810000}"/>
    <cellStyle name="Note 2 17 2 3 2" xfId="11490" xr:uid="{00000000-0005-0000-0000-000008810000}"/>
    <cellStyle name="Note 2 17 2 3 3" xfId="11491" xr:uid="{00000000-0005-0000-0000-000009810000}"/>
    <cellStyle name="Note 2 17 2 3 4" xfId="11492" xr:uid="{00000000-0005-0000-0000-00000A810000}"/>
    <cellStyle name="Note 2 17 2 3 5" xfId="16902" xr:uid="{00000000-0005-0000-0000-00000B810000}"/>
    <cellStyle name="Note 2 17 2 3 6" xfId="17743" xr:uid="{00000000-0005-0000-0000-00000C810000}"/>
    <cellStyle name="Note 2 17 2 4" xfId="11493" xr:uid="{00000000-0005-0000-0000-00000D810000}"/>
    <cellStyle name="Note 2 17 2 5" xfId="11494" xr:uid="{00000000-0005-0000-0000-00000E810000}"/>
    <cellStyle name="Note 2 17 2 6" xfId="11495" xr:uid="{00000000-0005-0000-0000-00000F810000}"/>
    <cellStyle name="Note 2 17 2 7" xfId="16536" xr:uid="{00000000-0005-0000-0000-000010810000}"/>
    <cellStyle name="Note 2 17 2 8" xfId="15616" xr:uid="{00000000-0005-0000-0000-000011810000}"/>
    <cellStyle name="Note 2 17 3" xfId="6343" xr:uid="{00000000-0005-0000-0000-000012810000}"/>
    <cellStyle name="Note 2 17 3 2" xfId="11496" xr:uid="{00000000-0005-0000-0000-000013810000}"/>
    <cellStyle name="Note 2 17 3 3" xfId="11497" xr:uid="{00000000-0005-0000-0000-000014810000}"/>
    <cellStyle name="Note 2 17 3 4" xfId="11498" xr:uid="{00000000-0005-0000-0000-000015810000}"/>
    <cellStyle name="Note 2 17 3 5" xfId="16903" xr:uid="{00000000-0005-0000-0000-000016810000}"/>
    <cellStyle name="Note 2 17 3 6" xfId="16311" xr:uid="{00000000-0005-0000-0000-000017810000}"/>
    <cellStyle name="Note 2 17 4" xfId="6344" xr:uid="{00000000-0005-0000-0000-000018810000}"/>
    <cellStyle name="Note 2 17 4 2" xfId="11499" xr:uid="{00000000-0005-0000-0000-000019810000}"/>
    <cellStyle name="Note 2 17 4 3" xfId="11500" xr:uid="{00000000-0005-0000-0000-00001A810000}"/>
    <cellStyle name="Note 2 17 4 4" xfId="11501" xr:uid="{00000000-0005-0000-0000-00001B810000}"/>
    <cellStyle name="Note 2 17 4 5" xfId="16904" xr:uid="{00000000-0005-0000-0000-00001C810000}"/>
    <cellStyle name="Note 2 17 4 6" xfId="15435" xr:uid="{00000000-0005-0000-0000-00001D810000}"/>
    <cellStyle name="Note 2 17 5" xfId="11502" xr:uid="{00000000-0005-0000-0000-00001E810000}"/>
    <cellStyle name="Note 2 17 6" xfId="11503" xr:uid="{00000000-0005-0000-0000-00001F810000}"/>
    <cellStyle name="Note 2 17 7" xfId="11504" xr:uid="{00000000-0005-0000-0000-000020810000}"/>
    <cellStyle name="Note 2 17 8" xfId="15929" xr:uid="{00000000-0005-0000-0000-000021810000}"/>
    <cellStyle name="Note 2 17 9" xfId="15753" xr:uid="{00000000-0005-0000-0000-000022810000}"/>
    <cellStyle name="Note 2 18" xfId="6345" xr:uid="{00000000-0005-0000-0000-000023810000}"/>
    <cellStyle name="Note 2 18 2" xfId="6346" xr:uid="{00000000-0005-0000-0000-000024810000}"/>
    <cellStyle name="Note 2 18 2 2" xfId="6347" xr:uid="{00000000-0005-0000-0000-000025810000}"/>
    <cellStyle name="Note 2 18 2 2 2" xfId="11505" xr:uid="{00000000-0005-0000-0000-000026810000}"/>
    <cellStyle name="Note 2 18 2 2 3" xfId="11506" xr:uid="{00000000-0005-0000-0000-000027810000}"/>
    <cellStyle name="Note 2 18 2 2 4" xfId="11507" xr:uid="{00000000-0005-0000-0000-000028810000}"/>
    <cellStyle name="Note 2 18 2 2 5" xfId="16905" xr:uid="{00000000-0005-0000-0000-000029810000}"/>
    <cellStyle name="Note 2 18 2 2 6" xfId="17742" xr:uid="{00000000-0005-0000-0000-00002A810000}"/>
    <cellStyle name="Note 2 18 2 3" xfId="6348" xr:uid="{00000000-0005-0000-0000-00002B810000}"/>
    <cellStyle name="Note 2 18 2 3 2" xfId="11508" xr:uid="{00000000-0005-0000-0000-00002C810000}"/>
    <cellStyle name="Note 2 18 2 3 3" xfId="11509" xr:uid="{00000000-0005-0000-0000-00002D810000}"/>
    <cellStyle name="Note 2 18 2 3 4" xfId="11510" xr:uid="{00000000-0005-0000-0000-00002E810000}"/>
    <cellStyle name="Note 2 18 2 3 5" xfId="16906" xr:uid="{00000000-0005-0000-0000-00002F810000}"/>
    <cellStyle name="Note 2 18 2 3 6" xfId="16310" xr:uid="{00000000-0005-0000-0000-000030810000}"/>
    <cellStyle name="Note 2 18 2 4" xfId="11511" xr:uid="{00000000-0005-0000-0000-000031810000}"/>
    <cellStyle name="Note 2 18 2 5" xfId="11512" xr:uid="{00000000-0005-0000-0000-000032810000}"/>
    <cellStyle name="Note 2 18 2 6" xfId="11513" xr:uid="{00000000-0005-0000-0000-000033810000}"/>
    <cellStyle name="Note 2 18 2 7" xfId="16537" xr:uid="{00000000-0005-0000-0000-000034810000}"/>
    <cellStyle name="Note 2 18 2 8" xfId="17917" xr:uid="{00000000-0005-0000-0000-000035810000}"/>
    <cellStyle name="Note 2 18 3" xfId="6349" xr:uid="{00000000-0005-0000-0000-000036810000}"/>
    <cellStyle name="Note 2 18 3 2" xfId="11514" xr:uid="{00000000-0005-0000-0000-000037810000}"/>
    <cellStyle name="Note 2 18 3 3" xfId="11515" xr:uid="{00000000-0005-0000-0000-000038810000}"/>
    <cellStyle name="Note 2 18 3 4" xfId="11516" xr:uid="{00000000-0005-0000-0000-000039810000}"/>
    <cellStyle name="Note 2 18 3 5" xfId="16907" xr:uid="{00000000-0005-0000-0000-00003A810000}"/>
    <cellStyle name="Note 2 18 3 6" xfId="15434" xr:uid="{00000000-0005-0000-0000-00003B810000}"/>
    <cellStyle name="Note 2 18 4" xfId="6350" xr:uid="{00000000-0005-0000-0000-00003C810000}"/>
    <cellStyle name="Note 2 18 4 2" xfId="11517" xr:uid="{00000000-0005-0000-0000-00003D810000}"/>
    <cellStyle name="Note 2 18 4 3" xfId="11518" xr:uid="{00000000-0005-0000-0000-00003E810000}"/>
    <cellStyle name="Note 2 18 4 4" xfId="11519" xr:uid="{00000000-0005-0000-0000-00003F810000}"/>
    <cellStyle name="Note 2 18 4 5" xfId="16908" xr:uid="{00000000-0005-0000-0000-000040810000}"/>
    <cellStyle name="Note 2 18 4 6" xfId="17741" xr:uid="{00000000-0005-0000-0000-000041810000}"/>
    <cellStyle name="Note 2 18 5" xfId="11520" xr:uid="{00000000-0005-0000-0000-000042810000}"/>
    <cellStyle name="Note 2 18 6" xfId="11521" xr:uid="{00000000-0005-0000-0000-000043810000}"/>
    <cellStyle name="Note 2 18 7" xfId="11522" xr:uid="{00000000-0005-0000-0000-000044810000}"/>
    <cellStyle name="Note 2 18 8" xfId="15930" xr:uid="{00000000-0005-0000-0000-000045810000}"/>
    <cellStyle name="Note 2 18 9" xfId="15752" xr:uid="{00000000-0005-0000-0000-000046810000}"/>
    <cellStyle name="Note 2 19" xfId="6351" xr:uid="{00000000-0005-0000-0000-000047810000}"/>
    <cellStyle name="Note 2 19 2" xfId="6352" xr:uid="{00000000-0005-0000-0000-000048810000}"/>
    <cellStyle name="Note 2 19 2 2" xfId="6353" xr:uid="{00000000-0005-0000-0000-000049810000}"/>
    <cellStyle name="Note 2 19 2 2 2" xfId="11523" xr:uid="{00000000-0005-0000-0000-00004A810000}"/>
    <cellStyle name="Note 2 19 2 2 3" xfId="11524" xr:uid="{00000000-0005-0000-0000-00004B810000}"/>
    <cellStyle name="Note 2 19 2 2 4" xfId="11525" xr:uid="{00000000-0005-0000-0000-00004C810000}"/>
    <cellStyle name="Note 2 19 2 2 5" xfId="16909" xr:uid="{00000000-0005-0000-0000-00004D810000}"/>
    <cellStyle name="Note 2 19 2 2 6" xfId="16309" xr:uid="{00000000-0005-0000-0000-00004E810000}"/>
    <cellStyle name="Note 2 19 2 3" xfId="6354" xr:uid="{00000000-0005-0000-0000-00004F810000}"/>
    <cellStyle name="Note 2 19 2 3 2" xfId="11526" xr:uid="{00000000-0005-0000-0000-000050810000}"/>
    <cellStyle name="Note 2 19 2 3 3" xfId="11527" xr:uid="{00000000-0005-0000-0000-000051810000}"/>
    <cellStyle name="Note 2 19 2 3 4" xfId="11528" xr:uid="{00000000-0005-0000-0000-000052810000}"/>
    <cellStyle name="Note 2 19 2 3 5" xfId="16910" xr:uid="{00000000-0005-0000-0000-000053810000}"/>
    <cellStyle name="Note 2 19 2 3 6" xfId="15433" xr:uid="{00000000-0005-0000-0000-000054810000}"/>
    <cellStyle name="Note 2 19 2 4" xfId="11529" xr:uid="{00000000-0005-0000-0000-000055810000}"/>
    <cellStyle name="Note 2 19 2 5" xfId="11530" xr:uid="{00000000-0005-0000-0000-000056810000}"/>
    <cellStyle name="Note 2 19 2 6" xfId="11531" xr:uid="{00000000-0005-0000-0000-000057810000}"/>
    <cellStyle name="Note 2 19 2 7" xfId="16538" xr:uid="{00000000-0005-0000-0000-000058810000}"/>
    <cellStyle name="Note 2 19 2 8" xfId="16486" xr:uid="{00000000-0005-0000-0000-000059810000}"/>
    <cellStyle name="Note 2 19 3" xfId="6355" xr:uid="{00000000-0005-0000-0000-00005A810000}"/>
    <cellStyle name="Note 2 19 3 2" xfId="11532" xr:uid="{00000000-0005-0000-0000-00005B810000}"/>
    <cellStyle name="Note 2 19 3 3" xfId="11533" xr:uid="{00000000-0005-0000-0000-00005C810000}"/>
    <cellStyle name="Note 2 19 3 4" xfId="11534" xr:uid="{00000000-0005-0000-0000-00005D810000}"/>
    <cellStyle name="Note 2 19 3 5" xfId="16911" xr:uid="{00000000-0005-0000-0000-00005E810000}"/>
    <cellStyle name="Note 2 19 3 6" xfId="15432" xr:uid="{00000000-0005-0000-0000-00005F810000}"/>
    <cellStyle name="Note 2 19 4" xfId="6356" xr:uid="{00000000-0005-0000-0000-000060810000}"/>
    <cellStyle name="Note 2 19 4 2" xfId="11535" xr:uid="{00000000-0005-0000-0000-000061810000}"/>
    <cellStyle name="Note 2 19 4 3" xfId="11536" xr:uid="{00000000-0005-0000-0000-000062810000}"/>
    <cellStyle name="Note 2 19 4 4" xfId="11537" xr:uid="{00000000-0005-0000-0000-000063810000}"/>
    <cellStyle name="Note 2 19 4 5" xfId="16912" xr:uid="{00000000-0005-0000-0000-000064810000}"/>
    <cellStyle name="Note 2 19 4 6" xfId="17734" xr:uid="{00000000-0005-0000-0000-000065810000}"/>
    <cellStyle name="Note 2 19 5" xfId="11538" xr:uid="{00000000-0005-0000-0000-000066810000}"/>
    <cellStyle name="Note 2 19 6" xfId="11539" xr:uid="{00000000-0005-0000-0000-000067810000}"/>
    <cellStyle name="Note 2 19 7" xfId="11540" xr:uid="{00000000-0005-0000-0000-000068810000}"/>
    <cellStyle name="Note 2 19 8" xfId="15931" xr:uid="{00000000-0005-0000-0000-000069810000}"/>
    <cellStyle name="Note 2 19 9" xfId="15751" xr:uid="{00000000-0005-0000-0000-00006A810000}"/>
    <cellStyle name="Note 2 2" xfId="6357" xr:uid="{00000000-0005-0000-0000-00006B810000}"/>
    <cellStyle name="Note 2 2 10" xfId="36103" xr:uid="{00000000-0005-0000-0000-00006C810000}"/>
    <cellStyle name="Note 2 2 10 2" xfId="42677" xr:uid="{00000000-0005-0000-0000-00006D810000}"/>
    <cellStyle name="Note 2 2 11" xfId="36104" xr:uid="{00000000-0005-0000-0000-00006E810000}"/>
    <cellStyle name="Note 2 2 11 2" xfId="42678" xr:uid="{00000000-0005-0000-0000-00006F810000}"/>
    <cellStyle name="Note 2 2 12" xfId="36105" xr:uid="{00000000-0005-0000-0000-000070810000}"/>
    <cellStyle name="Note 2 2 12 2" xfId="42679" xr:uid="{00000000-0005-0000-0000-000071810000}"/>
    <cellStyle name="Note 2 2 13" xfId="36106" xr:uid="{00000000-0005-0000-0000-000072810000}"/>
    <cellStyle name="Note 2 2 2" xfId="6358" xr:uid="{00000000-0005-0000-0000-000073810000}"/>
    <cellStyle name="Note 2 2 2 10" xfId="36107" xr:uid="{00000000-0005-0000-0000-000074810000}"/>
    <cellStyle name="Note 2 2 2 2" xfId="6359" xr:uid="{00000000-0005-0000-0000-000075810000}"/>
    <cellStyle name="Note 2 2 2 2 2" xfId="11541" xr:uid="{00000000-0005-0000-0000-000076810000}"/>
    <cellStyle name="Note 2 2 2 2 2 2" xfId="36110" xr:uid="{00000000-0005-0000-0000-000077810000}"/>
    <cellStyle name="Note 2 2 2 2 2 2 2" xfId="42683" xr:uid="{00000000-0005-0000-0000-000078810000}"/>
    <cellStyle name="Note 2 2 2 2 2 3" xfId="42682" xr:uid="{00000000-0005-0000-0000-000079810000}"/>
    <cellStyle name="Note 2 2 2 2 2 4" xfId="36109" xr:uid="{00000000-0005-0000-0000-00007A810000}"/>
    <cellStyle name="Note 2 2 2 2 3" xfId="11542" xr:uid="{00000000-0005-0000-0000-00007B810000}"/>
    <cellStyle name="Note 2 2 2 2 3 2" xfId="42684" xr:uid="{00000000-0005-0000-0000-00007C810000}"/>
    <cellStyle name="Note 2 2 2 2 3 3" xfId="36111" xr:uid="{00000000-0005-0000-0000-00007D810000}"/>
    <cellStyle name="Note 2 2 2 2 4" xfId="11543" xr:uid="{00000000-0005-0000-0000-00007E810000}"/>
    <cellStyle name="Note 2 2 2 2 4 2" xfId="42685" xr:uid="{00000000-0005-0000-0000-00007F810000}"/>
    <cellStyle name="Note 2 2 2 2 4 3" xfId="36112" xr:uid="{00000000-0005-0000-0000-000080810000}"/>
    <cellStyle name="Note 2 2 2 2 5" xfId="16913" xr:uid="{00000000-0005-0000-0000-000081810000}"/>
    <cellStyle name="Note 2 2 2 2 5 2" xfId="42686" xr:uid="{00000000-0005-0000-0000-000082810000}"/>
    <cellStyle name="Note 2 2 2 2 5 3" xfId="36113" xr:uid="{00000000-0005-0000-0000-000083810000}"/>
    <cellStyle name="Note 2 2 2 2 6" xfId="16302" xr:uid="{00000000-0005-0000-0000-000084810000}"/>
    <cellStyle name="Note 2 2 2 2 6 2" xfId="42687" xr:uid="{00000000-0005-0000-0000-000085810000}"/>
    <cellStyle name="Note 2 2 2 2 6 3" xfId="36114" xr:uid="{00000000-0005-0000-0000-000086810000}"/>
    <cellStyle name="Note 2 2 2 2 7" xfId="36115" xr:uid="{00000000-0005-0000-0000-000087810000}"/>
    <cellStyle name="Note 2 2 2 2 8" xfId="42681" xr:uid="{00000000-0005-0000-0000-000088810000}"/>
    <cellStyle name="Note 2 2 2 2 9" xfId="36108" xr:uid="{00000000-0005-0000-0000-000089810000}"/>
    <cellStyle name="Note 2 2 2 3" xfId="6360" xr:uid="{00000000-0005-0000-0000-00008A810000}"/>
    <cellStyle name="Note 2 2 2 3 2" xfId="11544" xr:uid="{00000000-0005-0000-0000-00008B810000}"/>
    <cellStyle name="Note 2 2 2 3 2 2" xfId="42689" xr:uid="{00000000-0005-0000-0000-00008C810000}"/>
    <cellStyle name="Note 2 2 2 3 2 3" xfId="36117" xr:uid="{00000000-0005-0000-0000-00008D810000}"/>
    <cellStyle name="Note 2 2 2 3 3" xfId="11545" xr:uid="{00000000-0005-0000-0000-00008E810000}"/>
    <cellStyle name="Note 2 2 2 3 3 2" xfId="36118" xr:uid="{00000000-0005-0000-0000-00008F810000}"/>
    <cellStyle name="Note 2 2 2 3 4" xfId="11546" xr:uid="{00000000-0005-0000-0000-000090810000}"/>
    <cellStyle name="Note 2 2 2 3 4 2" xfId="42688" xr:uid="{00000000-0005-0000-0000-000091810000}"/>
    <cellStyle name="Note 2 2 2 3 5" xfId="16914" xr:uid="{00000000-0005-0000-0000-000092810000}"/>
    <cellStyle name="Note 2 2 2 3 6" xfId="17740" xr:uid="{00000000-0005-0000-0000-000093810000}"/>
    <cellStyle name="Note 2 2 2 3 7" xfId="36116" xr:uid="{00000000-0005-0000-0000-000094810000}"/>
    <cellStyle name="Note 2 2 2 4" xfId="11547" xr:uid="{00000000-0005-0000-0000-000095810000}"/>
    <cellStyle name="Note 2 2 2 4 2" xfId="42690" xr:uid="{00000000-0005-0000-0000-000096810000}"/>
    <cellStyle name="Note 2 2 2 4 3" xfId="36119" xr:uid="{00000000-0005-0000-0000-000097810000}"/>
    <cellStyle name="Note 2 2 2 5" xfId="11548" xr:uid="{00000000-0005-0000-0000-000098810000}"/>
    <cellStyle name="Note 2 2 2 5 2" xfId="42691" xr:uid="{00000000-0005-0000-0000-000099810000}"/>
    <cellStyle name="Note 2 2 2 5 3" xfId="36120" xr:uid="{00000000-0005-0000-0000-00009A810000}"/>
    <cellStyle name="Note 2 2 2 6" xfId="11549" xr:uid="{00000000-0005-0000-0000-00009B810000}"/>
    <cellStyle name="Note 2 2 2 6 2" xfId="42692" xr:uid="{00000000-0005-0000-0000-00009C810000}"/>
    <cellStyle name="Note 2 2 2 6 3" xfId="36121" xr:uid="{00000000-0005-0000-0000-00009D810000}"/>
    <cellStyle name="Note 2 2 2 7" xfId="16539" xr:uid="{00000000-0005-0000-0000-00009E810000}"/>
    <cellStyle name="Note 2 2 2 7 2" xfId="42693" xr:uid="{00000000-0005-0000-0000-00009F810000}"/>
    <cellStyle name="Note 2 2 2 7 3" xfId="36122" xr:uid="{00000000-0005-0000-0000-0000A0810000}"/>
    <cellStyle name="Note 2 2 2 8" xfId="15615" xr:uid="{00000000-0005-0000-0000-0000A1810000}"/>
    <cellStyle name="Note 2 2 2 8 2" xfId="36123" xr:uid="{00000000-0005-0000-0000-0000A2810000}"/>
    <cellStyle name="Note 2 2 2 9" xfId="42680" xr:uid="{00000000-0005-0000-0000-0000A3810000}"/>
    <cellStyle name="Note 2 2 3" xfId="6361" xr:uid="{00000000-0005-0000-0000-0000A4810000}"/>
    <cellStyle name="Note 2 2 3 2" xfId="11550" xr:uid="{00000000-0005-0000-0000-0000A5810000}"/>
    <cellStyle name="Note 2 2 3 2 2" xfId="42695" xr:uid="{00000000-0005-0000-0000-0000A6810000}"/>
    <cellStyle name="Note 2 2 3 2 3" xfId="36125" xr:uid="{00000000-0005-0000-0000-0000A7810000}"/>
    <cellStyle name="Note 2 2 3 3" xfId="11551" xr:uid="{00000000-0005-0000-0000-0000A8810000}"/>
    <cellStyle name="Note 2 2 3 3 2" xfId="42696" xr:uid="{00000000-0005-0000-0000-0000A9810000}"/>
    <cellStyle name="Note 2 2 3 3 3" xfId="36126" xr:uid="{00000000-0005-0000-0000-0000AA810000}"/>
    <cellStyle name="Note 2 2 3 4" xfId="11552" xr:uid="{00000000-0005-0000-0000-0000AB810000}"/>
    <cellStyle name="Note 2 2 3 4 2" xfId="42697" xr:uid="{00000000-0005-0000-0000-0000AC810000}"/>
    <cellStyle name="Note 2 2 3 4 3" xfId="36127" xr:uid="{00000000-0005-0000-0000-0000AD810000}"/>
    <cellStyle name="Note 2 2 3 5" xfId="16915" xr:uid="{00000000-0005-0000-0000-0000AE810000}"/>
    <cellStyle name="Note 2 2 3 5 2" xfId="36128" xr:uid="{00000000-0005-0000-0000-0000AF810000}"/>
    <cellStyle name="Note 2 2 3 6" xfId="16308" xr:uid="{00000000-0005-0000-0000-0000B0810000}"/>
    <cellStyle name="Note 2 2 3 6 2" xfId="42694" xr:uid="{00000000-0005-0000-0000-0000B1810000}"/>
    <cellStyle name="Note 2 2 3 7" xfId="36124" xr:uid="{00000000-0005-0000-0000-0000B2810000}"/>
    <cellStyle name="Note 2 2 4" xfId="6362" xr:uid="{00000000-0005-0000-0000-0000B3810000}"/>
    <cellStyle name="Note 2 2 4 2" xfId="11553" xr:uid="{00000000-0005-0000-0000-0000B4810000}"/>
    <cellStyle name="Note 2 2 4 2 2" xfId="36130" xr:uid="{00000000-0005-0000-0000-0000B5810000}"/>
    <cellStyle name="Note 2 2 4 3" xfId="11554" xr:uid="{00000000-0005-0000-0000-0000B6810000}"/>
    <cellStyle name="Note 2 2 4 3 2" xfId="42698" xr:uid="{00000000-0005-0000-0000-0000B7810000}"/>
    <cellStyle name="Note 2 2 4 4" xfId="11555" xr:uid="{00000000-0005-0000-0000-0000B8810000}"/>
    <cellStyle name="Note 2 2 4 5" xfId="16916" xr:uid="{00000000-0005-0000-0000-0000B9810000}"/>
    <cellStyle name="Note 2 2 4 6" xfId="15431" xr:uid="{00000000-0005-0000-0000-0000BA810000}"/>
    <cellStyle name="Note 2 2 4 7" xfId="36129" xr:uid="{00000000-0005-0000-0000-0000BB810000}"/>
    <cellStyle name="Note 2 2 5" xfId="11556" xr:uid="{00000000-0005-0000-0000-0000BC810000}"/>
    <cellStyle name="Note 2 2 5 2" xfId="36132" xr:uid="{00000000-0005-0000-0000-0000BD810000}"/>
    <cellStyle name="Note 2 2 5 3" xfId="42699" xr:uid="{00000000-0005-0000-0000-0000BE810000}"/>
    <cellStyle name="Note 2 2 5 4" xfId="36131" xr:uid="{00000000-0005-0000-0000-0000BF810000}"/>
    <cellStyle name="Note 2 2 6" xfId="11557" xr:uid="{00000000-0005-0000-0000-0000C0810000}"/>
    <cellStyle name="Note 2 2 6 2" xfId="42700" xr:uid="{00000000-0005-0000-0000-0000C1810000}"/>
    <cellStyle name="Note 2 2 6 3" xfId="36133" xr:uid="{00000000-0005-0000-0000-0000C2810000}"/>
    <cellStyle name="Note 2 2 7" xfId="11558" xr:uid="{00000000-0005-0000-0000-0000C3810000}"/>
    <cellStyle name="Note 2 2 7 2" xfId="42701" xr:uid="{00000000-0005-0000-0000-0000C4810000}"/>
    <cellStyle name="Note 2 2 7 3" xfId="36134" xr:uid="{00000000-0005-0000-0000-0000C5810000}"/>
    <cellStyle name="Note 2 2 8" xfId="15932" xr:uid="{00000000-0005-0000-0000-0000C6810000}"/>
    <cellStyle name="Note 2 2 8 2" xfId="42702" xr:uid="{00000000-0005-0000-0000-0000C7810000}"/>
    <cellStyle name="Note 2 2 8 3" xfId="36135" xr:uid="{00000000-0005-0000-0000-0000C8810000}"/>
    <cellStyle name="Note 2 2 9" xfId="15750" xr:uid="{00000000-0005-0000-0000-0000C9810000}"/>
    <cellStyle name="Note 2 2 9 2" xfId="42703" xr:uid="{00000000-0005-0000-0000-0000CA810000}"/>
    <cellStyle name="Note 2 2 9 3" xfId="36136" xr:uid="{00000000-0005-0000-0000-0000CB810000}"/>
    <cellStyle name="Note 2 20" xfId="6363" xr:uid="{00000000-0005-0000-0000-0000CC810000}"/>
    <cellStyle name="Note 2 20 10" xfId="11559" xr:uid="{00000000-0005-0000-0000-0000CD810000}"/>
    <cellStyle name="Note 2 20 11" xfId="15933" xr:uid="{00000000-0005-0000-0000-0000CE810000}"/>
    <cellStyle name="Note 2 20 12" xfId="15749" xr:uid="{00000000-0005-0000-0000-0000CF810000}"/>
    <cellStyle name="Note 2 20 2" xfId="6364" xr:uid="{00000000-0005-0000-0000-0000D0810000}"/>
    <cellStyle name="Note 2 20 2 10" xfId="15934" xr:uid="{00000000-0005-0000-0000-0000D1810000}"/>
    <cellStyle name="Note 2 20 2 11" xfId="15748" xr:uid="{00000000-0005-0000-0000-0000D2810000}"/>
    <cellStyle name="Note 2 20 2 2" xfId="6365" xr:uid="{00000000-0005-0000-0000-0000D3810000}"/>
    <cellStyle name="Note 2 20 2 2 2" xfId="6366" xr:uid="{00000000-0005-0000-0000-0000D4810000}"/>
    <cellStyle name="Note 2 20 2 2 2 2" xfId="11560" xr:uid="{00000000-0005-0000-0000-0000D5810000}"/>
    <cellStyle name="Note 2 20 2 2 2 2 2" xfId="11561" xr:uid="{00000000-0005-0000-0000-0000D6810000}"/>
    <cellStyle name="Note 2 20 2 2 2 2 3" xfId="11562" xr:uid="{00000000-0005-0000-0000-0000D7810000}"/>
    <cellStyle name="Note 2 20 2 2 2 2 4" xfId="11563" xr:uid="{00000000-0005-0000-0000-0000D8810000}"/>
    <cellStyle name="Note 2 20 2 2 2 3" xfId="11564" xr:uid="{00000000-0005-0000-0000-0000D9810000}"/>
    <cellStyle name="Note 2 20 2 2 2 4" xfId="11565" xr:uid="{00000000-0005-0000-0000-0000DA810000}"/>
    <cellStyle name="Note 2 20 2 2 2 5" xfId="11566" xr:uid="{00000000-0005-0000-0000-0000DB810000}"/>
    <cellStyle name="Note 2 20 2 2 2 6" xfId="16917" xr:uid="{00000000-0005-0000-0000-0000DC810000}"/>
    <cellStyle name="Note 2 20 2 2 2 7" xfId="17739" xr:uid="{00000000-0005-0000-0000-0000DD810000}"/>
    <cellStyle name="Note 2 20 2 2 3" xfId="6367" xr:uid="{00000000-0005-0000-0000-0000DE810000}"/>
    <cellStyle name="Note 2 20 2 2 3 2" xfId="11567" xr:uid="{00000000-0005-0000-0000-0000DF810000}"/>
    <cellStyle name="Note 2 20 2 2 3 2 2" xfId="11568" xr:uid="{00000000-0005-0000-0000-0000E0810000}"/>
    <cellStyle name="Note 2 20 2 2 3 2 3" xfId="11569" xr:uid="{00000000-0005-0000-0000-0000E1810000}"/>
    <cellStyle name="Note 2 20 2 2 3 2 4" xfId="11570" xr:uid="{00000000-0005-0000-0000-0000E2810000}"/>
    <cellStyle name="Note 2 20 2 2 3 3" xfId="11571" xr:uid="{00000000-0005-0000-0000-0000E3810000}"/>
    <cellStyle name="Note 2 20 2 2 3 4" xfId="11572" xr:uid="{00000000-0005-0000-0000-0000E4810000}"/>
    <cellStyle name="Note 2 20 2 2 3 5" xfId="11573" xr:uid="{00000000-0005-0000-0000-0000E5810000}"/>
    <cellStyle name="Note 2 20 2 2 3 6" xfId="16918" xr:uid="{00000000-0005-0000-0000-0000E6810000}"/>
    <cellStyle name="Note 2 20 2 2 3 7" xfId="16307" xr:uid="{00000000-0005-0000-0000-0000E7810000}"/>
    <cellStyle name="Note 2 20 2 2 4" xfId="11574" xr:uid="{00000000-0005-0000-0000-0000E8810000}"/>
    <cellStyle name="Note 2 20 2 2 4 2" xfId="11575" xr:uid="{00000000-0005-0000-0000-0000E9810000}"/>
    <cellStyle name="Note 2 20 2 2 4 3" xfId="11576" xr:uid="{00000000-0005-0000-0000-0000EA810000}"/>
    <cellStyle name="Note 2 20 2 2 4 4" xfId="11577" xr:uid="{00000000-0005-0000-0000-0000EB810000}"/>
    <cellStyle name="Note 2 20 2 2 5" xfId="11578" xr:uid="{00000000-0005-0000-0000-0000EC810000}"/>
    <cellStyle name="Note 2 20 2 2 6" xfId="11579" xr:uid="{00000000-0005-0000-0000-0000ED810000}"/>
    <cellStyle name="Note 2 20 2 2 7" xfId="11580" xr:uid="{00000000-0005-0000-0000-0000EE810000}"/>
    <cellStyle name="Note 2 20 2 2 8" xfId="15935" xr:uid="{00000000-0005-0000-0000-0000EF810000}"/>
    <cellStyle name="Note 2 20 2 2 9" xfId="15747" xr:uid="{00000000-0005-0000-0000-0000F0810000}"/>
    <cellStyle name="Note 2 20 2 3" xfId="6368" xr:uid="{00000000-0005-0000-0000-0000F1810000}"/>
    <cellStyle name="Note 2 20 2 3 2" xfId="6369" xr:uid="{00000000-0005-0000-0000-0000F2810000}"/>
    <cellStyle name="Note 2 20 2 3 2 2" xfId="11581" xr:uid="{00000000-0005-0000-0000-0000F3810000}"/>
    <cellStyle name="Note 2 20 2 3 2 2 2" xfId="11582" xr:uid="{00000000-0005-0000-0000-0000F4810000}"/>
    <cellStyle name="Note 2 20 2 3 2 2 3" xfId="11583" xr:uid="{00000000-0005-0000-0000-0000F5810000}"/>
    <cellStyle name="Note 2 20 2 3 2 2 4" xfId="11584" xr:uid="{00000000-0005-0000-0000-0000F6810000}"/>
    <cellStyle name="Note 2 20 2 3 2 3" xfId="11585" xr:uid="{00000000-0005-0000-0000-0000F7810000}"/>
    <cellStyle name="Note 2 20 2 3 2 4" xfId="11586" xr:uid="{00000000-0005-0000-0000-0000F8810000}"/>
    <cellStyle name="Note 2 20 2 3 2 5" xfId="11587" xr:uid="{00000000-0005-0000-0000-0000F9810000}"/>
    <cellStyle name="Note 2 20 2 3 2 6" xfId="16919" xr:uid="{00000000-0005-0000-0000-0000FA810000}"/>
    <cellStyle name="Note 2 20 2 3 2 7" xfId="15430" xr:uid="{00000000-0005-0000-0000-0000FB810000}"/>
    <cellStyle name="Note 2 20 2 3 3" xfId="6370" xr:uid="{00000000-0005-0000-0000-0000FC810000}"/>
    <cellStyle name="Note 2 20 2 3 3 2" xfId="11588" xr:uid="{00000000-0005-0000-0000-0000FD810000}"/>
    <cellStyle name="Note 2 20 2 3 3 2 2" xfId="11589" xr:uid="{00000000-0005-0000-0000-0000FE810000}"/>
    <cellStyle name="Note 2 20 2 3 3 2 3" xfId="11590" xr:uid="{00000000-0005-0000-0000-0000FF810000}"/>
    <cellStyle name="Note 2 20 2 3 3 2 4" xfId="11591" xr:uid="{00000000-0005-0000-0000-000000820000}"/>
    <cellStyle name="Note 2 20 2 3 3 3" xfId="11592" xr:uid="{00000000-0005-0000-0000-000001820000}"/>
    <cellStyle name="Note 2 20 2 3 3 4" xfId="11593" xr:uid="{00000000-0005-0000-0000-000002820000}"/>
    <cellStyle name="Note 2 20 2 3 3 5" xfId="11594" xr:uid="{00000000-0005-0000-0000-000003820000}"/>
    <cellStyle name="Note 2 20 2 3 3 6" xfId="16920" xr:uid="{00000000-0005-0000-0000-000004820000}"/>
    <cellStyle name="Note 2 20 2 3 3 7" xfId="17738" xr:uid="{00000000-0005-0000-0000-000005820000}"/>
    <cellStyle name="Note 2 20 2 3 4" xfId="11595" xr:uid="{00000000-0005-0000-0000-000006820000}"/>
    <cellStyle name="Note 2 20 2 3 4 2" xfId="11596" xr:uid="{00000000-0005-0000-0000-000007820000}"/>
    <cellStyle name="Note 2 20 2 3 4 3" xfId="11597" xr:uid="{00000000-0005-0000-0000-000008820000}"/>
    <cellStyle name="Note 2 20 2 3 4 4" xfId="11598" xr:uid="{00000000-0005-0000-0000-000009820000}"/>
    <cellStyle name="Note 2 20 2 3 5" xfId="11599" xr:uid="{00000000-0005-0000-0000-00000A820000}"/>
    <cellStyle name="Note 2 20 2 3 6" xfId="11600" xr:uid="{00000000-0005-0000-0000-00000B820000}"/>
    <cellStyle name="Note 2 20 2 3 7" xfId="11601" xr:uid="{00000000-0005-0000-0000-00000C820000}"/>
    <cellStyle name="Note 2 20 2 3 8" xfId="15936" xr:uid="{00000000-0005-0000-0000-00000D820000}"/>
    <cellStyle name="Note 2 20 2 3 9" xfId="15746" xr:uid="{00000000-0005-0000-0000-00000E820000}"/>
    <cellStyle name="Note 2 20 2 4" xfId="6371" xr:uid="{00000000-0005-0000-0000-00000F820000}"/>
    <cellStyle name="Note 2 20 2 4 2" xfId="6372" xr:uid="{00000000-0005-0000-0000-000010820000}"/>
    <cellStyle name="Note 2 20 2 4 2 2" xfId="11602" xr:uid="{00000000-0005-0000-0000-000011820000}"/>
    <cellStyle name="Note 2 20 2 4 2 3" xfId="11603" xr:uid="{00000000-0005-0000-0000-000012820000}"/>
    <cellStyle name="Note 2 20 2 4 2 4" xfId="11604" xr:uid="{00000000-0005-0000-0000-000013820000}"/>
    <cellStyle name="Note 2 20 2 4 2 5" xfId="16921" xr:uid="{00000000-0005-0000-0000-000014820000}"/>
    <cellStyle name="Note 2 20 2 4 2 6" xfId="16306" xr:uid="{00000000-0005-0000-0000-000015820000}"/>
    <cellStyle name="Note 2 20 2 4 3" xfId="6373" xr:uid="{00000000-0005-0000-0000-000016820000}"/>
    <cellStyle name="Note 2 20 2 4 3 2" xfId="11605" xr:uid="{00000000-0005-0000-0000-000017820000}"/>
    <cellStyle name="Note 2 20 2 4 3 3" xfId="11606" xr:uid="{00000000-0005-0000-0000-000018820000}"/>
    <cellStyle name="Note 2 20 2 4 3 4" xfId="11607" xr:uid="{00000000-0005-0000-0000-000019820000}"/>
    <cellStyle name="Note 2 20 2 4 3 5" xfId="16922" xr:uid="{00000000-0005-0000-0000-00001A820000}"/>
    <cellStyle name="Note 2 20 2 4 3 6" xfId="15429" xr:uid="{00000000-0005-0000-0000-00001B820000}"/>
    <cellStyle name="Note 2 20 2 4 4" xfId="11608" xr:uid="{00000000-0005-0000-0000-00001C820000}"/>
    <cellStyle name="Note 2 20 2 4 5" xfId="11609" xr:uid="{00000000-0005-0000-0000-00001D820000}"/>
    <cellStyle name="Note 2 20 2 4 6" xfId="11610" xr:uid="{00000000-0005-0000-0000-00001E820000}"/>
    <cellStyle name="Note 2 20 2 4 7" xfId="16540" xr:uid="{00000000-0005-0000-0000-00001F820000}"/>
    <cellStyle name="Note 2 20 2 4 8" xfId="16119" xr:uid="{00000000-0005-0000-0000-000020820000}"/>
    <cellStyle name="Note 2 20 2 5" xfId="6374" xr:uid="{00000000-0005-0000-0000-000021820000}"/>
    <cellStyle name="Note 2 20 2 5 2" xfId="11611" xr:uid="{00000000-0005-0000-0000-000022820000}"/>
    <cellStyle name="Note 2 20 2 5 3" xfId="11612" xr:uid="{00000000-0005-0000-0000-000023820000}"/>
    <cellStyle name="Note 2 20 2 5 4" xfId="11613" xr:uid="{00000000-0005-0000-0000-000024820000}"/>
    <cellStyle name="Note 2 20 2 5 5" xfId="16923" xr:uid="{00000000-0005-0000-0000-000025820000}"/>
    <cellStyle name="Note 2 20 2 5 6" xfId="17737" xr:uid="{00000000-0005-0000-0000-000026820000}"/>
    <cellStyle name="Note 2 20 2 6" xfId="6375" xr:uid="{00000000-0005-0000-0000-000027820000}"/>
    <cellStyle name="Note 2 20 2 6 2" xfId="11614" xr:uid="{00000000-0005-0000-0000-000028820000}"/>
    <cellStyle name="Note 2 20 2 6 3" xfId="11615" xr:uid="{00000000-0005-0000-0000-000029820000}"/>
    <cellStyle name="Note 2 20 2 6 4" xfId="11616" xr:uid="{00000000-0005-0000-0000-00002A820000}"/>
    <cellStyle name="Note 2 20 2 6 5" xfId="16924" xr:uid="{00000000-0005-0000-0000-00002B820000}"/>
    <cellStyle name="Note 2 20 2 6 6" xfId="16305" xr:uid="{00000000-0005-0000-0000-00002C820000}"/>
    <cellStyle name="Note 2 20 2 7" xfId="11617" xr:uid="{00000000-0005-0000-0000-00002D820000}"/>
    <cellStyle name="Note 2 20 2 8" xfId="11618" xr:uid="{00000000-0005-0000-0000-00002E820000}"/>
    <cellStyle name="Note 2 20 2 9" xfId="11619" xr:uid="{00000000-0005-0000-0000-00002F820000}"/>
    <cellStyle name="Note 2 20 3" xfId="6376" xr:uid="{00000000-0005-0000-0000-000030820000}"/>
    <cellStyle name="Note 2 20 3 2" xfId="6377" xr:uid="{00000000-0005-0000-0000-000031820000}"/>
    <cellStyle name="Note 2 20 3 2 2" xfId="11620" xr:uid="{00000000-0005-0000-0000-000032820000}"/>
    <cellStyle name="Note 2 20 3 2 2 2" xfId="11621" xr:uid="{00000000-0005-0000-0000-000033820000}"/>
    <cellStyle name="Note 2 20 3 2 2 3" xfId="11622" xr:uid="{00000000-0005-0000-0000-000034820000}"/>
    <cellStyle name="Note 2 20 3 2 2 4" xfId="11623" xr:uid="{00000000-0005-0000-0000-000035820000}"/>
    <cellStyle name="Note 2 20 3 2 3" xfId="11624" xr:uid="{00000000-0005-0000-0000-000036820000}"/>
    <cellStyle name="Note 2 20 3 2 4" xfId="11625" xr:uid="{00000000-0005-0000-0000-000037820000}"/>
    <cellStyle name="Note 2 20 3 2 5" xfId="11626" xr:uid="{00000000-0005-0000-0000-000038820000}"/>
    <cellStyle name="Note 2 20 3 2 6" xfId="16925" xr:uid="{00000000-0005-0000-0000-000039820000}"/>
    <cellStyle name="Note 2 20 3 2 7" xfId="15428" xr:uid="{00000000-0005-0000-0000-00003A820000}"/>
    <cellStyle name="Note 2 20 3 3" xfId="6378" xr:uid="{00000000-0005-0000-0000-00003B820000}"/>
    <cellStyle name="Note 2 20 3 3 2" xfId="11627" xr:uid="{00000000-0005-0000-0000-00003C820000}"/>
    <cellStyle name="Note 2 20 3 3 2 2" xfId="11628" xr:uid="{00000000-0005-0000-0000-00003D820000}"/>
    <cellStyle name="Note 2 20 3 3 2 3" xfId="11629" xr:uid="{00000000-0005-0000-0000-00003E820000}"/>
    <cellStyle name="Note 2 20 3 3 2 4" xfId="11630" xr:uid="{00000000-0005-0000-0000-00003F820000}"/>
    <cellStyle name="Note 2 20 3 3 3" xfId="11631" xr:uid="{00000000-0005-0000-0000-000040820000}"/>
    <cellStyle name="Note 2 20 3 3 4" xfId="11632" xr:uid="{00000000-0005-0000-0000-000041820000}"/>
    <cellStyle name="Note 2 20 3 3 5" xfId="11633" xr:uid="{00000000-0005-0000-0000-000042820000}"/>
    <cellStyle name="Note 2 20 3 3 6" xfId="16926" xr:uid="{00000000-0005-0000-0000-000043820000}"/>
    <cellStyle name="Note 2 20 3 3 7" xfId="17736" xr:uid="{00000000-0005-0000-0000-000044820000}"/>
    <cellStyle name="Note 2 20 3 4" xfId="11634" xr:uid="{00000000-0005-0000-0000-000045820000}"/>
    <cellStyle name="Note 2 20 3 4 2" xfId="11635" xr:uid="{00000000-0005-0000-0000-000046820000}"/>
    <cellStyle name="Note 2 20 3 4 3" xfId="11636" xr:uid="{00000000-0005-0000-0000-000047820000}"/>
    <cellStyle name="Note 2 20 3 4 4" xfId="11637" xr:uid="{00000000-0005-0000-0000-000048820000}"/>
    <cellStyle name="Note 2 20 3 5" xfId="11638" xr:uid="{00000000-0005-0000-0000-000049820000}"/>
    <cellStyle name="Note 2 20 3 6" xfId="11639" xr:uid="{00000000-0005-0000-0000-00004A820000}"/>
    <cellStyle name="Note 2 20 3 7" xfId="11640" xr:uid="{00000000-0005-0000-0000-00004B820000}"/>
    <cellStyle name="Note 2 20 3 8" xfId="15937" xr:uid="{00000000-0005-0000-0000-00004C820000}"/>
    <cellStyle name="Note 2 20 3 9" xfId="15745" xr:uid="{00000000-0005-0000-0000-00004D820000}"/>
    <cellStyle name="Note 2 20 4" xfId="6379" xr:uid="{00000000-0005-0000-0000-00004E820000}"/>
    <cellStyle name="Note 2 20 4 2" xfId="6380" xr:uid="{00000000-0005-0000-0000-00004F820000}"/>
    <cellStyle name="Note 2 20 4 2 2" xfId="6381" xr:uid="{00000000-0005-0000-0000-000050820000}"/>
    <cellStyle name="Note 2 20 4 2 2 2" xfId="11641" xr:uid="{00000000-0005-0000-0000-000051820000}"/>
    <cellStyle name="Note 2 20 4 2 2 3" xfId="11642" xr:uid="{00000000-0005-0000-0000-000052820000}"/>
    <cellStyle name="Note 2 20 4 2 2 4" xfId="11643" xr:uid="{00000000-0005-0000-0000-000053820000}"/>
    <cellStyle name="Note 2 20 4 2 2 5" xfId="16927" xr:uid="{00000000-0005-0000-0000-000054820000}"/>
    <cellStyle name="Note 2 20 4 2 2 6" xfId="16304" xr:uid="{00000000-0005-0000-0000-000055820000}"/>
    <cellStyle name="Note 2 20 4 2 3" xfId="6382" xr:uid="{00000000-0005-0000-0000-000056820000}"/>
    <cellStyle name="Note 2 20 4 2 3 2" xfId="11644" xr:uid="{00000000-0005-0000-0000-000057820000}"/>
    <cellStyle name="Note 2 20 4 2 3 3" xfId="11645" xr:uid="{00000000-0005-0000-0000-000058820000}"/>
    <cellStyle name="Note 2 20 4 2 3 4" xfId="11646" xr:uid="{00000000-0005-0000-0000-000059820000}"/>
    <cellStyle name="Note 2 20 4 2 3 5" xfId="16928" xr:uid="{00000000-0005-0000-0000-00005A820000}"/>
    <cellStyle name="Note 2 20 4 2 3 6" xfId="15427" xr:uid="{00000000-0005-0000-0000-00005B820000}"/>
    <cellStyle name="Note 2 20 4 2 4" xfId="11647" xr:uid="{00000000-0005-0000-0000-00005C820000}"/>
    <cellStyle name="Note 2 20 4 2 5" xfId="11648" xr:uid="{00000000-0005-0000-0000-00005D820000}"/>
    <cellStyle name="Note 2 20 4 2 6" xfId="11649" xr:uid="{00000000-0005-0000-0000-00005E820000}"/>
    <cellStyle name="Note 2 20 4 2 7" xfId="16541" xr:uid="{00000000-0005-0000-0000-00005F820000}"/>
    <cellStyle name="Note 2 20 4 2 8" xfId="17916" xr:uid="{00000000-0005-0000-0000-000060820000}"/>
    <cellStyle name="Note 2 20 4 3" xfId="6383" xr:uid="{00000000-0005-0000-0000-000061820000}"/>
    <cellStyle name="Note 2 20 4 3 2" xfId="11650" xr:uid="{00000000-0005-0000-0000-000062820000}"/>
    <cellStyle name="Note 2 20 4 3 3" xfId="11651" xr:uid="{00000000-0005-0000-0000-000063820000}"/>
    <cellStyle name="Note 2 20 4 3 4" xfId="11652" xr:uid="{00000000-0005-0000-0000-000064820000}"/>
    <cellStyle name="Note 2 20 4 3 5" xfId="16929" xr:uid="{00000000-0005-0000-0000-000065820000}"/>
    <cellStyle name="Note 2 20 4 3 6" xfId="17735" xr:uid="{00000000-0005-0000-0000-000066820000}"/>
    <cellStyle name="Note 2 20 4 4" xfId="6384" xr:uid="{00000000-0005-0000-0000-000067820000}"/>
    <cellStyle name="Note 2 20 4 4 2" xfId="11653" xr:uid="{00000000-0005-0000-0000-000068820000}"/>
    <cellStyle name="Note 2 20 4 4 3" xfId="11654" xr:uid="{00000000-0005-0000-0000-000069820000}"/>
    <cellStyle name="Note 2 20 4 4 4" xfId="11655" xr:uid="{00000000-0005-0000-0000-00006A820000}"/>
    <cellStyle name="Note 2 20 4 4 5" xfId="16930" xr:uid="{00000000-0005-0000-0000-00006B820000}"/>
    <cellStyle name="Note 2 20 4 4 6" xfId="16303" xr:uid="{00000000-0005-0000-0000-00006C820000}"/>
    <cellStyle name="Note 2 20 4 5" xfId="11656" xr:uid="{00000000-0005-0000-0000-00006D820000}"/>
    <cellStyle name="Note 2 20 4 6" xfId="11657" xr:uid="{00000000-0005-0000-0000-00006E820000}"/>
    <cellStyle name="Note 2 20 4 7" xfId="11658" xr:uid="{00000000-0005-0000-0000-00006F820000}"/>
    <cellStyle name="Note 2 20 4 8" xfId="15938" xr:uid="{00000000-0005-0000-0000-000070820000}"/>
    <cellStyle name="Note 2 20 4 9" xfId="15744" xr:uid="{00000000-0005-0000-0000-000071820000}"/>
    <cellStyle name="Note 2 20 5" xfId="6385" xr:uid="{00000000-0005-0000-0000-000072820000}"/>
    <cellStyle name="Note 2 20 5 2" xfId="11659" xr:uid="{00000000-0005-0000-0000-000073820000}"/>
    <cellStyle name="Note 2 20 5 2 2" xfId="11660" xr:uid="{00000000-0005-0000-0000-000074820000}"/>
    <cellStyle name="Note 2 20 5 2 3" xfId="11661" xr:uid="{00000000-0005-0000-0000-000075820000}"/>
    <cellStyle name="Note 2 20 5 2 4" xfId="11662" xr:uid="{00000000-0005-0000-0000-000076820000}"/>
    <cellStyle name="Note 2 20 5 3" xfId="11663" xr:uid="{00000000-0005-0000-0000-000077820000}"/>
    <cellStyle name="Note 2 20 5 4" xfId="11664" xr:uid="{00000000-0005-0000-0000-000078820000}"/>
    <cellStyle name="Note 2 20 5 5" xfId="11665" xr:uid="{00000000-0005-0000-0000-000079820000}"/>
    <cellStyle name="Note 2 20 5 6" xfId="16931" xr:uid="{00000000-0005-0000-0000-00007A820000}"/>
    <cellStyle name="Note 2 20 5 7" xfId="15426" xr:uid="{00000000-0005-0000-0000-00007B820000}"/>
    <cellStyle name="Note 2 20 6" xfId="6386" xr:uid="{00000000-0005-0000-0000-00007C820000}"/>
    <cellStyle name="Note 2 20 6 2" xfId="11666" xr:uid="{00000000-0005-0000-0000-00007D820000}"/>
    <cellStyle name="Note 2 20 6 2 2" xfId="11667" xr:uid="{00000000-0005-0000-0000-00007E820000}"/>
    <cellStyle name="Note 2 20 6 2 3" xfId="11668" xr:uid="{00000000-0005-0000-0000-00007F820000}"/>
    <cellStyle name="Note 2 20 6 2 4" xfId="11669" xr:uid="{00000000-0005-0000-0000-000080820000}"/>
    <cellStyle name="Note 2 20 6 3" xfId="11670" xr:uid="{00000000-0005-0000-0000-000081820000}"/>
    <cellStyle name="Note 2 20 6 4" xfId="11671" xr:uid="{00000000-0005-0000-0000-000082820000}"/>
    <cellStyle name="Note 2 20 6 5" xfId="11672" xr:uid="{00000000-0005-0000-0000-000083820000}"/>
    <cellStyle name="Note 2 20 6 6" xfId="16932" xr:uid="{00000000-0005-0000-0000-000084820000}"/>
    <cellStyle name="Note 2 20 6 7" xfId="15425" xr:uid="{00000000-0005-0000-0000-000085820000}"/>
    <cellStyle name="Note 2 20 7" xfId="11673" xr:uid="{00000000-0005-0000-0000-000086820000}"/>
    <cellStyle name="Note 2 20 7 2" xfId="11674" xr:uid="{00000000-0005-0000-0000-000087820000}"/>
    <cellStyle name="Note 2 20 7 3" xfId="11675" xr:uid="{00000000-0005-0000-0000-000088820000}"/>
    <cellStyle name="Note 2 20 7 4" xfId="11676" xr:uid="{00000000-0005-0000-0000-000089820000}"/>
    <cellStyle name="Note 2 20 8" xfId="11677" xr:uid="{00000000-0005-0000-0000-00008A820000}"/>
    <cellStyle name="Note 2 20 9" xfId="11678" xr:uid="{00000000-0005-0000-0000-00008B820000}"/>
    <cellStyle name="Note 2 21" xfId="6387" xr:uid="{00000000-0005-0000-0000-00008C820000}"/>
    <cellStyle name="Note 2 21 2" xfId="6388" xr:uid="{00000000-0005-0000-0000-00008D820000}"/>
    <cellStyle name="Note 2 21 2 2" xfId="11679" xr:uid="{00000000-0005-0000-0000-00008E820000}"/>
    <cellStyle name="Note 2 21 2 2 2" xfId="11680" xr:uid="{00000000-0005-0000-0000-00008F820000}"/>
    <cellStyle name="Note 2 21 2 2 3" xfId="11681" xr:uid="{00000000-0005-0000-0000-000090820000}"/>
    <cellStyle name="Note 2 21 2 2 4" xfId="11682" xr:uid="{00000000-0005-0000-0000-000091820000}"/>
    <cellStyle name="Note 2 21 2 3" xfId="11683" xr:uid="{00000000-0005-0000-0000-000092820000}"/>
    <cellStyle name="Note 2 21 2 4" xfId="11684" xr:uid="{00000000-0005-0000-0000-000093820000}"/>
    <cellStyle name="Note 2 21 2 5" xfId="11685" xr:uid="{00000000-0005-0000-0000-000094820000}"/>
    <cellStyle name="Note 2 21 2 6" xfId="16933" xr:uid="{00000000-0005-0000-0000-000095820000}"/>
    <cellStyle name="Note 2 21 2 7" xfId="17733" xr:uid="{00000000-0005-0000-0000-000096820000}"/>
    <cellStyle name="Note 2 21 3" xfId="6389" xr:uid="{00000000-0005-0000-0000-000097820000}"/>
    <cellStyle name="Note 2 21 3 2" xfId="11686" xr:uid="{00000000-0005-0000-0000-000098820000}"/>
    <cellStyle name="Note 2 21 3 2 2" xfId="11687" xr:uid="{00000000-0005-0000-0000-000099820000}"/>
    <cellStyle name="Note 2 21 3 2 3" xfId="11688" xr:uid="{00000000-0005-0000-0000-00009A820000}"/>
    <cellStyle name="Note 2 21 3 2 4" xfId="11689" xr:uid="{00000000-0005-0000-0000-00009B820000}"/>
    <cellStyle name="Note 2 21 3 3" xfId="11690" xr:uid="{00000000-0005-0000-0000-00009C820000}"/>
    <cellStyle name="Note 2 21 3 4" xfId="11691" xr:uid="{00000000-0005-0000-0000-00009D820000}"/>
    <cellStyle name="Note 2 21 3 5" xfId="11692" xr:uid="{00000000-0005-0000-0000-00009E820000}"/>
    <cellStyle name="Note 2 21 3 6" xfId="16934" xr:uid="{00000000-0005-0000-0000-00009F820000}"/>
    <cellStyle name="Note 2 21 3 7" xfId="16301" xr:uid="{00000000-0005-0000-0000-0000A0820000}"/>
    <cellStyle name="Note 2 21 4" xfId="11693" xr:uid="{00000000-0005-0000-0000-0000A1820000}"/>
    <cellStyle name="Note 2 21 4 2" xfId="11694" xr:uid="{00000000-0005-0000-0000-0000A2820000}"/>
    <cellStyle name="Note 2 21 4 3" xfId="11695" xr:uid="{00000000-0005-0000-0000-0000A3820000}"/>
    <cellStyle name="Note 2 21 4 4" xfId="11696" xr:uid="{00000000-0005-0000-0000-0000A4820000}"/>
    <cellStyle name="Note 2 21 5" xfId="11697" xr:uid="{00000000-0005-0000-0000-0000A5820000}"/>
    <cellStyle name="Note 2 21 6" xfId="11698" xr:uid="{00000000-0005-0000-0000-0000A6820000}"/>
    <cellStyle name="Note 2 21 7" xfId="11699" xr:uid="{00000000-0005-0000-0000-0000A7820000}"/>
    <cellStyle name="Note 2 21 8" xfId="15939" xr:uid="{00000000-0005-0000-0000-0000A8820000}"/>
    <cellStyle name="Note 2 21 9" xfId="15743" xr:uid="{00000000-0005-0000-0000-0000A9820000}"/>
    <cellStyle name="Note 2 22" xfId="6390" xr:uid="{00000000-0005-0000-0000-0000AA820000}"/>
    <cellStyle name="Note 2 22 2" xfId="6391" xr:uid="{00000000-0005-0000-0000-0000AB820000}"/>
    <cellStyle name="Note 2 22 2 2" xfId="11700" xr:uid="{00000000-0005-0000-0000-0000AC820000}"/>
    <cellStyle name="Note 2 22 2 2 2" xfId="11701" xr:uid="{00000000-0005-0000-0000-0000AD820000}"/>
    <cellStyle name="Note 2 22 2 2 3" xfId="11702" xr:uid="{00000000-0005-0000-0000-0000AE820000}"/>
    <cellStyle name="Note 2 22 2 2 4" xfId="11703" xr:uid="{00000000-0005-0000-0000-0000AF820000}"/>
    <cellStyle name="Note 2 22 2 3" xfId="11704" xr:uid="{00000000-0005-0000-0000-0000B0820000}"/>
    <cellStyle name="Note 2 22 2 4" xfId="11705" xr:uid="{00000000-0005-0000-0000-0000B1820000}"/>
    <cellStyle name="Note 2 22 2 5" xfId="11706" xr:uid="{00000000-0005-0000-0000-0000B2820000}"/>
    <cellStyle name="Note 2 22 2 6" xfId="16935" xr:uid="{00000000-0005-0000-0000-0000B3820000}"/>
    <cellStyle name="Note 2 22 2 7" xfId="15424" xr:uid="{00000000-0005-0000-0000-0000B4820000}"/>
    <cellStyle name="Note 2 22 3" xfId="6392" xr:uid="{00000000-0005-0000-0000-0000B5820000}"/>
    <cellStyle name="Note 2 22 3 2" xfId="11707" xr:uid="{00000000-0005-0000-0000-0000B6820000}"/>
    <cellStyle name="Note 2 22 3 2 2" xfId="11708" xr:uid="{00000000-0005-0000-0000-0000B7820000}"/>
    <cellStyle name="Note 2 22 3 2 3" xfId="11709" xr:uid="{00000000-0005-0000-0000-0000B8820000}"/>
    <cellStyle name="Note 2 22 3 2 4" xfId="11710" xr:uid="{00000000-0005-0000-0000-0000B9820000}"/>
    <cellStyle name="Note 2 22 3 3" xfId="11711" xr:uid="{00000000-0005-0000-0000-0000BA820000}"/>
    <cellStyle name="Note 2 22 3 4" xfId="11712" xr:uid="{00000000-0005-0000-0000-0000BB820000}"/>
    <cellStyle name="Note 2 22 3 5" xfId="11713" xr:uid="{00000000-0005-0000-0000-0000BC820000}"/>
    <cellStyle name="Note 2 22 3 6" xfId="16936" xr:uid="{00000000-0005-0000-0000-0000BD820000}"/>
    <cellStyle name="Note 2 22 3 7" xfId="17732" xr:uid="{00000000-0005-0000-0000-0000BE820000}"/>
    <cellStyle name="Note 2 22 4" xfId="11714" xr:uid="{00000000-0005-0000-0000-0000BF820000}"/>
    <cellStyle name="Note 2 22 4 2" xfId="11715" xr:uid="{00000000-0005-0000-0000-0000C0820000}"/>
    <cellStyle name="Note 2 22 4 3" xfId="11716" xr:uid="{00000000-0005-0000-0000-0000C1820000}"/>
    <cellStyle name="Note 2 22 4 4" xfId="11717" xr:uid="{00000000-0005-0000-0000-0000C2820000}"/>
    <cellStyle name="Note 2 22 5" xfId="11718" xr:uid="{00000000-0005-0000-0000-0000C3820000}"/>
    <cellStyle name="Note 2 22 6" xfId="11719" xr:uid="{00000000-0005-0000-0000-0000C4820000}"/>
    <cellStyle name="Note 2 22 7" xfId="11720" xr:uid="{00000000-0005-0000-0000-0000C5820000}"/>
    <cellStyle name="Note 2 22 8" xfId="15940" xr:uid="{00000000-0005-0000-0000-0000C6820000}"/>
    <cellStyle name="Note 2 22 9" xfId="15742" xr:uid="{00000000-0005-0000-0000-0000C7820000}"/>
    <cellStyle name="Note 2 23" xfId="6393" xr:uid="{00000000-0005-0000-0000-0000C8820000}"/>
    <cellStyle name="Note 2 23 10" xfId="15941" xr:uid="{00000000-0005-0000-0000-0000C9820000}"/>
    <cellStyle name="Note 2 23 11" xfId="15741" xr:uid="{00000000-0005-0000-0000-0000CA820000}"/>
    <cellStyle name="Note 2 23 2" xfId="6394" xr:uid="{00000000-0005-0000-0000-0000CB820000}"/>
    <cellStyle name="Note 2 23 2 2" xfId="6395" xr:uid="{00000000-0005-0000-0000-0000CC820000}"/>
    <cellStyle name="Note 2 23 2 2 2" xfId="11721" xr:uid="{00000000-0005-0000-0000-0000CD820000}"/>
    <cellStyle name="Note 2 23 2 2 2 2" xfId="11722" xr:uid="{00000000-0005-0000-0000-0000CE820000}"/>
    <cellStyle name="Note 2 23 2 2 2 3" xfId="11723" xr:uid="{00000000-0005-0000-0000-0000CF820000}"/>
    <cellStyle name="Note 2 23 2 2 2 4" xfId="11724" xr:uid="{00000000-0005-0000-0000-0000D0820000}"/>
    <cellStyle name="Note 2 23 2 2 3" xfId="11725" xr:uid="{00000000-0005-0000-0000-0000D1820000}"/>
    <cellStyle name="Note 2 23 2 2 4" xfId="11726" xr:uid="{00000000-0005-0000-0000-0000D2820000}"/>
    <cellStyle name="Note 2 23 2 2 5" xfId="11727" xr:uid="{00000000-0005-0000-0000-0000D3820000}"/>
    <cellStyle name="Note 2 23 2 2 6" xfId="16937" xr:uid="{00000000-0005-0000-0000-0000D4820000}"/>
    <cellStyle name="Note 2 23 2 2 7" xfId="16300" xr:uid="{00000000-0005-0000-0000-0000D5820000}"/>
    <cellStyle name="Note 2 23 2 3" xfId="6396" xr:uid="{00000000-0005-0000-0000-0000D6820000}"/>
    <cellStyle name="Note 2 23 2 3 2" xfId="11728" xr:uid="{00000000-0005-0000-0000-0000D7820000}"/>
    <cellStyle name="Note 2 23 2 3 2 2" xfId="11729" xr:uid="{00000000-0005-0000-0000-0000D8820000}"/>
    <cellStyle name="Note 2 23 2 3 2 3" xfId="11730" xr:uid="{00000000-0005-0000-0000-0000D9820000}"/>
    <cellStyle name="Note 2 23 2 3 2 4" xfId="11731" xr:uid="{00000000-0005-0000-0000-0000DA820000}"/>
    <cellStyle name="Note 2 23 2 3 3" xfId="11732" xr:uid="{00000000-0005-0000-0000-0000DB820000}"/>
    <cellStyle name="Note 2 23 2 3 4" xfId="11733" xr:uid="{00000000-0005-0000-0000-0000DC820000}"/>
    <cellStyle name="Note 2 23 2 3 5" xfId="11734" xr:uid="{00000000-0005-0000-0000-0000DD820000}"/>
    <cellStyle name="Note 2 23 2 3 6" xfId="16938" xr:uid="{00000000-0005-0000-0000-0000DE820000}"/>
    <cellStyle name="Note 2 23 2 3 7" xfId="15423" xr:uid="{00000000-0005-0000-0000-0000DF820000}"/>
    <cellStyle name="Note 2 23 2 4" xfId="11735" xr:uid="{00000000-0005-0000-0000-0000E0820000}"/>
    <cellStyle name="Note 2 23 2 4 2" xfId="11736" xr:uid="{00000000-0005-0000-0000-0000E1820000}"/>
    <cellStyle name="Note 2 23 2 4 3" xfId="11737" xr:uid="{00000000-0005-0000-0000-0000E2820000}"/>
    <cellStyle name="Note 2 23 2 4 4" xfId="11738" xr:uid="{00000000-0005-0000-0000-0000E3820000}"/>
    <cellStyle name="Note 2 23 2 5" xfId="11739" xr:uid="{00000000-0005-0000-0000-0000E4820000}"/>
    <cellStyle name="Note 2 23 2 6" xfId="11740" xr:uid="{00000000-0005-0000-0000-0000E5820000}"/>
    <cellStyle name="Note 2 23 2 7" xfId="11741" xr:uid="{00000000-0005-0000-0000-0000E6820000}"/>
    <cellStyle name="Note 2 23 2 8" xfId="15942" xr:uid="{00000000-0005-0000-0000-0000E7820000}"/>
    <cellStyle name="Note 2 23 2 9" xfId="15740" xr:uid="{00000000-0005-0000-0000-0000E8820000}"/>
    <cellStyle name="Note 2 23 3" xfId="6397" xr:uid="{00000000-0005-0000-0000-0000E9820000}"/>
    <cellStyle name="Note 2 23 3 2" xfId="6398" xr:uid="{00000000-0005-0000-0000-0000EA820000}"/>
    <cellStyle name="Note 2 23 3 2 2" xfId="11742" xr:uid="{00000000-0005-0000-0000-0000EB820000}"/>
    <cellStyle name="Note 2 23 3 2 2 2" xfId="11743" xr:uid="{00000000-0005-0000-0000-0000EC820000}"/>
    <cellStyle name="Note 2 23 3 2 2 3" xfId="11744" xr:uid="{00000000-0005-0000-0000-0000ED820000}"/>
    <cellStyle name="Note 2 23 3 2 2 4" xfId="11745" xr:uid="{00000000-0005-0000-0000-0000EE820000}"/>
    <cellStyle name="Note 2 23 3 2 3" xfId="11746" xr:uid="{00000000-0005-0000-0000-0000EF820000}"/>
    <cellStyle name="Note 2 23 3 2 4" xfId="11747" xr:uid="{00000000-0005-0000-0000-0000F0820000}"/>
    <cellStyle name="Note 2 23 3 2 5" xfId="11748" xr:uid="{00000000-0005-0000-0000-0000F1820000}"/>
    <cellStyle name="Note 2 23 3 2 6" xfId="16939" xr:uid="{00000000-0005-0000-0000-0000F2820000}"/>
    <cellStyle name="Note 2 23 3 2 7" xfId="15414" xr:uid="{00000000-0005-0000-0000-0000F3820000}"/>
    <cellStyle name="Note 2 23 3 3" xfId="6399" xr:uid="{00000000-0005-0000-0000-0000F4820000}"/>
    <cellStyle name="Note 2 23 3 3 2" xfId="11749" xr:uid="{00000000-0005-0000-0000-0000F5820000}"/>
    <cellStyle name="Note 2 23 3 3 2 2" xfId="11750" xr:uid="{00000000-0005-0000-0000-0000F6820000}"/>
    <cellStyle name="Note 2 23 3 3 2 3" xfId="11751" xr:uid="{00000000-0005-0000-0000-0000F7820000}"/>
    <cellStyle name="Note 2 23 3 3 2 4" xfId="11752" xr:uid="{00000000-0005-0000-0000-0000F8820000}"/>
    <cellStyle name="Note 2 23 3 3 3" xfId="11753" xr:uid="{00000000-0005-0000-0000-0000F9820000}"/>
    <cellStyle name="Note 2 23 3 3 4" xfId="11754" xr:uid="{00000000-0005-0000-0000-0000FA820000}"/>
    <cellStyle name="Note 2 23 3 3 5" xfId="11755" xr:uid="{00000000-0005-0000-0000-0000FB820000}"/>
    <cellStyle name="Note 2 23 3 3 6" xfId="16940" xr:uid="{00000000-0005-0000-0000-0000FC820000}"/>
    <cellStyle name="Note 2 23 3 3 7" xfId="17731" xr:uid="{00000000-0005-0000-0000-0000FD820000}"/>
    <cellStyle name="Note 2 23 3 4" xfId="11756" xr:uid="{00000000-0005-0000-0000-0000FE820000}"/>
    <cellStyle name="Note 2 23 3 4 2" xfId="11757" xr:uid="{00000000-0005-0000-0000-0000FF820000}"/>
    <cellStyle name="Note 2 23 3 4 3" xfId="11758" xr:uid="{00000000-0005-0000-0000-000000830000}"/>
    <cellStyle name="Note 2 23 3 4 4" xfId="11759" xr:uid="{00000000-0005-0000-0000-000001830000}"/>
    <cellStyle name="Note 2 23 3 5" xfId="11760" xr:uid="{00000000-0005-0000-0000-000002830000}"/>
    <cellStyle name="Note 2 23 3 6" xfId="11761" xr:uid="{00000000-0005-0000-0000-000003830000}"/>
    <cellStyle name="Note 2 23 3 7" xfId="11762" xr:uid="{00000000-0005-0000-0000-000004830000}"/>
    <cellStyle name="Note 2 23 3 8" xfId="15943" xr:uid="{00000000-0005-0000-0000-000005830000}"/>
    <cellStyle name="Note 2 23 3 9" xfId="15739" xr:uid="{00000000-0005-0000-0000-000006830000}"/>
    <cellStyle name="Note 2 23 4" xfId="6400" xr:uid="{00000000-0005-0000-0000-000007830000}"/>
    <cellStyle name="Note 2 23 4 2" xfId="6401" xr:uid="{00000000-0005-0000-0000-000008830000}"/>
    <cellStyle name="Note 2 23 4 2 2" xfId="11763" xr:uid="{00000000-0005-0000-0000-000009830000}"/>
    <cellStyle name="Note 2 23 4 2 3" xfId="11764" xr:uid="{00000000-0005-0000-0000-00000A830000}"/>
    <cellStyle name="Note 2 23 4 2 4" xfId="11765" xr:uid="{00000000-0005-0000-0000-00000B830000}"/>
    <cellStyle name="Note 2 23 4 2 5" xfId="16941" xr:uid="{00000000-0005-0000-0000-00000C830000}"/>
    <cellStyle name="Note 2 23 4 2 6" xfId="16299" xr:uid="{00000000-0005-0000-0000-00000D830000}"/>
    <cellStyle name="Note 2 23 4 3" xfId="6402" xr:uid="{00000000-0005-0000-0000-00000E830000}"/>
    <cellStyle name="Note 2 23 4 3 2" xfId="11766" xr:uid="{00000000-0005-0000-0000-00000F830000}"/>
    <cellStyle name="Note 2 23 4 3 3" xfId="11767" xr:uid="{00000000-0005-0000-0000-000010830000}"/>
    <cellStyle name="Note 2 23 4 3 4" xfId="11768" xr:uid="{00000000-0005-0000-0000-000011830000}"/>
    <cellStyle name="Note 2 23 4 3 5" xfId="16942" xr:uid="{00000000-0005-0000-0000-000012830000}"/>
    <cellStyle name="Note 2 23 4 3 6" xfId="15422" xr:uid="{00000000-0005-0000-0000-000013830000}"/>
    <cellStyle name="Note 2 23 4 4" xfId="11769" xr:uid="{00000000-0005-0000-0000-000014830000}"/>
    <cellStyle name="Note 2 23 4 5" xfId="11770" xr:uid="{00000000-0005-0000-0000-000015830000}"/>
    <cellStyle name="Note 2 23 4 6" xfId="11771" xr:uid="{00000000-0005-0000-0000-000016830000}"/>
    <cellStyle name="Note 2 23 4 7" xfId="16542" xr:uid="{00000000-0005-0000-0000-000017830000}"/>
    <cellStyle name="Note 2 23 4 8" xfId="16485" xr:uid="{00000000-0005-0000-0000-000018830000}"/>
    <cellStyle name="Note 2 23 5" xfId="6403" xr:uid="{00000000-0005-0000-0000-000019830000}"/>
    <cellStyle name="Note 2 23 5 2" xfId="11772" xr:uid="{00000000-0005-0000-0000-00001A830000}"/>
    <cellStyle name="Note 2 23 5 3" xfId="11773" xr:uid="{00000000-0005-0000-0000-00001B830000}"/>
    <cellStyle name="Note 2 23 5 4" xfId="11774" xr:uid="{00000000-0005-0000-0000-00001C830000}"/>
    <cellStyle name="Note 2 23 5 5" xfId="16943" xr:uid="{00000000-0005-0000-0000-00001D830000}"/>
    <cellStyle name="Note 2 23 5 6" xfId="17730" xr:uid="{00000000-0005-0000-0000-00001E830000}"/>
    <cellStyle name="Note 2 23 6" xfId="6404" xr:uid="{00000000-0005-0000-0000-00001F830000}"/>
    <cellStyle name="Note 2 23 6 2" xfId="11775" xr:uid="{00000000-0005-0000-0000-000020830000}"/>
    <cellStyle name="Note 2 23 6 3" xfId="11776" xr:uid="{00000000-0005-0000-0000-000021830000}"/>
    <cellStyle name="Note 2 23 6 4" xfId="11777" xr:uid="{00000000-0005-0000-0000-000022830000}"/>
    <cellStyle name="Note 2 23 6 5" xfId="16944" xr:uid="{00000000-0005-0000-0000-000023830000}"/>
    <cellStyle name="Note 2 23 6 6" xfId="16298" xr:uid="{00000000-0005-0000-0000-000024830000}"/>
    <cellStyle name="Note 2 23 7" xfId="11778" xr:uid="{00000000-0005-0000-0000-000025830000}"/>
    <cellStyle name="Note 2 23 8" xfId="11779" xr:uid="{00000000-0005-0000-0000-000026830000}"/>
    <cellStyle name="Note 2 23 9" xfId="11780" xr:uid="{00000000-0005-0000-0000-000027830000}"/>
    <cellStyle name="Note 2 24" xfId="6405" xr:uid="{00000000-0005-0000-0000-000028830000}"/>
    <cellStyle name="Note 2 24 10" xfId="15944" xr:uid="{00000000-0005-0000-0000-000029830000}"/>
    <cellStyle name="Note 2 24 11" xfId="15738" xr:uid="{00000000-0005-0000-0000-00002A830000}"/>
    <cellStyle name="Note 2 24 2" xfId="6406" xr:uid="{00000000-0005-0000-0000-00002B830000}"/>
    <cellStyle name="Note 2 24 2 2" xfId="6407" xr:uid="{00000000-0005-0000-0000-00002C830000}"/>
    <cellStyle name="Note 2 24 2 2 2" xfId="11781" xr:uid="{00000000-0005-0000-0000-00002D830000}"/>
    <cellStyle name="Note 2 24 2 2 2 2" xfId="11782" xr:uid="{00000000-0005-0000-0000-00002E830000}"/>
    <cellStyle name="Note 2 24 2 2 2 3" xfId="11783" xr:uid="{00000000-0005-0000-0000-00002F830000}"/>
    <cellStyle name="Note 2 24 2 2 2 4" xfId="11784" xr:uid="{00000000-0005-0000-0000-000030830000}"/>
    <cellStyle name="Note 2 24 2 2 3" xfId="11785" xr:uid="{00000000-0005-0000-0000-000031830000}"/>
    <cellStyle name="Note 2 24 2 2 4" xfId="11786" xr:uid="{00000000-0005-0000-0000-000032830000}"/>
    <cellStyle name="Note 2 24 2 2 5" xfId="11787" xr:uid="{00000000-0005-0000-0000-000033830000}"/>
    <cellStyle name="Note 2 24 2 2 6" xfId="16945" xr:uid="{00000000-0005-0000-0000-000034830000}"/>
    <cellStyle name="Note 2 24 2 2 7" xfId="15421" xr:uid="{00000000-0005-0000-0000-000035830000}"/>
    <cellStyle name="Note 2 24 2 3" xfId="6408" xr:uid="{00000000-0005-0000-0000-000036830000}"/>
    <cellStyle name="Note 2 24 2 3 2" xfId="11788" xr:uid="{00000000-0005-0000-0000-000037830000}"/>
    <cellStyle name="Note 2 24 2 3 2 2" xfId="11789" xr:uid="{00000000-0005-0000-0000-000038830000}"/>
    <cellStyle name="Note 2 24 2 3 2 3" xfId="11790" xr:uid="{00000000-0005-0000-0000-000039830000}"/>
    <cellStyle name="Note 2 24 2 3 2 4" xfId="11791" xr:uid="{00000000-0005-0000-0000-00003A830000}"/>
    <cellStyle name="Note 2 24 2 3 3" xfId="11792" xr:uid="{00000000-0005-0000-0000-00003B830000}"/>
    <cellStyle name="Note 2 24 2 3 4" xfId="11793" xr:uid="{00000000-0005-0000-0000-00003C830000}"/>
    <cellStyle name="Note 2 24 2 3 5" xfId="11794" xr:uid="{00000000-0005-0000-0000-00003D830000}"/>
    <cellStyle name="Note 2 24 2 3 6" xfId="16946" xr:uid="{00000000-0005-0000-0000-00003E830000}"/>
    <cellStyle name="Note 2 24 2 3 7" xfId="17729" xr:uid="{00000000-0005-0000-0000-00003F830000}"/>
    <cellStyle name="Note 2 24 2 4" xfId="11795" xr:uid="{00000000-0005-0000-0000-000040830000}"/>
    <cellStyle name="Note 2 24 2 4 2" xfId="11796" xr:uid="{00000000-0005-0000-0000-000041830000}"/>
    <cellStyle name="Note 2 24 2 4 3" xfId="11797" xr:uid="{00000000-0005-0000-0000-000042830000}"/>
    <cellStyle name="Note 2 24 2 4 4" xfId="11798" xr:uid="{00000000-0005-0000-0000-000043830000}"/>
    <cellStyle name="Note 2 24 2 5" xfId="11799" xr:uid="{00000000-0005-0000-0000-000044830000}"/>
    <cellStyle name="Note 2 24 2 6" xfId="11800" xr:uid="{00000000-0005-0000-0000-000045830000}"/>
    <cellStyle name="Note 2 24 2 7" xfId="11801" xr:uid="{00000000-0005-0000-0000-000046830000}"/>
    <cellStyle name="Note 2 24 2 8" xfId="15945" xr:uid="{00000000-0005-0000-0000-000047830000}"/>
    <cellStyle name="Note 2 24 2 9" xfId="15737" xr:uid="{00000000-0005-0000-0000-000048830000}"/>
    <cellStyle name="Note 2 24 3" xfId="6409" xr:uid="{00000000-0005-0000-0000-000049830000}"/>
    <cellStyle name="Note 2 24 3 2" xfId="6410" xr:uid="{00000000-0005-0000-0000-00004A830000}"/>
    <cellStyle name="Note 2 24 3 2 2" xfId="11802" xr:uid="{00000000-0005-0000-0000-00004B830000}"/>
    <cellStyle name="Note 2 24 3 2 2 2" xfId="11803" xr:uid="{00000000-0005-0000-0000-00004C830000}"/>
    <cellStyle name="Note 2 24 3 2 2 3" xfId="11804" xr:uid="{00000000-0005-0000-0000-00004D830000}"/>
    <cellStyle name="Note 2 24 3 2 2 4" xfId="11805" xr:uid="{00000000-0005-0000-0000-00004E830000}"/>
    <cellStyle name="Note 2 24 3 2 3" xfId="11806" xr:uid="{00000000-0005-0000-0000-00004F830000}"/>
    <cellStyle name="Note 2 24 3 2 4" xfId="11807" xr:uid="{00000000-0005-0000-0000-000050830000}"/>
    <cellStyle name="Note 2 24 3 2 5" xfId="11808" xr:uid="{00000000-0005-0000-0000-000051830000}"/>
    <cellStyle name="Note 2 24 3 2 6" xfId="16947" xr:uid="{00000000-0005-0000-0000-000052830000}"/>
    <cellStyle name="Note 2 24 3 2 7" xfId="16297" xr:uid="{00000000-0005-0000-0000-000053830000}"/>
    <cellStyle name="Note 2 24 3 3" xfId="6411" xr:uid="{00000000-0005-0000-0000-000054830000}"/>
    <cellStyle name="Note 2 24 3 3 2" xfId="11809" xr:uid="{00000000-0005-0000-0000-000055830000}"/>
    <cellStyle name="Note 2 24 3 3 2 2" xfId="11810" xr:uid="{00000000-0005-0000-0000-000056830000}"/>
    <cellStyle name="Note 2 24 3 3 2 3" xfId="11811" xr:uid="{00000000-0005-0000-0000-000057830000}"/>
    <cellStyle name="Note 2 24 3 3 2 4" xfId="11812" xr:uid="{00000000-0005-0000-0000-000058830000}"/>
    <cellStyle name="Note 2 24 3 3 3" xfId="11813" xr:uid="{00000000-0005-0000-0000-000059830000}"/>
    <cellStyle name="Note 2 24 3 3 4" xfId="11814" xr:uid="{00000000-0005-0000-0000-00005A830000}"/>
    <cellStyle name="Note 2 24 3 3 5" xfId="11815" xr:uid="{00000000-0005-0000-0000-00005B830000}"/>
    <cellStyle name="Note 2 24 3 3 6" xfId="16948" xr:uid="{00000000-0005-0000-0000-00005C830000}"/>
    <cellStyle name="Note 2 24 3 3 7" xfId="15420" xr:uid="{00000000-0005-0000-0000-00005D830000}"/>
    <cellStyle name="Note 2 24 3 4" xfId="11816" xr:uid="{00000000-0005-0000-0000-00005E830000}"/>
    <cellStyle name="Note 2 24 3 4 2" xfId="11817" xr:uid="{00000000-0005-0000-0000-00005F830000}"/>
    <cellStyle name="Note 2 24 3 4 3" xfId="11818" xr:uid="{00000000-0005-0000-0000-000060830000}"/>
    <cellStyle name="Note 2 24 3 4 4" xfId="11819" xr:uid="{00000000-0005-0000-0000-000061830000}"/>
    <cellStyle name="Note 2 24 3 5" xfId="11820" xr:uid="{00000000-0005-0000-0000-000062830000}"/>
    <cellStyle name="Note 2 24 3 6" xfId="11821" xr:uid="{00000000-0005-0000-0000-000063830000}"/>
    <cellStyle name="Note 2 24 3 7" xfId="11822" xr:uid="{00000000-0005-0000-0000-000064830000}"/>
    <cellStyle name="Note 2 24 3 8" xfId="15946" xr:uid="{00000000-0005-0000-0000-000065830000}"/>
    <cellStyle name="Note 2 24 3 9" xfId="15736" xr:uid="{00000000-0005-0000-0000-000066830000}"/>
    <cellStyle name="Note 2 24 4" xfId="6412" xr:uid="{00000000-0005-0000-0000-000067830000}"/>
    <cellStyle name="Note 2 24 4 2" xfId="6413" xr:uid="{00000000-0005-0000-0000-000068830000}"/>
    <cellStyle name="Note 2 24 4 2 2" xfId="11823" xr:uid="{00000000-0005-0000-0000-000069830000}"/>
    <cellStyle name="Note 2 24 4 2 3" xfId="11824" xr:uid="{00000000-0005-0000-0000-00006A830000}"/>
    <cellStyle name="Note 2 24 4 2 4" xfId="11825" xr:uid="{00000000-0005-0000-0000-00006B830000}"/>
    <cellStyle name="Note 2 24 4 2 5" xfId="16949" xr:uid="{00000000-0005-0000-0000-00006C830000}"/>
    <cellStyle name="Note 2 24 4 2 6" xfId="17728" xr:uid="{00000000-0005-0000-0000-00006D830000}"/>
    <cellStyle name="Note 2 24 4 3" xfId="6414" xr:uid="{00000000-0005-0000-0000-00006E830000}"/>
    <cellStyle name="Note 2 24 4 3 2" xfId="11826" xr:uid="{00000000-0005-0000-0000-00006F830000}"/>
    <cellStyle name="Note 2 24 4 3 3" xfId="11827" xr:uid="{00000000-0005-0000-0000-000070830000}"/>
    <cellStyle name="Note 2 24 4 3 4" xfId="11828" xr:uid="{00000000-0005-0000-0000-000071830000}"/>
    <cellStyle name="Note 2 24 4 3 5" xfId="16950" xr:uid="{00000000-0005-0000-0000-000072830000}"/>
    <cellStyle name="Note 2 24 4 3 6" xfId="16296" xr:uid="{00000000-0005-0000-0000-000073830000}"/>
    <cellStyle name="Note 2 24 4 4" xfId="11829" xr:uid="{00000000-0005-0000-0000-000074830000}"/>
    <cellStyle name="Note 2 24 4 5" xfId="11830" xr:uid="{00000000-0005-0000-0000-000075830000}"/>
    <cellStyle name="Note 2 24 4 6" xfId="11831" xr:uid="{00000000-0005-0000-0000-000076830000}"/>
    <cellStyle name="Note 2 24 4 7" xfId="16543" xr:uid="{00000000-0005-0000-0000-000077830000}"/>
    <cellStyle name="Note 2 24 4 8" xfId="15614" xr:uid="{00000000-0005-0000-0000-000078830000}"/>
    <cellStyle name="Note 2 24 5" xfId="6415" xr:uid="{00000000-0005-0000-0000-000079830000}"/>
    <cellStyle name="Note 2 24 5 2" xfId="11832" xr:uid="{00000000-0005-0000-0000-00007A830000}"/>
    <cellStyle name="Note 2 24 5 3" xfId="11833" xr:uid="{00000000-0005-0000-0000-00007B830000}"/>
    <cellStyle name="Note 2 24 5 4" xfId="11834" xr:uid="{00000000-0005-0000-0000-00007C830000}"/>
    <cellStyle name="Note 2 24 5 5" xfId="16951" xr:uid="{00000000-0005-0000-0000-00007D830000}"/>
    <cellStyle name="Note 2 24 5 6" xfId="15419" xr:uid="{00000000-0005-0000-0000-00007E830000}"/>
    <cellStyle name="Note 2 24 6" xfId="6416" xr:uid="{00000000-0005-0000-0000-00007F830000}"/>
    <cellStyle name="Note 2 24 6 2" xfId="11835" xr:uid="{00000000-0005-0000-0000-000080830000}"/>
    <cellStyle name="Note 2 24 6 3" xfId="11836" xr:uid="{00000000-0005-0000-0000-000081830000}"/>
    <cellStyle name="Note 2 24 6 4" xfId="11837" xr:uid="{00000000-0005-0000-0000-000082830000}"/>
    <cellStyle name="Note 2 24 6 5" xfId="16952" xr:uid="{00000000-0005-0000-0000-000083830000}"/>
    <cellStyle name="Note 2 24 6 6" xfId="18086" xr:uid="{00000000-0005-0000-0000-000084830000}"/>
    <cellStyle name="Note 2 24 7" xfId="11838" xr:uid="{00000000-0005-0000-0000-000085830000}"/>
    <cellStyle name="Note 2 24 8" xfId="11839" xr:uid="{00000000-0005-0000-0000-000086830000}"/>
    <cellStyle name="Note 2 24 9" xfId="11840" xr:uid="{00000000-0005-0000-0000-000087830000}"/>
    <cellStyle name="Note 2 25" xfId="6417" xr:uid="{00000000-0005-0000-0000-000088830000}"/>
    <cellStyle name="Note 2 25 10" xfId="15947" xr:uid="{00000000-0005-0000-0000-000089830000}"/>
    <cellStyle name="Note 2 25 11" xfId="15735" xr:uid="{00000000-0005-0000-0000-00008A830000}"/>
    <cellStyle name="Note 2 25 2" xfId="6418" xr:uid="{00000000-0005-0000-0000-00008B830000}"/>
    <cellStyle name="Note 2 25 2 2" xfId="6419" xr:uid="{00000000-0005-0000-0000-00008C830000}"/>
    <cellStyle name="Note 2 25 2 2 2" xfId="11841" xr:uid="{00000000-0005-0000-0000-00008D830000}"/>
    <cellStyle name="Note 2 25 2 2 2 2" xfId="11842" xr:uid="{00000000-0005-0000-0000-00008E830000}"/>
    <cellStyle name="Note 2 25 2 2 2 3" xfId="11843" xr:uid="{00000000-0005-0000-0000-00008F830000}"/>
    <cellStyle name="Note 2 25 2 2 2 4" xfId="11844" xr:uid="{00000000-0005-0000-0000-000090830000}"/>
    <cellStyle name="Note 2 25 2 2 3" xfId="11845" xr:uid="{00000000-0005-0000-0000-000091830000}"/>
    <cellStyle name="Note 2 25 2 2 4" xfId="11846" xr:uid="{00000000-0005-0000-0000-000092830000}"/>
    <cellStyle name="Note 2 25 2 2 5" xfId="11847" xr:uid="{00000000-0005-0000-0000-000093830000}"/>
    <cellStyle name="Note 2 25 2 2 6" xfId="16953" xr:uid="{00000000-0005-0000-0000-000094830000}"/>
    <cellStyle name="Note 2 25 2 2 7" xfId="17727" xr:uid="{00000000-0005-0000-0000-000095830000}"/>
    <cellStyle name="Note 2 25 2 3" xfId="6420" xr:uid="{00000000-0005-0000-0000-000096830000}"/>
    <cellStyle name="Note 2 25 2 3 2" xfId="11848" xr:uid="{00000000-0005-0000-0000-000097830000}"/>
    <cellStyle name="Note 2 25 2 3 2 2" xfId="11849" xr:uid="{00000000-0005-0000-0000-000098830000}"/>
    <cellStyle name="Note 2 25 2 3 2 3" xfId="11850" xr:uid="{00000000-0005-0000-0000-000099830000}"/>
    <cellStyle name="Note 2 25 2 3 2 4" xfId="11851" xr:uid="{00000000-0005-0000-0000-00009A830000}"/>
    <cellStyle name="Note 2 25 2 3 3" xfId="11852" xr:uid="{00000000-0005-0000-0000-00009B830000}"/>
    <cellStyle name="Note 2 25 2 3 4" xfId="11853" xr:uid="{00000000-0005-0000-0000-00009C830000}"/>
    <cellStyle name="Note 2 25 2 3 5" xfId="11854" xr:uid="{00000000-0005-0000-0000-00009D830000}"/>
    <cellStyle name="Note 2 25 2 3 6" xfId="16954" xr:uid="{00000000-0005-0000-0000-00009E830000}"/>
    <cellStyle name="Note 2 25 2 3 7" xfId="16295" xr:uid="{00000000-0005-0000-0000-00009F830000}"/>
    <cellStyle name="Note 2 25 2 4" xfId="11855" xr:uid="{00000000-0005-0000-0000-0000A0830000}"/>
    <cellStyle name="Note 2 25 2 4 2" xfId="11856" xr:uid="{00000000-0005-0000-0000-0000A1830000}"/>
    <cellStyle name="Note 2 25 2 4 3" xfId="11857" xr:uid="{00000000-0005-0000-0000-0000A2830000}"/>
    <cellStyle name="Note 2 25 2 4 4" xfId="11858" xr:uid="{00000000-0005-0000-0000-0000A3830000}"/>
    <cellStyle name="Note 2 25 2 5" xfId="11859" xr:uid="{00000000-0005-0000-0000-0000A4830000}"/>
    <cellStyle name="Note 2 25 2 6" xfId="11860" xr:uid="{00000000-0005-0000-0000-0000A5830000}"/>
    <cellStyle name="Note 2 25 2 7" xfId="11861" xr:uid="{00000000-0005-0000-0000-0000A6830000}"/>
    <cellStyle name="Note 2 25 2 8" xfId="15948" xr:uid="{00000000-0005-0000-0000-0000A7830000}"/>
    <cellStyle name="Note 2 25 2 9" xfId="15734" xr:uid="{00000000-0005-0000-0000-0000A8830000}"/>
    <cellStyle name="Note 2 25 3" xfId="6421" xr:uid="{00000000-0005-0000-0000-0000A9830000}"/>
    <cellStyle name="Note 2 25 3 2" xfId="6422" xr:uid="{00000000-0005-0000-0000-0000AA830000}"/>
    <cellStyle name="Note 2 25 3 2 2" xfId="11862" xr:uid="{00000000-0005-0000-0000-0000AB830000}"/>
    <cellStyle name="Note 2 25 3 2 2 2" xfId="11863" xr:uid="{00000000-0005-0000-0000-0000AC830000}"/>
    <cellStyle name="Note 2 25 3 2 2 3" xfId="11864" xr:uid="{00000000-0005-0000-0000-0000AD830000}"/>
    <cellStyle name="Note 2 25 3 2 2 4" xfId="11865" xr:uid="{00000000-0005-0000-0000-0000AE830000}"/>
    <cellStyle name="Note 2 25 3 2 3" xfId="11866" xr:uid="{00000000-0005-0000-0000-0000AF830000}"/>
    <cellStyle name="Note 2 25 3 2 4" xfId="11867" xr:uid="{00000000-0005-0000-0000-0000B0830000}"/>
    <cellStyle name="Note 2 25 3 2 5" xfId="11868" xr:uid="{00000000-0005-0000-0000-0000B1830000}"/>
    <cellStyle name="Note 2 25 3 2 6" xfId="16955" xr:uid="{00000000-0005-0000-0000-0000B2830000}"/>
    <cellStyle name="Note 2 25 3 2 7" xfId="15418" xr:uid="{00000000-0005-0000-0000-0000B3830000}"/>
    <cellStyle name="Note 2 25 3 3" xfId="6423" xr:uid="{00000000-0005-0000-0000-0000B4830000}"/>
    <cellStyle name="Note 2 25 3 3 2" xfId="11869" xr:uid="{00000000-0005-0000-0000-0000B5830000}"/>
    <cellStyle name="Note 2 25 3 3 2 2" xfId="11870" xr:uid="{00000000-0005-0000-0000-0000B6830000}"/>
    <cellStyle name="Note 2 25 3 3 2 3" xfId="11871" xr:uid="{00000000-0005-0000-0000-0000B7830000}"/>
    <cellStyle name="Note 2 25 3 3 2 4" xfId="11872" xr:uid="{00000000-0005-0000-0000-0000B8830000}"/>
    <cellStyle name="Note 2 25 3 3 3" xfId="11873" xr:uid="{00000000-0005-0000-0000-0000B9830000}"/>
    <cellStyle name="Note 2 25 3 3 4" xfId="11874" xr:uid="{00000000-0005-0000-0000-0000BA830000}"/>
    <cellStyle name="Note 2 25 3 3 5" xfId="11875" xr:uid="{00000000-0005-0000-0000-0000BB830000}"/>
    <cellStyle name="Note 2 25 3 3 6" xfId="16956" xr:uid="{00000000-0005-0000-0000-0000BC830000}"/>
    <cellStyle name="Note 2 25 3 3 7" xfId="17726" xr:uid="{00000000-0005-0000-0000-0000BD830000}"/>
    <cellStyle name="Note 2 25 3 4" xfId="11876" xr:uid="{00000000-0005-0000-0000-0000BE830000}"/>
    <cellStyle name="Note 2 25 3 4 2" xfId="11877" xr:uid="{00000000-0005-0000-0000-0000BF830000}"/>
    <cellStyle name="Note 2 25 3 4 3" xfId="11878" xr:uid="{00000000-0005-0000-0000-0000C0830000}"/>
    <cellStyle name="Note 2 25 3 4 4" xfId="11879" xr:uid="{00000000-0005-0000-0000-0000C1830000}"/>
    <cellStyle name="Note 2 25 3 5" xfId="11880" xr:uid="{00000000-0005-0000-0000-0000C2830000}"/>
    <cellStyle name="Note 2 25 3 6" xfId="11881" xr:uid="{00000000-0005-0000-0000-0000C3830000}"/>
    <cellStyle name="Note 2 25 3 7" xfId="11882" xr:uid="{00000000-0005-0000-0000-0000C4830000}"/>
    <cellStyle name="Note 2 25 3 8" xfId="15949" xr:uid="{00000000-0005-0000-0000-0000C5830000}"/>
    <cellStyle name="Note 2 25 3 9" xfId="15733" xr:uid="{00000000-0005-0000-0000-0000C6830000}"/>
    <cellStyle name="Note 2 25 4" xfId="6424" xr:uid="{00000000-0005-0000-0000-0000C7830000}"/>
    <cellStyle name="Note 2 25 4 2" xfId="6425" xr:uid="{00000000-0005-0000-0000-0000C8830000}"/>
    <cellStyle name="Note 2 25 4 2 2" xfId="11883" xr:uid="{00000000-0005-0000-0000-0000C9830000}"/>
    <cellStyle name="Note 2 25 4 2 3" xfId="11884" xr:uid="{00000000-0005-0000-0000-0000CA830000}"/>
    <cellStyle name="Note 2 25 4 2 4" xfId="11885" xr:uid="{00000000-0005-0000-0000-0000CB830000}"/>
    <cellStyle name="Note 2 25 4 2 5" xfId="16957" xr:uid="{00000000-0005-0000-0000-0000CC830000}"/>
    <cellStyle name="Note 2 25 4 2 6" xfId="16294" xr:uid="{00000000-0005-0000-0000-0000CD830000}"/>
    <cellStyle name="Note 2 25 4 3" xfId="6426" xr:uid="{00000000-0005-0000-0000-0000CE830000}"/>
    <cellStyle name="Note 2 25 4 3 2" xfId="11886" xr:uid="{00000000-0005-0000-0000-0000CF830000}"/>
    <cellStyle name="Note 2 25 4 3 3" xfId="11887" xr:uid="{00000000-0005-0000-0000-0000D0830000}"/>
    <cellStyle name="Note 2 25 4 3 4" xfId="11888" xr:uid="{00000000-0005-0000-0000-0000D1830000}"/>
    <cellStyle name="Note 2 25 4 3 5" xfId="16958" xr:uid="{00000000-0005-0000-0000-0000D2830000}"/>
    <cellStyle name="Note 2 25 4 3 6" xfId="15417" xr:uid="{00000000-0005-0000-0000-0000D3830000}"/>
    <cellStyle name="Note 2 25 4 4" xfId="11889" xr:uid="{00000000-0005-0000-0000-0000D4830000}"/>
    <cellStyle name="Note 2 25 4 5" xfId="11890" xr:uid="{00000000-0005-0000-0000-0000D5830000}"/>
    <cellStyle name="Note 2 25 4 6" xfId="11891" xr:uid="{00000000-0005-0000-0000-0000D6830000}"/>
    <cellStyle name="Note 2 25 4 7" xfId="16544" xr:uid="{00000000-0005-0000-0000-0000D7830000}"/>
    <cellStyle name="Note 2 25 4 8" xfId="17915" xr:uid="{00000000-0005-0000-0000-0000D8830000}"/>
    <cellStyle name="Note 2 25 5" xfId="6427" xr:uid="{00000000-0005-0000-0000-0000D9830000}"/>
    <cellStyle name="Note 2 25 5 2" xfId="11892" xr:uid="{00000000-0005-0000-0000-0000DA830000}"/>
    <cellStyle name="Note 2 25 5 3" xfId="11893" xr:uid="{00000000-0005-0000-0000-0000DB830000}"/>
    <cellStyle name="Note 2 25 5 4" xfId="11894" xr:uid="{00000000-0005-0000-0000-0000DC830000}"/>
    <cellStyle name="Note 2 25 5 5" xfId="16959" xr:uid="{00000000-0005-0000-0000-0000DD830000}"/>
    <cellStyle name="Note 2 25 5 6" xfId="16291" xr:uid="{00000000-0005-0000-0000-0000DE830000}"/>
    <cellStyle name="Note 2 25 6" xfId="6428" xr:uid="{00000000-0005-0000-0000-0000DF830000}"/>
    <cellStyle name="Note 2 25 6 2" xfId="11895" xr:uid="{00000000-0005-0000-0000-0000E0830000}"/>
    <cellStyle name="Note 2 25 6 3" xfId="11896" xr:uid="{00000000-0005-0000-0000-0000E1830000}"/>
    <cellStyle name="Note 2 25 6 4" xfId="11897" xr:uid="{00000000-0005-0000-0000-0000E2830000}"/>
    <cellStyle name="Note 2 25 6 5" xfId="16960" xr:uid="{00000000-0005-0000-0000-0000E3830000}"/>
    <cellStyle name="Note 2 25 6 6" xfId="17725" xr:uid="{00000000-0005-0000-0000-0000E4830000}"/>
    <cellStyle name="Note 2 25 7" xfId="11898" xr:uid="{00000000-0005-0000-0000-0000E5830000}"/>
    <cellStyle name="Note 2 25 8" xfId="11899" xr:uid="{00000000-0005-0000-0000-0000E6830000}"/>
    <cellStyle name="Note 2 25 9" xfId="11900" xr:uid="{00000000-0005-0000-0000-0000E7830000}"/>
    <cellStyle name="Note 2 26" xfId="6429" xr:uid="{00000000-0005-0000-0000-0000E8830000}"/>
    <cellStyle name="Note 2 26 10" xfId="15950" xr:uid="{00000000-0005-0000-0000-0000E9830000}"/>
    <cellStyle name="Note 2 26 11" xfId="15732" xr:uid="{00000000-0005-0000-0000-0000EA830000}"/>
    <cellStyle name="Note 2 26 2" xfId="6430" xr:uid="{00000000-0005-0000-0000-0000EB830000}"/>
    <cellStyle name="Note 2 26 2 2" xfId="6431" xr:uid="{00000000-0005-0000-0000-0000EC830000}"/>
    <cellStyle name="Note 2 26 2 2 2" xfId="11901" xr:uid="{00000000-0005-0000-0000-0000ED830000}"/>
    <cellStyle name="Note 2 26 2 2 2 2" xfId="11902" xr:uid="{00000000-0005-0000-0000-0000EE830000}"/>
    <cellStyle name="Note 2 26 2 2 2 3" xfId="11903" xr:uid="{00000000-0005-0000-0000-0000EF830000}"/>
    <cellStyle name="Note 2 26 2 2 2 4" xfId="11904" xr:uid="{00000000-0005-0000-0000-0000F0830000}"/>
    <cellStyle name="Note 2 26 2 2 3" xfId="11905" xr:uid="{00000000-0005-0000-0000-0000F1830000}"/>
    <cellStyle name="Note 2 26 2 2 4" xfId="11906" xr:uid="{00000000-0005-0000-0000-0000F2830000}"/>
    <cellStyle name="Note 2 26 2 2 5" xfId="11907" xr:uid="{00000000-0005-0000-0000-0000F3830000}"/>
    <cellStyle name="Note 2 26 2 2 6" xfId="16961" xr:uid="{00000000-0005-0000-0000-0000F4830000}"/>
    <cellStyle name="Note 2 26 2 2 7" xfId="16293" xr:uid="{00000000-0005-0000-0000-0000F5830000}"/>
    <cellStyle name="Note 2 26 2 3" xfId="6432" xr:uid="{00000000-0005-0000-0000-0000F6830000}"/>
    <cellStyle name="Note 2 26 2 3 2" xfId="11908" xr:uid="{00000000-0005-0000-0000-0000F7830000}"/>
    <cellStyle name="Note 2 26 2 3 2 2" xfId="11909" xr:uid="{00000000-0005-0000-0000-0000F8830000}"/>
    <cellStyle name="Note 2 26 2 3 2 3" xfId="11910" xr:uid="{00000000-0005-0000-0000-0000F9830000}"/>
    <cellStyle name="Note 2 26 2 3 2 4" xfId="11911" xr:uid="{00000000-0005-0000-0000-0000FA830000}"/>
    <cellStyle name="Note 2 26 2 3 3" xfId="11912" xr:uid="{00000000-0005-0000-0000-0000FB830000}"/>
    <cellStyle name="Note 2 26 2 3 4" xfId="11913" xr:uid="{00000000-0005-0000-0000-0000FC830000}"/>
    <cellStyle name="Note 2 26 2 3 5" xfId="11914" xr:uid="{00000000-0005-0000-0000-0000FD830000}"/>
    <cellStyle name="Note 2 26 2 3 6" xfId="16962" xr:uid="{00000000-0005-0000-0000-0000FE830000}"/>
    <cellStyle name="Note 2 26 2 3 7" xfId="15416" xr:uid="{00000000-0005-0000-0000-0000FF830000}"/>
    <cellStyle name="Note 2 26 2 4" xfId="11915" xr:uid="{00000000-0005-0000-0000-000000840000}"/>
    <cellStyle name="Note 2 26 2 4 2" xfId="11916" xr:uid="{00000000-0005-0000-0000-000001840000}"/>
    <cellStyle name="Note 2 26 2 4 3" xfId="11917" xr:uid="{00000000-0005-0000-0000-000002840000}"/>
    <cellStyle name="Note 2 26 2 4 4" xfId="11918" xr:uid="{00000000-0005-0000-0000-000003840000}"/>
    <cellStyle name="Note 2 26 2 5" xfId="11919" xr:uid="{00000000-0005-0000-0000-000004840000}"/>
    <cellStyle name="Note 2 26 2 6" xfId="11920" xr:uid="{00000000-0005-0000-0000-000005840000}"/>
    <cellStyle name="Note 2 26 2 7" xfId="11921" xr:uid="{00000000-0005-0000-0000-000006840000}"/>
    <cellStyle name="Note 2 26 2 8" xfId="15951" xr:uid="{00000000-0005-0000-0000-000007840000}"/>
    <cellStyle name="Note 2 26 2 9" xfId="15731" xr:uid="{00000000-0005-0000-0000-000008840000}"/>
    <cellStyle name="Note 2 26 3" xfId="6433" xr:uid="{00000000-0005-0000-0000-000009840000}"/>
    <cellStyle name="Note 2 26 3 2" xfId="6434" xr:uid="{00000000-0005-0000-0000-00000A840000}"/>
    <cellStyle name="Note 2 26 3 2 2" xfId="11922" xr:uid="{00000000-0005-0000-0000-00000B840000}"/>
    <cellStyle name="Note 2 26 3 2 2 2" xfId="11923" xr:uid="{00000000-0005-0000-0000-00000C840000}"/>
    <cellStyle name="Note 2 26 3 2 2 3" xfId="11924" xr:uid="{00000000-0005-0000-0000-00000D840000}"/>
    <cellStyle name="Note 2 26 3 2 2 4" xfId="11925" xr:uid="{00000000-0005-0000-0000-00000E840000}"/>
    <cellStyle name="Note 2 26 3 2 3" xfId="11926" xr:uid="{00000000-0005-0000-0000-00000F840000}"/>
    <cellStyle name="Note 2 26 3 2 4" xfId="11927" xr:uid="{00000000-0005-0000-0000-000010840000}"/>
    <cellStyle name="Note 2 26 3 2 5" xfId="11928" xr:uid="{00000000-0005-0000-0000-000011840000}"/>
    <cellStyle name="Note 2 26 3 2 6" xfId="16963" xr:uid="{00000000-0005-0000-0000-000012840000}"/>
    <cellStyle name="Note 2 26 3 2 7" xfId="17724" xr:uid="{00000000-0005-0000-0000-000013840000}"/>
    <cellStyle name="Note 2 26 3 3" xfId="6435" xr:uid="{00000000-0005-0000-0000-000014840000}"/>
    <cellStyle name="Note 2 26 3 3 2" xfId="11929" xr:uid="{00000000-0005-0000-0000-000015840000}"/>
    <cellStyle name="Note 2 26 3 3 2 2" xfId="11930" xr:uid="{00000000-0005-0000-0000-000016840000}"/>
    <cellStyle name="Note 2 26 3 3 2 3" xfId="11931" xr:uid="{00000000-0005-0000-0000-000017840000}"/>
    <cellStyle name="Note 2 26 3 3 2 4" xfId="11932" xr:uid="{00000000-0005-0000-0000-000018840000}"/>
    <cellStyle name="Note 2 26 3 3 3" xfId="11933" xr:uid="{00000000-0005-0000-0000-000019840000}"/>
    <cellStyle name="Note 2 26 3 3 4" xfId="11934" xr:uid="{00000000-0005-0000-0000-00001A840000}"/>
    <cellStyle name="Note 2 26 3 3 5" xfId="11935" xr:uid="{00000000-0005-0000-0000-00001B840000}"/>
    <cellStyle name="Note 2 26 3 3 6" xfId="16964" xr:uid="{00000000-0005-0000-0000-00001C840000}"/>
    <cellStyle name="Note 2 26 3 3 7" xfId="16292" xr:uid="{00000000-0005-0000-0000-00001D840000}"/>
    <cellStyle name="Note 2 26 3 4" xfId="11936" xr:uid="{00000000-0005-0000-0000-00001E840000}"/>
    <cellStyle name="Note 2 26 3 4 2" xfId="11937" xr:uid="{00000000-0005-0000-0000-00001F840000}"/>
    <cellStyle name="Note 2 26 3 4 3" xfId="11938" xr:uid="{00000000-0005-0000-0000-000020840000}"/>
    <cellStyle name="Note 2 26 3 4 4" xfId="11939" xr:uid="{00000000-0005-0000-0000-000021840000}"/>
    <cellStyle name="Note 2 26 3 5" xfId="11940" xr:uid="{00000000-0005-0000-0000-000022840000}"/>
    <cellStyle name="Note 2 26 3 6" xfId="11941" xr:uid="{00000000-0005-0000-0000-000023840000}"/>
    <cellStyle name="Note 2 26 3 7" xfId="11942" xr:uid="{00000000-0005-0000-0000-000024840000}"/>
    <cellStyle name="Note 2 26 3 8" xfId="15952" xr:uid="{00000000-0005-0000-0000-000025840000}"/>
    <cellStyle name="Note 2 26 3 9" xfId="15730" xr:uid="{00000000-0005-0000-0000-000026840000}"/>
    <cellStyle name="Note 2 26 4" xfId="6436" xr:uid="{00000000-0005-0000-0000-000027840000}"/>
    <cellStyle name="Note 2 26 4 2" xfId="6437" xr:uid="{00000000-0005-0000-0000-000028840000}"/>
    <cellStyle name="Note 2 26 4 2 2" xfId="11943" xr:uid="{00000000-0005-0000-0000-000029840000}"/>
    <cellStyle name="Note 2 26 4 2 3" xfId="11944" xr:uid="{00000000-0005-0000-0000-00002A840000}"/>
    <cellStyle name="Note 2 26 4 2 4" xfId="11945" xr:uid="{00000000-0005-0000-0000-00002B840000}"/>
    <cellStyle name="Note 2 26 4 2 5" xfId="16965" xr:uid="{00000000-0005-0000-0000-00002C840000}"/>
    <cellStyle name="Note 2 26 4 2 6" xfId="15415" xr:uid="{00000000-0005-0000-0000-00002D840000}"/>
    <cellStyle name="Note 2 26 4 3" xfId="6438" xr:uid="{00000000-0005-0000-0000-00002E840000}"/>
    <cellStyle name="Note 2 26 4 3 2" xfId="11946" xr:uid="{00000000-0005-0000-0000-00002F840000}"/>
    <cellStyle name="Note 2 26 4 3 3" xfId="11947" xr:uid="{00000000-0005-0000-0000-000030840000}"/>
    <cellStyle name="Note 2 26 4 3 4" xfId="11948" xr:uid="{00000000-0005-0000-0000-000031840000}"/>
    <cellStyle name="Note 2 26 4 3 5" xfId="16966" xr:uid="{00000000-0005-0000-0000-000032840000}"/>
    <cellStyle name="Note 2 26 4 3 6" xfId="16139" xr:uid="{00000000-0005-0000-0000-000033840000}"/>
    <cellStyle name="Note 2 26 4 4" xfId="11949" xr:uid="{00000000-0005-0000-0000-000034840000}"/>
    <cellStyle name="Note 2 26 4 5" xfId="11950" xr:uid="{00000000-0005-0000-0000-000035840000}"/>
    <cellStyle name="Note 2 26 4 6" xfId="11951" xr:uid="{00000000-0005-0000-0000-000036840000}"/>
    <cellStyle name="Note 2 26 4 7" xfId="16545" xr:uid="{00000000-0005-0000-0000-000037840000}"/>
    <cellStyle name="Note 2 26 4 8" xfId="16484" xr:uid="{00000000-0005-0000-0000-000038840000}"/>
    <cellStyle name="Note 2 26 5" xfId="6439" xr:uid="{00000000-0005-0000-0000-000039840000}"/>
    <cellStyle name="Note 2 26 5 2" xfId="11952" xr:uid="{00000000-0005-0000-0000-00003A840000}"/>
    <cellStyle name="Note 2 26 5 3" xfId="11953" xr:uid="{00000000-0005-0000-0000-00003B840000}"/>
    <cellStyle name="Note 2 26 5 4" xfId="11954" xr:uid="{00000000-0005-0000-0000-00003C840000}"/>
    <cellStyle name="Note 2 26 5 5" xfId="16967" xr:uid="{00000000-0005-0000-0000-00003D840000}"/>
    <cellStyle name="Note 2 26 5 6" xfId="17723" xr:uid="{00000000-0005-0000-0000-00003E840000}"/>
    <cellStyle name="Note 2 26 6" xfId="6440" xr:uid="{00000000-0005-0000-0000-00003F840000}"/>
    <cellStyle name="Note 2 26 6 2" xfId="11955" xr:uid="{00000000-0005-0000-0000-000040840000}"/>
    <cellStyle name="Note 2 26 6 3" xfId="11956" xr:uid="{00000000-0005-0000-0000-000041840000}"/>
    <cellStyle name="Note 2 26 6 4" xfId="11957" xr:uid="{00000000-0005-0000-0000-000042840000}"/>
    <cellStyle name="Note 2 26 6 5" xfId="16968" xr:uid="{00000000-0005-0000-0000-000043840000}"/>
    <cellStyle name="Note 2 26 6 6" xfId="16290" xr:uid="{00000000-0005-0000-0000-000044840000}"/>
    <cellStyle name="Note 2 26 7" xfId="11958" xr:uid="{00000000-0005-0000-0000-000045840000}"/>
    <cellStyle name="Note 2 26 8" xfId="11959" xr:uid="{00000000-0005-0000-0000-000046840000}"/>
    <cellStyle name="Note 2 26 9" xfId="11960" xr:uid="{00000000-0005-0000-0000-000047840000}"/>
    <cellStyle name="Note 2 27" xfId="6441" xr:uid="{00000000-0005-0000-0000-000048840000}"/>
    <cellStyle name="Note 2 27 2" xfId="6442" xr:uid="{00000000-0005-0000-0000-000049840000}"/>
    <cellStyle name="Note 2 27 2 2" xfId="6443" xr:uid="{00000000-0005-0000-0000-00004A840000}"/>
    <cellStyle name="Note 2 27 2 2 2" xfId="11961" xr:uid="{00000000-0005-0000-0000-00004B840000}"/>
    <cellStyle name="Note 2 27 2 2 3" xfId="11962" xr:uid="{00000000-0005-0000-0000-00004C840000}"/>
    <cellStyle name="Note 2 27 2 2 4" xfId="11963" xr:uid="{00000000-0005-0000-0000-00004D840000}"/>
    <cellStyle name="Note 2 27 2 2 5" xfId="16969" xr:uid="{00000000-0005-0000-0000-00004E840000}"/>
    <cellStyle name="Note 2 27 2 2 6" xfId="15413" xr:uid="{00000000-0005-0000-0000-00004F840000}"/>
    <cellStyle name="Note 2 27 2 3" xfId="6444" xr:uid="{00000000-0005-0000-0000-000050840000}"/>
    <cellStyle name="Note 2 27 2 3 2" xfId="11964" xr:uid="{00000000-0005-0000-0000-000051840000}"/>
    <cellStyle name="Note 2 27 2 3 3" xfId="11965" xr:uid="{00000000-0005-0000-0000-000052840000}"/>
    <cellStyle name="Note 2 27 2 3 4" xfId="11966" xr:uid="{00000000-0005-0000-0000-000053840000}"/>
    <cellStyle name="Note 2 27 2 3 5" xfId="16970" xr:uid="{00000000-0005-0000-0000-000054840000}"/>
    <cellStyle name="Note 2 27 2 3 6" xfId="17722" xr:uid="{00000000-0005-0000-0000-000055840000}"/>
    <cellStyle name="Note 2 27 2 4" xfId="11967" xr:uid="{00000000-0005-0000-0000-000056840000}"/>
    <cellStyle name="Note 2 27 2 5" xfId="11968" xr:uid="{00000000-0005-0000-0000-000057840000}"/>
    <cellStyle name="Note 2 27 2 6" xfId="11969" xr:uid="{00000000-0005-0000-0000-000058840000}"/>
    <cellStyle name="Note 2 27 2 7" xfId="16546" xr:uid="{00000000-0005-0000-0000-000059840000}"/>
    <cellStyle name="Note 2 27 2 8" xfId="15613" xr:uid="{00000000-0005-0000-0000-00005A840000}"/>
    <cellStyle name="Note 2 27 3" xfId="6445" xr:uid="{00000000-0005-0000-0000-00005B840000}"/>
    <cellStyle name="Note 2 27 3 2" xfId="11970" xr:uid="{00000000-0005-0000-0000-00005C840000}"/>
    <cellStyle name="Note 2 27 3 3" xfId="11971" xr:uid="{00000000-0005-0000-0000-00005D840000}"/>
    <cellStyle name="Note 2 27 3 4" xfId="11972" xr:uid="{00000000-0005-0000-0000-00005E840000}"/>
    <cellStyle name="Note 2 27 3 5" xfId="16971" xr:uid="{00000000-0005-0000-0000-00005F840000}"/>
    <cellStyle name="Note 2 27 3 6" xfId="16289" xr:uid="{00000000-0005-0000-0000-000060840000}"/>
    <cellStyle name="Note 2 27 4" xfId="6446" xr:uid="{00000000-0005-0000-0000-000061840000}"/>
    <cellStyle name="Note 2 27 4 2" xfId="11973" xr:uid="{00000000-0005-0000-0000-000062840000}"/>
    <cellStyle name="Note 2 27 4 3" xfId="11974" xr:uid="{00000000-0005-0000-0000-000063840000}"/>
    <cellStyle name="Note 2 27 4 4" xfId="11975" xr:uid="{00000000-0005-0000-0000-000064840000}"/>
    <cellStyle name="Note 2 27 4 5" xfId="16972" xr:uid="{00000000-0005-0000-0000-000065840000}"/>
    <cellStyle name="Note 2 27 4 6" xfId="15412" xr:uid="{00000000-0005-0000-0000-000066840000}"/>
    <cellStyle name="Note 2 27 5" xfId="11976" xr:uid="{00000000-0005-0000-0000-000067840000}"/>
    <cellStyle name="Note 2 27 6" xfId="11977" xr:uid="{00000000-0005-0000-0000-000068840000}"/>
    <cellStyle name="Note 2 27 7" xfId="11978" xr:uid="{00000000-0005-0000-0000-000069840000}"/>
    <cellStyle name="Note 2 27 8" xfId="15953" xr:uid="{00000000-0005-0000-0000-00006A840000}"/>
    <cellStyle name="Note 2 27 9" xfId="15729" xr:uid="{00000000-0005-0000-0000-00006B840000}"/>
    <cellStyle name="Note 2 28" xfId="6447" xr:uid="{00000000-0005-0000-0000-00006C840000}"/>
    <cellStyle name="Note 2 28 2" xfId="6448" xr:uid="{00000000-0005-0000-0000-00006D840000}"/>
    <cellStyle name="Note 2 28 2 2" xfId="6449" xr:uid="{00000000-0005-0000-0000-00006E840000}"/>
    <cellStyle name="Note 2 28 2 2 2" xfId="11979" xr:uid="{00000000-0005-0000-0000-00006F840000}"/>
    <cellStyle name="Note 2 28 2 2 3" xfId="11980" xr:uid="{00000000-0005-0000-0000-000070840000}"/>
    <cellStyle name="Note 2 28 2 2 4" xfId="11981" xr:uid="{00000000-0005-0000-0000-000071840000}"/>
    <cellStyle name="Note 2 28 2 2 5" xfId="16973" xr:uid="{00000000-0005-0000-0000-000072840000}"/>
    <cellStyle name="Note 2 28 2 2 6" xfId="16153" xr:uid="{00000000-0005-0000-0000-000073840000}"/>
    <cellStyle name="Note 2 28 2 3" xfId="6450" xr:uid="{00000000-0005-0000-0000-000074840000}"/>
    <cellStyle name="Note 2 28 2 3 2" xfId="11982" xr:uid="{00000000-0005-0000-0000-000075840000}"/>
    <cellStyle name="Note 2 28 2 3 3" xfId="11983" xr:uid="{00000000-0005-0000-0000-000076840000}"/>
    <cellStyle name="Note 2 28 2 3 4" xfId="11984" xr:uid="{00000000-0005-0000-0000-000077840000}"/>
    <cellStyle name="Note 2 28 2 3 5" xfId="16974" xr:uid="{00000000-0005-0000-0000-000078840000}"/>
    <cellStyle name="Note 2 28 2 3 6" xfId="17721" xr:uid="{00000000-0005-0000-0000-000079840000}"/>
    <cellStyle name="Note 2 28 2 4" xfId="11985" xr:uid="{00000000-0005-0000-0000-00007A840000}"/>
    <cellStyle name="Note 2 28 2 5" xfId="11986" xr:uid="{00000000-0005-0000-0000-00007B840000}"/>
    <cellStyle name="Note 2 28 2 6" xfId="11987" xr:uid="{00000000-0005-0000-0000-00007C840000}"/>
    <cellStyle name="Note 2 28 2 7" xfId="16547" xr:uid="{00000000-0005-0000-0000-00007D840000}"/>
    <cellStyle name="Note 2 28 2 8" xfId="17914" xr:uid="{00000000-0005-0000-0000-00007E840000}"/>
    <cellStyle name="Note 2 28 3" xfId="6451" xr:uid="{00000000-0005-0000-0000-00007F840000}"/>
    <cellStyle name="Note 2 28 3 2" xfId="11988" xr:uid="{00000000-0005-0000-0000-000080840000}"/>
    <cellStyle name="Note 2 28 3 3" xfId="11989" xr:uid="{00000000-0005-0000-0000-000081840000}"/>
    <cellStyle name="Note 2 28 3 4" xfId="11990" xr:uid="{00000000-0005-0000-0000-000082840000}"/>
    <cellStyle name="Note 2 28 3 5" xfId="16975" xr:uid="{00000000-0005-0000-0000-000083840000}"/>
    <cellStyle name="Note 2 28 3 6" xfId="16288" xr:uid="{00000000-0005-0000-0000-000084840000}"/>
    <cellStyle name="Note 2 28 4" xfId="6452" xr:uid="{00000000-0005-0000-0000-000085840000}"/>
    <cellStyle name="Note 2 28 4 2" xfId="11991" xr:uid="{00000000-0005-0000-0000-000086840000}"/>
    <cellStyle name="Note 2 28 4 3" xfId="11992" xr:uid="{00000000-0005-0000-0000-000087840000}"/>
    <cellStyle name="Note 2 28 4 4" xfId="11993" xr:uid="{00000000-0005-0000-0000-000088840000}"/>
    <cellStyle name="Note 2 28 4 5" xfId="16976" xr:uid="{00000000-0005-0000-0000-000089840000}"/>
    <cellStyle name="Note 2 28 4 6" xfId="15411" xr:uid="{00000000-0005-0000-0000-00008A840000}"/>
    <cellStyle name="Note 2 28 5" xfId="11994" xr:uid="{00000000-0005-0000-0000-00008B840000}"/>
    <cellStyle name="Note 2 28 6" xfId="11995" xr:uid="{00000000-0005-0000-0000-00008C840000}"/>
    <cellStyle name="Note 2 28 7" xfId="11996" xr:uid="{00000000-0005-0000-0000-00008D840000}"/>
    <cellStyle name="Note 2 28 8" xfId="15954" xr:uid="{00000000-0005-0000-0000-00008E840000}"/>
    <cellStyle name="Note 2 28 9" xfId="15728" xr:uid="{00000000-0005-0000-0000-00008F840000}"/>
    <cellStyle name="Note 2 29" xfId="6453" xr:uid="{00000000-0005-0000-0000-000090840000}"/>
    <cellStyle name="Note 2 29 2" xfId="6454" xr:uid="{00000000-0005-0000-0000-000091840000}"/>
    <cellStyle name="Note 2 29 2 2" xfId="6455" xr:uid="{00000000-0005-0000-0000-000092840000}"/>
    <cellStyle name="Note 2 29 2 2 2" xfId="11997" xr:uid="{00000000-0005-0000-0000-000093840000}"/>
    <cellStyle name="Note 2 29 2 2 3" xfId="11998" xr:uid="{00000000-0005-0000-0000-000094840000}"/>
    <cellStyle name="Note 2 29 2 2 4" xfId="11999" xr:uid="{00000000-0005-0000-0000-000095840000}"/>
    <cellStyle name="Note 2 29 2 2 5" xfId="16977" xr:uid="{00000000-0005-0000-0000-000096840000}"/>
    <cellStyle name="Note 2 29 2 2 6" xfId="17720" xr:uid="{00000000-0005-0000-0000-000097840000}"/>
    <cellStyle name="Note 2 29 2 3" xfId="6456" xr:uid="{00000000-0005-0000-0000-000098840000}"/>
    <cellStyle name="Note 2 29 2 3 2" xfId="12000" xr:uid="{00000000-0005-0000-0000-000099840000}"/>
    <cellStyle name="Note 2 29 2 3 3" xfId="12001" xr:uid="{00000000-0005-0000-0000-00009A840000}"/>
    <cellStyle name="Note 2 29 2 3 4" xfId="12002" xr:uid="{00000000-0005-0000-0000-00009B840000}"/>
    <cellStyle name="Note 2 29 2 3 5" xfId="16978" xr:uid="{00000000-0005-0000-0000-00009C840000}"/>
    <cellStyle name="Note 2 29 2 3 6" xfId="16287" xr:uid="{00000000-0005-0000-0000-00009D840000}"/>
    <cellStyle name="Note 2 29 2 4" xfId="12003" xr:uid="{00000000-0005-0000-0000-00009E840000}"/>
    <cellStyle name="Note 2 29 2 5" xfId="12004" xr:uid="{00000000-0005-0000-0000-00009F840000}"/>
    <cellStyle name="Note 2 29 2 6" xfId="12005" xr:uid="{00000000-0005-0000-0000-0000A0840000}"/>
    <cellStyle name="Note 2 29 2 7" xfId="16548" xr:uid="{00000000-0005-0000-0000-0000A1840000}"/>
    <cellStyle name="Note 2 29 2 8" xfId="16483" xr:uid="{00000000-0005-0000-0000-0000A2840000}"/>
    <cellStyle name="Note 2 29 3" xfId="6457" xr:uid="{00000000-0005-0000-0000-0000A3840000}"/>
    <cellStyle name="Note 2 29 3 2" xfId="12006" xr:uid="{00000000-0005-0000-0000-0000A4840000}"/>
    <cellStyle name="Note 2 29 3 3" xfId="12007" xr:uid="{00000000-0005-0000-0000-0000A5840000}"/>
    <cellStyle name="Note 2 29 3 4" xfId="12008" xr:uid="{00000000-0005-0000-0000-0000A6840000}"/>
    <cellStyle name="Note 2 29 3 5" xfId="16979" xr:uid="{00000000-0005-0000-0000-0000A7840000}"/>
    <cellStyle name="Note 2 29 3 6" xfId="15410" xr:uid="{00000000-0005-0000-0000-0000A8840000}"/>
    <cellStyle name="Note 2 29 4" xfId="6458" xr:uid="{00000000-0005-0000-0000-0000A9840000}"/>
    <cellStyle name="Note 2 29 4 2" xfId="12009" xr:uid="{00000000-0005-0000-0000-0000AA840000}"/>
    <cellStyle name="Note 2 29 4 3" xfId="12010" xr:uid="{00000000-0005-0000-0000-0000AB840000}"/>
    <cellStyle name="Note 2 29 4 4" xfId="12011" xr:uid="{00000000-0005-0000-0000-0000AC840000}"/>
    <cellStyle name="Note 2 29 4 5" xfId="16980" xr:uid="{00000000-0005-0000-0000-0000AD840000}"/>
    <cellStyle name="Note 2 29 4 6" xfId="16147" xr:uid="{00000000-0005-0000-0000-0000AE840000}"/>
    <cellStyle name="Note 2 29 5" xfId="12012" xr:uid="{00000000-0005-0000-0000-0000AF840000}"/>
    <cellStyle name="Note 2 29 6" xfId="12013" xr:uid="{00000000-0005-0000-0000-0000B0840000}"/>
    <cellStyle name="Note 2 29 7" xfId="12014" xr:uid="{00000000-0005-0000-0000-0000B1840000}"/>
    <cellStyle name="Note 2 29 8" xfId="15955" xr:uid="{00000000-0005-0000-0000-0000B2840000}"/>
    <cellStyle name="Note 2 29 9" xfId="15727" xr:uid="{00000000-0005-0000-0000-0000B3840000}"/>
    <cellStyle name="Note 2 3" xfId="6459" xr:uid="{00000000-0005-0000-0000-0000B4840000}"/>
    <cellStyle name="Note 2 3 10" xfId="36137" xr:uid="{00000000-0005-0000-0000-0000B5840000}"/>
    <cellStyle name="Note 2 3 2" xfId="6460" xr:uid="{00000000-0005-0000-0000-0000B6840000}"/>
    <cellStyle name="Note 2 3 2 2" xfId="6461" xr:uid="{00000000-0005-0000-0000-0000B7840000}"/>
    <cellStyle name="Note 2 3 2 2 2" xfId="12015" xr:uid="{00000000-0005-0000-0000-0000B8840000}"/>
    <cellStyle name="Note 2 3 2 2 3" xfId="12016" xr:uid="{00000000-0005-0000-0000-0000B9840000}"/>
    <cellStyle name="Note 2 3 2 2 4" xfId="12017" xr:uid="{00000000-0005-0000-0000-0000BA840000}"/>
    <cellStyle name="Note 2 3 2 2 5" xfId="16981" xr:uid="{00000000-0005-0000-0000-0000BB840000}"/>
    <cellStyle name="Note 2 3 2 2 6" xfId="17719" xr:uid="{00000000-0005-0000-0000-0000BC840000}"/>
    <cellStyle name="Note 2 3 2 2 7" xfId="36139" xr:uid="{00000000-0005-0000-0000-0000BD840000}"/>
    <cellStyle name="Note 2 3 2 3" xfId="6462" xr:uid="{00000000-0005-0000-0000-0000BE840000}"/>
    <cellStyle name="Note 2 3 2 3 2" xfId="12018" xr:uid="{00000000-0005-0000-0000-0000BF840000}"/>
    <cellStyle name="Note 2 3 2 3 3" xfId="12019" xr:uid="{00000000-0005-0000-0000-0000C0840000}"/>
    <cellStyle name="Note 2 3 2 3 4" xfId="12020" xr:uid="{00000000-0005-0000-0000-0000C1840000}"/>
    <cellStyle name="Note 2 3 2 3 5" xfId="16982" xr:uid="{00000000-0005-0000-0000-0000C2840000}"/>
    <cellStyle name="Note 2 3 2 3 6" xfId="16286" xr:uid="{00000000-0005-0000-0000-0000C3840000}"/>
    <cellStyle name="Note 2 3 2 3 7" xfId="36140" xr:uid="{00000000-0005-0000-0000-0000C4840000}"/>
    <cellStyle name="Note 2 3 2 4" xfId="12021" xr:uid="{00000000-0005-0000-0000-0000C5840000}"/>
    <cellStyle name="Note 2 3 2 4 2" xfId="36141" xr:uid="{00000000-0005-0000-0000-0000C6840000}"/>
    <cellStyle name="Note 2 3 2 5" xfId="12022" xr:uid="{00000000-0005-0000-0000-0000C7840000}"/>
    <cellStyle name="Note 2 3 2 5 2" xfId="42705" xr:uid="{00000000-0005-0000-0000-0000C8840000}"/>
    <cellStyle name="Note 2 3 2 6" xfId="12023" xr:uid="{00000000-0005-0000-0000-0000C9840000}"/>
    <cellStyle name="Note 2 3 2 7" xfId="16549" xr:uid="{00000000-0005-0000-0000-0000CA840000}"/>
    <cellStyle name="Note 2 3 2 8" xfId="15612" xr:uid="{00000000-0005-0000-0000-0000CB840000}"/>
    <cellStyle name="Note 2 3 2 9" xfId="36138" xr:uid="{00000000-0005-0000-0000-0000CC840000}"/>
    <cellStyle name="Note 2 3 3" xfId="6463" xr:uid="{00000000-0005-0000-0000-0000CD840000}"/>
    <cellStyle name="Note 2 3 3 2" xfId="12024" xr:uid="{00000000-0005-0000-0000-0000CE840000}"/>
    <cellStyle name="Note 2 3 3 3" xfId="12025" xr:uid="{00000000-0005-0000-0000-0000CF840000}"/>
    <cellStyle name="Note 2 3 3 4" xfId="12026" xr:uid="{00000000-0005-0000-0000-0000D0840000}"/>
    <cellStyle name="Note 2 3 3 5" xfId="16983" xr:uid="{00000000-0005-0000-0000-0000D1840000}"/>
    <cellStyle name="Note 2 3 3 6" xfId="15409" xr:uid="{00000000-0005-0000-0000-0000D2840000}"/>
    <cellStyle name="Note 2 3 3 7" xfId="36142" xr:uid="{00000000-0005-0000-0000-0000D3840000}"/>
    <cellStyle name="Note 2 3 4" xfId="6464" xr:uid="{00000000-0005-0000-0000-0000D4840000}"/>
    <cellStyle name="Note 2 3 4 2" xfId="12027" xr:uid="{00000000-0005-0000-0000-0000D5840000}"/>
    <cellStyle name="Note 2 3 4 3" xfId="12028" xr:uid="{00000000-0005-0000-0000-0000D6840000}"/>
    <cellStyle name="Note 2 3 4 4" xfId="12029" xr:uid="{00000000-0005-0000-0000-0000D7840000}"/>
    <cellStyle name="Note 2 3 4 5" xfId="16984" xr:uid="{00000000-0005-0000-0000-0000D8840000}"/>
    <cellStyle name="Note 2 3 4 6" xfId="17718" xr:uid="{00000000-0005-0000-0000-0000D9840000}"/>
    <cellStyle name="Note 2 3 4 7" xfId="36143" xr:uid="{00000000-0005-0000-0000-0000DA840000}"/>
    <cellStyle name="Note 2 3 5" xfId="12030" xr:uid="{00000000-0005-0000-0000-0000DB840000}"/>
    <cellStyle name="Note 2 3 5 2" xfId="36144" xr:uid="{00000000-0005-0000-0000-0000DC840000}"/>
    <cellStyle name="Note 2 3 6" xfId="12031" xr:uid="{00000000-0005-0000-0000-0000DD840000}"/>
    <cellStyle name="Note 2 3 6 2" xfId="42704" xr:uid="{00000000-0005-0000-0000-0000DE840000}"/>
    <cellStyle name="Note 2 3 7" xfId="12032" xr:uid="{00000000-0005-0000-0000-0000DF840000}"/>
    <cellStyle name="Note 2 3 8" xfId="15956" xr:uid="{00000000-0005-0000-0000-0000E0840000}"/>
    <cellStyle name="Note 2 3 9" xfId="15726" xr:uid="{00000000-0005-0000-0000-0000E1840000}"/>
    <cellStyle name="Note 2 30" xfId="6465" xr:uid="{00000000-0005-0000-0000-0000E2840000}"/>
    <cellStyle name="Note 2 30 2" xfId="6466" xr:uid="{00000000-0005-0000-0000-0000E3840000}"/>
    <cellStyle name="Note 2 30 2 2" xfId="12033" xr:uid="{00000000-0005-0000-0000-0000E4840000}"/>
    <cellStyle name="Note 2 30 2 2 2" xfId="12034" xr:uid="{00000000-0005-0000-0000-0000E5840000}"/>
    <cellStyle name="Note 2 30 2 2 3" xfId="12035" xr:uid="{00000000-0005-0000-0000-0000E6840000}"/>
    <cellStyle name="Note 2 30 2 2 4" xfId="12036" xr:uid="{00000000-0005-0000-0000-0000E7840000}"/>
    <cellStyle name="Note 2 30 2 3" xfId="12037" xr:uid="{00000000-0005-0000-0000-0000E8840000}"/>
    <cellStyle name="Note 2 30 2 4" xfId="12038" xr:uid="{00000000-0005-0000-0000-0000E9840000}"/>
    <cellStyle name="Note 2 30 2 5" xfId="12039" xr:uid="{00000000-0005-0000-0000-0000EA840000}"/>
    <cellStyle name="Note 2 30 2 6" xfId="16985" xr:uid="{00000000-0005-0000-0000-0000EB840000}"/>
    <cellStyle name="Note 2 30 2 7" xfId="16285" xr:uid="{00000000-0005-0000-0000-0000EC840000}"/>
    <cellStyle name="Note 2 30 3" xfId="6467" xr:uid="{00000000-0005-0000-0000-0000ED840000}"/>
    <cellStyle name="Note 2 30 3 2" xfId="12040" xr:uid="{00000000-0005-0000-0000-0000EE840000}"/>
    <cellStyle name="Note 2 30 3 2 2" xfId="12041" xr:uid="{00000000-0005-0000-0000-0000EF840000}"/>
    <cellStyle name="Note 2 30 3 2 3" xfId="12042" xr:uid="{00000000-0005-0000-0000-0000F0840000}"/>
    <cellStyle name="Note 2 30 3 2 4" xfId="12043" xr:uid="{00000000-0005-0000-0000-0000F1840000}"/>
    <cellStyle name="Note 2 30 3 3" xfId="12044" xr:uid="{00000000-0005-0000-0000-0000F2840000}"/>
    <cellStyle name="Note 2 30 3 4" xfId="12045" xr:uid="{00000000-0005-0000-0000-0000F3840000}"/>
    <cellStyle name="Note 2 30 3 5" xfId="12046" xr:uid="{00000000-0005-0000-0000-0000F4840000}"/>
    <cellStyle name="Note 2 30 3 6" xfId="16986" xr:uid="{00000000-0005-0000-0000-0000F5840000}"/>
    <cellStyle name="Note 2 30 3 7" xfId="15408" xr:uid="{00000000-0005-0000-0000-0000F6840000}"/>
    <cellStyle name="Note 2 30 4" xfId="12047" xr:uid="{00000000-0005-0000-0000-0000F7840000}"/>
    <cellStyle name="Note 2 30 4 2" xfId="12048" xr:uid="{00000000-0005-0000-0000-0000F8840000}"/>
    <cellStyle name="Note 2 30 4 3" xfId="12049" xr:uid="{00000000-0005-0000-0000-0000F9840000}"/>
    <cellStyle name="Note 2 30 4 4" xfId="12050" xr:uid="{00000000-0005-0000-0000-0000FA840000}"/>
    <cellStyle name="Note 2 30 5" xfId="12051" xr:uid="{00000000-0005-0000-0000-0000FB840000}"/>
    <cellStyle name="Note 2 30 6" xfId="12052" xr:uid="{00000000-0005-0000-0000-0000FC840000}"/>
    <cellStyle name="Note 2 30 7" xfId="12053" xr:uid="{00000000-0005-0000-0000-0000FD840000}"/>
    <cellStyle name="Note 2 30 8" xfId="15957" xr:uid="{00000000-0005-0000-0000-0000FE840000}"/>
    <cellStyle name="Note 2 30 9" xfId="15725" xr:uid="{00000000-0005-0000-0000-0000FF840000}"/>
    <cellStyle name="Note 2 31" xfId="6468" xr:uid="{00000000-0005-0000-0000-000000850000}"/>
    <cellStyle name="Note 2 31 2" xfId="6469" xr:uid="{00000000-0005-0000-0000-000001850000}"/>
    <cellStyle name="Note 2 31 2 2" xfId="12054" xr:uid="{00000000-0005-0000-0000-000002850000}"/>
    <cellStyle name="Note 2 31 2 3" xfId="12055" xr:uid="{00000000-0005-0000-0000-000003850000}"/>
    <cellStyle name="Note 2 31 2 4" xfId="12056" xr:uid="{00000000-0005-0000-0000-000004850000}"/>
    <cellStyle name="Note 2 31 2 5" xfId="16987" xr:uid="{00000000-0005-0000-0000-000005850000}"/>
    <cellStyle name="Note 2 31 2 6" xfId="16150" xr:uid="{00000000-0005-0000-0000-000006850000}"/>
    <cellStyle name="Note 2 31 3" xfId="6470" xr:uid="{00000000-0005-0000-0000-000007850000}"/>
    <cellStyle name="Note 2 31 3 2" xfId="12057" xr:uid="{00000000-0005-0000-0000-000008850000}"/>
    <cellStyle name="Note 2 31 3 3" xfId="12058" xr:uid="{00000000-0005-0000-0000-000009850000}"/>
    <cellStyle name="Note 2 31 3 4" xfId="12059" xr:uid="{00000000-0005-0000-0000-00000A850000}"/>
    <cellStyle name="Note 2 31 3 5" xfId="16988" xr:uid="{00000000-0005-0000-0000-00000B850000}"/>
    <cellStyle name="Note 2 31 3 6" xfId="17717" xr:uid="{00000000-0005-0000-0000-00000C850000}"/>
    <cellStyle name="Note 2 31 4" xfId="12060" xr:uid="{00000000-0005-0000-0000-00000D850000}"/>
    <cellStyle name="Note 2 31 5" xfId="12061" xr:uid="{00000000-0005-0000-0000-00000E850000}"/>
    <cellStyle name="Note 2 31 6" xfId="12062" xr:uid="{00000000-0005-0000-0000-00000F850000}"/>
    <cellStyle name="Note 2 31 7" xfId="16522" xr:uid="{00000000-0005-0000-0000-000010850000}"/>
    <cellStyle name="Note 2 31 8" xfId="16491" xr:uid="{00000000-0005-0000-0000-000011850000}"/>
    <cellStyle name="Note 2 32" xfId="6471" xr:uid="{00000000-0005-0000-0000-000012850000}"/>
    <cellStyle name="Note 2 32 2" xfId="6472" xr:uid="{00000000-0005-0000-0000-000013850000}"/>
    <cellStyle name="Note 2 32 2 2" xfId="12063" xr:uid="{00000000-0005-0000-0000-000014850000}"/>
    <cellStyle name="Note 2 32 2 2 2" xfId="12064" xr:uid="{00000000-0005-0000-0000-000015850000}"/>
    <cellStyle name="Note 2 32 2 2 3" xfId="12065" xr:uid="{00000000-0005-0000-0000-000016850000}"/>
    <cellStyle name="Note 2 32 2 2 4" xfId="12066" xr:uid="{00000000-0005-0000-0000-000017850000}"/>
    <cellStyle name="Note 2 32 2 3" xfId="12067" xr:uid="{00000000-0005-0000-0000-000018850000}"/>
    <cellStyle name="Note 2 32 2 4" xfId="12068" xr:uid="{00000000-0005-0000-0000-000019850000}"/>
    <cellStyle name="Note 2 32 2 5" xfId="12069" xr:uid="{00000000-0005-0000-0000-00001A850000}"/>
    <cellStyle name="Note 2 32 2 6" xfId="16990" xr:uid="{00000000-0005-0000-0000-00001B850000}"/>
    <cellStyle name="Note 2 32 2 7" xfId="15407" xr:uid="{00000000-0005-0000-0000-00001C850000}"/>
    <cellStyle name="Note 2 32 3" xfId="12070" xr:uid="{00000000-0005-0000-0000-00001D850000}"/>
    <cellStyle name="Note 2 32 3 2" xfId="12071" xr:uid="{00000000-0005-0000-0000-00001E850000}"/>
    <cellStyle name="Note 2 32 3 3" xfId="12072" xr:uid="{00000000-0005-0000-0000-00001F850000}"/>
    <cellStyle name="Note 2 32 3 4" xfId="12073" xr:uid="{00000000-0005-0000-0000-000020850000}"/>
    <cellStyle name="Note 2 32 4" xfId="12074" xr:uid="{00000000-0005-0000-0000-000021850000}"/>
    <cellStyle name="Note 2 32 5" xfId="12075" xr:uid="{00000000-0005-0000-0000-000022850000}"/>
    <cellStyle name="Note 2 32 6" xfId="12076" xr:uid="{00000000-0005-0000-0000-000023850000}"/>
    <cellStyle name="Note 2 32 7" xfId="16989" xr:uid="{00000000-0005-0000-0000-000024850000}"/>
    <cellStyle name="Note 2 32 8" xfId="16284" xr:uid="{00000000-0005-0000-0000-000025850000}"/>
    <cellStyle name="Note 2 33" xfId="6473" xr:uid="{00000000-0005-0000-0000-000026850000}"/>
    <cellStyle name="Note 2 33 2" xfId="12077" xr:uid="{00000000-0005-0000-0000-000027850000}"/>
    <cellStyle name="Note 2 33 2 2" xfId="12078" xr:uid="{00000000-0005-0000-0000-000028850000}"/>
    <cellStyle name="Note 2 33 2 3" xfId="12079" xr:uid="{00000000-0005-0000-0000-000029850000}"/>
    <cellStyle name="Note 2 33 2 4" xfId="12080" xr:uid="{00000000-0005-0000-0000-00002A850000}"/>
    <cellStyle name="Note 2 33 3" xfId="12081" xr:uid="{00000000-0005-0000-0000-00002B850000}"/>
    <cellStyle name="Note 2 33 4" xfId="12082" xr:uid="{00000000-0005-0000-0000-00002C850000}"/>
    <cellStyle name="Note 2 33 5" xfId="12083" xr:uid="{00000000-0005-0000-0000-00002D850000}"/>
    <cellStyle name="Note 2 33 6" xfId="16991" xr:uid="{00000000-0005-0000-0000-00002E850000}"/>
    <cellStyle name="Note 2 33 7" xfId="17716" xr:uid="{00000000-0005-0000-0000-00002F850000}"/>
    <cellStyle name="Note 2 34" xfId="12084" xr:uid="{00000000-0005-0000-0000-000030850000}"/>
    <cellStyle name="Note 2 35" xfId="12085" xr:uid="{00000000-0005-0000-0000-000031850000}"/>
    <cellStyle name="Note 2 36" xfId="12086" xr:uid="{00000000-0005-0000-0000-000032850000}"/>
    <cellStyle name="Note 2 37" xfId="15909" xr:uid="{00000000-0005-0000-0000-000033850000}"/>
    <cellStyle name="Note 2 38" xfId="15765" xr:uid="{00000000-0005-0000-0000-000034850000}"/>
    <cellStyle name="Note 2 39" xfId="44378" xr:uid="{00000000-0005-0000-0000-000035850000}"/>
    <cellStyle name="Note 2 4" xfId="6474" xr:uid="{00000000-0005-0000-0000-000036850000}"/>
    <cellStyle name="Note 2 4 10" xfId="36145" xr:uid="{00000000-0005-0000-0000-000037850000}"/>
    <cellStyle name="Note 2 4 2" xfId="6475" xr:uid="{00000000-0005-0000-0000-000038850000}"/>
    <cellStyle name="Note 2 4 2 2" xfId="6476" xr:uid="{00000000-0005-0000-0000-000039850000}"/>
    <cellStyle name="Note 2 4 2 2 2" xfId="12087" xr:uid="{00000000-0005-0000-0000-00003A850000}"/>
    <cellStyle name="Note 2 4 2 2 2 2" xfId="42708" xr:uid="{00000000-0005-0000-0000-00003B850000}"/>
    <cellStyle name="Note 2 4 2 2 3" xfId="12088" xr:uid="{00000000-0005-0000-0000-00003C850000}"/>
    <cellStyle name="Note 2 4 2 2 4" xfId="12089" xr:uid="{00000000-0005-0000-0000-00003D850000}"/>
    <cellStyle name="Note 2 4 2 2 5" xfId="16992" xr:uid="{00000000-0005-0000-0000-00003E850000}"/>
    <cellStyle name="Note 2 4 2 2 6" xfId="16283" xr:uid="{00000000-0005-0000-0000-00003F850000}"/>
    <cellStyle name="Note 2 4 2 2 7" xfId="36147" xr:uid="{00000000-0005-0000-0000-000040850000}"/>
    <cellStyle name="Note 2 4 2 3" xfId="6477" xr:uid="{00000000-0005-0000-0000-000041850000}"/>
    <cellStyle name="Note 2 4 2 3 2" xfId="12090" xr:uid="{00000000-0005-0000-0000-000042850000}"/>
    <cellStyle name="Note 2 4 2 3 3" xfId="12091" xr:uid="{00000000-0005-0000-0000-000043850000}"/>
    <cellStyle name="Note 2 4 2 3 4" xfId="12092" xr:uid="{00000000-0005-0000-0000-000044850000}"/>
    <cellStyle name="Note 2 4 2 3 5" xfId="16993" xr:uid="{00000000-0005-0000-0000-000045850000}"/>
    <cellStyle name="Note 2 4 2 3 6" xfId="15406" xr:uid="{00000000-0005-0000-0000-000046850000}"/>
    <cellStyle name="Note 2 4 2 3 7" xfId="42707" xr:uid="{00000000-0005-0000-0000-000047850000}"/>
    <cellStyle name="Note 2 4 2 4" xfId="12093" xr:uid="{00000000-0005-0000-0000-000048850000}"/>
    <cellStyle name="Note 2 4 2 5" xfId="12094" xr:uid="{00000000-0005-0000-0000-000049850000}"/>
    <cellStyle name="Note 2 4 2 6" xfId="12095" xr:uid="{00000000-0005-0000-0000-00004A850000}"/>
    <cellStyle name="Note 2 4 2 7" xfId="16550" xr:uid="{00000000-0005-0000-0000-00004B850000}"/>
    <cellStyle name="Note 2 4 2 8" xfId="17913" xr:uid="{00000000-0005-0000-0000-00004C850000}"/>
    <cellStyle name="Note 2 4 2 9" xfId="36146" xr:uid="{00000000-0005-0000-0000-00004D850000}"/>
    <cellStyle name="Note 2 4 3" xfId="6478" xr:uid="{00000000-0005-0000-0000-00004E850000}"/>
    <cellStyle name="Note 2 4 3 2" xfId="12096" xr:uid="{00000000-0005-0000-0000-00004F850000}"/>
    <cellStyle name="Note 2 4 3 2 2" xfId="42709" xr:uid="{00000000-0005-0000-0000-000050850000}"/>
    <cellStyle name="Note 2 4 3 3" xfId="12097" xr:uid="{00000000-0005-0000-0000-000051850000}"/>
    <cellStyle name="Note 2 4 3 4" xfId="12098" xr:uid="{00000000-0005-0000-0000-000052850000}"/>
    <cellStyle name="Note 2 4 3 5" xfId="16994" xr:uid="{00000000-0005-0000-0000-000053850000}"/>
    <cellStyle name="Note 2 4 3 6" xfId="16144" xr:uid="{00000000-0005-0000-0000-000054850000}"/>
    <cellStyle name="Note 2 4 3 7" xfId="36148" xr:uid="{00000000-0005-0000-0000-000055850000}"/>
    <cellStyle name="Note 2 4 4" xfId="6479" xr:uid="{00000000-0005-0000-0000-000056850000}"/>
    <cellStyle name="Note 2 4 4 2" xfId="12099" xr:uid="{00000000-0005-0000-0000-000057850000}"/>
    <cellStyle name="Note 2 4 4 2 2" xfId="42710" xr:uid="{00000000-0005-0000-0000-000058850000}"/>
    <cellStyle name="Note 2 4 4 3" xfId="12100" xr:uid="{00000000-0005-0000-0000-000059850000}"/>
    <cellStyle name="Note 2 4 4 4" xfId="12101" xr:uid="{00000000-0005-0000-0000-00005A850000}"/>
    <cellStyle name="Note 2 4 4 5" xfId="16995" xr:uid="{00000000-0005-0000-0000-00005B850000}"/>
    <cellStyle name="Note 2 4 4 6" xfId="17715" xr:uid="{00000000-0005-0000-0000-00005C850000}"/>
    <cellStyle name="Note 2 4 4 7" xfId="36149" xr:uid="{00000000-0005-0000-0000-00005D850000}"/>
    <cellStyle name="Note 2 4 5" xfId="12102" xr:uid="{00000000-0005-0000-0000-00005E850000}"/>
    <cellStyle name="Note 2 4 5 2" xfId="42711" xr:uid="{00000000-0005-0000-0000-00005F850000}"/>
    <cellStyle name="Note 2 4 5 3" xfId="36150" xr:uid="{00000000-0005-0000-0000-000060850000}"/>
    <cellStyle name="Note 2 4 6" xfId="12103" xr:uid="{00000000-0005-0000-0000-000061850000}"/>
    <cellStyle name="Note 2 4 6 2" xfId="42712" xr:uid="{00000000-0005-0000-0000-000062850000}"/>
    <cellStyle name="Note 2 4 6 3" xfId="36151" xr:uid="{00000000-0005-0000-0000-000063850000}"/>
    <cellStyle name="Note 2 4 7" xfId="12104" xr:uid="{00000000-0005-0000-0000-000064850000}"/>
    <cellStyle name="Note 2 4 7 2" xfId="42713" xr:uid="{00000000-0005-0000-0000-000065850000}"/>
    <cellStyle name="Note 2 4 7 3" xfId="36152" xr:uid="{00000000-0005-0000-0000-000066850000}"/>
    <cellStyle name="Note 2 4 8" xfId="15958" xr:uid="{00000000-0005-0000-0000-000067850000}"/>
    <cellStyle name="Note 2 4 8 2" xfId="36153" xr:uid="{00000000-0005-0000-0000-000068850000}"/>
    <cellStyle name="Note 2 4 9" xfId="15724" xr:uid="{00000000-0005-0000-0000-000069850000}"/>
    <cellStyle name="Note 2 4 9 2" xfId="42706" xr:uid="{00000000-0005-0000-0000-00006A850000}"/>
    <cellStyle name="Note 2 5" xfId="6480" xr:uid="{00000000-0005-0000-0000-00006B850000}"/>
    <cellStyle name="Note 2 5 10" xfId="36154" xr:uid="{00000000-0005-0000-0000-00006C850000}"/>
    <cellStyle name="Note 2 5 2" xfId="6481" xr:uid="{00000000-0005-0000-0000-00006D850000}"/>
    <cellStyle name="Note 2 5 2 2" xfId="6482" xr:uid="{00000000-0005-0000-0000-00006E850000}"/>
    <cellStyle name="Note 2 5 2 2 2" xfId="12105" xr:uid="{00000000-0005-0000-0000-00006F850000}"/>
    <cellStyle name="Note 2 5 2 2 3" xfId="12106" xr:uid="{00000000-0005-0000-0000-000070850000}"/>
    <cellStyle name="Note 2 5 2 2 4" xfId="12107" xr:uid="{00000000-0005-0000-0000-000071850000}"/>
    <cellStyle name="Note 2 5 2 2 5" xfId="16996" xr:uid="{00000000-0005-0000-0000-000072850000}"/>
    <cellStyle name="Note 2 5 2 2 6" xfId="16282" xr:uid="{00000000-0005-0000-0000-000073850000}"/>
    <cellStyle name="Note 2 5 2 2 7" xfId="42715" xr:uid="{00000000-0005-0000-0000-000074850000}"/>
    <cellStyle name="Note 2 5 2 3" xfId="6483" xr:uid="{00000000-0005-0000-0000-000075850000}"/>
    <cellStyle name="Note 2 5 2 3 2" xfId="12108" xr:uid="{00000000-0005-0000-0000-000076850000}"/>
    <cellStyle name="Note 2 5 2 3 3" xfId="12109" xr:uid="{00000000-0005-0000-0000-000077850000}"/>
    <cellStyle name="Note 2 5 2 3 4" xfId="12110" xr:uid="{00000000-0005-0000-0000-000078850000}"/>
    <cellStyle name="Note 2 5 2 3 5" xfId="16997" xr:uid="{00000000-0005-0000-0000-000079850000}"/>
    <cellStyle name="Note 2 5 2 3 6" xfId="15405" xr:uid="{00000000-0005-0000-0000-00007A850000}"/>
    <cellStyle name="Note 2 5 2 4" xfId="12111" xr:uid="{00000000-0005-0000-0000-00007B850000}"/>
    <cellStyle name="Note 2 5 2 5" xfId="12112" xr:uid="{00000000-0005-0000-0000-00007C850000}"/>
    <cellStyle name="Note 2 5 2 6" xfId="12113" xr:uid="{00000000-0005-0000-0000-00007D850000}"/>
    <cellStyle name="Note 2 5 2 7" xfId="16551" xr:uid="{00000000-0005-0000-0000-00007E850000}"/>
    <cellStyle name="Note 2 5 2 8" xfId="16482" xr:uid="{00000000-0005-0000-0000-00007F850000}"/>
    <cellStyle name="Note 2 5 2 9" xfId="36155" xr:uid="{00000000-0005-0000-0000-000080850000}"/>
    <cellStyle name="Note 2 5 3" xfId="6484" xr:uid="{00000000-0005-0000-0000-000081850000}"/>
    <cellStyle name="Note 2 5 3 2" xfId="12114" xr:uid="{00000000-0005-0000-0000-000082850000}"/>
    <cellStyle name="Note 2 5 3 2 2" xfId="42716" xr:uid="{00000000-0005-0000-0000-000083850000}"/>
    <cellStyle name="Note 2 5 3 3" xfId="12115" xr:uid="{00000000-0005-0000-0000-000084850000}"/>
    <cellStyle name="Note 2 5 3 4" xfId="12116" xr:uid="{00000000-0005-0000-0000-000085850000}"/>
    <cellStyle name="Note 2 5 3 5" xfId="16998" xr:uid="{00000000-0005-0000-0000-000086850000}"/>
    <cellStyle name="Note 2 5 3 6" xfId="17714" xr:uid="{00000000-0005-0000-0000-000087850000}"/>
    <cellStyle name="Note 2 5 3 7" xfId="36156" xr:uid="{00000000-0005-0000-0000-000088850000}"/>
    <cellStyle name="Note 2 5 4" xfId="6485" xr:uid="{00000000-0005-0000-0000-000089850000}"/>
    <cellStyle name="Note 2 5 4 2" xfId="12117" xr:uid="{00000000-0005-0000-0000-00008A850000}"/>
    <cellStyle name="Note 2 5 4 3" xfId="12118" xr:uid="{00000000-0005-0000-0000-00008B850000}"/>
    <cellStyle name="Note 2 5 4 4" xfId="12119" xr:uid="{00000000-0005-0000-0000-00008C850000}"/>
    <cellStyle name="Note 2 5 4 5" xfId="16999" xr:uid="{00000000-0005-0000-0000-00008D850000}"/>
    <cellStyle name="Note 2 5 4 6" xfId="16281" xr:uid="{00000000-0005-0000-0000-00008E850000}"/>
    <cellStyle name="Note 2 5 4 7" xfId="36157" xr:uid="{00000000-0005-0000-0000-00008F850000}"/>
    <cellStyle name="Note 2 5 5" xfId="12120" xr:uid="{00000000-0005-0000-0000-000090850000}"/>
    <cellStyle name="Note 2 5 5 2" xfId="42714" xr:uid="{00000000-0005-0000-0000-000091850000}"/>
    <cellStyle name="Note 2 5 6" xfId="12121" xr:uid="{00000000-0005-0000-0000-000092850000}"/>
    <cellStyle name="Note 2 5 7" xfId="12122" xr:uid="{00000000-0005-0000-0000-000093850000}"/>
    <cellStyle name="Note 2 5 8" xfId="15959" xr:uid="{00000000-0005-0000-0000-000094850000}"/>
    <cellStyle name="Note 2 5 9" xfId="15723" xr:uid="{00000000-0005-0000-0000-000095850000}"/>
    <cellStyle name="Note 2 6" xfId="6486" xr:uid="{00000000-0005-0000-0000-000096850000}"/>
    <cellStyle name="Note 2 6 10" xfId="36158" xr:uid="{00000000-0005-0000-0000-000097850000}"/>
    <cellStyle name="Note 2 6 2" xfId="6487" xr:uid="{00000000-0005-0000-0000-000098850000}"/>
    <cellStyle name="Note 2 6 2 2" xfId="6488" xr:uid="{00000000-0005-0000-0000-000099850000}"/>
    <cellStyle name="Note 2 6 2 2 2" xfId="12123" xr:uid="{00000000-0005-0000-0000-00009A850000}"/>
    <cellStyle name="Note 2 6 2 2 3" xfId="12124" xr:uid="{00000000-0005-0000-0000-00009B850000}"/>
    <cellStyle name="Note 2 6 2 2 4" xfId="12125" xr:uid="{00000000-0005-0000-0000-00009C850000}"/>
    <cellStyle name="Note 2 6 2 2 5" xfId="17000" xr:uid="{00000000-0005-0000-0000-00009D850000}"/>
    <cellStyle name="Note 2 6 2 2 6" xfId="15404" xr:uid="{00000000-0005-0000-0000-00009E850000}"/>
    <cellStyle name="Note 2 6 2 3" xfId="6489" xr:uid="{00000000-0005-0000-0000-00009F850000}"/>
    <cellStyle name="Note 2 6 2 3 2" xfId="12126" xr:uid="{00000000-0005-0000-0000-0000A0850000}"/>
    <cellStyle name="Note 2 6 2 3 3" xfId="12127" xr:uid="{00000000-0005-0000-0000-0000A1850000}"/>
    <cellStyle name="Note 2 6 2 3 4" xfId="12128" xr:uid="{00000000-0005-0000-0000-0000A2850000}"/>
    <cellStyle name="Note 2 6 2 3 5" xfId="17001" xr:uid="{00000000-0005-0000-0000-0000A3850000}"/>
    <cellStyle name="Note 2 6 2 3 6" xfId="16132" xr:uid="{00000000-0005-0000-0000-0000A4850000}"/>
    <cellStyle name="Note 2 6 2 4" xfId="12129" xr:uid="{00000000-0005-0000-0000-0000A5850000}"/>
    <cellStyle name="Note 2 6 2 5" xfId="12130" xr:uid="{00000000-0005-0000-0000-0000A6850000}"/>
    <cellStyle name="Note 2 6 2 6" xfId="12131" xr:uid="{00000000-0005-0000-0000-0000A7850000}"/>
    <cellStyle name="Note 2 6 2 7" xfId="16552" xr:uid="{00000000-0005-0000-0000-0000A8850000}"/>
    <cellStyle name="Note 2 6 2 8" xfId="15611" xr:uid="{00000000-0005-0000-0000-0000A9850000}"/>
    <cellStyle name="Note 2 6 2 9" xfId="36159" xr:uid="{00000000-0005-0000-0000-0000AA850000}"/>
    <cellStyle name="Note 2 6 3" xfId="6490" xr:uid="{00000000-0005-0000-0000-0000AB850000}"/>
    <cellStyle name="Note 2 6 3 2" xfId="12132" xr:uid="{00000000-0005-0000-0000-0000AC850000}"/>
    <cellStyle name="Note 2 6 3 3" xfId="12133" xr:uid="{00000000-0005-0000-0000-0000AD850000}"/>
    <cellStyle name="Note 2 6 3 4" xfId="12134" xr:uid="{00000000-0005-0000-0000-0000AE850000}"/>
    <cellStyle name="Note 2 6 3 5" xfId="17002" xr:uid="{00000000-0005-0000-0000-0000AF850000}"/>
    <cellStyle name="Note 2 6 3 6" xfId="17713" xr:uid="{00000000-0005-0000-0000-0000B0850000}"/>
    <cellStyle name="Note 2 6 3 7" xfId="42717" xr:uid="{00000000-0005-0000-0000-0000B1850000}"/>
    <cellStyle name="Note 2 6 4" xfId="6491" xr:uid="{00000000-0005-0000-0000-0000B2850000}"/>
    <cellStyle name="Note 2 6 4 2" xfId="12135" xr:uid="{00000000-0005-0000-0000-0000B3850000}"/>
    <cellStyle name="Note 2 6 4 3" xfId="12136" xr:uid="{00000000-0005-0000-0000-0000B4850000}"/>
    <cellStyle name="Note 2 6 4 4" xfId="12137" xr:uid="{00000000-0005-0000-0000-0000B5850000}"/>
    <cellStyle name="Note 2 6 4 5" xfId="17003" xr:uid="{00000000-0005-0000-0000-0000B6850000}"/>
    <cellStyle name="Note 2 6 4 6" xfId="16280" xr:uid="{00000000-0005-0000-0000-0000B7850000}"/>
    <cellStyle name="Note 2 6 5" xfId="12138" xr:uid="{00000000-0005-0000-0000-0000B8850000}"/>
    <cellStyle name="Note 2 6 6" xfId="12139" xr:uid="{00000000-0005-0000-0000-0000B9850000}"/>
    <cellStyle name="Note 2 6 7" xfId="12140" xr:uid="{00000000-0005-0000-0000-0000BA850000}"/>
    <cellStyle name="Note 2 6 8" xfId="15960" xr:uid="{00000000-0005-0000-0000-0000BB850000}"/>
    <cellStyle name="Note 2 6 9" xfId="15722" xr:uid="{00000000-0005-0000-0000-0000BC850000}"/>
    <cellStyle name="Note 2 7" xfId="6492" xr:uid="{00000000-0005-0000-0000-0000BD850000}"/>
    <cellStyle name="Note 2 7 10" xfId="36160" xr:uid="{00000000-0005-0000-0000-0000BE850000}"/>
    <cellStyle name="Note 2 7 2" xfId="6493" xr:uid="{00000000-0005-0000-0000-0000BF850000}"/>
    <cellStyle name="Note 2 7 2 2" xfId="6494" xr:uid="{00000000-0005-0000-0000-0000C0850000}"/>
    <cellStyle name="Note 2 7 2 2 2" xfId="12141" xr:uid="{00000000-0005-0000-0000-0000C1850000}"/>
    <cellStyle name="Note 2 7 2 2 3" xfId="12142" xr:uid="{00000000-0005-0000-0000-0000C2850000}"/>
    <cellStyle name="Note 2 7 2 2 4" xfId="12143" xr:uid="{00000000-0005-0000-0000-0000C3850000}"/>
    <cellStyle name="Note 2 7 2 2 5" xfId="17004" xr:uid="{00000000-0005-0000-0000-0000C4850000}"/>
    <cellStyle name="Note 2 7 2 2 6" xfId="15403" xr:uid="{00000000-0005-0000-0000-0000C5850000}"/>
    <cellStyle name="Note 2 7 2 3" xfId="6495" xr:uid="{00000000-0005-0000-0000-0000C6850000}"/>
    <cellStyle name="Note 2 7 2 3 2" xfId="12144" xr:uid="{00000000-0005-0000-0000-0000C7850000}"/>
    <cellStyle name="Note 2 7 2 3 3" xfId="12145" xr:uid="{00000000-0005-0000-0000-0000C8850000}"/>
    <cellStyle name="Note 2 7 2 3 4" xfId="12146" xr:uid="{00000000-0005-0000-0000-0000C9850000}"/>
    <cellStyle name="Note 2 7 2 3 5" xfId="17005" xr:uid="{00000000-0005-0000-0000-0000CA850000}"/>
    <cellStyle name="Note 2 7 2 3 6" xfId="17712" xr:uid="{00000000-0005-0000-0000-0000CB850000}"/>
    <cellStyle name="Note 2 7 2 4" xfId="12147" xr:uid="{00000000-0005-0000-0000-0000CC850000}"/>
    <cellStyle name="Note 2 7 2 5" xfId="12148" xr:uid="{00000000-0005-0000-0000-0000CD850000}"/>
    <cellStyle name="Note 2 7 2 6" xfId="12149" xr:uid="{00000000-0005-0000-0000-0000CE850000}"/>
    <cellStyle name="Note 2 7 2 7" xfId="16553" xr:uid="{00000000-0005-0000-0000-0000CF850000}"/>
    <cellStyle name="Note 2 7 2 8" xfId="17912" xr:uid="{00000000-0005-0000-0000-0000D0850000}"/>
    <cellStyle name="Note 2 7 2 9" xfId="36161" xr:uid="{00000000-0005-0000-0000-0000D1850000}"/>
    <cellStyle name="Note 2 7 3" xfId="6496" xr:uid="{00000000-0005-0000-0000-0000D2850000}"/>
    <cellStyle name="Note 2 7 3 2" xfId="12150" xr:uid="{00000000-0005-0000-0000-0000D3850000}"/>
    <cellStyle name="Note 2 7 3 3" xfId="12151" xr:uid="{00000000-0005-0000-0000-0000D4850000}"/>
    <cellStyle name="Note 2 7 3 4" xfId="12152" xr:uid="{00000000-0005-0000-0000-0000D5850000}"/>
    <cellStyle name="Note 2 7 3 5" xfId="17006" xr:uid="{00000000-0005-0000-0000-0000D6850000}"/>
    <cellStyle name="Note 2 7 3 6" xfId="16279" xr:uid="{00000000-0005-0000-0000-0000D7850000}"/>
    <cellStyle name="Note 2 7 3 7" xfId="42718" xr:uid="{00000000-0005-0000-0000-0000D8850000}"/>
    <cellStyle name="Note 2 7 4" xfId="6497" xr:uid="{00000000-0005-0000-0000-0000D9850000}"/>
    <cellStyle name="Note 2 7 4 2" xfId="12153" xr:uid="{00000000-0005-0000-0000-0000DA850000}"/>
    <cellStyle name="Note 2 7 4 3" xfId="12154" xr:uid="{00000000-0005-0000-0000-0000DB850000}"/>
    <cellStyle name="Note 2 7 4 4" xfId="12155" xr:uid="{00000000-0005-0000-0000-0000DC850000}"/>
    <cellStyle name="Note 2 7 4 5" xfId="17007" xr:uid="{00000000-0005-0000-0000-0000DD850000}"/>
    <cellStyle name="Note 2 7 4 6" xfId="15402" xr:uid="{00000000-0005-0000-0000-0000DE850000}"/>
    <cellStyle name="Note 2 7 5" xfId="12156" xr:uid="{00000000-0005-0000-0000-0000DF850000}"/>
    <cellStyle name="Note 2 7 6" xfId="12157" xr:uid="{00000000-0005-0000-0000-0000E0850000}"/>
    <cellStyle name="Note 2 7 7" xfId="12158" xr:uid="{00000000-0005-0000-0000-0000E1850000}"/>
    <cellStyle name="Note 2 7 8" xfId="15961" xr:uid="{00000000-0005-0000-0000-0000E2850000}"/>
    <cellStyle name="Note 2 7 9" xfId="15721" xr:uid="{00000000-0005-0000-0000-0000E3850000}"/>
    <cellStyle name="Note 2 8" xfId="6498" xr:uid="{00000000-0005-0000-0000-0000E4850000}"/>
    <cellStyle name="Note 2 8 10" xfId="6499" xr:uid="{00000000-0005-0000-0000-0000E5850000}"/>
    <cellStyle name="Note 2 8 10 2" xfId="6500" xr:uid="{00000000-0005-0000-0000-0000E6850000}"/>
    <cellStyle name="Note 2 8 10 2 2" xfId="12159" xr:uid="{00000000-0005-0000-0000-0000E7850000}"/>
    <cellStyle name="Note 2 8 10 2 2 2" xfId="12160" xr:uid="{00000000-0005-0000-0000-0000E8850000}"/>
    <cellStyle name="Note 2 8 10 2 2 3" xfId="12161" xr:uid="{00000000-0005-0000-0000-0000E9850000}"/>
    <cellStyle name="Note 2 8 10 2 2 4" xfId="12162" xr:uid="{00000000-0005-0000-0000-0000EA850000}"/>
    <cellStyle name="Note 2 8 10 2 3" xfId="12163" xr:uid="{00000000-0005-0000-0000-0000EB850000}"/>
    <cellStyle name="Note 2 8 10 2 4" xfId="12164" xr:uid="{00000000-0005-0000-0000-0000EC850000}"/>
    <cellStyle name="Note 2 8 10 2 5" xfId="12165" xr:uid="{00000000-0005-0000-0000-0000ED850000}"/>
    <cellStyle name="Note 2 8 10 2 6" xfId="17008" xr:uid="{00000000-0005-0000-0000-0000EE850000}"/>
    <cellStyle name="Note 2 8 10 2 7" xfId="16123" xr:uid="{00000000-0005-0000-0000-0000EF850000}"/>
    <cellStyle name="Note 2 8 10 3" xfId="6501" xr:uid="{00000000-0005-0000-0000-0000F0850000}"/>
    <cellStyle name="Note 2 8 10 3 2" xfId="12166" xr:uid="{00000000-0005-0000-0000-0000F1850000}"/>
    <cellStyle name="Note 2 8 10 3 2 2" xfId="12167" xr:uid="{00000000-0005-0000-0000-0000F2850000}"/>
    <cellStyle name="Note 2 8 10 3 2 3" xfId="12168" xr:uid="{00000000-0005-0000-0000-0000F3850000}"/>
    <cellStyle name="Note 2 8 10 3 2 4" xfId="12169" xr:uid="{00000000-0005-0000-0000-0000F4850000}"/>
    <cellStyle name="Note 2 8 10 3 3" xfId="12170" xr:uid="{00000000-0005-0000-0000-0000F5850000}"/>
    <cellStyle name="Note 2 8 10 3 4" xfId="12171" xr:uid="{00000000-0005-0000-0000-0000F6850000}"/>
    <cellStyle name="Note 2 8 10 3 5" xfId="12172" xr:uid="{00000000-0005-0000-0000-0000F7850000}"/>
    <cellStyle name="Note 2 8 10 3 6" xfId="17009" xr:uid="{00000000-0005-0000-0000-0000F8850000}"/>
    <cellStyle name="Note 2 8 10 3 7" xfId="17711" xr:uid="{00000000-0005-0000-0000-0000F9850000}"/>
    <cellStyle name="Note 2 8 10 4" xfId="12173" xr:uid="{00000000-0005-0000-0000-0000FA850000}"/>
    <cellStyle name="Note 2 8 10 4 2" xfId="12174" xr:uid="{00000000-0005-0000-0000-0000FB850000}"/>
    <cellStyle name="Note 2 8 10 4 3" xfId="12175" xr:uid="{00000000-0005-0000-0000-0000FC850000}"/>
    <cellStyle name="Note 2 8 10 4 4" xfId="12176" xr:uid="{00000000-0005-0000-0000-0000FD850000}"/>
    <cellStyle name="Note 2 8 10 5" xfId="12177" xr:uid="{00000000-0005-0000-0000-0000FE850000}"/>
    <cellStyle name="Note 2 8 10 6" xfId="12178" xr:uid="{00000000-0005-0000-0000-0000FF850000}"/>
    <cellStyle name="Note 2 8 10 7" xfId="12179" xr:uid="{00000000-0005-0000-0000-000000860000}"/>
    <cellStyle name="Note 2 8 10 8" xfId="15963" xr:uid="{00000000-0005-0000-0000-000001860000}"/>
    <cellStyle name="Note 2 8 10 9" xfId="15719" xr:uid="{00000000-0005-0000-0000-000002860000}"/>
    <cellStyle name="Note 2 8 11" xfId="6502" xr:uid="{00000000-0005-0000-0000-000003860000}"/>
    <cellStyle name="Note 2 8 11 2" xfId="6503" xr:uid="{00000000-0005-0000-0000-000004860000}"/>
    <cellStyle name="Note 2 8 11 2 2" xfId="12180" xr:uid="{00000000-0005-0000-0000-000005860000}"/>
    <cellStyle name="Note 2 8 11 2 2 2" xfId="12181" xr:uid="{00000000-0005-0000-0000-000006860000}"/>
    <cellStyle name="Note 2 8 11 2 2 3" xfId="12182" xr:uid="{00000000-0005-0000-0000-000007860000}"/>
    <cellStyle name="Note 2 8 11 2 2 4" xfId="12183" xr:uid="{00000000-0005-0000-0000-000008860000}"/>
    <cellStyle name="Note 2 8 11 2 3" xfId="12184" xr:uid="{00000000-0005-0000-0000-000009860000}"/>
    <cellStyle name="Note 2 8 11 2 4" xfId="12185" xr:uid="{00000000-0005-0000-0000-00000A860000}"/>
    <cellStyle name="Note 2 8 11 2 5" xfId="12186" xr:uid="{00000000-0005-0000-0000-00000B860000}"/>
    <cellStyle name="Note 2 8 11 2 6" xfId="17010" xr:uid="{00000000-0005-0000-0000-00000C860000}"/>
    <cellStyle name="Note 2 8 11 2 7" xfId="16278" xr:uid="{00000000-0005-0000-0000-00000D860000}"/>
    <cellStyle name="Note 2 8 11 3" xfId="6504" xr:uid="{00000000-0005-0000-0000-00000E860000}"/>
    <cellStyle name="Note 2 8 11 3 2" xfId="12187" xr:uid="{00000000-0005-0000-0000-00000F860000}"/>
    <cellStyle name="Note 2 8 11 3 2 2" xfId="12188" xr:uid="{00000000-0005-0000-0000-000010860000}"/>
    <cellStyle name="Note 2 8 11 3 2 3" xfId="12189" xr:uid="{00000000-0005-0000-0000-000011860000}"/>
    <cellStyle name="Note 2 8 11 3 2 4" xfId="12190" xr:uid="{00000000-0005-0000-0000-000012860000}"/>
    <cellStyle name="Note 2 8 11 3 3" xfId="12191" xr:uid="{00000000-0005-0000-0000-000013860000}"/>
    <cellStyle name="Note 2 8 11 3 4" xfId="12192" xr:uid="{00000000-0005-0000-0000-000014860000}"/>
    <cellStyle name="Note 2 8 11 3 5" xfId="12193" xr:uid="{00000000-0005-0000-0000-000015860000}"/>
    <cellStyle name="Note 2 8 11 3 6" xfId="17011" xr:uid="{00000000-0005-0000-0000-000016860000}"/>
    <cellStyle name="Note 2 8 11 3 7" xfId="15401" xr:uid="{00000000-0005-0000-0000-000017860000}"/>
    <cellStyle name="Note 2 8 11 4" xfId="12194" xr:uid="{00000000-0005-0000-0000-000018860000}"/>
    <cellStyle name="Note 2 8 11 4 2" xfId="12195" xr:uid="{00000000-0005-0000-0000-000019860000}"/>
    <cellStyle name="Note 2 8 11 4 3" xfId="12196" xr:uid="{00000000-0005-0000-0000-00001A860000}"/>
    <cellStyle name="Note 2 8 11 4 4" xfId="12197" xr:uid="{00000000-0005-0000-0000-00001B860000}"/>
    <cellStyle name="Note 2 8 11 5" xfId="12198" xr:uid="{00000000-0005-0000-0000-00001C860000}"/>
    <cellStyle name="Note 2 8 11 6" xfId="12199" xr:uid="{00000000-0005-0000-0000-00001D860000}"/>
    <cellStyle name="Note 2 8 11 7" xfId="12200" xr:uid="{00000000-0005-0000-0000-00001E860000}"/>
    <cellStyle name="Note 2 8 11 8" xfId="15964" xr:uid="{00000000-0005-0000-0000-00001F860000}"/>
    <cellStyle name="Note 2 8 11 9" xfId="15718" xr:uid="{00000000-0005-0000-0000-000020860000}"/>
    <cellStyle name="Note 2 8 12" xfId="6505" xr:uid="{00000000-0005-0000-0000-000021860000}"/>
    <cellStyle name="Note 2 8 12 2" xfId="6506" xr:uid="{00000000-0005-0000-0000-000022860000}"/>
    <cellStyle name="Note 2 8 12 2 2" xfId="12201" xr:uid="{00000000-0005-0000-0000-000023860000}"/>
    <cellStyle name="Note 2 8 12 2 3" xfId="12202" xr:uid="{00000000-0005-0000-0000-000024860000}"/>
    <cellStyle name="Note 2 8 12 2 4" xfId="12203" xr:uid="{00000000-0005-0000-0000-000025860000}"/>
    <cellStyle name="Note 2 8 12 2 5" xfId="17012" xr:uid="{00000000-0005-0000-0000-000026860000}"/>
    <cellStyle name="Note 2 8 12 2 6" xfId="17710" xr:uid="{00000000-0005-0000-0000-000027860000}"/>
    <cellStyle name="Note 2 8 12 3" xfId="6507" xr:uid="{00000000-0005-0000-0000-000028860000}"/>
    <cellStyle name="Note 2 8 12 3 2" xfId="12204" xr:uid="{00000000-0005-0000-0000-000029860000}"/>
    <cellStyle name="Note 2 8 12 3 3" xfId="12205" xr:uid="{00000000-0005-0000-0000-00002A860000}"/>
    <cellStyle name="Note 2 8 12 3 4" xfId="12206" xr:uid="{00000000-0005-0000-0000-00002B860000}"/>
    <cellStyle name="Note 2 8 12 3 5" xfId="17013" xr:uid="{00000000-0005-0000-0000-00002C860000}"/>
    <cellStyle name="Note 2 8 12 3 6" xfId="16277" xr:uid="{00000000-0005-0000-0000-00002D860000}"/>
    <cellStyle name="Note 2 8 12 4" xfId="12207" xr:uid="{00000000-0005-0000-0000-00002E860000}"/>
    <cellStyle name="Note 2 8 12 5" xfId="12208" xr:uid="{00000000-0005-0000-0000-00002F860000}"/>
    <cellStyle name="Note 2 8 12 6" xfId="12209" xr:uid="{00000000-0005-0000-0000-000030860000}"/>
    <cellStyle name="Note 2 8 12 7" xfId="16554" xr:uid="{00000000-0005-0000-0000-000031860000}"/>
    <cellStyle name="Note 2 8 12 8" xfId="16481" xr:uid="{00000000-0005-0000-0000-000032860000}"/>
    <cellStyle name="Note 2 8 13" xfId="6508" xr:uid="{00000000-0005-0000-0000-000033860000}"/>
    <cellStyle name="Note 2 8 13 2" xfId="12210" xr:uid="{00000000-0005-0000-0000-000034860000}"/>
    <cellStyle name="Note 2 8 13 3" xfId="12211" xr:uid="{00000000-0005-0000-0000-000035860000}"/>
    <cellStyle name="Note 2 8 13 4" xfId="12212" xr:uid="{00000000-0005-0000-0000-000036860000}"/>
    <cellStyle name="Note 2 8 13 5" xfId="17014" xr:uid="{00000000-0005-0000-0000-000037860000}"/>
    <cellStyle name="Note 2 8 13 6" xfId="15400" xr:uid="{00000000-0005-0000-0000-000038860000}"/>
    <cellStyle name="Note 2 8 14" xfId="6509" xr:uid="{00000000-0005-0000-0000-000039860000}"/>
    <cellStyle name="Note 2 8 14 2" xfId="12213" xr:uid="{00000000-0005-0000-0000-00003A860000}"/>
    <cellStyle name="Note 2 8 14 3" xfId="12214" xr:uid="{00000000-0005-0000-0000-00003B860000}"/>
    <cellStyle name="Note 2 8 14 4" xfId="12215" xr:uid="{00000000-0005-0000-0000-00003C860000}"/>
    <cellStyle name="Note 2 8 14 5" xfId="17015" xr:uid="{00000000-0005-0000-0000-00003D860000}"/>
    <cellStyle name="Note 2 8 14 6" xfId="16114" xr:uid="{00000000-0005-0000-0000-00003E860000}"/>
    <cellStyle name="Note 2 8 15" xfId="12216" xr:uid="{00000000-0005-0000-0000-00003F860000}"/>
    <cellStyle name="Note 2 8 16" xfId="12217" xr:uid="{00000000-0005-0000-0000-000040860000}"/>
    <cellStyle name="Note 2 8 17" xfId="12218" xr:uid="{00000000-0005-0000-0000-000041860000}"/>
    <cellStyle name="Note 2 8 18" xfId="15962" xr:uid="{00000000-0005-0000-0000-000042860000}"/>
    <cellStyle name="Note 2 8 19" xfId="15720" xr:uid="{00000000-0005-0000-0000-000043860000}"/>
    <cellStyle name="Note 2 8 2" xfId="6510" xr:uid="{00000000-0005-0000-0000-000044860000}"/>
    <cellStyle name="Note 2 8 2 10" xfId="6511" xr:uid="{00000000-0005-0000-0000-000045860000}"/>
    <cellStyle name="Note 2 8 2 10 2" xfId="12219" xr:uid="{00000000-0005-0000-0000-000046860000}"/>
    <cellStyle name="Note 2 8 2 10 2 2" xfId="12220" xr:uid="{00000000-0005-0000-0000-000047860000}"/>
    <cellStyle name="Note 2 8 2 10 2 3" xfId="12221" xr:uid="{00000000-0005-0000-0000-000048860000}"/>
    <cellStyle name="Note 2 8 2 10 2 4" xfId="12222" xr:uid="{00000000-0005-0000-0000-000049860000}"/>
    <cellStyle name="Note 2 8 2 10 3" xfId="12223" xr:uid="{00000000-0005-0000-0000-00004A860000}"/>
    <cellStyle name="Note 2 8 2 10 4" xfId="12224" xr:uid="{00000000-0005-0000-0000-00004B860000}"/>
    <cellStyle name="Note 2 8 2 10 5" xfId="12225" xr:uid="{00000000-0005-0000-0000-00004C860000}"/>
    <cellStyle name="Note 2 8 2 10 6" xfId="17016" xr:uid="{00000000-0005-0000-0000-00004D860000}"/>
    <cellStyle name="Note 2 8 2 10 7" xfId="17709" xr:uid="{00000000-0005-0000-0000-00004E860000}"/>
    <cellStyle name="Note 2 8 2 11" xfId="6512" xr:uid="{00000000-0005-0000-0000-00004F860000}"/>
    <cellStyle name="Note 2 8 2 11 2" xfId="12226" xr:uid="{00000000-0005-0000-0000-000050860000}"/>
    <cellStyle name="Note 2 8 2 11 2 2" xfId="12227" xr:uid="{00000000-0005-0000-0000-000051860000}"/>
    <cellStyle name="Note 2 8 2 11 2 3" xfId="12228" xr:uid="{00000000-0005-0000-0000-000052860000}"/>
    <cellStyle name="Note 2 8 2 11 2 4" xfId="12229" xr:uid="{00000000-0005-0000-0000-000053860000}"/>
    <cellStyle name="Note 2 8 2 11 3" xfId="12230" xr:uid="{00000000-0005-0000-0000-000054860000}"/>
    <cellStyle name="Note 2 8 2 11 4" xfId="12231" xr:uid="{00000000-0005-0000-0000-000055860000}"/>
    <cellStyle name="Note 2 8 2 11 5" xfId="12232" xr:uid="{00000000-0005-0000-0000-000056860000}"/>
    <cellStyle name="Note 2 8 2 11 6" xfId="17017" xr:uid="{00000000-0005-0000-0000-000057860000}"/>
    <cellStyle name="Note 2 8 2 11 7" xfId="16276" xr:uid="{00000000-0005-0000-0000-000058860000}"/>
    <cellStyle name="Note 2 8 2 12" xfId="12233" xr:uid="{00000000-0005-0000-0000-000059860000}"/>
    <cellStyle name="Note 2 8 2 12 2" xfId="12234" xr:uid="{00000000-0005-0000-0000-00005A860000}"/>
    <cellStyle name="Note 2 8 2 12 3" xfId="12235" xr:uid="{00000000-0005-0000-0000-00005B860000}"/>
    <cellStyle name="Note 2 8 2 12 4" xfId="12236" xr:uid="{00000000-0005-0000-0000-00005C860000}"/>
    <cellStyle name="Note 2 8 2 13" xfId="12237" xr:uid="{00000000-0005-0000-0000-00005D860000}"/>
    <cellStyle name="Note 2 8 2 14" xfId="12238" xr:uid="{00000000-0005-0000-0000-00005E860000}"/>
    <cellStyle name="Note 2 8 2 15" xfId="12239" xr:uid="{00000000-0005-0000-0000-00005F860000}"/>
    <cellStyle name="Note 2 8 2 16" xfId="15965" xr:uid="{00000000-0005-0000-0000-000060860000}"/>
    <cellStyle name="Note 2 8 2 17" xfId="15717" xr:uid="{00000000-0005-0000-0000-000061860000}"/>
    <cellStyle name="Note 2 8 2 18" xfId="42719" xr:uid="{00000000-0005-0000-0000-000062860000}"/>
    <cellStyle name="Note 2 8 2 2" xfId="6513" xr:uid="{00000000-0005-0000-0000-000063860000}"/>
    <cellStyle name="Note 2 8 2 2 2" xfId="6514" xr:uid="{00000000-0005-0000-0000-000064860000}"/>
    <cellStyle name="Note 2 8 2 2 2 2" xfId="6515" xr:uid="{00000000-0005-0000-0000-000065860000}"/>
    <cellStyle name="Note 2 8 2 2 2 2 2" xfId="12240" xr:uid="{00000000-0005-0000-0000-000066860000}"/>
    <cellStyle name="Note 2 8 2 2 2 2 3" xfId="12241" xr:uid="{00000000-0005-0000-0000-000067860000}"/>
    <cellStyle name="Note 2 8 2 2 2 2 4" xfId="12242" xr:uid="{00000000-0005-0000-0000-000068860000}"/>
    <cellStyle name="Note 2 8 2 2 2 2 5" xfId="17018" xr:uid="{00000000-0005-0000-0000-000069860000}"/>
    <cellStyle name="Note 2 8 2 2 2 2 6" xfId="15399" xr:uid="{00000000-0005-0000-0000-00006A860000}"/>
    <cellStyle name="Note 2 8 2 2 2 3" xfId="6516" xr:uid="{00000000-0005-0000-0000-00006B860000}"/>
    <cellStyle name="Note 2 8 2 2 2 3 2" xfId="12243" xr:uid="{00000000-0005-0000-0000-00006C860000}"/>
    <cellStyle name="Note 2 8 2 2 2 3 3" xfId="12244" xr:uid="{00000000-0005-0000-0000-00006D860000}"/>
    <cellStyle name="Note 2 8 2 2 2 3 4" xfId="12245" xr:uid="{00000000-0005-0000-0000-00006E860000}"/>
    <cellStyle name="Note 2 8 2 2 2 3 5" xfId="17019" xr:uid="{00000000-0005-0000-0000-00006F860000}"/>
    <cellStyle name="Note 2 8 2 2 2 3 6" xfId="17708" xr:uid="{00000000-0005-0000-0000-000070860000}"/>
    <cellStyle name="Note 2 8 2 2 2 4" xfId="12246" xr:uid="{00000000-0005-0000-0000-000071860000}"/>
    <cellStyle name="Note 2 8 2 2 2 5" xfId="12247" xr:uid="{00000000-0005-0000-0000-000072860000}"/>
    <cellStyle name="Note 2 8 2 2 2 6" xfId="12248" xr:uid="{00000000-0005-0000-0000-000073860000}"/>
    <cellStyle name="Note 2 8 2 2 2 7" xfId="16555" xr:uid="{00000000-0005-0000-0000-000074860000}"/>
    <cellStyle name="Note 2 8 2 2 2 8" xfId="15610" xr:uid="{00000000-0005-0000-0000-000075860000}"/>
    <cellStyle name="Note 2 8 2 2 3" xfId="6517" xr:uid="{00000000-0005-0000-0000-000076860000}"/>
    <cellStyle name="Note 2 8 2 2 3 2" xfId="12249" xr:uid="{00000000-0005-0000-0000-000077860000}"/>
    <cellStyle name="Note 2 8 2 2 3 3" xfId="12250" xr:uid="{00000000-0005-0000-0000-000078860000}"/>
    <cellStyle name="Note 2 8 2 2 3 4" xfId="12251" xr:uid="{00000000-0005-0000-0000-000079860000}"/>
    <cellStyle name="Note 2 8 2 2 3 5" xfId="17020" xr:uid="{00000000-0005-0000-0000-00007A860000}"/>
    <cellStyle name="Note 2 8 2 2 3 6" xfId="16275" xr:uid="{00000000-0005-0000-0000-00007B860000}"/>
    <cellStyle name="Note 2 8 2 2 4" xfId="6518" xr:uid="{00000000-0005-0000-0000-00007C860000}"/>
    <cellStyle name="Note 2 8 2 2 4 2" xfId="12252" xr:uid="{00000000-0005-0000-0000-00007D860000}"/>
    <cellStyle name="Note 2 8 2 2 4 3" xfId="12253" xr:uid="{00000000-0005-0000-0000-00007E860000}"/>
    <cellStyle name="Note 2 8 2 2 4 4" xfId="12254" xr:uid="{00000000-0005-0000-0000-00007F860000}"/>
    <cellStyle name="Note 2 8 2 2 4 5" xfId="17021" xr:uid="{00000000-0005-0000-0000-000080860000}"/>
    <cellStyle name="Note 2 8 2 2 4 6" xfId="15398" xr:uid="{00000000-0005-0000-0000-000081860000}"/>
    <cellStyle name="Note 2 8 2 2 5" xfId="12255" xr:uid="{00000000-0005-0000-0000-000082860000}"/>
    <cellStyle name="Note 2 8 2 2 6" xfId="12256" xr:uid="{00000000-0005-0000-0000-000083860000}"/>
    <cellStyle name="Note 2 8 2 2 7" xfId="12257" xr:uid="{00000000-0005-0000-0000-000084860000}"/>
    <cellStyle name="Note 2 8 2 2 8" xfId="15966" xr:uid="{00000000-0005-0000-0000-000085860000}"/>
    <cellStyle name="Note 2 8 2 2 9" xfId="15716" xr:uid="{00000000-0005-0000-0000-000086860000}"/>
    <cellStyle name="Note 2 8 2 3" xfId="6519" xr:uid="{00000000-0005-0000-0000-000087860000}"/>
    <cellStyle name="Note 2 8 2 3 2" xfId="6520" xr:uid="{00000000-0005-0000-0000-000088860000}"/>
    <cellStyle name="Note 2 8 2 3 2 2" xfId="6521" xr:uid="{00000000-0005-0000-0000-000089860000}"/>
    <cellStyle name="Note 2 8 2 3 2 2 2" xfId="12258" xr:uid="{00000000-0005-0000-0000-00008A860000}"/>
    <cellStyle name="Note 2 8 2 3 2 2 3" xfId="12259" xr:uid="{00000000-0005-0000-0000-00008B860000}"/>
    <cellStyle name="Note 2 8 2 3 2 2 4" xfId="12260" xr:uid="{00000000-0005-0000-0000-00008C860000}"/>
    <cellStyle name="Note 2 8 2 3 2 2 5" xfId="17022" xr:uid="{00000000-0005-0000-0000-00008D860000}"/>
    <cellStyle name="Note 2 8 2 3 2 2 6" xfId="17707" xr:uid="{00000000-0005-0000-0000-00008E860000}"/>
    <cellStyle name="Note 2 8 2 3 2 3" xfId="6522" xr:uid="{00000000-0005-0000-0000-00008F860000}"/>
    <cellStyle name="Note 2 8 2 3 2 3 2" xfId="12261" xr:uid="{00000000-0005-0000-0000-000090860000}"/>
    <cellStyle name="Note 2 8 2 3 2 3 3" xfId="12262" xr:uid="{00000000-0005-0000-0000-000091860000}"/>
    <cellStyle name="Note 2 8 2 3 2 3 4" xfId="12263" xr:uid="{00000000-0005-0000-0000-000092860000}"/>
    <cellStyle name="Note 2 8 2 3 2 3 5" xfId="17023" xr:uid="{00000000-0005-0000-0000-000093860000}"/>
    <cellStyle name="Note 2 8 2 3 2 3 6" xfId="16274" xr:uid="{00000000-0005-0000-0000-000094860000}"/>
    <cellStyle name="Note 2 8 2 3 2 4" xfId="12264" xr:uid="{00000000-0005-0000-0000-000095860000}"/>
    <cellStyle name="Note 2 8 2 3 2 5" xfId="12265" xr:uid="{00000000-0005-0000-0000-000096860000}"/>
    <cellStyle name="Note 2 8 2 3 2 6" xfId="12266" xr:uid="{00000000-0005-0000-0000-000097860000}"/>
    <cellStyle name="Note 2 8 2 3 2 7" xfId="16556" xr:uid="{00000000-0005-0000-0000-000098860000}"/>
    <cellStyle name="Note 2 8 2 3 2 8" xfId="16110" xr:uid="{00000000-0005-0000-0000-000099860000}"/>
    <cellStyle name="Note 2 8 2 3 3" xfId="6523" xr:uid="{00000000-0005-0000-0000-00009A860000}"/>
    <cellStyle name="Note 2 8 2 3 3 2" xfId="12267" xr:uid="{00000000-0005-0000-0000-00009B860000}"/>
    <cellStyle name="Note 2 8 2 3 3 3" xfId="12268" xr:uid="{00000000-0005-0000-0000-00009C860000}"/>
    <cellStyle name="Note 2 8 2 3 3 4" xfId="12269" xr:uid="{00000000-0005-0000-0000-00009D860000}"/>
    <cellStyle name="Note 2 8 2 3 3 5" xfId="17024" xr:uid="{00000000-0005-0000-0000-00009E860000}"/>
    <cellStyle name="Note 2 8 2 3 3 6" xfId="15397" xr:uid="{00000000-0005-0000-0000-00009F860000}"/>
    <cellStyle name="Note 2 8 2 3 4" xfId="6524" xr:uid="{00000000-0005-0000-0000-0000A0860000}"/>
    <cellStyle name="Note 2 8 2 3 4 2" xfId="12270" xr:uid="{00000000-0005-0000-0000-0000A1860000}"/>
    <cellStyle name="Note 2 8 2 3 4 3" xfId="12271" xr:uid="{00000000-0005-0000-0000-0000A2860000}"/>
    <cellStyle name="Note 2 8 2 3 4 4" xfId="12272" xr:uid="{00000000-0005-0000-0000-0000A3860000}"/>
    <cellStyle name="Note 2 8 2 3 4 5" xfId="17025" xr:uid="{00000000-0005-0000-0000-0000A4860000}"/>
    <cellStyle name="Note 2 8 2 3 4 6" xfId="17706" xr:uid="{00000000-0005-0000-0000-0000A5860000}"/>
    <cellStyle name="Note 2 8 2 3 5" xfId="12273" xr:uid="{00000000-0005-0000-0000-0000A6860000}"/>
    <cellStyle name="Note 2 8 2 3 6" xfId="12274" xr:uid="{00000000-0005-0000-0000-0000A7860000}"/>
    <cellStyle name="Note 2 8 2 3 7" xfId="12275" xr:uid="{00000000-0005-0000-0000-0000A8860000}"/>
    <cellStyle name="Note 2 8 2 3 8" xfId="15967" xr:uid="{00000000-0005-0000-0000-0000A9860000}"/>
    <cellStyle name="Note 2 8 2 3 9" xfId="15715" xr:uid="{00000000-0005-0000-0000-0000AA860000}"/>
    <cellStyle name="Note 2 8 2 4" xfId="6525" xr:uid="{00000000-0005-0000-0000-0000AB860000}"/>
    <cellStyle name="Note 2 8 2 4 2" xfId="6526" xr:uid="{00000000-0005-0000-0000-0000AC860000}"/>
    <cellStyle name="Note 2 8 2 4 2 2" xfId="6527" xr:uid="{00000000-0005-0000-0000-0000AD860000}"/>
    <cellStyle name="Note 2 8 2 4 2 2 2" xfId="12276" xr:uid="{00000000-0005-0000-0000-0000AE860000}"/>
    <cellStyle name="Note 2 8 2 4 2 2 3" xfId="12277" xr:uid="{00000000-0005-0000-0000-0000AF860000}"/>
    <cellStyle name="Note 2 8 2 4 2 2 4" xfId="12278" xr:uid="{00000000-0005-0000-0000-0000B0860000}"/>
    <cellStyle name="Note 2 8 2 4 2 2 5" xfId="17026" xr:uid="{00000000-0005-0000-0000-0000B1860000}"/>
    <cellStyle name="Note 2 8 2 4 2 2 6" xfId="16273" xr:uid="{00000000-0005-0000-0000-0000B2860000}"/>
    <cellStyle name="Note 2 8 2 4 2 3" xfId="6528" xr:uid="{00000000-0005-0000-0000-0000B3860000}"/>
    <cellStyle name="Note 2 8 2 4 2 3 2" xfId="12279" xr:uid="{00000000-0005-0000-0000-0000B4860000}"/>
    <cellStyle name="Note 2 8 2 4 2 3 3" xfId="12280" xr:uid="{00000000-0005-0000-0000-0000B5860000}"/>
    <cellStyle name="Note 2 8 2 4 2 3 4" xfId="12281" xr:uid="{00000000-0005-0000-0000-0000B6860000}"/>
    <cellStyle name="Note 2 8 2 4 2 3 5" xfId="17027" xr:uid="{00000000-0005-0000-0000-0000B7860000}"/>
    <cellStyle name="Note 2 8 2 4 2 3 6" xfId="15396" xr:uid="{00000000-0005-0000-0000-0000B8860000}"/>
    <cellStyle name="Note 2 8 2 4 2 4" xfId="12282" xr:uid="{00000000-0005-0000-0000-0000B9860000}"/>
    <cellStyle name="Note 2 8 2 4 2 5" xfId="12283" xr:uid="{00000000-0005-0000-0000-0000BA860000}"/>
    <cellStyle name="Note 2 8 2 4 2 6" xfId="12284" xr:uid="{00000000-0005-0000-0000-0000BB860000}"/>
    <cellStyle name="Note 2 8 2 4 2 7" xfId="16557" xr:uid="{00000000-0005-0000-0000-0000BC860000}"/>
    <cellStyle name="Note 2 8 2 4 2 8" xfId="17911" xr:uid="{00000000-0005-0000-0000-0000BD860000}"/>
    <cellStyle name="Note 2 8 2 4 3" xfId="6529" xr:uid="{00000000-0005-0000-0000-0000BE860000}"/>
    <cellStyle name="Note 2 8 2 4 3 2" xfId="12285" xr:uid="{00000000-0005-0000-0000-0000BF860000}"/>
    <cellStyle name="Note 2 8 2 4 3 3" xfId="12286" xr:uid="{00000000-0005-0000-0000-0000C0860000}"/>
    <cellStyle name="Note 2 8 2 4 3 4" xfId="12287" xr:uid="{00000000-0005-0000-0000-0000C1860000}"/>
    <cellStyle name="Note 2 8 2 4 3 5" xfId="17028" xr:uid="{00000000-0005-0000-0000-0000C2860000}"/>
    <cellStyle name="Note 2 8 2 4 3 6" xfId="17705" xr:uid="{00000000-0005-0000-0000-0000C3860000}"/>
    <cellStyle name="Note 2 8 2 4 4" xfId="6530" xr:uid="{00000000-0005-0000-0000-0000C4860000}"/>
    <cellStyle name="Note 2 8 2 4 4 2" xfId="12288" xr:uid="{00000000-0005-0000-0000-0000C5860000}"/>
    <cellStyle name="Note 2 8 2 4 4 3" xfId="12289" xr:uid="{00000000-0005-0000-0000-0000C6860000}"/>
    <cellStyle name="Note 2 8 2 4 4 4" xfId="12290" xr:uid="{00000000-0005-0000-0000-0000C7860000}"/>
    <cellStyle name="Note 2 8 2 4 4 5" xfId="17029" xr:uid="{00000000-0005-0000-0000-0000C8860000}"/>
    <cellStyle name="Note 2 8 2 4 4 6" xfId="16272" xr:uid="{00000000-0005-0000-0000-0000C9860000}"/>
    <cellStyle name="Note 2 8 2 4 5" xfId="12291" xr:uid="{00000000-0005-0000-0000-0000CA860000}"/>
    <cellStyle name="Note 2 8 2 4 6" xfId="12292" xr:uid="{00000000-0005-0000-0000-0000CB860000}"/>
    <cellStyle name="Note 2 8 2 4 7" xfId="12293" xr:uid="{00000000-0005-0000-0000-0000CC860000}"/>
    <cellStyle name="Note 2 8 2 4 8" xfId="15968" xr:uid="{00000000-0005-0000-0000-0000CD860000}"/>
    <cellStyle name="Note 2 8 2 4 9" xfId="15714" xr:uid="{00000000-0005-0000-0000-0000CE860000}"/>
    <cellStyle name="Note 2 8 2 5" xfId="6531" xr:uid="{00000000-0005-0000-0000-0000CF860000}"/>
    <cellStyle name="Note 2 8 2 5 2" xfId="6532" xr:uid="{00000000-0005-0000-0000-0000D0860000}"/>
    <cellStyle name="Note 2 8 2 5 2 2" xfId="6533" xr:uid="{00000000-0005-0000-0000-0000D1860000}"/>
    <cellStyle name="Note 2 8 2 5 2 2 2" xfId="12294" xr:uid="{00000000-0005-0000-0000-0000D2860000}"/>
    <cellStyle name="Note 2 8 2 5 2 2 3" xfId="12295" xr:uid="{00000000-0005-0000-0000-0000D3860000}"/>
    <cellStyle name="Note 2 8 2 5 2 2 4" xfId="12296" xr:uid="{00000000-0005-0000-0000-0000D4860000}"/>
    <cellStyle name="Note 2 8 2 5 2 2 5" xfId="17030" xr:uid="{00000000-0005-0000-0000-0000D5860000}"/>
    <cellStyle name="Note 2 8 2 5 2 2 6" xfId="15395" xr:uid="{00000000-0005-0000-0000-0000D6860000}"/>
    <cellStyle name="Note 2 8 2 5 2 3" xfId="6534" xr:uid="{00000000-0005-0000-0000-0000D7860000}"/>
    <cellStyle name="Note 2 8 2 5 2 3 2" xfId="12297" xr:uid="{00000000-0005-0000-0000-0000D8860000}"/>
    <cellStyle name="Note 2 8 2 5 2 3 3" xfId="12298" xr:uid="{00000000-0005-0000-0000-0000D9860000}"/>
    <cellStyle name="Note 2 8 2 5 2 3 4" xfId="12299" xr:uid="{00000000-0005-0000-0000-0000DA860000}"/>
    <cellStyle name="Note 2 8 2 5 2 3 5" xfId="17031" xr:uid="{00000000-0005-0000-0000-0000DB860000}"/>
    <cellStyle name="Note 2 8 2 5 2 3 6" xfId="16104" xr:uid="{00000000-0005-0000-0000-0000DC860000}"/>
    <cellStyle name="Note 2 8 2 5 2 4" xfId="12300" xr:uid="{00000000-0005-0000-0000-0000DD860000}"/>
    <cellStyle name="Note 2 8 2 5 2 5" xfId="12301" xr:uid="{00000000-0005-0000-0000-0000DE860000}"/>
    <cellStyle name="Note 2 8 2 5 2 6" xfId="12302" xr:uid="{00000000-0005-0000-0000-0000DF860000}"/>
    <cellStyle name="Note 2 8 2 5 2 7" xfId="16558" xr:uid="{00000000-0005-0000-0000-0000E0860000}"/>
    <cellStyle name="Note 2 8 2 5 2 8" xfId="16480" xr:uid="{00000000-0005-0000-0000-0000E1860000}"/>
    <cellStyle name="Note 2 8 2 5 3" xfId="6535" xr:uid="{00000000-0005-0000-0000-0000E2860000}"/>
    <cellStyle name="Note 2 8 2 5 3 2" xfId="12303" xr:uid="{00000000-0005-0000-0000-0000E3860000}"/>
    <cellStyle name="Note 2 8 2 5 3 3" xfId="12304" xr:uid="{00000000-0005-0000-0000-0000E4860000}"/>
    <cellStyle name="Note 2 8 2 5 3 4" xfId="12305" xr:uid="{00000000-0005-0000-0000-0000E5860000}"/>
    <cellStyle name="Note 2 8 2 5 3 5" xfId="17032" xr:uid="{00000000-0005-0000-0000-0000E6860000}"/>
    <cellStyle name="Note 2 8 2 5 3 6" xfId="17704" xr:uid="{00000000-0005-0000-0000-0000E7860000}"/>
    <cellStyle name="Note 2 8 2 5 4" xfId="6536" xr:uid="{00000000-0005-0000-0000-0000E8860000}"/>
    <cellStyle name="Note 2 8 2 5 4 2" xfId="12306" xr:uid="{00000000-0005-0000-0000-0000E9860000}"/>
    <cellStyle name="Note 2 8 2 5 4 3" xfId="12307" xr:uid="{00000000-0005-0000-0000-0000EA860000}"/>
    <cellStyle name="Note 2 8 2 5 4 4" xfId="12308" xr:uid="{00000000-0005-0000-0000-0000EB860000}"/>
    <cellStyle name="Note 2 8 2 5 4 5" xfId="17033" xr:uid="{00000000-0005-0000-0000-0000EC860000}"/>
    <cellStyle name="Note 2 8 2 5 4 6" xfId="16271" xr:uid="{00000000-0005-0000-0000-0000ED860000}"/>
    <cellStyle name="Note 2 8 2 5 5" xfId="12309" xr:uid="{00000000-0005-0000-0000-0000EE860000}"/>
    <cellStyle name="Note 2 8 2 5 6" xfId="12310" xr:uid="{00000000-0005-0000-0000-0000EF860000}"/>
    <cellStyle name="Note 2 8 2 5 7" xfId="12311" xr:uid="{00000000-0005-0000-0000-0000F0860000}"/>
    <cellStyle name="Note 2 8 2 5 8" xfId="15969" xr:uid="{00000000-0005-0000-0000-0000F1860000}"/>
    <cellStyle name="Note 2 8 2 5 9" xfId="15713" xr:uid="{00000000-0005-0000-0000-0000F2860000}"/>
    <cellStyle name="Note 2 8 2 6" xfId="6537" xr:uid="{00000000-0005-0000-0000-0000F3860000}"/>
    <cellStyle name="Note 2 8 2 6 2" xfId="6538" xr:uid="{00000000-0005-0000-0000-0000F4860000}"/>
    <cellStyle name="Note 2 8 2 6 2 2" xfId="6539" xr:uid="{00000000-0005-0000-0000-0000F5860000}"/>
    <cellStyle name="Note 2 8 2 6 2 2 2" xfId="12312" xr:uid="{00000000-0005-0000-0000-0000F6860000}"/>
    <cellStyle name="Note 2 8 2 6 2 2 3" xfId="12313" xr:uid="{00000000-0005-0000-0000-0000F7860000}"/>
    <cellStyle name="Note 2 8 2 6 2 2 4" xfId="12314" xr:uid="{00000000-0005-0000-0000-0000F8860000}"/>
    <cellStyle name="Note 2 8 2 6 2 2 5" xfId="17034" xr:uid="{00000000-0005-0000-0000-0000F9860000}"/>
    <cellStyle name="Note 2 8 2 6 2 2 6" xfId="15394" xr:uid="{00000000-0005-0000-0000-0000FA860000}"/>
    <cellStyle name="Note 2 8 2 6 2 3" xfId="6540" xr:uid="{00000000-0005-0000-0000-0000FB860000}"/>
    <cellStyle name="Note 2 8 2 6 2 3 2" xfId="12315" xr:uid="{00000000-0005-0000-0000-0000FC860000}"/>
    <cellStyle name="Note 2 8 2 6 2 3 3" xfId="12316" xr:uid="{00000000-0005-0000-0000-0000FD860000}"/>
    <cellStyle name="Note 2 8 2 6 2 3 4" xfId="12317" xr:uid="{00000000-0005-0000-0000-0000FE860000}"/>
    <cellStyle name="Note 2 8 2 6 2 3 5" xfId="17035" xr:uid="{00000000-0005-0000-0000-0000FF860000}"/>
    <cellStyle name="Note 2 8 2 6 2 3 6" xfId="17703" xr:uid="{00000000-0005-0000-0000-000000870000}"/>
    <cellStyle name="Note 2 8 2 6 2 4" xfId="12318" xr:uid="{00000000-0005-0000-0000-000001870000}"/>
    <cellStyle name="Note 2 8 2 6 2 5" xfId="12319" xr:uid="{00000000-0005-0000-0000-000002870000}"/>
    <cellStyle name="Note 2 8 2 6 2 6" xfId="12320" xr:uid="{00000000-0005-0000-0000-000003870000}"/>
    <cellStyle name="Note 2 8 2 6 2 7" xfId="16559" xr:uid="{00000000-0005-0000-0000-000004870000}"/>
    <cellStyle name="Note 2 8 2 6 2 8" xfId="15609" xr:uid="{00000000-0005-0000-0000-000005870000}"/>
    <cellStyle name="Note 2 8 2 6 3" xfId="6541" xr:uid="{00000000-0005-0000-0000-000006870000}"/>
    <cellStyle name="Note 2 8 2 6 3 2" xfId="12321" xr:uid="{00000000-0005-0000-0000-000007870000}"/>
    <cellStyle name="Note 2 8 2 6 3 3" xfId="12322" xr:uid="{00000000-0005-0000-0000-000008870000}"/>
    <cellStyle name="Note 2 8 2 6 3 4" xfId="12323" xr:uid="{00000000-0005-0000-0000-000009870000}"/>
    <cellStyle name="Note 2 8 2 6 3 5" xfId="17036" xr:uid="{00000000-0005-0000-0000-00000A870000}"/>
    <cellStyle name="Note 2 8 2 6 3 6" xfId="16270" xr:uid="{00000000-0005-0000-0000-00000B870000}"/>
    <cellStyle name="Note 2 8 2 6 4" xfId="6542" xr:uid="{00000000-0005-0000-0000-00000C870000}"/>
    <cellStyle name="Note 2 8 2 6 4 2" xfId="12324" xr:uid="{00000000-0005-0000-0000-00000D870000}"/>
    <cellStyle name="Note 2 8 2 6 4 3" xfId="12325" xr:uid="{00000000-0005-0000-0000-00000E870000}"/>
    <cellStyle name="Note 2 8 2 6 4 4" xfId="12326" xr:uid="{00000000-0005-0000-0000-00000F870000}"/>
    <cellStyle name="Note 2 8 2 6 4 5" xfId="17037" xr:uid="{00000000-0005-0000-0000-000010870000}"/>
    <cellStyle name="Note 2 8 2 6 4 6" xfId="15393" xr:uid="{00000000-0005-0000-0000-000011870000}"/>
    <cellStyle name="Note 2 8 2 6 5" xfId="12327" xr:uid="{00000000-0005-0000-0000-000012870000}"/>
    <cellStyle name="Note 2 8 2 6 6" xfId="12328" xr:uid="{00000000-0005-0000-0000-000013870000}"/>
    <cellStyle name="Note 2 8 2 6 7" xfId="12329" xr:uid="{00000000-0005-0000-0000-000014870000}"/>
    <cellStyle name="Note 2 8 2 6 8" xfId="15970" xr:uid="{00000000-0005-0000-0000-000015870000}"/>
    <cellStyle name="Note 2 8 2 6 9" xfId="15712" xr:uid="{00000000-0005-0000-0000-000016870000}"/>
    <cellStyle name="Note 2 8 2 7" xfId="6543" xr:uid="{00000000-0005-0000-0000-000017870000}"/>
    <cellStyle name="Note 2 8 2 7 2" xfId="6544" xr:uid="{00000000-0005-0000-0000-000018870000}"/>
    <cellStyle name="Note 2 8 2 7 2 2" xfId="6545" xr:uid="{00000000-0005-0000-0000-000019870000}"/>
    <cellStyle name="Note 2 8 2 7 2 2 2" xfId="12330" xr:uid="{00000000-0005-0000-0000-00001A870000}"/>
    <cellStyle name="Note 2 8 2 7 2 2 3" xfId="12331" xr:uid="{00000000-0005-0000-0000-00001B870000}"/>
    <cellStyle name="Note 2 8 2 7 2 2 4" xfId="12332" xr:uid="{00000000-0005-0000-0000-00001C870000}"/>
    <cellStyle name="Note 2 8 2 7 2 2 5" xfId="17038" xr:uid="{00000000-0005-0000-0000-00001D870000}"/>
    <cellStyle name="Note 2 8 2 7 2 2 6" xfId="17702" xr:uid="{00000000-0005-0000-0000-00001E870000}"/>
    <cellStyle name="Note 2 8 2 7 2 3" xfId="6546" xr:uid="{00000000-0005-0000-0000-00001F870000}"/>
    <cellStyle name="Note 2 8 2 7 2 3 2" xfId="12333" xr:uid="{00000000-0005-0000-0000-000020870000}"/>
    <cellStyle name="Note 2 8 2 7 2 3 3" xfId="12334" xr:uid="{00000000-0005-0000-0000-000021870000}"/>
    <cellStyle name="Note 2 8 2 7 2 3 4" xfId="12335" xr:uid="{00000000-0005-0000-0000-000022870000}"/>
    <cellStyle name="Note 2 8 2 7 2 3 5" xfId="17039" xr:uid="{00000000-0005-0000-0000-000023870000}"/>
    <cellStyle name="Note 2 8 2 7 2 3 6" xfId="16269" xr:uid="{00000000-0005-0000-0000-000024870000}"/>
    <cellStyle name="Note 2 8 2 7 2 4" xfId="12336" xr:uid="{00000000-0005-0000-0000-000025870000}"/>
    <cellStyle name="Note 2 8 2 7 2 5" xfId="12337" xr:uid="{00000000-0005-0000-0000-000026870000}"/>
    <cellStyle name="Note 2 8 2 7 2 6" xfId="12338" xr:uid="{00000000-0005-0000-0000-000027870000}"/>
    <cellStyle name="Note 2 8 2 7 2 7" xfId="16560" xr:uid="{00000000-0005-0000-0000-000028870000}"/>
    <cellStyle name="Note 2 8 2 7 2 8" xfId="17910" xr:uid="{00000000-0005-0000-0000-000029870000}"/>
    <cellStyle name="Note 2 8 2 7 3" xfId="6547" xr:uid="{00000000-0005-0000-0000-00002A870000}"/>
    <cellStyle name="Note 2 8 2 7 3 2" xfId="12339" xr:uid="{00000000-0005-0000-0000-00002B870000}"/>
    <cellStyle name="Note 2 8 2 7 3 3" xfId="12340" xr:uid="{00000000-0005-0000-0000-00002C870000}"/>
    <cellStyle name="Note 2 8 2 7 3 4" xfId="12341" xr:uid="{00000000-0005-0000-0000-00002D870000}"/>
    <cellStyle name="Note 2 8 2 7 3 5" xfId="17040" xr:uid="{00000000-0005-0000-0000-00002E870000}"/>
    <cellStyle name="Note 2 8 2 7 3 6" xfId="15392" xr:uid="{00000000-0005-0000-0000-00002F870000}"/>
    <cellStyle name="Note 2 8 2 7 4" xfId="6548" xr:uid="{00000000-0005-0000-0000-000030870000}"/>
    <cellStyle name="Note 2 8 2 7 4 2" xfId="12342" xr:uid="{00000000-0005-0000-0000-000031870000}"/>
    <cellStyle name="Note 2 8 2 7 4 3" xfId="12343" xr:uid="{00000000-0005-0000-0000-000032870000}"/>
    <cellStyle name="Note 2 8 2 7 4 4" xfId="12344" xr:uid="{00000000-0005-0000-0000-000033870000}"/>
    <cellStyle name="Note 2 8 2 7 4 5" xfId="17041" xr:uid="{00000000-0005-0000-0000-000034870000}"/>
    <cellStyle name="Note 2 8 2 7 4 6" xfId="17701" xr:uid="{00000000-0005-0000-0000-000035870000}"/>
    <cellStyle name="Note 2 8 2 7 5" xfId="12345" xr:uid="{00000000-0005-0000-0000-000036870000}"/>
    <cellStyle name="Note 2 8 2 7 6" xfId="12346" xr:uid="{00000000-0005-0000-0000-000037870000}"/>
    <cellStyle name="Note 2 8 2 7 7" xfId="12347" xr:uid="{00000000-0005-0000-0000-000038870000}"/>
    <cellStyle name="Note 2 8 2 7 8" xfId="15971" xr:uid="{00000000-0005-0000-0000-000039870000}"/>
    <cellStyle name="Note 2 8 2 7 9" xfId="15711" xr:uid="{00000000-0005-0000-0000-00003A870000}"/>
    <cellStyle name="Note 2 8 2 8" xfId="6549" xr:uid="{00000000-0005-0000-0000-00003B870000}"/>
    <cellStyle name="Note 2 8 2 8 2" xfId="6550" xr:uid="{00000000-0005-0000-0000-00003C870000}"/>
    <cellStyle name="Note 2 8 2 8 2 2" xfId="6551" xr:uid="{00000000-0005-0000-0000-00003D870000}"/>
    <cellStyle name="Note 2 8 2 8 2 2 2" xfId="12348" xr:uid="{00000000-0005-0000-0000-00003E870000}"/>
    <cellStyle name="Note 2 8 2 8 2 2 3" xfId="12349" xr:uid="{00000000-0005-0000-0000-00003F870000}"/>
    <cellStyle name="Note 2 8 2 8 2 2 4" xfId="12350" xr:uid="{00000000-0005-0000-0000-000040870000}"/>
    <cellStyle name="Note 2 8 2 8 2 2 5" xfId="17042" xr:uid="{00000000-0005-0000-0000-000041870000}"/>
    <cellStyle name="Note 2 8 2 8 2 2 6" xfId="16268" xr:uid="{00000000-0005-0000-0000-000042870000}"/>
    <cellStyle name="Note 2 8 2 8 2 3" xfId="6552" xr:uid="{00000000-0005-0000-0000-000043870000}"/>
    <cellStyle name="Note 2 8 2 8 2 3 2" xfId="12351" xr:uid="{00000000-0005-0000-0000-000044870000}"/>
    <cellStyle name="Note 2 8 2 8 2 3 3" xfId="12352" xr:uid="{00000000-0005-0000-0000-000045870000}"/>
    <cellStyle name="Note 2 8 2 8 2 3 4" xfId="12353" xr:uid="{00000000-0005-0000-0000-000046870000}"/>
    <cellStyle name="Note 2 8 2 8 2 3 5" xfId="17043" xr:uid="{00000000-0005-0000-0000-000047870000}"/>
    <cellStyle name="Note 2 8 2 8 2 3 6" xfId="15391" xr:uid="{00000000-0005-0000-0000-000048870000}"/>
    <cellStyle name="Note 2 8 2 8 2 4" xfId="12354" xr:uid="{00000000-0005-0000-0000-000049870000}"/>
    <cellStyle name="Note 2 8 2 8 2 5" xfId="12355" xr:uid="{00000000-0005-0000-0000-00004A870000}"/>
    <cellStyle name="Note 2 8 2 8 2 6" xfId="12356" xr:uid="{00000000-0005-0000-0000-00004B870000}"/>
    <cellStyle name="Note 2 8 2 8 2 7" xfId="16561" xr:uid="{00000000-0005-0000-0000-00004C870000}"/>
    <cellStyle name="Note 2 8 2 8 2 8" xfId="16479" xr:uid="{00000000-0005-0000-0000-00004D870000}"/>
    <cellStyle name="Note 2 8 2 8 3" xfId="6553" xr:uid="{00000000-0005-0000-0000-00004E870000}"/>
    <cellStyle name="Note 2 8 2 8 3 2" xfId="12357" xr:uid="{00000000-0005-0000-0000-00004F870000}"/>
    <cellStyle name="Note 2 8 2 8 3 3" xfId="12358" xr:uid="{00000000-0005-0000-0000-000050870000}"/>
    <cellStyle name="Note 2 8 2 8 3 4" xfId="12359" xr:uid="{00000000-0005-0000-0000-000051870000}"/>
    <cellStyle name="Note 2 8 2 8 3 5" xfId="17044" xr:uid="{00000000-0005-0000-0000-000052870000}"/>
    <cellStyle name="Note 2 8 2 8 3 6" xfId="15390" xr:uid="{00000000-0005-0000-0000-000053870000}"/>
    <cellStyle name="Note 2 8 2 8 4" xfId="6554" xr:uid="{00000000-0005-0000-0000-000054870000}"/>
    <cellStyle name="Note 2 8 2 8 4 2" xfId="12360" xr:uid="{00000000-0005-0000-0000-000055870000}"/>
    <cellStyle name="Note 2 8 2 8 4 3" xfId="12361" xr:uid="{00000000-0005-0000-0000-000056870000}"/>
    <cellStyle name="Note 2 8 2 8 4 4" xfId="12362" xr:uid="{00000000-0005-0000-0000-000057870000}"/>
    <cellStyle name="Note 2 8 2 8 4 5" xfId="17045" xr:uid="{00000000-0005-0000-0000-000058870000}"/>
    <cellStyle name="Note 2 8 2 8 4 6" xfId="17694" xr:uid="{00000000-0005-0000-0000-000059870000}"/>
    <cellStyle name="Note 2 8 2 8 5" xfId="12363" xr:uid="{00000000-0005-0000-0000-00005A870000}"/>
    <cellStyle name="Note 2 8 2 8 6" xfId="12364" xr:uid="{00000000-0005-0000-0000-00005B870000}"/>
    <cellStyle name="Note 2 8 2 8 7" xfId="12365" xr:uid="{00000000-0005-0000-0000-00005C870000}"/>
    <cellStyle name="Note 2 8 2 8 8" xfId="15972" xr:uid="{00000000-0005-0000-0000-00005D870000}"/>
    <cellStyle name="Note 2 8 2 8 9" xfId="15710" xr:uid="{00000000-0005-0000-0000-00005E870000}"/>
    <cellStyle name="Note 2 8 2 9" xfId="6555" xr:uid="{00000000-0005-0000-0000-00005F870000}"/>
    <cellStyle name="Note 2 8 2 9 2" xfId="6556" xr:uid="{00000000-0005-0000-0000-000060870000}"/>
    <cellStyle name="Note 2 8 2 9 2 2" xfId="6557" xr:uid="{00000000-0005-0000-0000-000061870000}"/>
    <cellStyle name="Note 2 8 2 9 2 2 2" xfId="12366" xr:uid="{00000000-0005-0000-0000-000062870000}"/>
    <cellStyle name="Note 2 8 2 9 2 2 3" xfId="12367" xr:uid="{00000000-0005-0000-0000-000063870000}"/>
    <cellStyle name="Note 2 8 2 9 2 2 4" xfId="12368" xr:uid="{00000000-0005-0000-0000-000064870000}"/>
    <cellStyle name="Note 2 8 2 9 2 2 5" xfId="17046" xr:uid="{00000000-0005-0000-0000-000065870000}"/>
    <cellStyle name="Note 2 8 2 9 2 2 6" xfId="16261" xr:uid="{00000000-0005-0000-0000-000066870000}"/>
    <cellStyle name="Note 2 8 2 9 2 3" xfId="6558" xr:uid="{00000000-0005-0000-0000-000067870000}"/>
    <cellStyle name="Note 2 8 2 9 2 3 2" xfId="12369" xr:uid="{00000000-0005-0000-0000-000068870000}"/>
    <cellStyle name="Note 2 8 2 9 2 3 3" xfId="12370" xr:uid="{00000000-0005-0000-0000-000069870000}"/>
    <cellStyle name="Note 2 8 2 9 2 3 4" xfId="12371" xr:uid="{00000000-0005-0000-0000-00006A870000}"/>
    <cellStyle name="Note 2 8 2 9 2 3 5" xfId="17047" xr:uid="{00000000-0005-0000-0000-00006B870000}"/>
    <cellStyle name="Note 2 8 2 9 2 3 6" xfId="17700" xr:uid="{00000000-0005-0000-0000-00006C870000}"/>
    <cellStyle name="Note 2 8 2 9 2 4" xfId="12372" xr:uid="{00000000-0005-0000-0000-00006D870000}"/>
    <cellStyle name="Note 2 8 2 9 2 5" xfId="12373" xr:uid="{00000000-0005-0000-0000-00006E870000}"/>
    <cellStyle name="Note 2 8 2 9 2 6" xfId="12374" xr:uid="{00000000-0005-0000-0000-00006F870000}"/>
    <cellStyle name="Note 2 8 2 9 2 7" xfId="16562" xr:uid="{00000000-0005-0000-0000-000070870000}"/>
    <cellStyle name="Note 2 8 2 9 2 8" xfId="15608" xr:uid="{00000000-0005-0000-0000-000071870000}"/>
    <cellStyle name="Note 2 8 2 9 3" xfId="6559" xr:uid="{00000000-0005-0000-0000-000072870000}"/>
    <cellStyle name="Note 2 8 2 9 3 2" xfId="12375" xr:uid="{00000000-0005-0000-0000-000073870000}"/>
    <cellStyle name="Note 2 8 2 9 3 3" xfId="12376" xr:uid="{00000000-0005-0000-0000-000074870000}"/>
    <cellStyle name="Note 2 8 2 9 3 4" xfId="12377" xr:uid="{00000000-0005-0000-0000-000075870000}"/>
    <cellStyle name="Note 2 8 2 9 3 5" xfId="17048" xr:uid="{00000000-0005-0000-0000-000076870000}"/>
    <cellStyle name="Note 2 8 2 9 3 6" xfId="16267" xr:uid="{00000000-0005-0000-0000-000077870000}"/>
    <cellStyle name="Note 2 8 2 9 4" xfId="6560" xr:uid="{00000000-0005-0000-0000-000078870000}"/>
    <cellStyle name="Note 2 8 2 9 4 2" xfId="12378" xr:uid="{00000000-0005-0000-0000-000079870000}"/>
    <cellStyle name="Note 2 8 2 9 4 3" xfId="12379" xr:uid="{00000000-0005-0000-0000-00007A870000}"/>
    <cellStyle name="Note 2 8 2 9 4 4" xfId="12380" xr:uid="{00000000-0005-0000-0000-00007B870000}"/>
    <cellStyle name="Note 2 8 2 9 4 5" xfId="17049" xr:uid="{00000000-0005-0000-0000-00007C870000}"/>
    <cellStyle name="Note 2 8 2 9 4 6" xfId="15389" xr:uid="{00000000-0005-0000-0000-00007D870000}"/>
    <cellStyle name="Note 2 8 2 9 5" xfId="12381" xr:uid="{00000000-0005-0000-0000-00007E870000}"/>
    <cellStyle name="Note 2 8 2 9 6" xfId="12382" xr:uid="{00000000-0005-0000-0000-00007F870000}"/>
    <cellStyle name="Note 2 8 2 9 7" xfId="12383" xr:uid="{00000000-0005-0000-0000-000080870000}"/>
    <cellStyle name="Note 2 8 2 9 8" xfId="15973" xr:uid="{00000000-0005-0000-0000-000081870000}"/>
    <cellStyle name="Note 2 8 2 9 9" xfId="15709" xr:uid="{00000000-0005-0000-0000-000082870000}"/>
    <cellStyle name="Note 2 8 20" xfId="36162" xr:uid="{00000000-0005-0000-0000-000083870000}"/>
    <cellStyle name="Note 2 8 3" xfId="6561" xr:uid="{00000000-0005-0000-0000-000084870000}"/>
    <cellStyle name="Note 2 8 3 2" xfId="6562" xr:uid="{00000000-0005-0000-0000-000085870000}"/>
    <cellStyle name="Note 2 8 3 2 2" xfId="6563" xr:uid="{00000000-0005-0000-0000-000086870000}"/>
    <cellStyle name="Note 2 8 3 2 2 2" xfId="12384" xr:uid="{00000000-0005-0000-0000-000087870000}"/>
    <cellStyle name="Note 2 8 3 2 2 3" xfId="12385" xr:uid="{00000000-0005-0000-0000-000088870000}"/>
    <cellStyle name="Note 2 8 3 2 2 4" xfId="12386" xr:uid="{00000000-0005-0000-0000-000089870000}"/>
    <cellStyle name="Note 2 8 3 2 2 5" xfId="17050" xr:uid="{00000000-0005-0000-0000-00008A870000}"/>
    <cellStyle name="Note 2 8 3 2 2 6" xfId="17699" xr:uid="{00000000-0005-0000-0000-00008B870000}"/>
    <cellStyle name="Note 2 8 3 2 3" xfId="6564" xr:uid="{00000000-0005-0000-0000-00008C870000}"/>
    <cellStyle name="Note 2 8 3 2 3 2" xfId="12387" xr:uid="{00000000-0005-0000-0000-00008D870000}"/>
    <cellStyle name="Note 2 8 3 2 3 3" xfId="12388" xr:uid="{00000000-0005-0000-0000-00008E870000}"/>
    <cellStyle name="Note 2 8 3 2 3 4" xfId="12389" xr:uid="{00000000-0005-0000-0000-00008F870000}"/>
    <cellStyle name="Note 2 8 3 2 3 5" xfId="17051" xr:uid="{00000000-0005-0000-0000-000090870000}"/>
    <cellStyle name="Note 2 8 3 2 3 6" xfId="16266" xr:uid="{00000000-0005-0000-0000-000091870000}"/>
    <cellStyle name="Note 2 8 3 2 4" xfId="12390" xr:uid="{00000000-0005-0000-0000-000092870000}"/>
    <cellStyle name="Note 2 8 3 2 5" xfId="12391" xr:uid="{00000000-0005-0000-0000-000093870000}"/>
    <cellStyle name="Note 2 8 3 2 6" xfId="12392" xr:uid="{00000000-0005-0000-0000-000094870000}"/>
    <cellStyle name="Note 2 8 3 2 7" xfId="16563" xr:uid="{00000000-0005-0000-0000-000095870000}"/>
    <cellStyle name="Note 2 8 3 2 8" xfId="17909" xr:uid="{00000000-0005-0000-0000-000096870000}"/>
    <cellStyle name="Note 2 8 3 3" xfId="6565" xr:uid="{00000000-0005-0000-0000-000097870000}"/>
    <cellStyle name="Note 2 8 3 3 2" xfId="12393" xr:uid="{00000000-0005-0000-0000-000098870000}"/>
    <cellStyle name="Note 2 8 3 3 3" xfId="12394" xr:uid="{00000000-0005-0000-0000-000099870000}"/>
    <cellStyle name="Note 2 8 3 3 4" xfId="12395" xr:uid="{00000000-0005-0000-0000-00009A870000}"/>
    <cellStyle name="Note 2 8 3 3 5" xfId="17052" xr:uid="{00000000-0005-0000-0000-00009B870000}"/>
    <cellStyle name="Note 2 8 3 3 6" xfId="15388" xr:uid="{00000000-0005-0000-0000-00009C870000}"/>
    <cellStyle name="Note 2 8 3 4" xfId="6566" xr:uid="{00000000-0005-0000-0000-00009D870000}"/>
    <cellStyle name="Note 2 8 3 4 2" xfId="12396" xr:uid="{00000000-0005-0000-0000-00009E870000}"/>
    <cellStyle name="Note 2 8 3 4 3" xfId="12397" xr:uid="{00000000-0005-0000-0000-00009F870000}"/>
    <cellStyle name="Note 2 8 3 4 4" xfId="12398" xr:uid="{00000000-0005-0000-0000-0000A0870000}"/>
    <cellStyle name="Note 2 8 3 4 5" xfId="17053" xr:uid="{00000000-0005-0000-0000-0000A1870000}"/>
    <cellStyle name="Note 2 8 3 4 6" xfId="17698" xr:uid="{00000000-0005-0000-0000-0000A2870000}"/>
    <cellStyle name="Note 2 8 3 5" xfId="12399" xr:uid="{00000000-0005-0000-0000-0000A3870000}"/>
    <cellStyle name="Note 2 8 3 6" xfId="12400" xr:uid="{00000000-0005-0000-0000-0000A4870000}"/>
    <cellStyle name="Note 2 8 3 7" xfId="12401" xr:uid="{00000000-0005-0000-0000-0000A5870000}"/>
    <cellStyle name="Note 2 8 3 8" xfId="15974" xr:uid="{00000000-0005-0000-0000-0000A6870000}"/>
    <cellStyle name="Note 2 8 3 9" xfId="15708" xr:uid="{00000000-0005-0000-0000-0000A7870000}"/>
    <cellStyle name="Note 2 8 4" xfId="6567" xr:uid="{00000000-0005-0000-0000-0000A8870000}"/>
    <cellStyle name="Note 2 8 4 2" xfId="6568" xr:uid="{00000000-0005-0000-0000-0000A9870000}"/>
    <cellStyle name="Note 2 8 4 2 2" xfId="6569" xr:uid="{00000000-0005-0000-0000-0000AA870000}"/>
    <cellStyle name="Note 2 8 4 2 2 2" xfId="12402" xr:uid="{00000000-0005-0000-0000-0000AB870000}"/>
    <cellStyle name="Note 2 8 4 2 2 3" xfId="12403" xr:uid="{00000000-0005-0000-0000-0000AC870000}"/>
    <cellStyle name="Note 2 8 4 2 2 4" xfId="12404" xr:uid="{00000000-0005-0000-0000-0000AD870000}"/>
    <cellStyle name="Note 2 8 4 2 2 5" xfId="17054" xr:uid="{00000000-0005-0000-0000-0000AE870000}"/>
    <cellStyle name="Note 2 8 4 2 2 6" xfId="16265" xr:uid="{00000000-0005-0000-0000-0000AF870000}"/>
    <cellStyle name="Note 2 8 4 2 3" xfId="6570" xr:uid="{00000000-0005-0000-0000-0000B0870000}"/>
    <cellStyle name="Note 2 8 4 2 3 2" xfId="12405" xr:uid="{00000000-0005-0000-0000-0000B1870000}"/>
    <cellStyle name="Note 2 8 4 2 3 3" xfId="12406" xr:uid="{00000000-0005-0000-0000-0000B2870000}"/>
    <cellStyle name="Note 2 8 4 2 3 4" xfId="12407" xr:uid="{00000000-0005-0000-0000-0000B3870000}"/>
    <cellStyle name="Note 2 8 4 2 3 5" xfId="17055" xr:uid="{00000000-0005-0000-0000-0000B4870000}"/>
    <cellStyle name="Note 2 8 4 2 3 6" xfId="15387" xr:uid="{00000000-0005-0000-0000-0000B5870000}"/>
    <cellStyle name="Note 2 8 4 2 4" xfId="12408" xr:uid="{00000000-0005-0000-0000-0000B6870000}"/>
    <cellStyle name="Note 2 8 4 2 5" xfId="12409" xr:uid="{00000000-0005-0000-0000-0000B7870000}"/>
    <cellStyle name="Note 2 8 4 2 6" xfId="12410" xr:uid="{00000000-0005-0000-0000-0000B8870000}"/>
    <cellStyle name="Note 2 8 4 2 7" xfId="16564" xr:uid="{00000000-0005-0000-0000-0000B9870000}"/>
    <cellStyle name="Note 2 8 4 2 8" xfId="16478" xr:uid="{00000000-0005-0000-0000-0000BA870000}"/>
    <cellStyle name="Note 2 8 4 3" xfId="6571" xr:uid="{00000000-0005-0000-0000-0000BB870000}"/>
    <cellStyle name="Note 2 8 4 3 2" xfId="12411" xr:uid="{00000000-0005-0000-0000-0000BC870000}"/>
    <cellStyle name="Note 2 8 4 3 3" xfId="12412" xr:uid="{00000000-0005-0000-0000-0000BD870000}"/>
    <cellStyle name="Note 2 8 4 3 4" xfId="12413" xr:uid="{00000000-0005-0000-0000-0000BE870000}"/>
    <cellStyle name="Note 2 8 4 3 5" xfId="17056" xr:uid="{00000000-0005-0000-0000-0000BF870000}"/>
    <cellStyle name="Note 2 8 4 3 6" xfId="17697" xr:uid="{00000000-0005-0000-0000-0000C0870000}"/>
    <cellStyle name="Note 2 8 4 4" xfId="6572" xr:uid="{00000000-0005-0000-0000-0000C1870000}"/>
    <cellStyle name="Note 2 8 4 4 2" xfId="12414" xr:uid="{00000000-0005-0000-0000-0000C2870000}"/>
    <cellStyle name="Note 2 8 4 4 3" xfId="12415" xr:uid="{00000000-0005-0000-0000-0000C3870000}"/>
    <cellStyle name="Note 2 8 4 4 4" xfId="12416" xr:uid="{00000000-0005-0000-0000-0000C4870000}"/>
    <cellStyle name="Note 2 8 4 4 5" xfId="17057" xr:uid="{00000000-0005-0000-0000-0000C5870000}"/>
    <cellStyle name="Note 2 8 4 4 6" xfId="16264" xr:uid="{00000000-0005-0000-0000-0000C6870000}"/>
    <cellStyle name="Note 2 8 4 5" xfId="12417" xr:uid="{00000000-0005-0000-0000-0000C7870000}"/>
    <cellStyle name="Note 2 8 4 6" xfId="12418" xr:uid="{00000000-0005-0000-0000-0000C8870000}"/>
    <cellStyle name="Note 2 8 4 7" xfId="12419" xr:uid="{00000000-0005-0000-0000-0000C9870000}"/>
    <cellStyle name="Note 2 8 4 8" xfId="15975" xr:uid="{00000000-0005-0000-0000-0000CA870000}"/>
    <cellStyle name="Note 2 8 4 9" xfId="15707" xr:uid="{00000000-0005-0000-0000-0000CB870000}"/>
    <cellStyle name="Note 2 8 5" xfId="6573" xr:uid="{00000000-0005-0000-0000-0000CC870000}"/>
    <cellStyle name="Note 2 8 5 10" xfId="15976" xr:uid="{00000000-0005-0000-0000-0000CD870000}"/>
    <cellStyle name="Note 2 8 5 11" xfId="15706" xr:uid="{00000000-0005-0000-0000-0000CE870000}"/>
    <cellStyle name="Note 2 8 5 2" xfId="6574" xr:uid="{00000000-0005-0000-0000-0000CF870000}"/>
    <cellStyle name="Note 2 8 5 2 2" xfId="6575" xr:uid="{00000000-0005-0000-0000-0000D0870000}"/>
    <cellStyle name="Note 2 8 5 2 2 2" xfId="6576" xr:uid="{00000000-0005-0000-0000-0000D1870000}"/>
    <cellStyle name="Note 2 8 5 2 2 2 2" xfId="12420" xr:uid="{00000000-0005-0000-0000-0000D2870000}"/>
    <cellStyle name="Note 2 8 5 2 2 2 3" xfId="12421" xr:uid="{00000000-0005-0000-0000-0000D3870000}"/>
    <cellStyle name="Note 2 8 5 2 2 2 4" xfId="12422" xr:uid="{00000000-0005-0000-0000-0000D4870000}"/>
    <cellStyle name="Note 2 8 5 2 2 2 5" xfId="17058" xr:uid="{00000000-0005-0000-0000-0000D5870000}"/>
    <cellStyle name="Note 2 8 5 2 2 2 6" xfId="15386" xr:uid="{00000000-0005-0000-0000-0000D6870000}"/>
    <cellStyle name="Note 2 8 5 2 2 3" xfId="6577" xr:uid="{00000000-0005-0000-0000-0000D7870000}"/>
    <cellStyle name="Note 2 8 5 2 2 3 2" xfId="12423" xr:uid="{00000000-0005-0000-0000-0000D8870000}"/>
    <cellStyle name="Note 2 8 5 2 2 3 3" xfId="12424" xr:uid="{00000000-0005-0000-0000-0000D9870000}"/>
    <cellStyle name="Note 2 8 5 2 2 3 4" xfId="12425" xr:uid="{00000000-0005-0000-0000-0000DA870000}"/>
    <cellStyle name="Note 2 8 5 2 2 3 5" xfId="17059" xr:uid="{00000000-0005-0000-0000-0000DB870000}"/>
    <cellStyle name="Note 2 8 5 2 2 3 6" xfId="17696" xr:uid="{00000000-0005-0000-0000-0000DC870000}"/>
    <cellStyle name="Note 2 8 5 2 2 4" xfId="12426" xr:uid="{00000000-0005-0000-0000-0000DD870000}"/>
    <cellStyle name="Note 2 8 5 2 2 5" xfId="12427" xr:uid="{00000000-0005-0000-0000-0000DE870000}"/>
    <cellStyle name="Note 2 8 5 2 2 6" xfId="12428" xr:uid="{00000000-0005-0000-0000-0000DF870000}"/>
    <cellStyle name="Note 2 8 5 2 2 7" xfId="16565" xr:uid="{00000000-0005-0000-0000-0000E0870000}"/>
    <cellStyle name="Note 2 8 5 2 2 8" xfId="15607" xr:uid="{00000000-0005-0000-0000-0000E1870000}"/>
    <cellStyle name="Note 2 8 5 2 3" xfId="6578" xr:uid="{00000000-0005-0000-0000-0000E2870000}"/>
    <cellStyle name="Note 2 8 5 2 3 2" xfId="12429" xr:uid="{00000000-0005-0000-0000-0000E3870000}"/>
    <cellStyle name="Note 2 8 5 2 3 3" xfId="12430" xr:uid="{00000000-0005-0000-0000-0000E4870000}"/>
    <cellStyle name="Note 2 8 5 2 3 4" xfId="12431" xr:uid="{00000000-0005-0000-0000-0000E5870000}"/>
    <cellStyle name="Note 2 8 5 2 3 5" xfId="17060" xr:uid="{00000000-0005-0000-0000-0000E6870000}"/>
    <cellStyle name="Note 2 8 5 2 3 6" xfId="16263" xr:uid="{00000000-0005-0000-0000-0000E7870000}"/>
    <cellStyle name="Note 2 8 5 2 4" xfId="6579" xr:uid="{00000000-0005-0000-0000-0000E8870000}"/>
    <cellStyle name="Note 2 8 5 2 4 2" xfId="12432" xr:uid="{00000000-0005-0000-0000-0000E9870000}"/>
    <cellStyle name="Note 2 8 5 2 4 3" xfId="12433" xr:uid="{00000000-0005-0000-0000-0000EA870000}"/>
    <cellStyle name="Note 2 8 5 2 4 4" xfId="12434" xr:uid="{00000000-0005-0000-0000-0000EB870000}"/>
    <cellStyle name="Note 2 8 5 2 4 5" xfId="17061" xr:uid="{00000000-0005-0000-0000-0000EC870000}"/>
    <cellStyle name="Note 2 8 5 2 4 6" xfId="15385" xr:uid="{00000000-0005-0000-0000-0000ED870000}"/>
    <cellStyle name="Note 2 8 5 2 5" xfId="12435" xr:uid="{00000000-0005-0000-0000-0000EE870000}"/>
    <cellStyle name="Note 2 8 5 2 6" xfId="12436" xr:uid="{00000000-0005-0000-0000-0000EF870000}"/>
    <cellStyle name="Note 2 8 5 2 7" xfId="12437" xr:uid="{00000000-0005-0000-0000-0000F0870000}"/>
    <cellStyle name="Note 2 8 5 2 8" xfId="15977" xr:uid="{00000000-0005-0000-0000-0000F1870000}"/>
    <cellStyle name="Note 2 8 5 2 9" xfId="15705" xr:uid="{00000000-0005-0000-0000-0000F2870000}"/>
    <cellStyle name="Note 2 8 5 3" xfId="6580" xr:uid="{00000000-0005-0000-0000-0000F3870000}"/>
    <cellStyle name="Note 2 8 5 3 2" xfId="6581" xr:uid="{00000000-0005-0000-0000-0000F4870000}"/>
    <cellStyle name="Note 2 8 5 3 2 2" xfId="6582" xr:uid="{00000000-0005-0000-0000-0000F5870000}"/>
    <cellStyle name="Note 2 8 5 3 2 2 2" xfId="12438" xr:uid="{00000000-0005-0000-0000-0000F6870000}"/>
    <cellStyle name="Note 2 8 5 3 2 2 3" xfId="12439" xr:uid="{00000000-0005-0000-0000-0000F7870000}"/>
    <cellStyle name="Note 2 8 5 3 2 2 4" xfId="12440" xr:uid="{00000000-0005-0000-0000-0000F8870000}"/>
    <cellStyle name="Note 2 8 5 3 2 2 5" xfId="17062" xr:uid="{00000000-0005-0000-0000-0000F9870000}"/>
    <cellStyle name="Note 2 8 5 3 2 2 6" xfId="17695" xr:uid="{00000000-0005-0000-0000-0000FA870000}"/>
    <cellStyle name="Note 2 8 5 3 2 3" xfId="6583" xr:uid="{00000000-0005-0000-0000-0000FB870000}"/>
    <cellStyle name="Note 2 8 5 3 2 3 2" xfId="12441" xr:uid="{00000000-0005-0000-0000-0000FC870000}"/>
    <cellStyle name="Note 2 8 5 3 2 3 3" xfId="12442" xr:uid="{00000000-0005-0000-0000-0000FD870000}"/>
    <cellStyle name="Note 2 8 5 3 2 3 4" xfId="12443" xr:uid="{00000000-0005-0000-0000-0000FE870000}"/>
    <cellStyle name="Note 2 8 5 3 2 3 5" xfId="17063" xr:uid="{00000000-0005-0000-0000-0000FF870000}"/>
    <cellStyle name="Note 2 8 5 3 2 3 6" xfId="16262" xr:uid="{00000000-0005-0000-0000-000000880000}"/>
    <cellStyle name="Note 2 8 5 3 2 4" xfId="12444" xr:uid="{00000000-0005-0000-0000-000001880000}"/>
    <cellStyle name="Note 2 8 5 3 2 5" xfId="12445" xr:uid="{00000000-0005-0000-0000-000002880000}"/>
    <cellStyle name="Note 2 8 5 3 2 6" xfId="12446" xr:uid="{00000000-0005-0000-0000-000003880000}"/>
    <cellStyle name="Note 2 8 5 3 2 7" xfId="16566" xr:uid="{00000000-0005-0000-0000-000004880000}"/>
    <cellStyle name="Note 2 8 5 3 2 8" xfId="17908" xr:uid="{00000000-0005-0000-0000-000005880000}"/>
    <cellStyle name="Note 2 8 5 3 3" xfId="6584" xr:uid="{00000000-0005-0000-0000-000006880000}"/>
    <cellStyle name="Note 2 8 5 3 3 2" xfId="12447" xr:uid="{00000000-0005-0000-0000-000007880000}"/>
    <cellStyle name="Note 2 8 5 3 3 3" xfId="12448" xr:uid="{00000000-0005-0000-0000-000008880000}"/>
    <cellStyle name="Note 2 8 5 3 3 4" xfId="12449" xr:uid="{00000000-0005-0000-0000-000009880000}"/>
    <cellStyle name="Note 2 8 5 3 3 5" xfId="17064" xr:uid="{00000000-0005-0000-0000-00000A880000}"/>
    <cellStyle name="Note 2 8 5 3 3 6" xfId="15384" xr:uid="{00000000-0005-0000-0000-00000B880000}"/>
    <cellStyle name="Note 2 8 5 3 4" xfId="6585" xr:uid="{00000000-0005-0000-0000-00000C880000}"/>
    <cellStyle name="Note 2 8 5 3 4 2" xfId="12450" xr:uid="{00000000-0005-0000-0000-00000D880000}"/>
    <cellStyle name="Note 2 8 5 3 4 3" xfId="12451" xr:uid="{00000000-0005-0000-0000-00000E880000}"/>
    <cellStyle name="Note 2 8 5 3 4 4" xfId="12452" xr:uid="{00000000-0005-0000-0000-00000F880000}"/>
    <cellStyle name="Note 2 8 5 3 4 5" xfId="17065" xr:uid="{00000000-0005-0000-0000-000010880000}"/>
    <cellStyle name="Note 2 8 5 3 4 6" xfId="15383" xr:uid="{00000000-0005-0000-0000-000011880000}"/>
    <cellStyle name="Note 2 8 5 3 5" xfId="12453" xr:uid="{00000000-0005-0000-0000-000012880000}"/>
    <cellStyle name="Note 2 8 5 3 6" xfId="12454" xr:uid="{00000000-0005-0000-0000-000013880000}"/>
    <cellStyle name="Note 2 8 5 3 7" xfId="12455" xr:uid="{00000000-0005-0000-0000-000014880000}"/>
    <cellStyle name="Note 2 8 5 3 8" xfId="15978" xr:uid="{00000000-0005-0000-0000-000015880000}"/>
    <cellStyle name="Note 2 8 5 3 9" xfId="15704" xr:uid="{00000000-0005-0000-0000-000016880000}"/>
    <cellStyle name="Note 2 8 5 4" xfId="6586" xr:uid="{00000000-0005-0000-0000-000017880000}"/>
    <cellStyle name="Note 2 8 5 4 2" xfId="12456" xr:uid="{00000000-0005-0000-0000-000018880000}"/>
    <cellStyle name="Note 2 8 5 4 2 2" xfId="12457" xr:uid="{00000000-0005-0000-0000-000019880000}"/>
    <cellStyle name="Note 2 8 5 4 2 3" xfId="12458" xr:uid="{00000000-0005-0000-0000-00001A880000}"/>
    <cellStyle name="Note 2 8 5 4 2 4" xfId="12459" xr:uid="{00000000-0005-0000-0000-00001B880000}"/>
    <cellStyle name="Note 2 8 5 4 3" xfId="12460" xr:uid="{00000000-0005-0000-0000-00001C880000}"/>
    <cellStyle name="Note 2 8 5 4 4" xfId="12461" xr:uid="{00000000-0005-0000-0000-00001D880000}"/>
    <cellStyle name="Note 2 8 5 4 5" xfId="12462" xr:uid="{00000000-0005-0000-0000-00001E880000}"/>
    <cellStyle name="Note 2 8 5 4 6" xfId="17066" xr:uid="{00000000-0005-0000-0000-00001F880000}"/>
    <cellStyle name="Note 2 8 5 4 7" xfId="17693" xr:uid="{00000000-0005-0000-0000-000020880000}"/>
    <cellStyle name="Note 2 8 5 5" xfId="6587" xr:uid="{00000000-0005-0000-0000-000021880000}"/>
    <cellStyle name="Note 2 8 5 5 2" xfId="12463" xr:uid="{00000000-0005-0000-0000-000022880000}"/>
    <cellStyle name="Note 2 8 5 5 2 2" xfId="12464" xr:uid="{00000000-0005-0000-0000-000023880000}"/>
    <cellStyle name="Note 2 8 5 5 2 3" xfId="12465" xr:uid="{00000000-0005-0000-0000-000024880000}"/>
    <cellStyle name="Note 2 8 5 5 2 4" xfId="12466" xr:uid="{00000000-0005-0000-0000-000025880000}"/>
    <cellStyle name="Note 2 8 5 5 3" xfId="12467" xr:uid="{00000000-0005-0000-0000-000026880000}"/>
    <cellStyle name="Note 2 8 5 5 4" xfId="12468" xr:uid="{00000000-0005-0000-0000-000027880000}"/>
    <cellStyle name="Note 2 8 5 5 5" xfId="12469" xr:uid="{00000000-0005-0000-0000-000028880000}"/>
    <cellStyle name="Note 2 8 5 5 6" xfId="17067" xr:uid="{00000000-0005-0000-0000-000029880000}"/>
    <cellStyle name="Note 2 8 5 5 7" xfId="16260" xr:uid="{00000000-0005-0000-0000-00002A880000}"/>
    <cellStyle name="Note 2 8 5 6" xfId="12470" xr:uid="{00000000-0005-0000-0000-00002B880000}"/>
    <cellStyle name="Note 2 8 5 6 2" xfId="12471" xr:uid="{00000000-0005-0000-0000-00002C880000}"/>
    <cellStyle name="Note 2 8 5 6 3" xfId="12472" xr:uid="{00000000-0005-0000-0000-00002D880000}"/>
    <cellStyle name="Note 2 8 5 6 4" xfId="12473" xr:uid="{00000000-0005-0000-0000-00002E880000}"/>
    <cellStyle name="Note 2 8 5 7" xfId="12474" xr:uid="{00000000-0005-0000-0000-00002F880000}"/>
    <cellStyle name="Note 2 8 5 8" xfId="12475" xr:uid="{00000000-0005-0000-0000-000030880000}"/>
    <cellStyle name="Note 2 8 5 9" xfId="12476" xr:uid="{00000000-0005-0000-0000-000031880000}"/>
    <cellStyle name="Note 2 8 6" xfId="6588" xr:uid="{00000000-0005-0000-0000-000032880000}"/>
    <cellStyle name="Note 2 8 6 10" xfId="15979" xr:uid="{00000000-0005-0000-0000-000033880000}"/>
    <cellStyle name="Note 2 8 6 11" xfId="15703" xr:uid="{00000000-0005-0000-0000-000034880000}"/>
    <cellStyle name="Note 2 8 6 2" xfId="6589" xr:uid="{00000000-0005-0000-0000-000035880000}"/>
    <cellStyle name="Note 2 8 6 2 2" xfId="6590" xr:uid="{00000000-0005-0000-0000-000036880000}"/>
    <cellStyle name="Note 2 8 6 2 2 2" xfId="6591" xr:uid="{00000000-0005-0000-0000-000037880000}"/>
    <cellStyle name="Note 2 8 6 2 2 2 2" xfId="12477" xr:uid="{00000000-0005-0000-0000-000038880000}"/>
    <cellStyle name="Note 2 8 6 2 2 2 3" xfId="12478" xr:uid="{00000000-0005-0000-0000-000039880000}"/>
    <cellStyle name="Note 2 8 6 2 2 2 4" xfId="12479" xr:uid="{00000000-0005-0000-0000-00003A880000}"/>
    <cellStyle name="Note 2 8 6 2 2 2 5" xfId="17068" xr:uid="{00000000-0005-0000-0000-00003B880000}"/>
    <cellStyle name="Note 2 8 6 2 2 2 6" xfId="15382" xr:uid="{00000000-0005-0000-0000-00003C880000}"/>
    <cellStyle name="Note 2 8 6 2 2 3" xfId="6592" xr:uid="{00000000-0005-0000-0000-00003D880000}"/>
    <cellStyle name="Note 2 8 6 2 2 3 2" xfId="12480" xr:uid="{00000000-0005-0000-0000-00003E880000}"/>
    <cellStyle name="Note 2 8 6 2 2 3 3" xfId="12481" xr:uid="{00000000-0005-0000-0000-00003F880000}"/>
    <cellStyle name="Note 2 8 6 2 2 3 4" xfId="12482" xr:uid="{00000000-0005-0000-0000-000040880000}"/>
    <cellStyle name="Note 2 8 6 2 2 3 5" xfId="17069" xr:uid="{00000000-0005-0000-0000-000041880000}"/>
    <cellStyle name="Note 2 8 6 2 2 3 6" xfId="17692" xr:uid="{00000000-0005-0000-0000-000042880000}"/>
    <cellStyle name="Note 2 8 6 2 2 4" xfId="12483" xr:uid="{00000000-0005-0000-0000-000043880000}"/>
    <cellStyle name="Note 2 8 6 2 2 5" xfId="12484" xr:uid="{00000000-0005-0000-0000-000044880000}"/>
    <cellStyle name="Note 2 8 6 2 2 6" xfId="12485" xr:uid="{00000000-0005-0000-0000-000045880000}"/>
    <cellStyle name="Note 2 8 6 2 2 7" xfId="16567" xr:uid="{00000000-0005-0000-0000-000046880000}"/>
    <cellStyle name="Note 2 8 6 2 2 8" xfId="16477" xr:uid="{00000000-0005-0000-0000-000047880000}"/>
    <cellStyle name="Note 2 8 6 2 3" xfId="6593" xr:uid="{00000000-0005-0000-0000-000048880000}"/>
    <cellStyle name="Note 2 8 6 2 3 2" xfId="12486" xr:uid="{00000000-0005-0000-0000-000049880000}"/>
    <cellStyle name="Note 2 8 6 2 3 3" xfId="12487" xr:uid="{00000000-0005-0000-0000-00004A880000}"/>
    <cellStyle name="Note 2 8 6 2 3 4" xfId="12488" xr:uid="{00000000-0005-0000-0000-00004B880000}"/>
    <cellStyle name="Note 2 8 6 2 3 5" xfId="17070" xr:uid="{00000000-0005-0000-0000-00004C880000}"/>
    <cellStyle name="Note 2 8 6 2 3 6" xfId="16259" xr:uid="{00000000-0005-0000-0000-00004D880000}"/>
    <cellStyle name="Note 2 8 6 2 4" xfId="6594" xr:uid="{00000000-0005-0000-0000-00004E880000}"/>
    <cellStyle name="Note 2 8 6 2 4 2" xfId="12489" xr:uid="{00000000-0005-0000-0000-00004F880000}"/>
    <cellStyle name="Note 2 8 6 2 4 3" xfId="12490" xr:uid="{00000000-0005-0000-0000-000050880000}"/>
    <cellStyle name="Note 2 8 6 2 4 4" xfId="12491" xr:uid="{00000000-0005-0000-0000-000051880000}"/>
    <cellStyle name="Note 2 8 6 2 4 5" xfId="17071" xr:uid="{00000000-0005-0000-0000-000052880000}"/>
    <cellStyle name="Note 2 8 6 2 4 6" xfId="15381" xr:uid="{00000000-0005-0000-0000-000053880000}"/>
    <cellStyle name="Note 2 8 6 2 5" xfId="12492" xr:uid="{00000000-0005-0000-0000-000054880000}"/>
    <cellStyle name="Note 2 8 6 2 6" xfId="12493" xr:uid="{00000000-0005-0000-0000-000055880000}"/>
    <cellStyle name="Note 2 8 6 2 7" xfId="12494" xr:uid="{00000000-0005-0000-0000-000056880000}"/>
    <cellStyle name="Note 2 8 6 2 8" xfId="15980" xr:uid="{00000000-0005-0000-0000-000057880000}"/>
    <cellStyle name="Note 2 8 6 2 9" xfId="15702" xr:uid="{00000000-0005-0000-0000-000058880000}"/>
    <cellStyle name="Note 2 8 6 3" xfId="6595" xr:uid="{00000000-0005-0000-0000-000059880000}"/>
    <cellStyle name="Note 2 8 6 3 2" xfId="6596" xr:uid="{00000000-0005-0000-0000-00005A880000}"/>
    <cellStyle name="Note 2 8 6 3 2 2" xfId="6597" xr:uid="{00000000-0005-0000-0000-00005B880000}"/>
    <cellStyle name="Note 2 8 6 3 2 2 2" xfId="12495" xr:uid="{00000000-0005-0000-0000-00005C880000}"/>
    <cellStyle name="Note 2 8 6 3 2 2 3" xfId="12496" xr:uid="{00000000-0005-0000-0000-00005D880000}"/>
    <cellStyle name="Note 2 8 6 3 2 2 4" xfId="12497" xr:uid="{00000000-0005-0000-0000-00005E880000}"/>
    <cellStyle name="Note 2 8 6 3 2 2 5" xfId="17072" xr:uid="{00000000-0005-0000-0000-00005F880000}"/>
    <cellStyle name="Note 2 8 6 3 2 2 6" xfId="15372" xr:uid="{00000000-0005-0000-0000-000060880000}"/>
    <cellStyle name="Note 2 8 6 3 2 3" xfId="6598" xr:uid="{00000000-0005-0000-0000-000061880000}"/>
    <cellStyle name="Note 2 8 6 3 2 3 2" xfId="12498" xr:uid="{00000000-0005-0000-0000-000062880000}"/>
    <cellStyle name="Note 2 8 6 3 2 3 3" xfId="12499" xr:uid="{00000000-0005-0000-0000-000063880000}"/>
    <cellStyle name="Note 2 8 6 3 2 3 4" xfId="12500" xr:uid="{00000000-0005-0000-0000-000064880000}"/>
    <cellStyle name="Note 2 8 6 3 2 3 5" xfId="17073" xr:uid="{00000000-0005-0000-0000-000065880000}"/>
    <cellStyle name="Note 2 8 6 3 2 3 6" xfId="17691" xr:uid="{00000000-0005-0000-0000-000066880000}"/>
    <cellStyle name="Note 2 8 6 3 2 4" xfId="12501" xr:uid="{00000000-0005-0000-0000-000067880000}"/>
    <cellStyle name="Note 2 8 6 3 2 5" xfId="12502" xr:uid="{00000000-0005-0000-0000-000068880000}"/>
    <cellStyle name="Note 2 8 6 3 2 6" xfId="12503" xr:uid="{00000000-0005-0000-0000-000069880000}"/>
    <cellStyle name="Note 2 8 6 3 2 7" xfId="16568" xr:uid="{00000000-0005-0000-0000-00006A880000}"/>
    <cellStyle name="Note 2 8 6 3 2 8" xfId="15606" xr:uid="{00000000-0005-0000-0000-00006B880000}"/>
    <cellStyle name="Note 2 8 6 3 3" xfId="6599" xr:uid="{00000000-0005-0000-0000-00006C880000}"/>
    <cellStyle name="Note 2 8 6 3 3 2" xfId="12504" xr:uid="{00000000-0005-0000-0000-00006D880000}"/>
    <cellStyle name="Note 2 8 6 3 3 3" xfId="12505" xr:uid="{00000000-0005-0000-0000-00006E880000}"/>
    <cellStyle name="Note 2 8 6 3 3 4" xfId="12506" xr:uid="{00000000-0005-0000-0000-00006F880000}"/>
    <cellStyle name="Note 2 8 6 3 3 5" xfId="17074" xr:uid="{00000000-0005-0000-0000-000070880000}"/>
    <cellStyle name="Note 2 8 6 3 3 6" xfId="16258" xr:uid="{00000000-0005-0000-0000-000071880000}"/>
    <cellStyle name="Note 2 8 6 3 4" xfId="6600" xr:uid="{00000000-0005-0000-0000-000072880000}"/>
    <cellStyle name="Note 2 8 6 3 4 2" xfId="12507" xr:uid="{00000000-0005-0000-0000-000073880000}"/>
    <cellStyle name="Note 2 8 6 3 4 3" xfId="12508" xr:uid="{00000000-0005-0000-0000-000074880000}"/>
    <cellStyle name="Note 2 8 6 3 4 4" xfId="12509" xr:uid="{00000000-0005-0000-0000-000075880000}"/>
    <cellStyle name="Note 2 8 6 3 4 5" xfId="17075" xr:uid="{00000000-0005-0000-0000-000076880000}"/>
    <cellStyle name="Note 2 8 6 3 4 6" xfId="15380" xr:uid="{00000000-0005-0000-0000-000077880000}"/>
    <cellStyle name="Note 2 8 6 3 5" xfId="12510" xr:uid="{00000000-0005-0000-0000-000078880000}"/>
    <cellStyle name="Note 2 8 6 3 6" xfId="12511" xr:uid="{00000000-0005-0000-0000-000079880000}"/>
    <cellStyle name="Note 2 8 6 3 7" xfId="12512" xr:uid="{00000000-0005-0000-0000-00007A880000}"/>
    <cellStyle name="Note 2 8 6 3 8" xfId="15981" xr:uid="{00000000-0005-0000-0000-00007B880000}"/>
    <cellStyle name="Note 2 8 6 3 9" xfId="15701" xr:uid="{00000000-0005-0000-0000-00007C880000}"/>
    <cellStyle name="Note 2 8 6 4" xfId="6601" xr:uid="{00000000-0005-0000-0000-00007D880000}"/>
    <cellStyle name="Note 2 8 6 4 2" xfId="12513" xr:uid="{00000000-0005-0000-0000-00007E880000}"/>
    <cellStyle name="Note 2 8 6 4 2 2" xfId="12514" xr:uid="{00000000-0005-0000-0000-00007F880000}"/>
    <cellStyle name="Note 2 8 6 4 2 3" xfId="12515" xr:uid="{00000000-0005-0000-0000-000080880000}"/>
    <cellStyle name="Note 2 8 6 4 2 4" xfId="12516" xr:uid="{00000000-0005-0000-0000-000081880000}"/>
    <cellStyle name="Note 2 8 6 4 3" xfId="12517" xr:uid="{00000000-0005-0000-0000-000082880000}"/>
    <cellStyle name="Note 2 8 6 4 4" xfId="12518" xr:uid="{00000000-0005-0000-0000-000083880000}"/>
    <cellStyle name="Note 2 8 6 4 5" xfId="12519" xr:uid="{00000000-0005-0000-0000-000084880000}"/>
    <cellStyle name="Note 2 8 6 4 6" xfId="17076" xr:uid="{00000000-0005-0000-0000-000085880000}"/>
    <cellStyle name="Note 2 8 6 4 7" xfId="17690" xr:uid="{00000000-0005-0000-0000-000086880000}"/>
    <cellStyle name="Note 2 8 6 5" xfId="6602" xr:uid="{00000000-0005-0000-0000-000087880000}"/>
    <cellStyle name="Note 2 8 6 5 2" xfId="12520" xr:uid="{00000000-0005-0000-0000-000088880000}"/>
    <cellStyle name="Note 2 8 6 5 2 2" xfId="12521" xr:uid="{00000000-0005-0000-0000-000089880000}"/>
    <cellStyle name="Note 2 8 6 5 2 3" xfId="12522" xr:uid="{00000000-0005-0000-0000-00008A880000}"/>
    <cellStyle name="Note 2 8 6 5 2 4" xfId="12523" xr:uid="{00000000-0005-0000-0000-00008B880000}"/>
    <cellStyle name="Note 2 8 6 5 3" xfId="12524" xr:uid="{00000000-0005-0000-0000-00008C880000}"/>
    <cellStyle name="Note 2 8 6 5 4" xfId="12525" xr:uid="{00000000-0005-0000-0000-00008D880000}"/>
    <cellStyle name="Note 2 8 6 5 5" xfId="12526" xr:uid="{00000000-0005-0000-0000-00008E880000}"/>
    <cellStyle name="Note 2 8 6 5 6" xfId="17077" xr:uid="{00000000-0005-0000-0000-00008F880000}"/>
    <cellStyle name="Note 2 8 6 5 7" xfId="16257" xr:uid="{00000000-0005-0000-0000-000090880000}"/>
    <cellStyle name="Note 2 8 6 6" xfId="12527" xr:uid="{00000000-0005-0000-0000-000091880000}"/>
    <cellStyle name="Note 2 8 6 6 2" xfId="12528" xr:uid="{00000000-0005-0000-0000-000092880000}"/>
    <cellStyle name="Note 2 8 6 6 3" xfId="12529" xr:uid="{00000000-0005-0000-0000-000093880000}"/>
    <cellStyle name="Note 2 8 6 6 4" xfId="12530" xr:uid="{00000000-0005-0000-0000-000094880000}"/>
    <cellStyle name="Note 2 8 6 7" xfId="12531" xr:uid="{00000000-0005-0000-0000-000095880000}"/>
    <cellStyle name="Note 2 8 6 8" xfId="12532" xr:uid="{00000000-0005-0000-0000-000096880000}"/>
    <cellStyle name="Note 2 8 6 9" xfId="12533" xr:uid="{00000000-0005-0000-0000-000097880000}"/>
    <cellStyle name="Note 2 8 7" xfId="6603" xr:uid="{00000000-0005-0000-0000-000098880000}"/>
    <cellStyle name="Note 2 8 7 10" xfId="15982" xr:uid="{00000000-0005-0000-0000-000099880000}"/>
    <cellStyle name="Note 2 8 7 11" xfId="15700" xr:uid="{00000000-0005-0000-0000-00009A880000}"/>
    <cellStyle name="Note 2 8 7 2" xfId="6604" xr:uid="{00000000-0005-0000-0000-00009B880000}"/>
    <cellStyle name="Note 2 8 7 2 2" xfId="6605" xr:uid="{00000000-0005-0000-0000-00009C880000}"/>
    <cellStyle name="Note 2 8 7 2 2 2" xfId="6606" xr:uid="{00000000-0005-0000-0000-00009D880000}"/>
    <cellStyle name="Note 2 8 7 2 2 2 2" xfId="12534" xr:uid="{00000000-0005-0000-0000-00009E880000}"/>
    <cellStyle name="Note 2 8 7 2 2 2 3" xfId="12535" xr:uid="{00000000-0005-0000-0000-00009F880000}"/>
    <cellStyle name="Note 2 8 7 2 2 2 4" xfId="12536" xr:uid="{00000000-0005-0000-0000-0000A0880000}"/>
    <cellStyle name="Note 2 8 7 2 2 2 5" xfId="17078" xr:uid="{00000000-0005-0000-0000-0000A1880000}"/>
    <cellStyle name="Note 2 8 7 2 2 2 6" xfId="15379" xr:uid="{00000000-0005-0000-0000-0000A2880000}"/>
    <cellStyle name="Note 2 8 7 2 2 3" xfId="6607" xr:uid="{00000000-0005-0000-0000-0000A3880000}"/>
    <cellStyle name="Note 2 8 7 2 2 3 2" xfId="12537" xr:uid="{00000000-0005-0000-0000-0000A4880000}"/>
    <cellStyle name="Note 2 8 7 2 2 3 3" xfId="12538" xr:uid="{00000000-0005-0000-0000-0000A5880000}"/>
    <cellStyle name="Note 2 8 7 2 2 3 4" xfId="12539" xr:uid="{00000000-0005-0000-0000-0000A6880000}"/>
    <cellStyle name="Note 2 8 7 2 2 3 5" xfId="17079" xr:uid="{00000000-0005-0000-0000-0000A7880000}"/>
    <cellStyle name="Note 2 8 7 2 2 3 6" xfId="17689" xr:uid="{00000000-0005-0000-0000-0000A8880000}"/>
    <cellStyle name="Note 2 8 7 2 2 4" xfId="12540" xr:uid="{00000000-0005-0000-0000-0000A9880000}"/>
    <cellStyle name="Note 2 8 7 2 2 5" xfId="12541" xr:uid="{00000000-0005-0000-0000-0000AA880000}"/>
    <cellStyle name="Note 2 8 7 2 2 6" xfId="12542" xr:uid="{00000000-0005-0000-0000-0000AB880000}"/>
    <cellStyle name="Note 2 8 7 2 2 7" xfId="16569" xr:uid="{00000000-0005-0000-0000-0000AC880000}"/>
    <cellStyle name="Note 2 8 7 2 2 8" xfId="17903" xr:uid="{00000000-0005-0000-0000-0000AD880000}"/>
    <cellStyle name="Note 2 8 7 2 3" xfId="6608" xr:uid="{00000000-0005-0000-0000-0000AE880000}"/>
    <cellStyle name="Note 2 8 7 2 3 2" xfId="12543" xr:uid="{00000000-0005-0000-0000-0000AF880000}"/>
    <cellStyle name="Note 2 8 7 2 3 3" xfId="12544" xr:uid="{00000000-0005-0000-0000-0000B0880000}"/>
    <cellStyle name="Note 2 8 7 2 3 4" xfId="12545" xr:uid="{00000000-0005-0000-0000-0000B1880000}"/>
    <cellStyle name="Note 2 8 7 2 3 5" xfId="17080" xr:uid="{00000000-0005-0000-0000-0000B2880000}"/>
    <cellStyle name="Note 2 8 7 2 3 6" xfId="16256" xr:uid="{00000000-0005-0000-0000-0000B3880000}"/>
    <cellStyle name="Note 2 8 7 2 4" xfId="6609" xr:uid="{00000000-0005-0000-0000-0000B4880000}"/>
    <cellStyle name="Note 2 8 7 2 4 2" xfId="12546" xr:uid="{00000000-0005-0000-0000-0000B5880000}"/>
    <cellStyle name="Note 2 8 7 2 4 3" xfId="12547" xr:uid="{00000000-0005-0000-0000-0000B6880000}"/>
    <cellStyle name="Note 2 8 7 2 4 4" xfId="12548" xr:uid="{00000000-0005-0000-0000-0000B7880000}"/>
    <cellStyle name="Note 2 8 7 2 4 5" xfId="17081" xr:uid="{00000000-0005-0000-0000-0000B8880000}"/>
    <cellStyle name="Note 2 8 7 2 4 6" xfId="15378" xr:uid="{00000000-0005-0000-0000-0000B9880000}"/>
    <cellStyle name="Note 2 8 7 2 5" xfId="12549" xr:uid="{00000000-0005-0000-0000-0000BA880000}"/>
    <cellStyle name="Note 2 8 7 2 6" xfId="12550" xr:uid="{00000000-0005-0000-0000-0000BB880000}"/>
    <cellStyle name="Note 2 8 7 2 7" xfId="12551" xr:uid="{00000000-0005-0000-0000-0000BC880000}"/>
    <cellStyle name="Note 2 8 7 2 8" xfId="15983" xr:uid="{00000000-0005-0000-0000-0000BD880000}"/>
    <cellStyle name="Note 2 8 7 2 9" xfId="15699" xr:uid="{00000000-0005-0000-0000-0000BE880000}"/>
    <cellStyle name="Note 2 8 7 3" xfId="6610" xr:uid="{00000000-0005-0000-0000-0000BF880000}"/>
    <cellStyle name="Note 2 8 7 3 2" xfId="6611" xr:uid="{00000000-0005-0000-0000-0000C0880000}"/>
    <cellStyle name="Note 2 8 7 3 2 2" xfId="6612" xr:uid="{00000000-0005-0000-0000-0000C1880000}"/>
    <cellStyle name="Note 2 8 7 3 2 2 2" xfId="12552" xr:uid="{00000000-0005-0000-0000-0000C2880000}"/>
    <cellStyle name="Note 2 8 7 3 2 2 3" xfId="12553" xr:uid="{00000000-0005-0000-0000-0000C3880000}"/>
    <cellStyle name="Note 2 8 7 3 2 2 4" xfId="12554" xr:uid="{00000000-0005-0000-0000-0000C4880000}"/>
    <cellStyle name="Note 2 8 7 3 2 2 5" xfId="17082" xr:uid="{00000000-0005-0000-0000-0000C5880000}"/>
    <cellStyle name="Note 2 8 7 3 2 2 6" xfId="17688" xr:uid="{00000000-0005-0000-0000-0000C6880000}"/>
    <cellStyle name="Note 2 8 7 3 2 3" xfId="6613" xr:uid="{00000000-0005-0000-0000-0000C7880000}"/>
    <cellStyle name="Note 2 8 7 3 2 3 2" xfId="12555" xr:uid="{00000000-0005-0000-0000-0000C8880000}"/>
    <cellStyle name="Note 2 8 7 3 2 3 3" xfId="12556" xr:uid="{00000000-0005-0000-0000-0000C9880000}"/>
    <cellStyle name="Note 2 8 7 3 2 3 4" xfId="12557" xr:uid="{00000000-0005-0000-0000-0000CA880000}"/>
    <cellStyle name="Note 2 8 7 3 2 3 5" xfId="17083" xr:uid="{00000000-0005-0000-0000-0000CB880000}"/>
    <cellStyle name="Note 2 8 7 3 2 3 6" xfId="16255" xr:uid="{00000000-0005-0000-0000-0000CC880000}"/>
    <cellStyle name="Note 2 8 7 3 2 4" xfId="12558" xr:uid="{00000000-0005-0000-0000-0000CD880000}"/>
    <cellStyle name="Note 2 8 7 3 2 5" xfId="12559" xr:uid="{00000000-0005-0000-0000-0000CE880000}"/>
    <cellStyle name="Note 2 8 7 3 2 6" xfId="12560" xr:uid="{00000000-0005-0000-0000-0000CF880000}"/>
    <cellStyle name="Note 2 8 7 3 2 7" xfId="16570" xr:uid="{00000000-0005-0000-0000-0000D0880000}"/>
    <cellStyle name="Note 2 8 7 3 2 8" xfId="16472" xr:uid="{00000000-0005-0000-0000-0000D1880000}"/>
    <cellStyle name="Note 2 8 7 3 3" xfId="6614" xr:uid="{00000000-0005-0000-0000-0000D2880000}"/>
    <cellStyle name="Note 2 8 7 3 3 2" xfId="12561" xr:uid="{00000000-0005-0000-0000-0000D3880000}"/>
    <cellStyle name="Note 2 8 7 3 3 3" xfId="12562" xr:uid="{00000000-0005-0000-0000-0000D4880000}"/>
    <cellStyle name="Note 2 8 7 3 3 4" xfId="12563" xr:uid="{00000000-0005-0000-0000-0000D5880000}"/>
    <cellStyle name="Note 2 8 7 3 3 5" xfId="17084" xr:uid="{00000000-0005-0000-0000-0000D6880000}"/>
    <cellStyle name="Note 2 8 7 3 3 6" xfId="15377" xr:uid="{00000000-0005-0000-0000-0000D7880000}"/>
    <cellStyle name="Note 2 8 7 3 4" xfId="6615" xr:uid="{00000000-0005-0000-0000-0000D8880000}"/>
    <cellStyle name="Note 2 8 7 3 4 2" xfId="12564" xr:uid="{00000000-0005-0000-0000-0000D9880000}"/>
    <cellStyle name="Note 2 8 7 3 4 3" xfId="12565" xr:uid="{00000000-0005-0000-0000-0000DA880000}"/>
    <cellStyle name="Note 2 8 7 3 4 4" xfId="12566" xr:uid="{00000000-0005-0000-0000-0000DB880000}"/>
    <cellStyle name="Note 2 8 7 3 4 5" xfId="17085" xr:uid="{00000000-0005-0000-0000-0000DC880000}"/>
    <cellStyle name="Note 2 8 7 3 4 6" xfId="18085" xr:uid="{00000000-0005-0000-0000-0000DD880000}"/>
    <cellStyle name="Note 2 8 7 3 5" xfId="12567" xr:uid="{00000000-0005-0000-0000-0000DE880000}"/>
    <cellStyle name="Note 2 8 7 3 6" xfId="12568" xr:uid="{00000000-0005-0000-0000-0000DF880000}"/>
    <cellStyle name="Note 2 8 7 3 7" xfId="12569" xr:uid="{00000000-0005-0000-0000-0000E0880000}"/>
    <cellStyle name="Note 2 8 7 3 8" xfId="15984" xr:uid="{00000000-0005-0000-0000-0000E1880000}"/>
    <cellStyle name="Note 2 8 7 3 9" xfId="15698" xr:uid="{00000000-0005-0000-0000-0000E2880000}"/>
    <cellStyle name="Note 2 8 7 4" xfId="6616" xr:uid="{00000000-0005-0000-0000-0000E3880000}"/>
    <cellStyle name="Note 2 8 7 4 2" xfId="12570" xr:uid="{00000000-0005-0000-0000-0000E4880000}"/>
    <cellStyle name="Note 2 8 7 4 2 2" xfId="12571" xr:uid="{00000000-0005-0000-0000-0000E5880000}"/>
    <cellStyle name="Note 2 8 7 4 2 3" xfId="12572" xr:uid="{00000000-0005-0000-0000-0000E6880000}"/>
    <cellStyle name="Note 2 8 7 4 2 4" xfId="12573" xr:uid="{00000000-0005-0000-0000-0000E7880000}"/>
    <cellStyle name="Note 2 8 7 4 3" xfId="12574" xr:uid="{00000000-0005-0000-0000-0000E8880000}"/>
    <cellStyle name="Note 2 8 7 4 4" xfId="12575" xr:uid="{00000000-0005-0000-0000-0000E9880000}"/>
    <cellStyle name="Note 2 8 7 4 5" xfId="12576" xr:uid="{00000000-0005-0000-0000-0000EA880000}"/>
    <cellStyle name="Note 2 8 7 4 6" xfId="17086" xr:uid="{00000000-0005-0000-0000-0000EB880000}"/>
    <cellStyle name="Note 2 8 7 4 7" xfId="17687" xr:uid="{00000000-0005-0000-0000-0000EC880000}"/>
    <cellStyle name="Note 2 8 7 5" xfId="6617" xr:uid="{00000000-0005-0000-0000-0000ED880000}"/>
    <cellStyle name="Note 2 8 7 5 2" xfId="12577" xr:uid="{00000000-0005-0000-0000-0000EE880000}"/>
    <cellStyle name="Note 2 8 7 5 2 2" xfId="12578" xr:uid="{00000000-0005-0000-0000-0000EF880000}"/>
    <cellStyle name="Note 2 8 7 5 2 3" xfId="12579" xr:uid="{00000000-0005-0000-0000-0000F0880000}"/>
    <cellStyle name="Note 2 8 7 5 2 4" xfId="12580" xr:uid="{00000000-0005-0000-0000-0000F1880000}"/>
    <cellStyle name="Note 2 8 7 5 3" xfId="12581" xr:uid="{00000000-0005-0000-0000-0000F2880000}"/>
    <cellStyle name="Note 2 8 7 5 4" xfId="12582" xr:uid="{00000000-0005-0000-0000-0000F3880000}"/>
    <cellStyle name="Note 2 8 7 5 5" xfId="12583" xr:uid="{00000000-0005-0000-0000-0000F4880000}"/>
    <cellStyle name="Note 2 8 7 5 6" xfId="17087" xr:uid="{00000000-0005-0000-0000-0000F5880000}"/>
    <cellStyle name="Note 2 8 7 5 7" xfId="16254" xr:uid="{00000000-0005-0000-0000-0000F6880000}"/>
    <cellStyle name="Note 2 8 7 6" xfId="12584" xr:uid="{00000000-0005-0000-0000-0000F7880000}"/>
    <cellStyle name="Note 2 8 7 6 2" xfId="12585" xr:uid="{00000000-0005-0000-0000-0000F8880000}"/>
    <cellStyle name="Note 2 8 7 6 3" xfId="12586" xr:uid="{00000000-0005-0000-0000-0000F9880000}"/>
    <cellStyle name="Note 2 8 7 6 4" xfId="12587" xr:uid="{00000000-0005-0000-0000-0000FA880000}"/>
    <cellStyle name="Note 2 8 7 7" xfId="12588" xr:uid="{00000000-0005-0000-0000-0000FB880000}"/>
    <cellStyle name="Note 2 8 7 8" xfId="12589" xr:uid="{00000000-0005-0000-0000-0000FC880000}"/>
    <cellStyle name="Note 2 8 7 9" xfId="12590" xr:uid="{00000000-0005-0000-0000-0000FD880000}"/>
    <cellStyle name="Note 2 8 8" xfId="6618" xr:uid="{00000000-0005-0000-0000-0000FE880000}"/>
    <cellStyle name="Note 2 8 8 10" xfId="15985" xr:uid="{00000000-0005-0000-0000-0000FF880000}"/>
    <cellStyle name="Note 2 8 8 11" xfId="15697" xr:uid="{00000000-0005-0000-0000-000000890000}"/>
    <cellStyle name="Note 2 8 8 2" xfId="6619" xr:uid="{00000000-0005-0000-0000-000001890000}"/>
    <cellStyle name="Note 2 8 8 2 2" xfId="6620" xr:uid="{00000000-0005-0000-0000-000002890000}"/>
    <cellStyle name="Note 2 8 8 2 2 2" xfId="6621" xr:uid="{00000000-0005-0000-0000-000003890000}"/>
    <cellStyle name="Note 2 8 8 2 2 2 2" xfId="12591" xr:uid="{00000000-0005-0000-0000-000004890000}"/>
    <cellStyle name="Note 2 8 8 2 2 2 3" xfId="12592" xr:uid="{00000000-0005-0000-0000-000005890000}"/>
    <cellStyle name="Note 2 8 8 2 2 2 4" xfId="12593" xr:uid="{00000000-0005-0000-0000-000006890000}"/>
    <cellStyle name="Note 2 8 8 2 2 2 5" xfId="17088" xr:uid="{00000000-0005-0000-0000-000007890000}"/>
    <cellStyle name="Note 2 8 8 2 2 2 6" xfId="15376" xr:uid="{00000000-0005-0000-0000-000008890000}"/>
    <cellStyle name="Note 2 8 8 2 2 3" xfId="6622" xr:uid="{00000000-0005-0000-0000-000009890000}"/>
    <cellStyle name="Note 2 8 8 2 2 3 2" xfId="12594" xr:uid="{00000000-0005-0000-0000-00000A890000}"/>
    <cellStyle name="Note 2 8 8 2 2 3 3" xfId="12595" xr:uid="{00000000-0005-0000-0000-00000B890000}"/>
    <cellStyle name="Note 2 8 8 2 2 3 4" xfId="12596" xr:uid="{00000000-0005-0000-0000-00000C890000}"/>
    <cellStyle name="Note 2 8 8 2 2 3 5" xfId="17089" xr:uid="{00000000-0005-0000-0000-00000D890000}"/>
    <cellStyle name="Note 2 8 8 2 2 3 6" xfId="17686" xr:uid="{00000000-0005-0000-0000-00000E890000}"/>
    <cellStyle name="Note 2 8 8 2 2 4" xfId="12597" xr:uid="{00000000-0005-0000-0000-00000F890000}"/>
    <cellStyle name="Note 2 8 8 2 2 5" xfId="12598" xr:uid="{00000000-0005-0000-0000-000010890000}"/>
    <cellStyle name="Note 2 8 8 2 2 6" xfId="12599" xr:uid="{00000000-0005-0000-0000-000011890000}"/>
    <cellStyle name="Note 2 8 8 2 2 7" xfId="16571" xr:uid="{00000000-0005-0000-0000-000012890000}"/>
    <cellStyle name="Note 2 8 8 2 2 8" xfId="17907" xr:uid="{00000000-0005-0000-0000-000013890000}"/>
    <cellStyle name="Note 2 8 8 2 3" xfId="6623" xr:uid="{00000000-0005-0000-0000-000014890000}"/>
    <cellStyle name="Note 2 8 8 2 3 2" xfId="12600" xr:uid="{00000000-0005-0000-0000-000015890000}"/>
    <cellStyle name="Note 2 8 8 2 3 3" xfId="12601" xr:uid="{00000000-0005-0000-0000-000016890000}"/>
    <cellStyle name="Note 2 8 8 2 3 4" xfId="12602" xr:uid="{00000000-0005-0000-0000-000017890000}"/>
    <cellStyle name="Note 2 8 8 2 3 5" xfId="17090" xr:uid="{00000000-0005-0000-0000-000018890000}"/>
    <cellStyle name="Note 2 8 8 2 3 6" xfId="16253" xr:uid="{00000000-0005-0000-0000-000019890000}"/>
    <cellStyle name="Note 2 8 8 2 4" xfId="6624" xr:uid="{00000000-0005-0000-0000-00001A890000}"/>
    <cellStyle name="Note 2 8 8 2 4 2" xfId="12603" xr:uid="{00000000-0005-0000-0000-00001B890000}"/>
    <cellStyle name="Note 2 8 8 2 4 3" xfId="12604" xr:uid="{00000000-0005-0000-0000-00001C890000}"/>
    <cellStyle name="Note 2 8 8 2 4 4" xfId="12605" xr:uid="{00000000-0005-0000-0000-00001D890000}"/>
    <cellStyle name="Note 2 8 8 2 4 5" xfId="17091" xr:uid="{00000000-0005-0000-0000-00001E890000}"/>
    <cellStyle name="Note 2 8 8 2 4 6" xfId="15375" xr:uid="{00000000-0005-0000-0000-00001F890000}"/>
    <cellStyle name="Note 2 8 8 2 5" xfId="12606" xr:uid="{00000000-0005-0000-0000-000020890000}"/>
    <cellStyle name="Note 2 8 8 2 6" xfId="12607" xr:uid="{00000000-0005-0000-0000-000021890000}"/>
    <cellStyle name="Note 2 8 8 2 7" xfId="12608" xr:uid="{00000000-0005-0000-0000-000022890000}"/>
    <cellStyle name="Note 2 8 8 2 8" xfId="15986" xr:uid="{00000000-0005-0000-0000-000023890000}"/>
    <cellStyle name="Note 2 8 8 2 9" xfId="15696" xr:uid="{00000000-0005-0000-0000-000024890000}"/>
    <cellStyle name="Note 2 8 8 3" xfId="6625" xr:uid="{00000000-0005-0000-0000-000025890000}"/>
    <cellStyle name="Note 2 8 8 3 2" xfId="6626" xr:uid="{00000000-0005-0000-0000-000026890000}"/>
    <cellStyle name="Note 2 8 8 3 2 2" xfId="6627" xr:uid="{00000000-0005-0000-0000-000027890000}"/>
    <cellStyle name="Note 2 8 8 3 2 2 2" xfId="12609" xr:uid="{00000000-0005-0000-0000-000028890000}"/>
    <cellStyle name="Note 2 8 8 3 2 2 3" xfId="12610" xr:uid="{00000000-0005-0000-0000-000029890000}"/>
    <cellStyle name="Note 2 8 8 3 2 2 4" xfId="12611" xr:uid="{00000000-0005-0000-0000-00002A890000}"/>
    <cellStyle name="Note 2 8 8 3 2 2 5" xfId="17092" xr:uid="{00000000-0005-0000-0000-00002B890000}"/>
    <cellStyle name="Note 2 8 8 3 2 2 6" xfId="16250" xr:uid="{00000000-0005-0000-0000-00002C890000}"/>
    <cellStyle name="Note 2 8 8 3 2 3" xfId="6628" xr:uid="{00000000-0005-0000-0000-00002D890000}"/>
    <cellStyle name="Note 2 8 8 3 2 3 2" xfId="12612" xr:uid="{00000000-0005-0000-0000-00002E890000}"/>
    <cellStyle name="Note 2 8 8 3 2 3 3" xfId="12613" xr:uid="{00000000-0005-0000-0000-00002F890000}"/>
    <cellStyle name="Note 2 8 8 3 2 3 4" xfId="12614" xr:uid="{00000000-0005-0000-0000-000030890000}"/>
    <cellStyle name="Note 2 8 8 3 2 3 5" xfId="17093" xr:uid="{00000000-0005-0000-0000-000031890000}"/>
    <cellStyle name="Note 2 8 8 3 2 3 6" xfId="17685" xr:uid="{00000000-0005-0000-0000-000032890000}"/>
    <cellStyle name="Note 2 8 8 3 2 4" xfId="12615" xr:uid="{00000000-0005-0000-0000-000033890000}"/>
    <cellStyle name="Note 2 8 8 3 2 5" xfId="12616" xr:uid="{00000000-0005-0000-0000-000034890000}"/>
    <cellStyle name="Note 2 8 8 3 2 6" xfId="12617" xr:uid="{00000000-0005-0000-0000-000035890000}"/>
    <cellStyle name="Note 2 8 8 3 2 7" xfId="16572" xr:uid="{00000000-0005-0000-0000-000036890000}"/>
    <cellStyle name="Note 2 8 8 3 2 8" xfId="16476" xr:uid="{00000000-0005-0000-0000-000037890000}"/>
    <cellStyle name="Note 2 8 8 3 3" xfId="6629" xr:uid="{00000000-0005-0000-0000-000038890000}"/>
    <cellStyle name="Note 2 8 8 3 3 2" xfId="12618" xr:uid="{00000000-0005-0000-0000-000039890000}"/>
    <cellStyle name="Note 2 8 8 3 3 3" xfId="12619" xr:uid="{00000000-0005-0000-0000-00003A890000}"/>
    <cellStyle name="Note 2 8 8 3 3 4" xfId="12620" xr:uid="{00000000-0005-0000-0000-00003B890000}"/>
    <cellStyle name="Note 2 8 8 3 3 5" xfId="17094" xr:uid="{00000000-0005-0000-0000-00003C890000}"/>
    <cellStyle name="Note 2 8 8 3 3 6" xfId="16252" xr:uid="{00000000-0005-0000-0000-00003D890000}"/>
    <cellStyle name="Note 2 8 8 3 4" xfId="6630" xr:uid="{00000000-0005-0000-0000-00003E890000}"/>
    <cellStyle name="Note 2 8 8 3 4 2" xfId="12621" xr:uid="{00000000-0005-0000-0000-00003F890000}"/>
    <cellStyle name="Note 2 8 8 3 4 3" xfId="12622" xr:uid="{00000000-0005-0000-0000-000040890000}"/>
    <cellStyle name="Note 2 8 8 3 4 4" xfId="12623" xr:uid="{00000000-0005-0000-0000-000041890000}"/>
    <cellStyle name="Note 2 8 8 3 4 5" xfId="17095" xr:uid="{00000000-0005-0000-0000-000042890000}"/>
    <cellStyle name="Note 2 8 8 3 4 6" xfId="15374" xr:uid="{00000000-0005-0000-0000-000043890000}"/>
    <cellStyle name="Note 2 8 8 3 5" xfId="12624" xr:uid="{00000000-0005-0000-0000-000044890000}"/>
    <cellStyle name="Note 2 8 8 3 6" xfId="12625" xr:uid="{00000000-0005-0000-0000-000045890000}"/>
    <cellStyle name="Note 2 8 8 3 7" xfId="12626" xr:uid="{00000000-0005-0000-0000-000046890000}"/>
    <cellStyle name="Note 2 8 8 3 8" xfId="15987" xr:uid="{00000000-0005-0000-0000-000047890000}"/>
    <cellStyle name="Note 2 8 8 3 9" xfId="15695" xr:uid="{00000000-0005-0000-0000-000048890000}"/>
    <cellStyle name="Note 2 8 8 4" xfId="6631" xr:uid="{00000000-0005-0000-0000-000049890000}"/>
    <cellStyle name="Note 2 8 8 4 2" xfId="12627" xr:uid="{00000000-0005-0000-0000-00004A890000}"/>
    <cellStyle name="Note 2 8 8 4 2 2" xfId="12628" xr:uid="{00000000-0005-0000-0000-00004B890000}"/>
    <cellStyle name="Note 2 8 8 4 2 3" xfId="12629" xr:uid="{00000000-0005-0000-0000-00004C890000}"/>
    <cellStyle name="Note 2 8 8 4 2 4" xfId="12630" xr:uid="{00000000-0005-0000-0000-00004D890000}"/>
    <cellStyle name="Note 2 8 8 4 3" xfId="12631" xr:uid="{00000000-0005-0000-0000-00004E890000}"/>
    <cellStyle name="Note 2 8 8 4 4" xfId="12632" xr:uid="{00000000-0005-0000-0000-00004F890000}"/>
    <cellStyle name="Note 2 8 8 4 5" xfId="12633" xr:uid="{00000000-0005-0000-0000-000050890000}"/>
    <cellStyle name="Note 2 8 8 4 6" xfId="17096" xr:uid="{00000000-0005-0000-0000-000051890000}"/>
    <cellStyle name="Note 2 8 8 4 7" xfId="17684" xr:uid="{00000000-0005-0000-0000-000052890000}"/>
    <cellStyle name="Note 2 8 8 5" xfId="6632" xr:uid="{00000000-0005-0000-0000-000053890000}"/>
    <cellStyle name="Note 2 8 8 5 2" xfId="12634" xr:uid="{00000000-0005-0000-0000-000054890000}"/>
    <cellStyle name="Note 2 8 8 5 2 2" xfId="12635" xr:uid="{00000000-0005-0000-0000-000055890000}"/>
    <cellStyle name="Note 2 8 8 5 2 3" xfId="12636" xr:uid="{00000000-0005-0000-0000-000056890000}"/>
    <cellStyle name="Note 2 8 8 5 2 4" xfId="12637" xr:uid="{00000000-0005-0000-0000-000057890000}"/>
    <cellStyle name="Note 2 8 8 5 3" xfId="12638" xr:uid="{00000000-0005-0000-0000-000058890000}"/>
    <cellStyle name="Note 2 8 8 5 4" xfId="12639" xr:uid="{00000000-0005-0000-0000-000059890000}"/>
    <cellStyle name="Note 2 8 8 5 5" xfId="12640" xr:uid="{00000000-0005-0000-0000-00005A890000}"/>
    <cellStyle name="Note 2 8 8 5 6" xfId="17097" xr:uid="{00000000-0005-0000-0000-00005B890000}"/>
    <cellStyle name="Note 2 8 8 5 7" xfId="16251" xr:uid="{00000000-0005-0000-0000-00005C890000}"/>
    <cellStyle name="Note 2 8 8 6" xfId="12641" xr:uid="{00000000-0005-0000-0000-00005D890000}"/>
    <cellStyle name="Note 2 8 8 6 2" xfId="12642" xr:uid="{00000000-0005-0000-0000-00005E890000}"/>
    <cellStyle name="Note 2 8 8 6 3" xfId="12643" xr:uid="{00000000-0005-0000-0000-00005F890000}"/>
    <cellStyle name="Note 2 8 8 6 4" xfId="12644" xr:uid="{00000000-0005-0000-0000-000060890000}"/>
    <cellStyle name="Note 2 8 8 7" xfId="12645" xr:uid="{00000000-0005-0000-0000-000061890000}"/>
    <cellStyle name="Note 2 8 8 8" xfId="12646" xr:uid="{00000000-0005-0000-0000-000062890000}"/>
    <cellStyle name="Note 2 8 8 9" xfId="12647" xr:uid="{00000000-0005-0000-0000-000063890000}"/>
    <cellStyle name="Note 2 8 9" xfId="6633" xr:uid="{00000000-0005-0000-0000-000064890000}"/>
    <cellStyle name="Note 2 8 9 10" xfId="15988" xr:uid="{00000000-0005-0000-0000-000065890000}"/>
    <cellStyle name="Note 2 8 9 11" xfId="15694" xr:uid="{00000000-0005-0000-0000-000066890000}"/>
    <cellStyle name="Note 2 8 9 2" xfId="6634" xr:uid="{00000000-0005-0000-0000-000067890000}"/>
    <cellStyle name="Note 2 8 9 2 2" xfId="6635" xr:uid="{00000000-0005-0000-0000-000068890000}"/>
    <cellStyle name="Note 2 8 9 2 2 2" xfId="6636" xr:uid="{00000000-0005-0000-0000-000069890000}"/>
    <cellStyle name="Note 2 8 9 2 2 2 2" xfId="12648" xr:uid="{00000000-0005-0000-0000-00006A890000}"/>
    <cellStyle name="Note 2 8 9 2 2 2 3" xfId="12649" xr:uid="{00000000-0005-0000-0000-00006B890000}"/>
    <cellStyle name="Note 2 8 9 2 2 2 4" xfId="12650" xr:uid="{00000000-0005-0000-0000-00006C890000}"/>
    <cellStyle name="Note 2 8 9 2 2 2 5" xfId="17098" xr:uid="{00000000-0005-0000-0000-00006D890000}"/>
    <cellStyle name="Note 2 8 9 2 2 2 6" xfId="15373" xr:uid="{00000000-0005-0000-0000-00006E890000}"/>
    <cellStyle name="Note 2 8 9 2 2 3" xfId="6637" xr:uid="{00000000-0005-0000-0000-00006F890000}"/>
    <cellStyle name="Note 2 8 9 2 2 3 2" xfId="12651" xr:uid="{00000000-0005-0000-0000-000070890000}"/>
    <cellStyle name="Note 2 8 9 2 2 3 3" xfId="12652" xr:uid="{00000000-0005-0000-0000-000071890000}"/>
    <cellStyle name="Note 2 8 9 2 2 3 4" xfId="12653" xr:uid="{00000000-0005-0000-0000-000072890000}"/>
    <cellStyle name="Note 2 8 9 2 2 3 5" xfId="17099" xr:uid="{00000000-0005-0000-0000-000073890000}"/>
    <cellStyle name="Note 2 8 9 2 2 3 6" xfId="16154" xr:uid="{00000000-0005-0000-0000-000074890000}"/>
    <cellStyle name="Note 2 8 9 2 2 4" xfId="12654" xr:uid="{00000000-0005-0000-0000-000075890000}"/>
    <cellStyle name="Note 2 8 9 2 2 5" xfId="12655" xr:uid="{00000000-0005-0000-0000-000076890000}"/>
    <cellStyle name="Note 2 8 9 2 2 6" xfId="12656" xr:uid="{00000000-0005-0000-0000-000077890000}"/>
    <cellStyle name="Note 2 8 9 2 2 7" xfId="16573" xr:uid="{00000000-0005-0000-0000-000078890000}"/>
    <cellStyle name="Note 2 8 9 2 2 8" xfId="15605" xr:uid="{00000000-0005-0000-0000-000079890000}"/>
    <cellStyle name="Note 2 8 9 2 3" xfId="6638" xr:uid="{00000000-0005-0000-0000-00007A890000}"/>
    <cellStyle name="Note 2 8 9 2 3 2" xfId="12657" xr:uid="{00000000-0005-0000-0000-00007B890000}"/>
    <cellStyle name="Note 2 8 9 2 3 3" xfId="12658" xr:uid="{00000000-0005-0000-0000-00007C890000}"/>
    <cellStyle name="Note 2 8 9 2 3 4" xfId="12659" xr:uid="{00000000-0005-0000-0000-00007D890000}"/>
    <cellStyle name="Note 2 8 9 2 3 5" xfId="17100" xr:uid="{00000000-0005-0000-0000-00007E890000}"/>
    <cellStyle name="Note 2 8 9 2 3 6" xfId="17683" xr:uid="{00000000-0005-0000-0000-00007F890000}"/>
    <cellStyle name="Note 2 8 9 2 4" xfId="6639" xr:uid="{00000000-0005-0000-0000-000080890000}"/>
    <cellStyle name="Note 2 8 9 2 4 2" xfId="12660" xr:uid="{00000000-0005-0000-0000-000081890000}"/>
    <cellStyle name="Note 2 8 9 2 4 3" xfId="12661" xr:uid="{00000000-0005-0000-0000-000082890000}"/>
    <cellStyle name="Note 2 8 9 2 4 4" xfId="12662" xr:uid="{00000000-0005-0000-0000-000083890000}"/>
    <cellStyle name="Note 2 8 9 2 4 5" xfId="17101" xr:uid="{00000000-0005-0000-0000-000084890000}"/>
    <cellStyle name="Note 2 8 9 2 4 6" xfId="16249" xr:uid="{00000000-0005-0000-0000-000085890000}"/>
    <cellStyle name="Note 2 8 9 2 5" xfId="12663" xr:uid="{00000000-0005-0000-0000-000086890000}"/>
    <cellStyle name="Note 2 8 9 2 6" xfId="12664" xr:uid="{00000000-0005-0000-0000-000087890000}"/>
    <cellStyle name="Note 2 8 9 2 7" xfId="12665" xr:uid="{00000000-0005-0000-0000-000088890000}"/>
    <cellStyle name="Note 2 8 9 2 8" xfId="15989" xr:uid="{00000000-0005-0000-0000-000089890000}"/>
    <cellStyle name="Note 2 8 9 2 9" xfId="15693" xr:uid="{00000000-0005-0000-0000-00008A890000}"/>
    <cellStyle name="Note 2 8 9 3" xfId="6640" xr:uid="{00000000-0005-0000-0000-00008B890000}"/>
    <cellStyle name="Note 2 8 9 3 2" xfId="6641" xr:uid="{00000000-0005-0000-0000-00008C890000}"/>
    <cellStyle name="Note 2 8 9 3 2 2" xfId="6642" xr:uid="{00000000-0005-0000-0000-00008D890000}"/>
    <cellStyle name="Note 2 8 9 3 2 2 2" xfId="12666" xr:uid="{00000000-0005-0000-0000-00008E890000}"/>
    <cellStyle name="Note 2 8 9 3 2 2 3" xfId="12667" xr:uid="{00000000-0005-0000-0000-00008F890000}"/>
    <cellStyle name="Note 2 8 9 3 2 2 4" xfId="12668" xr:uid="{00000000-0005-0000-0000-000090890000}"/>
    <cellStyle name="Note 2 8 9 3 2 2 5" xfId="17102" xr:uid="{00000000-0005-0000-0000-000091890000}"/>
    <cellStyle name="Note 2 8 9 3 2 2 6" xfId="15371" xr:uid="{00000000-0005-0000-0000-000092890000}"/>
    <cellStyle name="Note 2 8 9 3 2 3" xfId="6643" xr:uid="{00000000-0005-0000-0000-000093890000}"/>
    <cellStyle name="Note 2 8 9 3 2 3 2" xfId="12669" xr:uid="{00000000-0005-0000-0000-000094890000}"/>
    <cellStyle name="Note 2 8 9 3 2 3 3" xfId="12670" xr:uid="{00000000-0005-0000-0000-000095890000}"/>
    <cellStyle name="Note 2 8 9 3 2 3 4" xfId="12671" xr:uid="{00000000-0005-0000-0000-000096890000}"/>
    <cellStyle name="Note 2 8 9 3 2 3 5" xfId="17103" xr:uid="{00000000-0005-0000-0000-000097890000}"/>
    <cellStyle name="Note 2 8 9 3 2 3 6" xfId="17682" xr:uid="{00000000-0005-0000-0000-000098890000}"/>
    <cellStyle name="Note 2 8 9 3 2 4" xfId="12672" xr:uid="{00000000-0005-0000-0000-000099890000}"/>
    <cellStyle name="Note 2 8 9 3 2 5" xfId="12673" xr:uid="{00000000-0005-0000-0000-00009A890000}"/>
    <cellStyle name="Note 2 8 9 3 2 6" xfId="12674" xr:uid="{00000000-0005-0000-0000-00009B890000}"/>
    <cellStyle name="Note 2 8 9 3 2 7" xfId="16574" xr:uid="{00000000-0005-0000-0000-00009C890000}"/>
    <cellStyle name="Note 2 8 9 3 2 8" xfId="17906" xr:uid="{00000000-0005-0000-0000-00009D890000}"/>
    <cellStyle name="Note 2 8 9 3 3" xfId="6644" xr:uid="{00000000-0005-0000-0000-00009E890000}"/>
    <cellStyle name="Note 2 8 9 3 3 2" xfId="12675" xr:uid="{00000000-0005-0000-0000-00009F890000}"/>
    <cellStyle name="Note 2 8 9 3 3 3" xfId="12676" xr:uid="{00000000-0005-0000-0000-0000A0890000}"/>
    <cellStyle name="Note 2 8 9 3 3 4" xfId="12677" xr:uid="{00000000-0005-0000-0000-0000A1890000}"/>
    <cellStyle name="Note 2 8 9 3 3 5" xfId="17104" xr:uid="{00000000-0005-0000-0000-0000A2890000}"/>
    <cellStyle name="Note 2 8 9 3 3 6" xfId="16248" xr:uid="{00000000-0005-0000-0000-0000A3890000}"/>
    <cellStyle name="Note 2 8 9 3 4" xfId="6645" xr:uid="{00000000-0005-0000-0000-0000A4890000}"/>
    <cellStyle name="Note 2 8 9 3 4 2" xfId="12678" xr:uid="{00000000-0005-0000-0000-0000A5890000}"/>
    <cellStyle name="Note 2 8 9 3 4 3" xfId="12679" xr:uid="{00000000-0005-0000-0000-0000A6890000}"/>
    <cellStyle name="Note 2 8 9 3 4 4" xfId="12680" xr:uid="{00000000-0005-0000-0000-0000A7890000}"/>
    <cellStyle name="Note 2 8 9 3 4 5" xfId="17105" xr:uid="{00000000-0005-0000-0000-0000A8890000}"/>
    <cellStyle name="Note 2 8 9 3 4 6" xfId="15370" xr:uid="{00000000-0005-0000-0000-0000A9890000}"/>
    <cellStyle name="Note 2 8 9 3 5" xfId="12681" xr:uid="{00000000-0005-0000-0000-0000AA890000}"/>
    <cellStyle name="Note 2 8 9 3 6" xfId="12682" xr:uid="{00000000-0005-0000-0000-0000AB890000}"/>
    <cellStyle name="Note 2 8 9 3 7" xfId="12683" xr:uid="{00000000-0005-0000-0000-0000AC890000}"/>
    <cellStyle name="Note 2 8 9 3 8" xfId="15990" xr:uid="{00000000-0005-0000-0000-0000AD890000}"/>
    <cellStyle name="Note 2 8 9 3 9" xfId="15692" xr:uid="{00000000-0005-0000-0000-0000AE890000}"/>
    <cellStyle name="Note 2 8 9 4" xfId="6646" xr:uid="{00000000-0005-0000-0000-0000AF890000}"/>
    <cellStyle name="Note 2 8 9 4 2" xfId="12684" xr:uid="{00000000-0005-0000-0000-0000B0890000}"/>
    <cellStyle name="Note 2 8 9 4 2 2" xfId="12685" xr:uid="{00000000-0005-0000-0000-0000B1890000}"/>
    <cellStyle name="Note 2 8 9 4 2 3" xfId="12686" xr:uid="{00000000-0005-0000-0000-0000B2890000}"/>
    <cellStyle name="Note 2 8 9 4 2 4" xfId="12687" xr:uid="{00000000-0005-0000-0000-0000B3890000}"/>
    <cellStyle name="Note 2 8 9 4 3" xfId="12688" xr:uid="{00000000-0005-0000-0000-0000B4890000}"/>
    <cellStyle name="Note 2 8 9 4 4" xfId="12689" xr:uid="{00000000-0005-0000-0000-0000B5890000}"/>
    <cellStyle name="Note 2 8 9 4 5" xfId="12690" xr:uid="{00000000-0005-0000-0000-0000B6890000}"/>
    <cellStyle name="Note 2 8 9 4 6" xfId="17106" xr:uid="{00000000-0005-0000-0000-0000B7890000}"/>
    <cellStyle name="Note 2 8 9 4 7" xfId="16158" xr:uid="{00000000-0005-0000-0000-0000B8890000}"/>
    <cellStyle name="Note 2 8 9 5" xfId="6647" xr:uid="{00000000-0005-0000-0000-0000B9890000}"/>
    <cellStyle name="Note 2 8 9 5 2" xfId="12691" xr:uid="{00000000-0005-0000-0000-0000BA890000}"/>
    <cellStyle name="Note 2 8 9 5 2 2" xfId="12692" xr:uid="{00000000-0005-0000-0000-0000BB890000}"/>
    <cellStyle name="Note 2 8 9 5 2 3" xfId="12693" xr:uid="{00000000-0005-0000-0000-0000BC890000}"/>
    <cellStyle name="Note 2 8 9 5 2 4" xfId="12694" xr:uid="{00000000-0005-0000-0000-0000BD890000}"/>
    <cellStyle name="Note 2 8 9 5 3" xfId="12695" xr:uid="{00000000-0005-0000-0000-0000BE890000}"/>
    <cellStyle name="Note 2 8 9 5 4" xfId="12696" xr:uid="{00000000-0005-0000-0000-0000BF890000}"/>
    <cellStyle name="Note 2 8 9 5 5" xfId="12697" xr:uid="{00000000-0005-0000-0000-0000C0890000}"/>
    <cellStyle name="Note 2 8 9 5 6" xfId="17107" xr:uid="{00000000-0005-0000-0000-0000C1890000}"/>
    <cellStyle name="Note 2 8 9 5 7" xfId="17681" xr:uid="{00000000-0005-0000-0000-0000C2890000}"/>
    <cellStyle name="Note 2 8 9 6" xfId="12698" xr:uid="{00000000-0005-0000-0000-0000C3890000}"/>
    <cellStyle name="Note 2 8 9 6 2" xfId="12699" xr:uid="{00000000-0005-0000-0000-0000C4890000}"/>
    <cellStyle name="Note 2 8 9 6 3" xfId="12700" xr:uid="{00000000-0005-0000-0000-0000C5890000}"/>
    <cellStyle name="Note 2 8 9 6 4" xfId="12701" xr:uid="{00000000-0005-0000-0000-0000C6890000}"/>
    <cellStyle name="Note 2 8 9 7" xfId="12702" xr:uid="{00000000-0005-0000-0000-0000C7890000}"/>
    <cellStyle name="Note 2 8 9 8" xfId="12703" xr:uid="{00000000-0005-0000-0000-0000C8890000}"/>
    <cellStyle name="Note 2 8 9 9" xfId="12704" xr:uid="{00000000-0005-0000-0000-0000C9890000}"/>
    <cellStyle name="Note 2 9" xfId="6648" xr:uid="{00000000-0005-0000-0000-0000CA890000}"/>
    <cellStyle name="Note 2 9 10" xfId="36163" xr:uid="{00000000-0005-0000-0000-0000CB890000}"/>
    <cellStyle name="Note 2 9 2" xfId="6649" xr:uid="{00000000-0005-0000-0000-0000CC890000}"/>
    <cellStyle name="Note 2 9 2 2" xfId="6650" xr:uid="{00000000-0005-0000-0000-0000CD890000}"/>
    <cellStyle name="Note 2 9 2 2 2" xfId="12705" xr:uid="{00000000-0005-0000-0000-0000CE890000}"/>
    <cellStyle name="Note 2 9 2 2 3" xfId="12706" xr:uid="{00000000-0005-0000-0000-0000CF890000}"/>
    <cellStyle name="Note 2 9 2 2 4" xfId="12707" xr:uid="{00000000-0005-0000-0000-0000D0890000}"/>
    <cellStyle name="Note 2 9 2 2 5" xfId="17108" xr:uid="{00000000-0005-0000-0000-0000D1890000}"/>
    <cellStyle name="Note 2 9 2 2 6" xfId="16247" xr:uid="{00000000-0005-0000-0000-0000D2890000}"/>
    <cellStyle name="Note 2 9 2 3" xfId="6651" xr:uid="{00000000-0005-0000-0000-0000D3890000}"/>
    <cellStyle name="Note 2 9 2 3 2" xfId="12708" xr:uid="{00000000-0005-0000-0000-0000D4890000}"/>
    <cellStyle name="Note 2 9 2 3 3" xfId="12709" xr:uid="{00000000-0005-0000-0000-0000D5890000}"/>
    <cellStyle name="Note 2 9 2 3 4" xfId="12710" xr:uid="{00000000-0005-0000-0000-0000D6890000}"/>
    <cellStyle name="Note 2 9 2 3 5" xfId="17109" xr:uid="{00000000-0005-0000-0000-0000D7890000}"/>
    <cellStyle name="Note 2 9 2 3 6" xfId="15369" xr:uid="{00000000-0005-0000-0000-0000D8890000}"/>
    <cellStyle name="Note 2 9 2 4" xfId="12711" xr:uid="{00000000-0005-0000-0000-0000D9890000}"/>
    <cellStyle name="Note 2 9 2 5" xfId="12712" xr:uid="{00000000-0005-0000-0000-0000DA890000}"/>
    <cellStyle name="Note 2 9 2 6" xfId="12713" xr:uid="{00000000-0005-0000-0000-0000DB890000}"/>
    <cellStyle name="Note 2 9 2 7" xfId="16575" xr:uid="{00000000-0005-0000-0000-0000DC890000}"/>
    <cellStyle name="Note 2 9 2 8" xfId="16475" xr:uid="{00000000-0005-0000-0000-0000DD890000}"/>
    <cellStyle name="Note 2 9 2 9" xfId="42720" xr:uid="{00000000-0005-0000-0000-0000DE890000}"/>
    <cellStyle name="Note 2 9 3" xfId="6652" xr:uid="{00000000-0005-0000-0000-0000DF890000}"/>
    <cellStyle name="Note 2 9 3 2" xfId="12714" xr:uid="{00000000-0005-0000-0000-0000E0890000}"/>
    <cellStyle name="Note 2 9 3 3" xfId="12715" xr:uid="{00000000-0005-0000-0000-0000E1890000}"/>
    <cellStyle name="Note 2 9 3 4" xfId="12716" xr:uid="{00000000-0005-0000-0000-0000E2890000}"/>
    <cellStyle name="Note 2 9 3 5" xfId="17110" xr:uid="{00000000-0005-0000-0000-0000E3890000}"/>
    <cellStyle name="Note 2 9 3 6" xfId="17680" xr:uid="{00000000-0005-0000-0000-0000E4890000}"/>
    <cellStyle name="Note 2 9 4" xfId="6653" xr:uid="{00000000-0005-0000-0000-0000E5890000}"/>
    <cellStyle name="Note 2 9 4 2" xfId="12717" xr:uid="{00000000-0005-0000-0000-0000E6890000}"/>
    <cellStyle name="Note 2 9 4 3" xfId="12718" xr:uid="{00000000-0005-0000-0000-0000E7890000}"/>
    <cellStyle name="Note 2 9 4 4" xfId="12719" xr:uid="{00000000-0005-0000-0000-0000E8890000}"/>
    <cellStyle name="Note 2 9 4 5" xfId="17111" xr:uid="{00000000-0005-0000-0000-0000E9890000}"/>
    <cellStyle name="Note 2 9 4 6" xfId="16246" xr:uid="{00000000-0005-0000-0000-0000EA890000}"/>
    <cellStyle name="Note 2 9 5" xfId="12720" xr:uid="{00000000-0005-0000-0000-0000EB890000}"/>
    <cellStyle name="Note 2 9 6" xfId="12721" xr:uid="{00000000-0005-0000-0000-0000EC890000}"/>
    <cellStyle name="Note 2 9 7" xfId="12722" xr:uid="{00000000-0005-0000-0000-0000ED890000}"/>
    <cellStyle name="Note 2 9 8" xfId="15991" xr:uid="{00000000-0005-0000-0000-0000EE890000}"/>
    <cellStyle name="Note 2 9 9" xfId="15691" xr:uid="{00000000-0005-0000-0000-0000EF890000}"/>
    <cellStyle name="Note 20" xfId="6654" xr:uid="{00000000-0005-0000-0000-0000F0890000}"/>
    <cellStyle name="Note 20 2" xfId="6655" xr:uid="{00000000-0005-0000-0000-0000F1890000}"/>
    <cellStyle name="Note 20 2 2" xfId="12723" xr:uid="{00000000-0005-0000-0000-0000F2890000}"/>
    <cellStyle name="Note 20 2 2 2" xfId="12724" xr:uid="{00000000-0005-0000-0000-0000F3890000}"/>
    <cellStyle name="Note 20 2 2 3" xfId="12725" xr:uid="{00000000-0005-0000-0000-0000F4890000}"/>
    <cellStyle name="Note 20 2 2 4" xfId="12726" xr:uid="{00000000-0005-0000-0000-0000F5890000}"/>
    <cellStyle name="Note 20 2 3" xfId="12727" xr:uid="{00000000-0005-0000-0000-0000F6890000}"/>
    <cellStyle name="Note 20 2 4" xfId="12728" xr:uid="{00000000-0005-0000-0000-0000F7890000}"/>
    <cellStyle name="Note 20 2 5" xfId="12729" xr:uid="{00000000-0005-0000-0000-0000F8890000}"/>
    <cellStyle name="Note 20 2 6" xfId="17112" xr:uid="{00000000-0005-0000-0000-0000F9890000}"/>
    <cellStyle name="Note 20 2 7" xfId="15368" xr:uid="{00000000-0005-0000-0000-0000FA890000}"/>
    <cellStyle name="Note 20 3" xfId="6656" xr:uid="{00000000-0005-0000-0000-0000FB890000}"/>
    <cellStyle name="Note 20 3 2" xfId="12730" xr:uid="{00000000-0005-0000-0000-0000FC890000}"/>
    <cellStyle name="Note 20 3 2 2" xfId="12731" xr:uid="{00000000-0005-0000-0000-0000FD890000}"/>
    <cellStyle name="Note 20 3 2 3" xfId="12732" xr:uid="{00000000-0005-0000-0000-0000FE890000}"/>
    <cellStyle name="Note 20 3 2 4" xfId="12733" xr:uid="{00000000-0005-0000-0000-0000FF890000}"/>
    <cellStyle name="Note 20 3 3" xfId="12734" xr:uid="{00000000-0005-0000-0000-0000008A0000}"/>
    <cellStyle name="Note 20 3 4" xfId="12735" xr:uid="{00000000-0005-0000-0000-0000018A0000}"/>
    <cellStyle name="Note 20 3 5" xfId="12736" xr:uid="{00000000-0005-0000-0000-0000028A0000}"/>
    <cellStyle name="Note 20 3 6" xfId="17113" xr:uid="{00000000-0005-0000-0000-0000038A0000}"/>
    <cellStyle name="Note 20 3 7" xfId="16155" xr:uid="{00000000-0005-0000-0000-0000048A0000}"/>
    <cellStyle name="Note 20 4" xfId="12737" xr:uid="{00000000-0005-0000-0000-0000058A0000}"/>
    <cellStyle name="Note 20 4 2" xfId="12738" xr:uid="{00000000-0005-0000-0000-0000068A0000}"/>
    <cellStyle name="Note 20 4 3" xfId="12739" xr:uid="{00000000-0005-0000-0000-0000078A0000}"/>
    <cellStyle name="Note 20 4 4" xfId="12740" xr:uid="{00000000-0005-0000-0000-0000088A0000}"/>
    <cellStyle name="Note 20 5" xfId="12741" xr:uid="{00000000-0005-0000-0000-0000098A0000}"/>
    <cellStyle name="Note 20 6" xfId="12742" xr:uid="{00000000-0005-0000-0000-00000A8A0000}"/>
    <cellStyle name="Note 20 7" xfId="12743" xr:uid="{00000000-0005-0000-0000-00000B8A0000}"/>
    <cellStyle name="Note 20 8" xfId="15992" xr:uid="{00000000-0005-0000-0000-00000C8A0000}"/>
    <cellStyle name="Note 20 9" xfId="15690" xr:uid="{00000000-0005-0000-0000-00000D8A0000}"/>
    <cellStyle name="Note 21" xfId="6657" xr:uid="{00000000-0005-0000-0000-00000E8A0000}"/>
    <cellStyle name="Note 21 2" xfId="6658" xr:uid="{00000000-0005-0000-0000-00000F8A0000}"/>
    <cellStyle name="Note 21 2 2" xfId="12744" xr:uid="{00000000-0005-0000-0000-0000108A0000}"/>
    <cellStyle name="Note 21 2 2 2" xfId="12745" xr:uid="{00000000-0005-0000-0000-0000118A0000}"/>
    <cellStyle name="Note 21 2 2 3" xfId="12746" xr:uid="{00000000-0005-0000-0000-0000128A0000}"/>
    <cellStyle name="Note 21 2 2 4" xfId="12747" xr:uid="{00000000-0005-0000-0000-0000138A0000}"/>
    <cellStyle name="Note 21 2 3" xfId="12748" xr:uid="{00000000-0005-0000-0000-0000148A0000}"/>
    <cellStyle name="Note 21 2 4" xfId="12749" xr:uid="{00000000-0005-0000-0000-0000158A0000}"/>
    <cellStyle name="Note 21 2 5" xfId="12750" xr:uid="{00000000-0005-0000-0000-0000168A0000}"/>
    <cellStyle name="Note 21 2 6" xfId="17114" xr:uid="{00000000-0005-0000-0000-0000178A0000}"/>
    <cellStyle name="Note 21 2 7" xfId="17679" xr:uid="{00000000-0005-0000-0000-0000188A0000}"/>
    <cellStyle name="Note 21 3" xfId="6659" xr:uid="{00000000-0005-0000-0000-0000198A0000}"/>
    <cellStyle name="Note 21 3 2" xfId="12751" xr:uid="{00000000-0005-0000-0000-00001A8A0000}"/>
    <cellStyle name="Note 21 3 2 2" xfId="12752" xr:uid="{00000000-0005-0000-0000-00001B8A0000}"/>
    <cellStyle name="Note 21 3 2 3" xfId="12753" xr:uid="{00000000-0005-0000-0000-00001C8A0000}"/>
    <cellStyle name="Note 21 3 2 4" xfId="12754" xr:uid="{00000000-0005-0000-0000-00001D8A0000}"/>
    <cellStyle name="Note 21 3 3" xfId="12755" xr:uid="{00000000-0005-0000-0000-00001E8A0000}"/>
    <cellStyle name="Note 21 3 4" xfId="12756" xr:uid="{00000000-0005-0000-0000-00001F8A0000}"/>
    <cellStyle name="Note 21 3 5" xfId="12757" xr:uid="{00000000-0005-0000-0000-0000208A0000}"/>
    <cellStyle name="Note 21 3 6" xfId="17115" xr:uid="{00000000-0005-0000-0000-0000218A0000}"/>
    <cellStyle name="Note 21 3 7" xfId="16245" xr:uid="{00000000-0005-0000-0000-0000228A0000}"/>
    <cellStyle name="Note 21 4" xfId="12758" xr:uid="{00000000-0005-0000-0000-0000238A0000}"/>
    <cellStyle name="Note 21 4 2" xfId="12759" xr:uid="{00000000-0005-0000-0000-0000248A0000}"/>
    <cellStyle name="Note 21 4 3" xfId="12760" xr:uid="{00000000-0005-0000-0000-0000258A0000}"/>
    <cellStyle name="Note 21 4 4" xfId="12761" xr:uid="{00000000-0005-0000-0000-0000268A0000}"/>
    <cellStyle name="Note 21 5" xfId="12762" xr:uid="{00000000-0005-0000-0000-0000278A0000}"/>
    <cellStyle name="Note 21 6" xfId="12763" xr:uid="{00000000-0005-0000-0000-0000288A0000}"/>
    <cellStyle name="Note 21 7" xfId="12764" xr:uid="{00000000-0005-0000-0000-0000298A0000}"/>
    <cellStyle name="Note 21 8" xfId="15993" xr:uid="{00000000-0005-0000-0000-00002A8A0000}"/>
    <cellStyle name="Note 21 9" xfId="15689" xr:uid="{00000000-0005-0000-0000-00002B8A0000}"/>
    <cellStyle name="Note 22" xfId="6660" xr:uid="{00000000-0005-0000-0000-00002C8A0000}"/>
    <cellStyle name="Note 22 2" xfId="6661" xr:uid="{00000000-0005-0000-0000-00002D8A0000}"/>
    <cellStyle name="Note 22 2 2" xfId="12765" xr:uid="{00000000-0005-0000-0000-00002E8A0000}"/>
    <cellStyle name="Note 22 2 2 2" xfId="12766" xr:uid="{00000000-0005-0000-0000-00002F8A0000}"/>
    <cellStyle name="Note 22 2 2 3" xfId="12767" xr:uid="{00000000-0005-0000-0000-0000308A0000}"/>
    <cellStyle name="Note 22 2 2 4" xfId="12768" xr:uid="{00000000-0005-0000-0000-0000318A0000}"/>
    <cellStyle name="Note 22 2 3" xfId="12769" xr:uid="{00000000-0005-0000-0000-0000328A0000}"/>
    <cellStyle name="Note 22 2 4" xfId="12770" xr:uid="{00000000-0005-0000-0000-0000338A0000}"/>
    <cellStyle name="Note 22 2 5" xfId="12771" xr:uid="{00000000-0005-0000-0000-0000348A0000}"/>
    <cellStyle name="Note 22 2 6" xfId="17116" xr:uid="{00000000-0005-0000-0000-0000358A0000}"/>
    <cellStyle name="Note 22 2 7" xfId="15367" xr:uid="{00000000-0005-0000-0000-0000368A0000}"/>
    <cellStyle name="Note 22 3" xfId="6662" xr:uid="{00000000-0005-0000-0000-0000378A0000}"/>
    <cellStyle name="Note 22 3 2" xfId="12772" xr:uid="{00000000-0005-0000-0000-0000388A0000}"/>
    <cellStyle name="Note 22 3 2 2" xfId="12773" xr:uid="{00000000-0005-0000-0000-0000398A0000}"/>
    <cellStyle name="Note 22 3 2 3" xfId="12774" xr:uid="{00000000-0005-0000-0000-00003A8A0000}"/>
    <cellStyle name="Note 22 3 2 4" xfId="12775" xr:uid="{00000000-0005-0000-0000-00003B8A0000}"/>
    <cellStyle name="Note 22 3 3" xfId="12776" xr:uid="{00000000-0005-0000-0000-00003C8A0000}"/>
    <cellStyle name="Note 22 3 4" xfId="12777" xr:uid="{00000000-0005-0000-0000-00003D8A0000}"/>
    <cellStyle name="Note 22 3 5" xfId="12778" xr:uid="{00000000-0005-0000-0000-00003E8A0000}"/>
    <cellStyle name="Note 22 3 6" xfId="17117" xr:uid="{00000000-0005-0000-0000-00003F8A0000}"/>
    <cellStyle name="Note 22 3 7" xfId="17678" xr:uid="{00000000-0005-0000-0000-0000408A0000}"/>
    <cellStyle name="Note 22 4" xfId="12779" xr:uid="{00000000-0005-0000-0000-0000418A0000}"/>
    <cellStyle name="Note 22 4 2" xfId="12780" xr:uid="{00000000-0005-0000-0000-0000428A0000}"/>
    <cellStyle name="Note 22 4 3" xfId="12781" xr:uid="{00000000-0005-0000-0000-0000438A0000}"/>
    <cellStyle name="Note 22 4 4" xfId="12782" xr:uid="{00000000-0005-0000-0000-0000448A0000}"/>
    <cellStyle name="Note 22 5" xfId="12783" xr:uid="{00000000-0005-0000-0000-0000458A0000}"/>
    <cellStyle name="Note 22 6" xfId="12784" xr:uid="{00000000-0005-0000-0000-0000468A0000}"/>
    <cellStyle name="Note 22 7" xfId="12785" xr:uid="{00000000-0005-0000-0000-0000478A0000}"/>
    <cellStyle name="Note 22 8" xfId="15994" xr:uid="{00000000-0005-0000-0000-0000488A0000}"/>
    <cellStyle name="Note 22 9" xfId="16590" xr:uid="{00000000-0005-0000-0000-0000498A0000}"/>
    <cellStyle name="Note 23" xfId="6663" xr:uid="{00000000-0005-0000-0000-00004A8A0000}"/>
    <cellStyle name="Note 23 2" xfId="6664" xr:uid="{00000000-0005-0000-0000-00004B8A0000}"/>
    <cellStyle name="Note 23 2 2" xfId="12786" xr:uid="{00000000-0005-0000-0000-00004C8A0000}"/>
    <cellStyle name="Note 23 2 2 2" xfId="12787" xr:uid="{00000000-0005-0000-0000-00004D8A0000}"/>
    <cellStyle name="Note 23 2 2 3" xfId="12788" xr:uid="{00000000-0005-0000-0000-00004E8A0000}"/>
    <cellStyle name="Note 23 2 2 4" xfId="12789" xr:uid="{00000000-0005-0000-0000-00004F8A0000}"/>
    <cellStyle name="Note 23 2 3" xfId="12790" xr:uid="{00000000-0005-0000-0000-0000508A0000}"/>
    <cellStyle name="Note 23 2 4" xfId="12791" xr:uid="{00000000-0005-0000-0000-0000518A0000}"/>
    <cellStyle name="Note 23 2 5" xfId="12792" xr:uid="{00000000-0005-0000-0000-0000528A0000}"/>
    <cellStyle name="Note 23 2 6" xfId="17118" xr:uid="{00000000-0005-0000-0000-0000538A0000}"/>
    <cellStyle name="Note 23 2 7" xfId="16244" xr:uid="{00000000-0005-0000-0000-0000548A0000}"/>
    <cellStyle name="Note 23 3" xfId="6665" xr:uid="{00000000-0005-0000-0000-0000558A0000}"/>
    <cellStyle name="Note 23 3 2" xfId="12793" xr:uid="{00000000-0005-0000-0000-0000568A0000}"/>
    <cellStyle name="Note 23 3 2 2" xfId="12794" xr:uid="{00000000-0005-0000-0000-0000578A0000}"/>
    <cellStyle name="Note 23 3 2 3" xfId="12795" xr:uid="{00000000-0005-0000-0000-0000588A0000}"/>
    <cellStyle name="Note 23 3 2 4" xfId="12796" xr:uid="{00000000-0005-0000-0000-0000598A0000}"/>
    <cellStyle name="Note 23 3 3" xfId="12797" xr:uid="{00000000-0005-0000-0000-00005A8A0000}"/>
    <cellStyle name="Note 23 3 4" xfId="12798" xr:uid="{00000000-0005-0000-0000-00005B8A0000}"/>
    <cellStyle name="Note 23 3 5" xfId="12799" xr:uid="{00000000-0005-0000-0000-00005C8A0000}"/>
    <cellStyle name="Note 23 3 6" xfId="17119" xr:uid="{00000000-0005-0000-0000-00005D8A0000}"/>
    <cellStyle name="Note 23 3 7" xfId="15366" xr:uid="{00000000-0005-0000-0000-00005E8A0000}"/>
    <cellStyle name="Note 23 4" xfId="12800" xr:uid="{00000000-0005-0000-0000-00005F8A0000}"/>
    <cellStyle name="Note 23 4 2" xfId="12801" xr:uid="{00000000-0005-0000-0000-0000608A0000}"/>
    <cellStyle name="Note 23 4 3" xfId="12802" xr:uid="{00000000-0005-0000-0000-0000618A0000}"/>
    <cellStyle name="Note 23 4 4" xfId="12803" xr:uid="{00000000-0005-0000-0000-0000628A0000}"/>
    <cellStyle name="Note 23 5" xfId="12804" xr:uid="{00000000-0005-0000-0000-0000638A0000}"/>
    <cellStyle name="Note 23 6" xfId="12805" xr:uid="{00000000-0005-0000-0000-0000648A0000}"/>
    <cellStyle name="Note 23 7" xfId="12806" xr:uid="{00000000-0005-0000-0000-0000658A0000}"/>
    <cellStyle name="Note 23 8" xfId="15995" xr:uid="{00000000-0005-0000-0000-0000668A0000}"/>
    <cellStyle name="Note 23 9" xfId="15688" xr:uid="{00000000-0005-0000-0000-0000678A0000}"/>
    <cellStyle name="Note 24" xfId="6666" xr:uid="{00000000-0005-0000-0000-0000688A0000}"/>
    <cellStyle name="Note 24 2" xfId="6667" xr:uid="{00000000-0005-0000-0000-0000698A0000}"/>
    <cellStyle name="Note 24 2 2" xfId="12807" xr:uid="{00000000-0005-0000-0000-00006A8A0000}"/>
    <cellStyle name="Note 24 2 2 2" xfId="12808" xr:uid="{00000000-0005-0000-0000-00006B8A0000}"/>
    <cellStyle name="Note 24 2 2 3" xfId="12809" xr:uid="{00000000-0005-0000-0000-00006C8A0000}"/>
    <cellStyle name="Note 24 2 2 4" xfId="12810" xr:uid="{00000000-0005-0000-0000-00006D8A0000}"/>
    <cellStyle name="Note 24 2 3" xfId="12811" xr:uid="{00000000-0005-0000-0000-00006E8A0000}"/>
    <cellStyle name="Note 24 2 4" xfId="12812" xr:uid="{00000000-0005-0000-0000-00006F8A0000}"/>
    <cellStyle name="Note 24 2 5" xfId="12813" xr:uid="{00000000-0005-0000-0000-0000708A0000}"/>
    <cellStyle name="Note 24 2 6" xfId="17120" xr:uid="{00000000-0005-0000-0000-0000718A0000}"/>
    <cellStyle name="Note 24 2 7" xfId="16151" xr:uid="{00000000-0005-0000-0000-0000728A0000}"/>
    <cellStyle name="Note 24 3" xfId="6668" xr:uid="{00000000-0005-0000-0000-0000738A0000}"/>
    <cellStyle name="Note 24 3 2" xfId="12814" xr:uid="{00000000-0005-0000-0000-0000748A0000}"/>
    <cellStyle name="Note 24 3 2 2" xfId="12815" xr:uid="{00000000-0005-0000-0000-0000758A0000}"/>
    <cellStyle name="Note 24 3 2 3" xfId="12816" xr:uid="{00000000-0005-0000-0000-0000768A0000}"/>
    <cellStyle name="Note 24 3 2 4" xfId="12817" xr:uid="{00000000-0005-0000-0000-0000778A0000}"/>
    <cellStyle name="Note 24 3 3" xfId="12818" xr:uid="{00000000-0005-0000-0000-0000788A0000}"/>
    <cellStyle name="Note 24 3 4" xfId="12819" xr:uid="{00000000-0005-0000-0000-0000798A0000}"/>
    <cellStyle name="Note 24 3 5" xfId="12820" xr:uid="{00000000-0005-0000-0000-00007A8A0000}"/>
    <cellStyle name="Note 24 3 6" xfId="17121" xr:uid="{00000000-0005-0000-0000-00007B8A0000}"/>
    <cellStyle name="Note 24 3 7" xfId="17677" xr:uid="{00000000-0005-0000-0000-00007C8A0000}"/>
    <cellStyle name="Note 24 4" xfId="12821" xr:uid="{00000000-0005-0000-0000-00007D8A0000}"/>
    <cellStyle name="Note 24 4 2" xfId="12822" xr:uid="{00000000-0005-0000-0000-00007E8A0000}"/>
    <cellStyle name="Note 24 4 3" xfId="12823" xr:uid="{00000000-0005-0000-0000-00007F8A0000}"/>
    <cellStyle name="Note 24 4 4" xfId="12824" xr:uid="{00000000-0005-0000-0000-0000808A0000}"/>
    <cellStyle name="Note 24 5" xfId="12825" xr:uid="{00000000-0005-0000-0000-0000818A0000}"/>
    <cellStyle name="Note 24 6" xfId="12826" xr:uid="{00000000-0005-0000-0000-0000828A0000}"/>
    <cellStyle name="Note 24 7" xfId="12827" xr:uid="{00000000-0005-0000-0000-0000838A0000}"/>
    <cellStyle name="Note 24 8" xfId="15996" xr:uid="{00000000-0005-0000-0000-0000848A0000}"/>
    <cellStyle name="Note 24 9" xfId="15687" xr:uid="{00000000-0005-0000-0000-0000858A0000}"/>
    <cellStyle name="Note 25" xfId="6669" xr:uid="{00000000-0005-0000-0000-0000868A0000}"/>
    <cellStyle name="Note 25 2" xfId="6670" xr:uid="{00000000-0005-0000-0000-0000878A0000}"/>
    <cellStyle name="Note 25 2 2" xfId="12828" xr:uid="{00000000-0005-0000-0000-0000888A0000}"/>
    <cellStyle name="Note 25 2 2 2" xfId="12829" xr:uid="{00000000-0005-0000-0000-0000898A0000}"/>
    <cellStyle name="Note 25 2 2 3" xfId="12830" xr:uid="{00000000-0005-0000-0000-00008A8A0000}"/>
    <cellStyle name="Note 25 2 2 4" xfId="12831" xr:uid="{00000000-0005-0000-0000-00008B8A0000}"/>
    <cellStyle name="Note 25 2 3" xfId="12832" xr:uid="{00000000-0005-0000-0000-00008C8A0000}"/>
    <cellStyle name="Note 25 2 4" xfId="12833" xr:uid="{00000000-0005-0000-0000-00008D8A0000}"/>
    <cellStyle name="Note 25 2 5" xfId="12834" xr:uid="{00000000-0005-0000-0000-00008E8A0000}"/>
    <cellStyle name="Note 25 2 6" xfId="17122" xr:uid="{00000000-0005-0000-0000-00008F8A0000}"/>
    <cellStyle name="Note 25 2 7" xfId="16243" xr:uid="{00000000-0005-0000-0000-0000908A0000}"/>
    <cellStyle name="Note 25 3" xfId="6671" xr:uid="{00000000-0005-0000-0000-0000918A0000}"/>
    <cellStyle name="Note 25 3 2" xfId="12835" xr:uid="{00000000-0005-0000-0000-0000928A0000}"/>
    <cellStyle name="Note 25 3 2 2" xfId="12836" xr:uid="{00000000-0005-0000-0000-0000938A0000}"/>
    <cellStyle name="Note 25 3 2 3" xfId="12837" xr:uid="{00000000-0005-0000-0000-0000948A0000}"/>
    <cellStyle name="Note 25 3 2 4" xfId="12838" xr:uid="{00000000-0005-0000-0000-0000958A0000}"/>
    <cellStyle name="Note 25 3 3" xfId="12839" xr:uid="{00000000-0005-0000-0000-0000968A0000}"/>
    <cellStyle name="Note 25 3 4" xfId="12840" xr:uid="{00000000-0005-0000-0000-0000978A0000}"/>
    <cellStyle name="Note 25 3 5" xfId="12841" xr:uid="{00000000-0005-0000-0000-0000988A0000}"/>
    <cellStyle name="Note 25 3 6" xfId="17123" xr:uid="{00000000-0005-0000-0000-0000998A0000}"/>
    <cellStyle name="Note 25 3 7" xfId="15365" xr:uid="{00000000-0005-0000-0000-00009A8A0000}"/>
    <cellStyle name="Note 25 4" xfId="12842" xr:uid="{00000000-0005-0000-0000-00009B8A0000}"/>
    <cellStyle name="Note 25 4 2" xfId="12843" xr:uid="{00000000-0005-0000-0000-00009C8A0000}"/>
    <cellStyle name="Note 25 4 3" xfId="12844" xr:uid="{00000000-0005-0000-0000-00009D8A0000}"/>
    <cellStyle name="Note 25 4 4" xfId="12845" xr:uid="{00000000-0005-0000-0000-00009E8A0000}"/>
    <cellStyle name="Note 25 5" xfId="12846" xr:uid="{00000000-0005-0000-0000-00009F8A0000}"/>
    <cellStyle name="Note 25 6" xfId="12847" xr:uid="{00000000-0005-0000-0000-0000A08A0000}"/>
    <cellStyle name="Note 25 7" xfId="12848" xr:uid="{00000000-0005-0000-0000-0000A18A0000}"/>
    <cellStyle name="Note 25 8" xfId="15997" xr:uid="{00000000-0005-0000-0000-0000A28A0000}"/>
    <cellStyle name="Note 25 9" xfId="15686" xr:uid="{00000000-0005-0000-0000-0000A38A0000}"/>
    <cellStyle name="Note 3" xfId="6672" xr:uid="{00000000-0005-0000-0000-0000A48A0000}"/>
    <cellStyle name="Note 3 10" xfId="6673" xr:uid="{00000000-0005-0000-0000-0000A58A0000}"/>
    <cellStyle name="Note 3 10 2" xfId="6674" xr:uid="{00000000-0005-0000-0000-0000A68A0000}"/>
    <cellStyle name="Note 3 10 2 2" xfId="12849" xr:uid="{00000000-0005-0000-0000-0000A78A0000}"/>
    <cellStyle name="Note 3 10 2 2 2" xfId="12850" xr:uid="{00000000-0005-0000-0000-0000A88A0000}"/>
    <cellStyle name="Note 3 10 2 2 3" xfId="12851" xr:uid="{00000000-0005-0000-0000-0000A98A0000}"/>
    <cellStyle name="Note 3 10 2 2 4" xfId="12852" xr:uid="{00000000-0005-0000-0000-0000AA8A0000}"/>
    <cellStyle name="Note 3 10 2 3" xfId="12853" xr:uid="{00000000-0005-0000-0000-0000AB8A0000}"/>
    <cellStyle name="Note 3 10 2 4" xfId="12854" xr:uid="{00000000-0005-0000-0000-0000AC8A0000}"/>
    <cellStyle name="Note 3 10 2 5" xfId="12855" xr:uid="{00000000-0005-0000-0000-0000AD8A0000}"/>
    <cellStyle name="Note 3 10 2 6" xfId="17603" xr:uid="{00000000-0005-0000-0000-0000AE8A0000}"/>
    <cellStyle name="Note 3 10 2 7" xfId="19238" xr:uid="{00000000-0005-0000-0000-0000AF8A0000}"/>
    <cellStyle name="Note 3 10 3" xfId="6675" xr:uid="{00000000-0005-0000-0000-0000B08A0000}"/>
    <cellStyle name="Note 3 10 3 2" xfId="12856" xr:uid="{00000000-0005-0000-0000-0000B18A0000}"/>
    <cellStyle name="Note 3 10 3 3" xfId="12857" xr:uid="{00000000-0005-0000-0000-0000B28A0000}"/>
    <cellStyle name="Note 3 10 3 4" xfId="12858" xr:uid="{00000000-0005-0000-0000-0000B38A0000}"/>
    <cellStyle name="Note 3 10 3 5" xfId="18290" xr:uid="{00000000-0005-0000-0000-0000B48A0000}"/>
    <cellStyle name="Note 3 10 3 6" xfId="19254" xr:uid="{00000000-0005-0000-0000-0000B58A0000}"/>
    <cellStyle name="Note 3 10 4" xfId="12859" xr:uid="{00000000-0005-0000-0000-0000B68A0000}"/>
    <cellStyle name="Note 3 10 5" xfId="12860" xr:uid="{00000000-0005-0000-0000-0000B78A0000}"/>
    <cellStyle name="Note 3 10 6" xfId="12861" xr:uid="{00000000-0005-0000-0000-0000B88A0000}"/>
    <cellStyle name="Note 3 10 7" xfId="17124" xr:uid="{00000000-0005-0000-0000-0000B98A0000}"/>
    <cellStyle name="Note 3 10 8" xfId="17676" xr:uid="{00000000-0005-0000-0000-0000BA8A0000}"/>
    <cellStyle name="Note 3 11" xfId="12862" xr:uid="{00000000-0005-0000-0000-0000BB8A0000}"/>
    <cellStyle name="Note 3 12" xfId="12863" xr:uid="{00000000-0005-0000-0000-0000BC8A0000}"/>
    <cellStyle name="Note 3 13" xfId="12864" xr:uid="{00000000-0005-0000-0000-0000BD8A0000}"/>
    <cellStyle name="Note 3 14" xfId="15998" xr:uid="{00000000-0005-0000-0000-0000BE8A0000}"/>
    <cellStyle name="Note 3 15" xfId="15685" xr:uid="{00000000-0005-0000-0000-0000BF8A0000}"/>
    <cellStyle name="Note 3 16" xfId="36164" xr:uid="{00000000-0005-0000-0000-0000C08A0000}"/>
    <cellStyle name="Note 3 2" xfId="6676" xr:uid="{00000000-0005-0000-0000-0000C18A0000}"/>
    <cellStyle name="Note 3 2 10" xfId="36165" xr:uid="{00000000-0005-0000-0000-0000C28A0000}"/>
    <cellStyle name="Note 3 2 2" xfId="6677" xr:uid="{00000000-0005-0000-0000-0000C38A0000}"/>
    <cellStyle name="Note 3 2 2 2" xfId="6678" xr:uid="{00000000-0005-0000-0000-0000C48A0000}"/>
    <cellStyle name="Note 3 2 2 2 2" xfId="12865" xr:uid="{00000000-0005-0000-0000-0000C58A0000}"/>
    <cellStyle name="Note 3 2 2 2 3" xfId="12866" xr:uid="{00000000-0005-0000-0000-0000C68A0000}"/>
    <cellStyle name="Note 3 2 2 2 4" xfId="12867" xr:uid="{00000000-0005-0000-0000-0000C78A0000}"/>
    <cellStyle name="Note 3 2 2 2 5" xfId="17125" xr:uid="{00000000-0005-0000-0000-0000C88A0000}"/>
    <cellStyle name="Note 3 2 2 2 6" xfId="16242" xr:uid="{00000000-0005-0000-0000-0000C98A0000}"/>
    <cellStyle name="Note 3 2 2 2 7" xfId="36167" xr:uid="{00000000-0005-0000-0000-0000CA8A0000}"/>
    <cellStyle name="Note 3 2 2 3" xfId="6679" xr:uid="{00000000-0005-0000-0000-0000CB8A0000}"/>
    <cellStyle name="Note 3 2 2 3 2" xfId="12868" xr:uid="{00000000-0005-0000-0000-0000CC8A0000}"/>
    <cellStyle name="Note 3 2 2 3 3" xfId="12869" xr:uid="{00000000-0005-0000-0000-0000CD8A0000}"/>
    <cellStyle name="Note 3 2 2 3 4" xfId="12870" xr:uid="{00000000-0005-0000-0000-0000CE8A0000}"/>
    <cellStyle name="Note 3 2 2 3 5" xfId="17126" xr:uid="{00000000-0005-0000-0000-0000CF8A0000}"/>
    <cellStyle name="Note 3 2 2 3 6" xfId="15364" xr:uid="{00000000-0005-0000-0000-0000D08A0000}"/>
    <cellStyle name="Note 3 2 2 3 7" xfId="36168" xr:uid="{00000000-0005-0000-0000-0000D18A0000}"/>
    <cellStyle name="Note 3 2 2 4" xfId="12871" xr:uid="{00000000-0005-0000-0000-0000D28A0000}"/>
    <cellStyle name="Note 3 2 2 4 2" xfId="36169" xr:uid="{00000000-0005-0000-0000-0000D38A0000}"/>
    <cellStyle name="Note 3 2 2 5" xfId="12872" xr:uid="{00000000-0005-0000-0000-0000D48A0000}"/>
    <cellStyle name="Note 3 2 2 5 2" xfId="42723" xr:uid="{00000000-0005-0000-0000-0000D58A0000}"/>
    <cellStyle name="Note 3 2 2 6" xfId="12873" xr:uid="{00000000-0005-0000-0000-0000D68A0000}"/>
    <cellStyle name="Note 3 2 2 7" xfId="16577" xr:uid="{00000000-0005-0000-0000-0000D78A0000}"/>
    <cellStyle name="Note 3 2 2 8" xfId="17905" xr:uid="{00000000-0005-0000-0000-0000D88A0000}"/>
    <cellStyle name="Note 3 2 2 9" xfId="36166" xr:uid="{00000000-0005-0000-0000-0000D98A0000}"/>
    <cellStyle name="Note 3 2 3" xfId="6680" xr:uid="{00000000-0005-0000-0000-0000DA8A0000}"/>
    <cellStyle name="Note 3 2 3 2" xfId="12874" xr:uid="{00000000-0005-0000-0000-0000DB8A0000}"/>
    <cellStyle name="Note 3 2 3 2 2" xfId="36171" xr:uid="{00000000-0005-0000-0000-0000DC8A0000}"/>
    <cellStyle name="Note 3 2 3 3" xfId="12875" xr:uid="{00000000-0005-0000-0000-0000DD8A0000}"/>
    <cellStyle name="Note 3 2 3 3 2" xfId="42724" xr:uid="{00000000-0005-0000-0000-0000DE8A0000}"/>
    <cellStyle name="Note 3 2 3 4" xfId="12876" xr:uid="{00000000-0005-0000-0000-0000DF8A0000}"/>
    <cellStyle name="Note 3 2 3 5" xfId="17127" xr:uid="{00000000-0005-0000-0000-0000E08A0000}"/>
    <cellStyle name="Note 3 2 3 6" xfId="16145" xr:uid="{00000000-0005-0000-0000-0000E18A0000}"/>
    <cellStyle name="Note 3 2 3 7" xfId="36170" xr:uid="{00000000-0005-0000-0000-0000E28A0000}"/>
    <cellStyle name="Note 3 2 4" xfId="6681" xr:uid="{00000000-0005-0000-0000-0000E38A0000}"/>
    <cellStyle name="Note 3 2 4 2" xfId="12877" xr:uid="{00000000-0005-0000-0000-0000E48A0000}"/>
    <cellStyle name="Note 3 2 4 2 2" xfId="36173" xr:uid="{00000000-0005-0000-0000-0000E58A0000}"/>
    <cellStyle name="Note 3 2 4 3" xfId="12878" xr:uid="{00000000-0005-0000-0000-0000E68A0000}"/>
    <cellStyle name="Note 3 2 4 3 2" xfId="42725" xr:uid="{00000000-0005-0000-0000-0000E78A0000}"/>
    <cellStyle name="Note 3 2 4 4" xfId="12879" xr:uid="{00000000-0005-0000-0000-0000E88A0000}"/>
    <cellStyle name="Note 3 2 4 5" xfId="17128" xr:uid="{00000000-0005-0000-0000-0000E98A0000}"/>
    <cellStyle name="Note 3 2 4 6" xfId="17675" xr:uid="{00000000-0005-0000-0000-0000EA8A0000}"/>
    <cellStyle name="Note 3 2 4 7" xfId="36172" xr:uid="{00000000-0005-0000-0000-0000EB8A0000}"/>
    <cellStyle name="Note 3 2 5" xfId="12880" xr:uid="{00000000-0005-0000-0000-0000EC8A0000}"/>
    <cellStyle name="Note 3 2 5 2" xfId="36175" xr:uid="{00000000-0005-0000-0000-0000ED8A0000}"/>
    <cellStyle name="Note 3 2 5 3" xfId="42726" xr:uid="{00000000-0005-0000-0000-0000EE8A0000}"/>
    <cellStyle name="Note 3 2 5 4" xfId="36174" xr:uid="{00000000-0005-0000-0000-0000EF8A0000}"/>
    <cellStyle name="Note 3 2 6" xfId="12881" xr:uid="{00000000-0005-0000-0000-0000F08A0000}"/>
    <cellStyle name="Note 3 2 6 2" xfId="42727" xr:uid="{00000000-0005-0000-0000-0000F18A0000}"/>
    <cellStyle name="Note 3 2 6 3" xfId="36176" xr:uid="{00000000-0005-0000-0000-0000F28A0000}"/>
    <cellStyle name="Note 3 2 7" xfId="12882" xr:uid="{00000000-0005-0000-0000-0000F38A0000}"/>
    <cellStyle name="Note 3 2 7 2" xfId="36177" xr:uid="{00000000-0005-0000-0000-0000F48A0000}"/>
    <cellStyle name="Note 3 2 8" xfId="15999" xr:uid="{00000000-0005-0000-0000-0000F58A0000}"/>
    <cellStyle name="Note 3 2 8 2" xfId="42722" xr:uid="{00000000-0005-0000-0000-0000F68A0000}"/>
    <cellStyle name="Note 3 2 9" xfId="15684" xr:uid="{00000000-0005-0000-0000-0000F78A0000}"/>
    <cellStyle name="Note 3 3" xfId="6682" xr:uid="{00000000-0005-0000-0000-0000F88A0000}"/>
    <cellStyle name="Note 3 3 10" xfId="36178" xr:uid="{00000000-0005-0000-0000-0000F98A0000}"/>
    <cellStyle name="Note 3 3 2" xfId="6683" xr:uid="{00000000-0005-0000-0000-0000FA8A0000}"/>
    <cellStyle name="Note 3 3 2 2" xfId="6684" xr:uid="{00000000-0005-0000-0000-0000FB8A0000}"/>
    <cellStyle name="Note 3 3 2 2 2" xfId="12883" xr:uid="{00000000-0005-0000-0000-0000FC8A0000}"/>
    <cellStyle name="Note 3 3 2 2 3" xfId="12884" xr:uid="{00000000-0005-0000-0000-0000FD8A0000}"/>
    <cellStyle name="Note 3 3 2 2 4" xfId="12885" xr:uid="{00000000-0005-0000-0000-0000FE8A0000}"/>
    <cellStyle name="Note 3 3 2 2 5" xfId="17129" xr:uid="{00000000-0005-0000-0000-0000FF8A0000}"/>
    <cellStyle name="Note 3 3 2 2 6" xfId="16241" xr:uid="{00000000-0005-0000-0000-0000008B0000}"/>
    <cellStyle name="Note 3 3 2 2 7" xfId="36180" xr:uid="{00000000-0005-0000-0000-0000018B0000}"/>
    <cellStyle name="Note 3 3 2 3" xfId="6685" xr:uid="{00000000-0005-0000-0000-0000028B0000}"/>
    <cellStyle name="Note 3 3 2 3 2" xfId="12886" xr:uid="{00000000-0005-0000-0000-0000038B0000}"/>
    <cellStyle name="Note 3 3 2 3 3" xfId="12887" xr:uid="{00000000-0005-0000-0000-0000048B0000}"/>
    <cellStyle name="Note 3 3 2 3 4" xfId="12888" xr:uid="{00000000-0005-0000-0000-0000058B0000}"/>
    <cellStyle name="Note 3 3 2 3 5" xfId="17130" xr:uid="{00000000-0005-0000-0000-0000068B0000}"/>
    <cellStyle name="Note 3 3 2 3 6" xfId="15363" xr:uid="{00000000-0005-0000-0000-0000078B0000}"/>
    <cellStyle name="Note 3 3 2 3 7" xfId="36181" xr:uid="{00000000-0005-0000-0000-0000088B0000}"/>
    <cellStyle name="Note 3 3 2 4" xfId="12889" xr:uid="{00000000-0005-0000-0000-0000098B0000}"/>
    <cellStyle name="Note 3 3 2 4 2" xfId="36182" xr:uid="{00000000-0005-0000-0000-00000A8B0000}"/>
    <cellStyle name="Note 3 3 2 5" xfId="12890" xr:uid="{00000000-0005-0000-0000-00000B8B0000}"/>
    <cellStyle name="Note 3 3 2 5 2" xfId="42729" xr:uid="{00000000-0005-0000-0000-00000C8B0000}"/>
    <cellStyle name="Note 3 3 2 6" xfId="12891" xr:uid="{00000000-0005-0000-0000-00000D8B0000}"/>
    <cellStyle name="Note 3 3 2 7" xfId="16578" xr:uid="{00000000-0005-0000-0000-00000E8B0000}"/>
    <cellStyle name="Note 3 3 2 8" xfId="16474" xr:uid="{00000000-0005-0000-0000-00000F8B0000}"/>
    <cellStyle name="Note 3 3 2 9" xfId="36179" xr:uid="{00000000-0005-0000-0000-0000108B0000}"/>
    <cellStyle name="Note 3 3 3" xfId="6686" xr:uid="{00000000-0005-0000-0000-0000118B0000}"/>
    <cellStyle name="Note 3 3 3 2" xfId="12892" xr:uid="{00000000-0005-0000-0000-0000128B0000}"/>
    <cellStyle name="Note 3 3 3 3" xfId="12893" xr:uid="{00000000-0005-0000-0000-0000138B0000}"/>
    <cellStyle name="Note 3 3 3 4" xfId="12894" xr:uid="{00000000-0005-0000-0000-0000148B0000}"/>
    <cellStyle name="Note 3 3 3 5" xfId="17131" xr:uid="{00000000-0005-0000-0000-0000158B0000}"/>
    <cellStyle name="Note 3 3 3 6" xfId="17674" xr:uid="{00000000-0005-0000-0000-0000168B0000}"/>
    <cellStyle name="Note 3 3 3 7" xfId="36183" xr:uid="{00000000-0005-0000-0000-0000178B0000}"/>
    <cellStyle name="Note 3 3 4" xfId="6687" xr:uid="{00000000-0005-0000-0000-0000188B0000}"/>
    <cellStyle name="Note 3 3 4 2" xfId="12895" xr:uid="{00000000-0005-0000-0000-0000198B0000}"/>
    <cellStyle name="Note 3 3 4 3" xfId="12896" xr:uid="{00000000-0005-0000-0000-00001A8B0000}"/>
    <cellStyle name="Note 3 3 4 4" xfId="12897" xr:uid="{00000000-0005-0000-0000-00001B8B0000}"/>
    <cellStyle name="Note 3 3 4 5" xfId="17132" xr:uid="{00000000-0005-0000-0000-00001C8B0000}"/>
    <cellStyle name="Note 3 3 4 6" xfId="16240" xr:uid="{00000000-0005-0000-0000-00001D8B0000}"/>
    <cellStyle name="Note 3 3 4 7" xfId="36184" xr:uid="{00000000-0005-0000-0000-00001E8B0000}"/>
    <cellStyle name="Note 3 3 5" xfId="12898" xr:uid="{00000000-0005-0000-0000-00001F8B0000}"/>
    <cellStyle name="Note 3 3 5 2" xfId="36185" xr:uid="{00000000-0005-0000-0000-0000208B0000}"/>
    <cellStyle name="Note 3 3 6" xfId="12899" xr:uid="{00000000-0005-0000-0000-0000218B0000}"/>
    <cellStyle name="Note 3 3 6 2" xfId="42728" xr:uid="{00000000-0005-0000-0000-0000228B0000}"/>
    <cellStyle name="Note 3 3 7" xfId="12900" xr:uid="{00000000-0005-0000-0000-0000238B0000}"/>
    <cellStyle name="Note 3 3 8" xfId="16000" xr:uid="{00000000-0005-0000-0000-0000248B0000}"/>
    <cellStyle name="Note 3 3 9" xfId="15683" xr:uid="{00000000-0005-0000-0000-0000258B0000}"/>
    <cellStyle name="Note 3 4" xfId="6688" xr:uid="{00000000-0005-0000-0000-0000268B0000}"/>
    <cellStyle name="Note 3 4 10" xfId="36186" xr:uid="{00000000-0005-0000-0000-0000278B0000}"/>
    <cellStyle name="Note 3 4 2" xfId="6689" xr:uid="{00000000-0005-0000-0000-0000288B0000}"/>
    <cellStyle name="Note 3 4 2 2" xfId="6690" xr:uid="{00000000-0005-0000-0000-0000298B0000}"/>
    <cellStyle name="Note 3 4 2 2 2" xfId="12901" xr:uid="{00000000-0005-0000-0000-00002A8B0000}"/>
    <cellStyle name="Note 3 4 2 2 3" xfId="12902" xr:uid="{00000000-0005-0000-0000-00002B8B0000}"/>
    <cellStyle name="Note 3 4 2 2 4" xfId="12903" xr:uid="{00000000-0005-0000-0000-00002C8B0000}"/>
    <cellStyle name="Note 3 4 2 2 5" xfId="17133" xr:uid="{00000000-0005-0000-0000-00002D8B0000}"/>
    <cellStyle name="Note 3 4 2 2 6" xfId="15362" xr:uid="{00000000-0005-0000-0000-00002E8B0000}"/>
    <cellStyle name="Note 3 4 2 2 7" xfId="42732" xr:uid="{00000000-0005-0000-0000-00002F8B0000}"/>
    <cellStyle name="Note 3 4 2 3" xfId="6691" xr:uid="{00000000-0005-0000-0000-0000308B0000}"/>
    <cellStyle name="Note 3 4 2 3 2" xfId="12904" xr:uid="{00000000-0005-0000-0000-0000318B0000}"/>
    <cellStyle name="Note 3 4 2 3 3" xfId="12905" xr:uid="{00000000-0005-0000-0000-0000328B0000}"/>
    <cellStyle name="Note 3 4 2 3 4" xfId="12906" xr:uid="{00000000-0005-0000-0000-0000338B0000}"/>
    <cellStyle name="Note 3 4 2 3 5" xfId="17134" xr:uid="{00000000-0005-0000-0000-0000348B0000}"/>
    <cellStyle name="Note 3 4 2 3 6" xfId="16133" xr:uid="{00000000-0005-0000-0000-0000358B0000}"/>
    <cellStyle name="Note 3 4 2 4" xfId="12907" xr:uid="{00000000-0005-0000-0000-0000368B0000}"/>
    <cellStyle name="Note 3 4 2 5" xfId="12908" xr:uid="{00000000-0005-0000-0000-0000378B0000}"/>
    <cellStyle name="Note 3 4 2 6" xfId="12909" xr:uid="{00000000-0005-0000-0000-0000388B0000}"/>
    <cellStyle name="Note 3 4 2 7" xfId="16579" xr:uid="{00000000-0005-0000-0000-0000398B0000}"/>
    <cellStyle name="Note 3 4 2 8" xfId="15603" xr:uid="{00000000-0005-0000-0000-00003A8B0000}"/>
    <cellStyle name="Note 3 4 2 9" xfId="36187" xr:uid="{00000000-0005-0000-0000-00003B8B0000}"/>
    <cellStyle name="Note 3 4 3" xfId="6692" xr:uid="{00000000-0005-0000-0000-00003C8B0000}"/>
    <cellStyle name="Note 3 4 3 2" xfId="12910" xr:uid="{00000000-0005-0000-0000-00003D8B0000}"/>
    <cellStyle name="Note 3 4 3 3" xfId="12911" xr:uid="{00000000-0005-0000-0000-00003E8B0000}"/>
    <cellStyle name="Note 3 4 3 4" xfId="12912" xr:uid="{00000000-0005-0000-0000-00003F8B0000}"/>
    <cellStyle name="Note 3 4 3 5" xfId="17135" xr:uid="{00000000-0005-0000-0000-0000408B0000}"/>
    <cellStyle name="Note 3 4 3 6" xfId="17673" xr:uid="{00000000-0005-0000-0000-0000418B0000}"/>
    <cellStyle name="Note 3 4 4" xfId="6693" xr:uid="{00000000-0005-0000-0000-0000428B0000}"/>
    <cellStyle name="Note 3 4 4 2" xfId="12913" xr:uid="{00000000-0005-0000-0000-0000438B0000}"/>
    <cellStyle name="Note 3 4 4 3" xfId="12914" xr:uid="{00000000-0005-0000-0000-0000448B0000}"/>
    <cellStyle name="Note 3 4 4 4" xfId="12915" xr:uid="{00000000-0005-0000-0000-0000458B0000}"/>
    <cellStyle name="Note 3 4 4 5" xfId="17136" xr:uid="{00000000-0005-0000-0000-0000468B0000}"/>
    <cellStyle name="Note 3 4 4 6" xfId="16239" xr:uid="{00000000-0005-0000-0000-0000478B0000}"/>
    <cellStyle name="Note 3 4 4 7" xfId="42731" xr:uid="{00000000-0005-0000-0000-0000488B0000}"/>
    <cellStyle name="Note 3 4 5" xfId="12916" xr:uid="{00000000-0005-0000-0000-0000498B0000}"/>
    <cellStyle name="Note 3 4 6" xfId="12917" xr:uid="{00000000-0005-0000-0000-00004A8B0000}"/>
    <cellStyle name="Note 3 4 7" xfId="12918" xr:uid="{00000000-0005-0000-0000-00004B8B0000}"/>
    <cellStyle name="Note 3 4 8" xfId="16001" xr:uid="{00000000-0005-0000-0000-00004C8B0000}"/>
    <cellStyle name="Note 3 4 9" xfId="15682" xr:uid="{00000000-0005-0000-0000-00004D8B0000}"/>
    <cellStyle name="Note 3 5" xfId="6694" xr:uid="{00000000-0005-0000-0000-00004E8B0000}"/>
    <cellStyle name="Note 3 5 10" xfId="36188" xr:uid="{00000000-0005-0000-0000-00004F8B0000}"/>
    <cellStyle name="Note 3 5 2" xfId="6695" xr:uid="{00000000-0005-0000-0000-0000508B0000}"/>
    <cellStyle name="Note 3 5 2 2" xfId="6696" xr:uid="{00000000-0005-0000-0000-0000518B0000}"/>
    <cellStyle name="Note 3 5 2 2 2" xfId="12919" xr:uid="{00000000-0005-0000-0000-0000528B0000}"/>
    <cellStyle name="Note 3 5 2 2 3" xfId="12920" xr:uid="{00000000-0005-0000-0000-0000538B0000}"/>
    <cellStyle name="Note 3 5 2 2 4" xfId="12921" xr:uid="{00000000-0005-0000-0000-0000548B0000}"/>
    <cellStyle name="Note 3 5 2 2 5" xfId="17137" xr:uid="{00000000-0005-0000-0000-0000558B0000}"/>
    <cellStyle name="Note 3 5 2 2 6" xfId="15361" xr:uid="{00000000-0005-0000-0000-0000568B0000}"/>
    <cellStyle name="Note 3 5 2 3" xfId="6697" xr:uid="{00000000-0005-0000-0000-0000578B0000}"/>
    <cellStyle name="Note 3 5 2 3 2" xfId="12922" xr:uid="{00000000-0005-0000-0000-0000588B0000}"/>
    <cellStyle name="Note 3 5 2 3 3" xfId="12923" xr:uid="{00000000-0005-0000-0000-0000598B0000}"/>
    <cellStyle name="Note 3 5 2 3 4" xfId="12924" xr:uid="{00000000-0005-0000-0000-00005A8B0000}"/>
    <cellStyle name="Note 3 5 2 3 5" xfId="17138" xr:uid="{00000000-0005-0000-0000-00005B8B0000}"/>
    <cellStyle name="Note 3 5 2 3 6" xfId="17672" xr:uid="{00000000-0005-0000-0000-00005C8B0000}"/>
    <cellStyle name="Note 3 5 2 4" xfId="12925" xr:uid="{00000000-0005-0000-0000-00005D8B0000}"/>
    <cellStyle name="Note 3 5 2 5" xfId="12926" xr:uid="{00000000-0005-0000-0000-00005E8B0000}"/>
    <cellStyle name="Note 3 5 2 6" xfId="12927" xr:uid="{00000000-0005-0000-0000-00005F8B0000}"/>
    <cellStyle name="Note 3 5 2 7" xfId="16580" xr:uid="{00000000-0005-0000-0000-0000608B0000}"/>
    <cellStyle name="Note 3 5 2 8" xfId="17904" xr:uid="{00000000-0005-0000-0000-0000618B0000}"/>
    <cellStyle name="Note 3 5 2 9" xfId="36189" xr:uid="{00000000-0005-0000-0000-0000628B0000}"/>
    <cellStyle name="Note 3 5 3" xfId="6698" xr:uid="{00000000-0005-0000-0000-0000638B0000}"/>
    <cellStyle name="Note 3 5 3 2" xfId="12928" xr:uid="{00000000-0005-0000-0000-0000648B0000}"/>
    <cellStyle name="Note 3 5 3 3" xfId="12929" xr:uid="{00000000-0005-0000-0000-0000658B0000}"/>
    <cellStyle name="Note 3 5 3 4" xfId="12930" xr:uid="{00000000-0005-0000-0000-0000668B0000}"/>
    <cellStyle name="Note 3 5 3 5" xfId="17139" xr:uid="{00000000-0005-0000-0000-0000678B0000}"/>
    <cellStyle name="Note 3 5 3 6" xfId="16238" xr:uid="{00000000-0005-0000-0000-0000688B0000}"/>
    <cellStyle name="Note 3 5 3 7" xfId="42733" xr:uid="{00000000-0005-0000-0000-0000698B0000}"/>
    <cellStyle name="Note 3 5 4" xfId="6699" xr:uid="{00000000-0005-0000-0000-00006A8B0000}"/>
    <cellStyle name="Note 3 5 4 2" xfId="12931" xr:uid="{00000000-0005-0000-0000-00006B8B0000}"/>
    <cellStyle name="Note 3 5 4 3" xfId="12932" xr:uid="{00000000-0005-0000-0000-00006C8B0000}"/>
    <cellStyle name="Note 3 5 4 4" xfId="12933" xr:uid="{00000000-0005-0000-0000-00006D8B0000}"/>
    <cellStyle name="Note 3 5 4 5" xfId="17140" xr:uid="{00000000-0005-0000-0000-00006E8B0000}"/>
    <cellStyle name="Note 3 5 4 6" xfId="15360" xr:uid="{00000000-0005-0000-0000-00006F8B0000}"/>
    <cellStyle name="Note 3 5 5" xfId="12934" xr:uid="{00000000-0005-0000-0000-0000708B0000}"/>
    <cellStyle name="Note 3 5 6" xfId="12935" xr:uid="{00000000-0005-0000-0000-0000718B0000}"/>
    <cellStyle name="Note 3 5 7" xfId="12936" xr:uid="{00000000-0005-0000-0000-0000728B0000}"/>
    <cellStyle name="Note 3 5 8" xfId="16002" xr:uid="{00000000-0005-0000-0000-0000738B0000}"/>
    <cellStyle name="Note 3 5 9" xfId="17938" xr:uid="{00000000-0005-0000-0000-0000748B0000}"/>
    <cellStyle name="Note 3 6" xfId="6700" xr:uid="{00000000-0005-0000-0000-0000758B0000}"/>
    <cellStyle name="Note 3 6 10" xfId="36190" xr:uid="{00000000-0005-0000-0000-0000768B0000}"/>
    <cellStyle name="Note 3 6 2" xfId="6701" xr:uid="{00000000-0005-0000-0000-0000778B0000}"/>
    <cellStyle name="Note 3 6 2 2" xfId="6702" xr:uid="{00000000-0005-0000-0000-0000788B0000}"/>
    <cellStyle name="Note 3 6 2 2 2" xfId="12937" xr:uid="{00000000-0005-0000-0000-0000798B0000}"/>
    <cellStyle name="Note 3 6 2 2 3" xfId="12938" xr:uid="{00000000-0005-0000-0000-00007A8B0000}"/>
    <cellStyle name="Note 3 6 2 2 4" xfId="12939" xr:uid="{00000000-0005-0000-0000-00007B8B0000}"/>
    <cellStyle name="Note 3 6 2 2 5" xfId="17141" xr:uid="{00000000-0005-0000-0000-00007C8B0000}"/>
    <cellStyle name="Note 3 6 2 2 6" xfId="16111" xr:uid="{00000000-0005-0000-0000-00007D8B0000}"/>
    <cellStyle name="Note 3 6 2 3" xfId="6703" xr:uid="{00000000-0005-0000-0000-00007E8B0000}"/>
    <cellStyle name="Note 3 6 2 3 2" xfId="12940" xr:uid="{00000000-0005-0000-0000-00007F8B0000}"/>
    <cellStyle name="Note 3 6 2 3 3" xfId="12941" xr:uid="{00000000-0005-0000-0000-0000808B0000}"/>
    <cellStyle name="Note 3 6 2 3 4" xfId="12942" xr:uid="{00000000-0005-0000-0000-0000818B0000}"/>
    <cellStyle name="Note 3 6 2 3 5" xfId="17142" xr:uid="{00000000-0005-0000-0000-0000828B0000}"/>
    <cellStyle name="Note 3 6 2 3 6" xfId="17671" xr:uid="{00000000-0005-0000-0000-0000838B0000}"/>
    <cellStyle name="Note 3 6 2 4" xfId="12943" xr:uid="{00000000-0005-0000-0000-0000848B0000}"/>
    <cellStyle name="Note 3 6 2 5" xfId="12944" xr:uid="{00000000-0005-0000-0000-0000858B0000}"/>
    <cellStyle name="Note 3 6 2 6" xfId="12945" xr:uid="{00000000-0005-0000-0000-0000868B0000}"/>
    <cellStyle name="Note 3 6 2 7" xfId="16581" xr:uid="{00000000-0005-0000-0000-0000878B0000}"/>
    <cellStyle name="Note 3 6 2 8" xfId="16473" xr:uid="{00000000-0005-0000-0000-0000888B0000}"/>
    <cellStyle name="Note 3 6 2 9" xfId="36191" xr:uid="{00000000-0005-0000-0000-0000898B0000}"/>
    <cellStyle name="Note 3 6 3" xfId="6704" xr:uid="{00000000-0005-0000-0000-00008A8B0000}"/>
    <cellStyle name="Note 3 6 3 2" xfId="12946" xr:uid="{00000000-0005-0000-0000-00008B8B0000}"/>
    <cellStyle name="Note 3 6 3 3" xfId="12947" xr:uid="{00000000-0005-0000-0000-00008C8B0000}"/>
    <cellStyle name="Note 3 6 3 4" xfId="12948" xr:uid="{00000000-0005-0000-0000-00008D8B0000}"/>
    <cellStyle name="Note 3 6 3 5" xfId="17143" xr:uid="{00000000-0005-0000-0000-00008E8B0000}"/>
    <cellStyle name="Note 3 6 3 6" xfId="16237" xr:uid="{00000000-0005-0000-0000-00008F8B0000}"/>
    <cellStyle name="Note 3 6 3 7" xfId="42734" xr:uid="{00000000-0005-0000-0000-0000908B0000}"/>
    <cellStyle name="Note 3 6 4" xfId="6705" xr:uid="{00000000-0005-0000-0000-0000918B0000}"/>
    <cellStyle name="Note 3 6 4 2" xfId="12949" xr:uid="{00000000-0005-0000-0000-0000928B0000}"/>
    <cellStyle name="Note 3 6 4 3" xfId="12950" xr:uid="{00000000-0005-0000-0000-0000938B0000}"/>
    <cellStyle name="Note 3 6 4 4" xfId="12951" xr:uid="{00000000-0005-0000-0000-0000948B0000}"/>
    <cellStyle name="Note 3 6 4 5" xfId="17144" xr:uid="{00000000-0005-0000-0000-0000958B0000}"/>
    <cellStyle name="Note 3 6 4 6" xfId="15359" xr:uid="{00000000-0005-0000-0000-0000968B0000}"/>
    <cellStyle name="Note 3 6 5" xfId="12952" xr:uid="{00000000-0005-0000-0000-0000978B0000}"/>
    <cellStyle name="Note 3 6 6" xfId="12953" xr:uid="{00000000-0005-0000-0000-0000988B0000}"/>
    <cellStyle name="Note 3 6 7" xfId="12954" xr:uid="{00000000-0005-0000-0000-0000998B0000}"/>
    <cellStyle name="Note 3 6 8" xfId="16003" xr:uid="{00000000-0005-0000-0000-00009A8B0000}"/>
    <cellStyle name="Note 3 6 9" xfId="16508" xr:uid="{00000000-0005-0000-0000-00009B8B0000}"/>
    <cellStyle name="Note 3 7" xfId="6706" xr:uid="{00000000-0005-0000-0000-00009C8B0000}"/>
    <cellStyle name="Note 3 7 10" xfId="36192" xr:uid="{00000000-0005-0000-0000-00009D8B0000}"/>
    <cellStyle name="Note 3 7 2" xfId="6707" xr:uid="{00000000-0005-0000-0000-00009E8B0000}"/>
    <cellStyle name="Note 3 7 2 2" xfId="6708" xr:uid="{00000000-0005-0000-0000-00009F8B0000}"/>
    <cellStyle name="Note 3 7 2 2 2" xfId="12955" xr:uid="{00000000-0005-0000-0000-0000A08B0000}"/>
    <cellStyle name="Note 3 7 2 2 3" xfId="12956" xr:uid="{00000000-0005-0000-0000-0000A18B0000}"/>
    <cellStyle name="Note 3 7 2 2 4" xfId="12957" xr:uid="{00000000-0005-0000-0000-0000A28B0000}"/>
    <cellStyle name="Note 3 7 2 2 5" xfId="17145" xr:uid="{00000000-0005-0000-0000-0000A38B0000}"/>
    <cellStyle name="Note 3 7 2 2 6" xfId="17670" xr:uid="{00000000-0005-0000-0000-0000A48B0000}"/>
    <cellStyle name="Note 3 7 2 3" xfId="6709" xr:uid="{00000000-0005-0000-0000-0000A58B0000}"/>
    <cellStyle name="Note 3 7 2 3 2" xfId="12958" xr:uid="{00000000-0005-0000-0000-0000A68B0000}"/>
    <cellStyle name="Note 3 7 2 3 3" xfId="12959" xr:uid="{00000000-0005-0000-0000-0000A78B0000}"/>
    <cellStyle name="Note 3 7 2 3 4" xfId="12960" xr:uid="{00000000-0005-0000-0000-0000A88B0000}"/>
    <cellStyle name="Note 3 7 2 3 5" xfId="17146" xr:uid="{00000000-0005-0000-0000-0000A98B0000}"/>
    <cellStyle name="Note 3 7 2 3 6" xfId="16236" xr:uid="{00000000-0005-0000-0000-0000AA8B0000}"/>
    <cellStyle name="Note 3 7 2 4" xfId="12961" xr:uid="{00000000-0005-0000-0000-0000AB8B0000}"/>
    <cellStyle name="Note 3 7 2 5" xfId="12962" xr:uid="{00000000-0005-0000-0000-0000AC8B0000}"/>
    <cellStyle name="Note 3 7 2 6" xfId="12963" xr:uid="{00000000-0005-0000-0000-0000AD8B0000}"/>
    <cellStyle name="Note 3 7 2 7" xfId="16582" xr:uid="{00000000-0005-0000-0000-0000AE8B0000}"/>
    <cellStyle name="Note 3 7 2 8" xfId="15602" xr:uid="{00000000-0005-0000-0000-0000AF8B0000}"/>
    <cellStyle name="Note 3 7 2 9" xfId="36193" xr:uid="{00000000-0005-0000-0000-0000B08B0000}"/>
    <cellStyle name="Note 3 7 3" xfId="6710" xr:uid="{00000000-0005-0000-0000-0000B18B0000}"/>
    <cellStyle name="Note 3 7 3 2" xfId="12964" xr:uid="{00000000-0005-0000-0000-0000B28B0000}"/>
    <cellStyle name="Note 3 7 3 3" xfId="12965" xr:uid="{00000000-0005-0000-0000-0000B38B0000}"/>
    <cellStyle name="Note 3 7 3 4" xfId="12966" xr:uid="{00000000-0005-0000-0000-0000B48B0000}"/>
    <cellStyle name="Note 3 7 3 5" xfId="17147" xr:uid="{00000000-0005-0000-0000-0000B58B0000}"/>
    <cellStyle name="Note 3 7 3 6" xfId="15358" xr:uid="{00000000-0005-0000-0000-0000B68B0000}"/>
    <cellStyle name="Note 3 7 3 7" xfId="42735" xr:uid="{00000000-0005-0000-0000-0000B78B0000}"/>
    <cellStyle name="Note 3 7 4" xfId="6711" xr:uid="{00000000-0005-0000-0000-0000B88B0000}"/>
    <cellStyle name="Note 3 7 4 2" xfId="12967" xr:uid="{00000000-0005-0000-0000-0000B98B0000}"/>
    <cellStyle name="Note 3 7 4 3" xfId="12968" xr:uid="{00000000-0005-0000-0000-0000BA8B0000}"/>
    <cellStyle name="Note 3 7 4 4" xfId="12969" xr:uid="{00000000-0005-0000-0000-0000BB8B0000}"/>
    <cellStyle name="Note 3 7 4 5" xfId="17148" xr:uid="{00000000-0005-0000-0000-0000BC8B0000}"/>
    <cellStyle name="Note 3 7 4 6" xfId="16113" xr:uid="{00000000-0005-0000-0000-0000BD8B0000}"/>
    <cellStyle name="Note 3 7 5" xfId="12970" xr:uid="{00000000-0005-0000-0000-0000BE8B0000}"/>
    <cellStyle name="Note 3 7 6" xfId="12971" xr:uid="{00000000-0005-0000-0000-0000BF8B0000}"/>
    <cellStyle name="Note 3 7 7" xfId="12972" xr:uid="{00000000-0005-0000-0000-0000C08B0000}"/>
    <cellStyle name="Note 3 7 8" xfId="16004" xr:uid="{00000000-0005-0000-0000-0000C18B0000}"/>
    <cellStyle name="Note 3 7 9" xfId="15681" xr:uid="{00000000-0005-0000-0000-0000C28B0000}"/>
    <cellStyle name="Note 3 8" xfId="6712" xr:uid="{00000000-0005-0000-0000-0000C38B0000}"/>
    <cellStyle name="Note 3 8 10" xfId="36194" xr:uid="{00000000-0005-0000-0000-0000C48B0000}"/>
    <cellStyle name="Note 3 8 2" xfId="6713" xr:uid="{00000000-0005-0000-0000-0000C58B0000}"/>
    <cellStyle name="Note 3 8 2 2" xfId="12973" xr:uid="{00000000-0005-0000-0000-0000C68B0000}"/>
    <cellStyle name="Note 3 8 2 2 2" xfId="12974" xr:uid="{00000000-0005-0000-0000-0000C78B0000}"/>
    <cellStyle name="Note 3 8 2 2 3" xfId="12975" xr:uid="{00000000-0005-0000-0000-0000C88B0000}"/>
    <cellStyle name="Note 3 8 2 2 4" xfId="12976" xr:uid="{00000000-0005-0000-0000-0000C98B0000}"/>
    <cellStyle name="Note 3 8 2 3" xfId="12977" xr:uid="{00000000-0005-0000-0000-0000CA8B0000}"/>
    <cellStyle name="Note 3 8 2 4" xfId="12978" xr:uid="{00000000-0005-0000-0000-0000CB8B0000}"/>
    <cellStyle name="Note 3 8 2 5" xfId="12979" xr:uid="{00000000-0005-0000-0000-0000CC8B0000}"/>
    <cellStyle name="Note 3 8 2 6" xfId="17149" xr:uid="{00000000-0005-0000-0000-0000CD8B0000}"/>
    <cellStyle name="Note 3 8 2 7" xfId="17669" xr:uid="{00000000-0005-0000-0000-0000CE8B0000}"/>
    <cellStyle name="Note 3 8 3" xfId="6714" xr:uid="{00000000-0005-0000-0000-0000CF8B0000}"/>
    <cellStyle name="Note 3 8 3 2" xfId="12980" xr:uid="{00000000-0005-0000-0000-0000D08B0000}"/>
    <cellStyle name="Note 3 8 3 2 2" xfId="12981" xr:uid="{00000000-0005-0000-0000-0000D18B0000}"/>
    <cellStyle name="Note 3 8 3 2 3" xfId="12982" xr:uid="{00000000-0005-0000-0000-0000D28B0000}"/>
    <cellStyle name="Note 3 8 3 2 4" xfId="12983" xr:uid="{00000000-0005-0000-0000-0000D38B0000}"/>
    <cellStyle name="Note 3 8 3 3" xfId="12984" xr:uid="{00000000-0005-0000-0000-0000D48B0000}"/>
    <cellStyle name="Note 3 8 3 4" xfId="12985" xr:uid="{00000000-0005-0000-0000-0000D58B0000}"/>
    <cellStyle name="Note 3 8 3 5" xfId="12986" xr:uid="{00000000-0005-0000-0000-0000D68B0000}"/>
    <cellStyle name="Note 3 8 3 6" xfId="17150" xr:uid="{00000000-0005-0000-0000-0000D78B0000}"/>
    <cellStyle name="Note 3 8 3 7" xfId="16235" xr:uid="{00000000-0005-0000-0000-0000D88B0000}"/>
    <cellStyle name="Note 3 8 4" xfId="6715" xr:uid="{00000000-0005-0000-0000-0000D98B0000}"/>
    <cellStyle name="Note 3 8 4 2" xfId="12987" xr:uid="{00000000-0005-0000-0000-0000DA8B0000}"/>
    <cellStyle name="Note 3 8 4 3" xfId="12988" xr:uid="{00000000-0005-0000-0000-0000DB8B0000}"/>
    <cellStyle name="Note 3 8 4 4" xfId="12989" xr:uid="{00000000-0005-0000-0000-0000DC8B0000}"/>
    <cellStyle name="Note 3 8 4 5" xfId="18289" xr:uid="{00000000-0005-0000-0000-0000DD8B0000}"/>
    <cellStyle name="Note 3 8 4 6" xfId="19252" xr:uid="{00000000-0005-0000-0000-0000DE8B0000}"/>
    <cellStyle name="Note 3 8 5" xfId="12990" xr:uid="{00000000-0005-0000-0000-0000DF8B0000}"/>
    <cellStyle name="Note 3 8 6" xfId="12991" xr:uid="{00000000-0005-0000-0000-0000E08B0000}"/>
    <cellStyle name="Note 3 8 7" xfId="12992" xr:uid="{00000000-0005-0000-0000-0000E18B0000}"/>
    <cellStyle name="Note 3 8 8" xfId="16576" xr:uid="{00000000-0005-0000-0000-0000E28B0000}"/>
    <cellStyle name="Note 3 8 9" xfId="15604" xr:uid="{00000000-0005-0000-0000-0000E38B0000}"/>
    <cellStyle name="Note 3 9" xfId="6716" xr:uid="{00000000-0005-0000-0000-0000E48B0000}"/>
    <cellStyle name="Note 3 9 2" xfId="12993" xr:uid="{00000000-0005-0000-0000-0000E58B0000}"/>
    <cellStyle name="Note 3 9 3" xfId="12994" xr:uid="{00000000-0005-0000-0000-0000E68B0000}"/>
    <cellStyle name="Note 3 9 4" xfId="12995" xr:uid="{00000000-0005-0000-0000-0000E78B0000}"/>
    <cellStyle name="Note 3 9 5" xfId="17151" xr:uid="{00000000-0005-0000-0000-0000E88B0000}"/>
    <cellStyle name="Note 3 9 6" xfId="15357" xr:uid="{00000000-0005-0000-0000-0000E98B0000}"/>
    <cellStyle name="Note 3 9 7" xfId="42721" xr:uid="{00000000-0005-0000-0000-0000EA8B0000}"/>
    <cellStyle name="Note 4" xfId="6717" xr:uid="{00000000-0005-0000-0000-0000EB8B0000}"/>
    <cellStyle name="Note 4 10" xfId="17152" xr:uid="{00000000-0005-0000-0000-0000EC8B0000}"/>
    <cellStyle name="Note 4 11" xfId="17668" xr:uid="{00000000-0005-0000-0000-0000ED8B0000}"/>
    <cellStyle name="Note 4 12" xfId="36195" xr:uid="{00000000-0005-0000-0000-0000EE8B0000}"/>
    <cellStyle name="Note 4 2" xfId="6718" xr:uid="{00000000-0005-0000-0000-0000EF8B0000}"/>
    <cellStyle name="Note 4 2 10" xfId="36196" xr:uid="{00000000-0005-0000-0000-0000F08B0000}"/>
    <cellStyle name="Note 4 2 2" xfId="6719" xr:uid="{00000000-0005-0000-0000-0000F18B0000}"/>
    <cellStyle name="Note 4 2 2 2" xfId="12996" xr:uid="{00000000-0005-0000-0000-0000F28B0000}"/>
    <cellStyle name="Note 4 2 2 2 2" xfId="12997" xr:uid="{00000000-0005-0000-0000-0000F38B0000}"/>
    <cellStyle name="Note 4 2 2 2 2 2" xfId="42740" xr:uid="{00000000-0005-0000-0000-0000F48B0000}"/>
    <cellStyle name="Note 4 2 2 2 2 3" xfId="36199" xr:uid="{00000000-0005-0000-0000-0000F58B0000}"/>
    <cellStyle name="Note 4 2 2 2 3" xfId="12998" xr:uid="{00000000-0005-0000-0000-0000F68B0000}"/>
    <cellStyle name="Note 4 2 2 2 3 2" xfId="36200" xr:uid="{00000000-0005-0000-0000-0000F78B0000}"/>
    <cellStyle name="Note 4 2 2 2 4" xfId="12999" xr:uid="{00000000-0005-0000-0000-0000F88B0000}"/>
    <cellStyle name="Note 4 2 2 2 4 2" xfId="42739" xr:uid="{00000000-0005-0000-0000-0000F98B0000}"/>
    <cellStyle name="Note 4 2 2 2 5" xfId="36198" xr:uid="{00000000-0005-0000-0000-0000FA8B0000}"/>
    <cellStyle name="Note 4 2 2 3" xfId="13000" xr:uid="{00000000-0005-0000-0000-0000FB8B0000}"/>
    <cellStyle name="Note 4 2 2 3 2" xfId="36202" xr:uid="{00000000-0005-0000-0000-0000FC8B0000}"/>
    <cellStyle name="Note 4 2 2 3 3" xfId="42741" xr:uid="{00000000-0005-0000-0000-0000FD8B0000}"/>
    <cellStyle name="Note 4 2 2 3 4" xfId="36201" xr:uid="{00000000-0005-0000-0000-0000FE8B0000}"/>
    <cellStyle name="Note 4 2 2 4" xfId="13001" xr:uid="{00000000-0005-0000-0000-0000FF8B0000}"/>
    <cellStyle name="Note 4 2 2 4 2" xfId="36203" xr:uid="{00000000-0005-0000-0000-0000008C0000}"/>
    <cellStyle name="Note 4 2 2 5" xfId="13002" xr:uid="{00000000-0005-0000-0000-0000018C0000}"/>
    <cellStyle name="Note 4 2 2 5 2" xfId="42738" xr:uid="{00000000-0005-0000-0000-0000028C0000}"/>
    <cellStyle name="Note 4 2 2 6" xfId="17153" xr:uid="{00000000-0005-0000-0000-0000038C0000}"/>
    <cellStyle name="Note 4 2 2 7" xfId="16234" xr:uid="{00000000-0005-0000-0000-0000048C0000}"/>
    <cellStyle name="Note 4 2 2 8" xfId="36197" xr:uid="{00000000-0005-0000-0000-0000058C0000}"/>
    <cellStyle name="Note 4 2 3" xfId="6720" xr:uid="{00000000-0005-0000-0000-0000068C0000}"/>
    <cellStyle name="Note 4 2 3 2" xfId="13003" xr:uid="{00000000-0005-0000-0000-0000078C0000}"/>
    <cellStyle name="Note 4 2 3 2 2" xfId="13004" xr:uid="{00000000-0005-0000-0000-0000088C0000}"/>
    <cellStyle name="Note 4 2 3 2 2 2" xfId="42743" xr:uid="{00000000-0005-0000-0000-0000098C0000}"/>
    <cellStyle name="Note 4 2 3 2 3" xfId="13005" xr:uid="{00000000-0005-0000-0000-00000A8C0000}"/>
    <cellStyle name="Note 4 2 3 2 4" xfId="13006" xr:uid="{00000000-0005-0000-0000-00000B8C0000}"/>
    <cellStyle name="Note 4 2 3 2 5" xfId="36205" xr:uid="{00000000-0005-0000-0000-00000C8C0000}"/>
    <cellStyle name="Note 4 2 3 3" xfId="13007" xr:uid="{00000000-0005-0000-0000-00000D8C0000}"/>
    <cellStyle name="Note 4 2 3 3 2" xfId="36206" xr:uid="{00000000-0005-0000-0000-00000E8C0000}"/>
    <cellStyle name="Note 4 2 3 4" xfId="13008" xr:uid="{00000000-0005-0000-0000-00000F8C0000}"/>
    <cellStyle name="Note 4 2 3 4 2" xfId="42742" xr:uid="{00000000-0005-0000-0000-0000108C0000}"/>
    <cellStyle name="Note 4 2 3 5" xfId="13009" xr:uid="{00000000-0005-0000-0000-0000118C0000}"/>
    <cellStyle name="Note 4 2 3 6" xfId="17154" xr:uid="{00000000-0005-0000-0000-0000128C0000}"/>
    <cellStyle name="Note 4 2 3 7" xfId="15356" xr:uid="{00000000-0005-0000-0000-0000138C0000}"/>
    <cellStyle name="Note 4 2 3 8" xfId="36204" xr:uid="{00000000-0005-0000-0000-0000148C0000}"/>
    <cellStyle name="Note 4 2 4" xfId="13010" xr:uid="{00000000-0005-0000-0000-0000158C0000}"/>
    <cellStyle name="Note 4 2 4 2" xfId="13011" xr:uid="{00000000-0005-0000-0000-0000168C0000}"/>
    <cellStyle name="Note 4 2 4 2 2" xfId="36208" xr:uid="{00000000-0005-0000-0000-0000178C0000}"/>
    <cellStyle name="Note 4 2 4 3" xfId="13012" xr:uid="{00000000-0005-0000-0000-0000188C0000}"/>
    <cellStyle name="Note 4 2 4 3 2" xfId="42744" xr:uid="{00000000-0005-0000-0000-0000198C0000}"/>
    <cellStyle name="Note 4 2 4 4" xfId="13013" xr:uid="{00000000-0005-0000-0000-00001A8C0000}"/>
    <cellStyle name="Note 4 2 4 5" xfId="36207" xr:uid="{00000000-0005-0000-0000-00001B8C0000}"/>
    <cellStyle name="Note 4 2 5" xfId="13014" xr:uid="{00000000-0005-0000-0000-00001C8C0000}"/>
    <cellStyle name="Note 4 2 5 2" xfId="42745" xr:uid="{00000000-0005-0000-0000-00001D8C0000}"/>
    <cellStyle name="Note 4 2 5 3" xfId="36209" xr:uid="{00000000-0005-0000-0000-00001E8C0000}"/>
    <cellStyle name="Note 4 2 6" xfId="13015" xr:uid="{00000000-0005-0000-0000-00001F8C0000}"/>
    <cellStyle name="Note 4 2 6 2" xfId="36210" xr:uid="{00000000-0005-0000-0000-0000208C0000}"/>
    <cellStyle name="Note 4 2 7" xfId="13016" xr:uid="{00000000-0005-0000-0000-0000218C0000}"/>
    <cellStyle name="Note 4 2 7 2" xfId="42737" xr:uid="{00000000-0005-0000-0000-0000228C0000}"/>
    <cellStyle name="Note 4 2 8" xfId="16005" xr:uid="{00000000-0005-0000-0000-0000238C0000}"/>
    <cellStyle name="Note 4 2 9" xfId="17937" xr:uid="{00000000-0005-0000-0000-0000248C0000}"/>
    <cellStyle name="Note 4 3" xfId="6721" xr:uid="{00000000-0005-0000-0000-0000258C0000}"/>
    <cellStyle name="Note 4 3 10" xfId="36211" xr:uid="{00000000-0005-0000-0000-0000268C0000}"/>
    <cellStyle name="Note 4 3 2" xfId="6722" xr:uid="{00000000-0005-0000-0000-0000278C0000}"/>
    <cellStyle name="Note 4 3 2 2" xfId="13017" xr:uid="{00000000-0005-0000-0000-0000288C0000}"/>
    <cellStyle name="Note 4 3 2 2 2" xfId="13018" xr:uid="{00000000-0005-0000-0000-0000298C0000}"/>
    <cellStyle name="Note 4 3 2 2 3" xfId="13019" xr:uid="{00000000-0005-0000-0000-00002A8C0000}"/>
    <cellStyle name="Note 4 3 2 2 4" xfId="13020" xr:uid="{00000000-0005-0000-0000-00002B8C0000}"/>
    <cellStyle name="Note 4 3 2 3" xfId="13021" xr:uid="{00000000-0005-0000-0000-00002C8C0000}"/>
    <cellStyle name="Note 4 3 2 4" xfId="13022" xr:uid="{00000000-0005-0000-0000-00002D8C0000}"/>
    <cellStyle name="Note 4 3 2 5" xfId="13023" xr:uid="{00000000-0005-0000-0000-00002E8C0000}"/>
    <cellStyle name="Note 4 3 2 6" xfId="17155" xr:uid="{00000000-0005-0000-0000-00002F8C0000}"/>
    <cellStyle name="Note 4 3 2 7" xfId="17667" xr:uid="{00000000-0005-0000-0000-0000308C0000}"/>
    <cellStyle name="Note 4 3 2 8" xfId="36212" xr:uid="{00000000-0005-0000-0000-0000318C0000}"/>
    <cellStyle name="Note 4 3 3" xfId="6723" xr:uid="{00000000-0005-0000-0000-0000328C0000}"/>
    <cellStyle name="Note 4 3 3 2" xfId="13024" xr:uid="{00000000-0005-0000-0000-0000338C0000}"/>
    <cellStyle name="Note 4 3 3 2 2" xfId="13025" xr:uid="{00000000-0005-0000-0000-0000348C0000}"/>
    <cellStyle name="Note 4 3 3 2 3" xfId="13026" xr:uid="{00000000-0005-0000-0000-0000358C0000}"/>
    <cellStyle name="Note 4 3 3 2 4" xfId="13027" xr:uid="{00000000-0005-0000-0000-0000368C0000}"/>
    <cellStyle name="Note 4 3 3 3" xfId="13028" xr:uid="{00000000-0005-0000-0000-0000378C0000}"/>
    <cellStyle name="Note 4 3 3 4" xfId="13029" xr:uid="{00000000-0005-0000-0000-0000388C0000}"/>
    <cellStyle name="Note 4 3 3 5" xfId="13030" xr:uid="{00000000-0005-0000-0000-0000398C0000}"/>
    <cellStyle name="Note 4 3 3 6" xfId="17156" xr:uid="{00000000-0005-0000-0000-00003A8C0000}"/>
    <cellStyle name="Note 4 3 3 7" xfId="16233" xr:uid="{00000000-0005-0000-0000-00003B8C0000}"/>
    <cellStyle name="Note 4 3 3 8" xfId="42746" xr:uid="{00000000-0005-0000-0000-00003C8C0000}"/>
    <cellStyle name="Note 4 3 4" xfId="13031" xr:uid="{00000000-0005-0000-0000-00003D8C0000}"/>
    <cellStyle name="Note 4 3 4 2" xfId="13032" xr:uid="{00000000-0005-0000-0000-00003E8C0000}"/>
    <cellStyle name="Note 4 3 4 3" xfId="13033" xr:uid="{00000000-0005-0000-0000-00003F8C0000}"/>
    <cellStyle name="Note 4 3 4 4" xfId="13034" xr:uid="{00000000-0005-0000-0000-0000408C0000}"/>
    <cellStyle name="Note 4 3 5" xfId="13035" xr:uid="{00000000-0005-0000-0000-0000418C0000}"/>
    <cellStyle name="Note 4 3 6" xfId="13036" xr:uid="{00000000-0005-0000-0000-0000428C0000}"/>
    <cellStyle name="Note 4 3 7" xfId="13037" xr:uid="{00000000-0005-0000-0000-0000438C0000}"/>
    <cellStyle name="Note 4 3 8" xfId="16006" xr:uid="{00000000-0005-0000-0000-0000448C0000}"/>
    <cellStyle name="Note 4 3 9" xfId="16507" xr:uid="{00000000-0005-0000-0000-0000458C0000}"/>
    <cellStyle name="Note 4 4" xfId="6724" xr:uid="{00000000-0005-0000-0000-0000468C0000}"/>
    <cellStyle name="Note 4 4 2" xfId="13038" xr:uid="{00000000-0005-0000-0000-0000478C0000}"/>
    <cellStyle name="Note 4 4 2 2" xfId="13039" xr:uid="{00000000-0005-0000-0000-0000488C0000}"/>
    <cellStyle name="Note 4 4 2 3" xfId="13040" xr:uid="{00000000-0005-0000-0000-0000498C0000}"/>
    <cellStyle name="Note 4 4 2 4" xfId="13041" xr:uid="{00000000-0005-0000-0000-00004A8C0000}"/>
    <cellStyle name="Note 4 4 2 5" xfId="36214" xr:uid="{00000000-0005-0000-0000-00004B8C0000}"/>
    <cellStyle name="Note 4 4 3" xfId="13042" xr:uid="{00000000-0005-0000-0000-00004C8C0000}"/>
    <cellStyle name="Note 4 4 3 2" xfId="42747" xr:uid="{00000000-0005-0000-0000-00004D8C0000}"/>
    <cellStyle name="Note 4 4 4" xfId="13043" xr:uid="{00000000-0005-0000-0000-00004E8C0000}"/>
    <cellStyle name="Note 4 4 5" xfId="13044" xr:uid="{00000000-0005-0000-0000-00004F8C0000}"/>
    <cellStyle name="Note 4 4 6" xfId="17157" xr:uid="{00000000-0005-0000-0000-0000508C0000}"/>
    <cellStyle name="Note 4 4 7" xfId="15355" xr:uid="{00000000-0005-0000-0000-0000518C0000}"/>
    <cellStyle name="Note 4 4 8" xfId="36213" xr:uid="{00000000-0005-0000-0000-0000528C0000}"/>
    <cellStyle name="Note 4 5" xfId="6725" xr:uid="{00000000-0005-0000-0000-0000538C0000}"/>
    <cellStyle name="Note 4 5 10" xfId="36215" xr:uid="{00000000-0005-0000-0000-0000548C0000}"/>
    <cellStyle name="Note 4 5 2" xfId="6726" xr:uid="{00000000-0005-0000-0000-0000558C0000}"/>
    <cellStyle name="Note 4 5 2 2" xfId="13045" xr:uid="{00000000-0005-0000-0000-0000568C0000}"/>
    <cellStyle name="Note 4 5 2 2 2" xfId="13046" xr:uid="{00000000-0005-0000-0000-0000578C0000}"/>
    <cellStyle name="Note 4 5 2 2 3" xfId="13047" xr:uid="{00000000-0005-0000-0000-0000588C0000}"/>
    <cellStyle name="Note 4 5 2 2 4" xfId="13048" xr:uid="{00000000-0005-0000-0000-0000598C0000}"/>
    <cellStyle name="Note 4 5 2 3" xfId="13049" xr:uid="{00000000-0005-0000-0000-00005A8C0000}"/>
    <cellStyle name="Note 4 5 2 4" xfId="13050" xr:uid="{00000000-0005-0000-0000-00005B8C0000}"/>
    <cellStyle name="Note 4 5 2 5" xfId="13051" xr:uid="{00000000-0005-0000-0000-00005C8C0000}"/>
    <cellStyle name="Note 4 5 2 6" xfId="17993" xr:uid="{00000000-0005-0000-0000-00005D8C0000}"/>
    <cellStyle name="Note 4 5 2 7" xfId="19239" xr:uid="{00000000-0005-0000-0000-00005E8C0000}"/>
    <cellStyle name="Note 4 5 2 8" xfId="42748" xr:uid="{00000000-0005-0000-0000-00005F8C0000}"/>
    <cellStyle name="Note 4 5 3" xfId="6727" xr:uid="{00000000-0005-0000-0000-0000608C0000}"/>
    <cellStyle name="Note 4 5 3 2" xfId="13052" xr:uid="{00000000-0005-0000-0000-0000618C0000}"/>
    <cellStyle name="Note 4 5 3 3" xfId="13053" xr:uid="{00000000-0005-0000-0000-0000628C0000}"/>
    <cellStyle name="Note 4 5 3 4" xfId="13054" xr:uid="{00000000-0005-0000-0000-0000638C0000}"/>
    <cellStyle name="Note 4 5 3 5" xfId="18291" xr:uid="{00000000-0005-0000-0000-0000648C0000}"/>
    <cellStyle name="Note 4 5 3 6" xfId="19255" xr:uid="{00000000-0005-0000-0000-0000658C0000}"/>
    <cellStyle name="Note 4 5 4" xfId="6728" xr:uid="{00000000-0005-0000-0000-0000668C0000}"/>
    <cellStyle name="Note 4 5 4 2" xfId="6729" xr:uid="{00000000-0005-0000-0000-0000678C0000}"/>
    <cellStyle name="Note 4 5 4 2 2" xfId="13055" xr:uid="{00000000-0005-0000-0000-0000688C0000}"/>
    <cellStyle name="Note 4 5 4 2 3" xfId="13056" xr:uid="{00000000-0005-0000-0000-0000698C0000}"/>
    <cellStyle name="Note 4 5 4 2 4" xfId="13057" xr:uid="{00000000-0005-0000-0000-00006A8C0000}"/>
    <cellStyle name="Note 4 5 4 2 5" xfId="18792" xr:uid="{00000000-0005-0000-0000-00006B8C0000}"/>
    <cellStyle name="Note 4 5 4 2 6" xfId="19258" xr:uid="{00000000-0005-0000-0000-00006C8C0000}"/>
    <cellStyle name="Note 4 5 4 3" xfId="13058" xr:uid="{00000000-0005-0000-0000-00006D8C0000}"/>
    <cellStyle name="Note 4 5 4 4" xfId="13059" xr:uid="{00000000-0005-0000-0000-00006E8C0000}"/>
    <cellStyle name="Note 4 5 4 5" xfId="13060" xr:uid="{00000000-0005-0000-0000-00006F8C0000}"/>
    <cellStyle name="Note 4 5 4 6" xfId="18265" xr:uid="{00000000-0005-0000-0000-0000708C0000}"/>
    <cellStyle name="Note 4 5 4 7" xfId="19251" xr:uid="{00000000-0005-0000-0000-0000718C0000}"/>
    <cellStyle name="Note 4 5 5" xfId="13061" xr:uid="{00000000-0005-0000-0000-0000728C0000}"/>
    <cellStyle name="Note 4 5 6" xfId="13062" xr:uid="{00000000-0005-0000-0000-0000738C0000}"/>
    <cellStyle name="Note 4 5 7" xfId="13063" xr:uid="{00000000-0005-0000-0000-0000748C0000}"/>
    <cellStyle name="Note 4 5 8" xfId="17158" xr:uid="{00000000-0005-0000-0000-0000758C0000}"/>
    <cellStyle name="Note 4 5 9" xfId="17666" xr:uid="{00000000-0005-0000-0000-0000768C0000}"/>
    <cellStyle name="Note 4 6" xfId="13064" xr:uid="{00000000-0005-0000-0000-0000778C0000}"/>
    <cellStyle name="Note 4 6 2" xfId="13065" xr:uid="{00000000-0005-0000-0000-0000788C0000}"/>
    <cellStyle name="Note 4 6 2 2" xfId="42749" xr:uid="{00000000-0005-0000-0000-0000798C0000}"/>
    <cellStyle name="Note 4 6 3" xfId="13066" xr:uid="{00000000-0005-0000-0000-00007A8C0000}"/>
    <cellStyle name="Note 4 6 4" xfId="13067" xr:uid="{00000000-0005-0000-0000-00007B8C0000}"/>
    <cellStyle name="Note 4 6 5" xfId="36216" xr:uid="{00000000-0005-0000-0000-00007C8C0000}"/>
    <cellStyle name="Note 4 7" xfId="13068" xr:uid="{00000000-0005-0000-0000-00007D8C0000}"/>
    <cellStyle name="Note 4 7 2" xfId="42750" xr:uid="{00000000-0005-0000-0000-00007E8C0000}"/>
    <cellStyle name="Note 4 7 3" xfId="36217" xr:uid="{00000000-0005-0000-0000-00007F8C0000}"/>
    <cellStyle name="Note 4 8" xfId="13069" xr:uid="{00000000-0005-0000-0000-0000808C0000}"/>
    <cellStyle name="Note 4 8 2" xfId="36218" xr:uid="{00000000-0005-0000-0000-0000818C0000}"/>
    <cellStyle name="Note 4 9" xfId="13070" xr:uid="{00000000-0005-0000-0000-0000828C0000}"/>
    <cellStyle name="Note 4 9 2" xfId="42736" xr:uid="{00000000-0005-0000-0000-0000838C0000}"/>
    <cellStyle name="Note 5" xfId="6730" xr:uid="{00000000-0005-0000-0000-0000848C0000}"/>
    <cellStyle name="Note 5 2" xfId="6731" xr:uid="{00000000-0005-0000-0000-0000858C0000}"/>
    <cellStyle name="Note 5 2 10" xfId="36220" xr:uid="{00000000-0005-0000-0000-0000868C0000}"/>
    <cellStyle name="Note 5 2 2" xfId="6732" xr:uid="{00000000-0005-0000-0000-0000878C0000}"/>
    <cellStyle name="Note 5 2 2 2" xfId="13071" xr:uid="{00000000-0005-0000-0000-0000888C0000}"/>
    <cellStyle name="Note 5 2 2 2 2" xfId="13072" xr:uid="{00000000-0005-0000-0000-0000898C0000}"/>
    <cellStyle name="Note 5 2 2 2 2 2" xfId="42755" xr:uid="{00000000-0005-0000-0000-00008A8C0000}"/>
    <cellStyle name="Note 5 2 2 2 2 3" xfId="36223" xr:uid="{00000000-0005-0000-0000-00008B8C0000}"/>
    <cellStyle name="Note 5 2 2 2 3" xfId="13073" xr:uid="{00000000-0005-0000-0000-00008C8C0000}"/>
    <cellStyle name="Note 5 2 2 2 3 2" xfId="42754" xr:uid="{00000000-0005-0000-0000-00008D8C0000}"/>
    <cellStyle name="Note 5 2 2 2 4" xfId="13074" xr:uid="{00000000-0005-0000-0000-00008E8C0000}"/>
    <cellStyle name="Note 5 2 2 2 5" xfId="36222" xr:uid="{00000000-0005-0000-0000-00008F8C0000}"/>
    <cellStyle name="Note 5 2 2 3" xfId="13075" xr:uid="{00000000-0005-0000-0000-0000908C0000}"/>
    <cellStyle name="Note 5 2 2 3 2" xfId="42756" xr:uid="{00000000-0005-0000-0000-0000918C0000}"/>
    <cellStyle name="Note 5 2 2 3 3" xfId="36224" xr:uid="{00000000-0005-0000-0000-0000928C0000}"/>
    <cellStyle name="Note 5 2 2 4" xfId="13076" xr:uid="{00000000-0005-0000-0000-0000938C0000}"/>
    <cellStyle name="Note 5 2 2 4 2" xfId="42753" xr:uid="{00000000-0005-0000-0000-0000948C0000}"/>
    <cellStyle name="Note 5 2 2 5" xfId="13077" xr:uid="{00000000-0005-0000-0000-0000958C0000}"/>
    <cellStyle name="Note 5 2 2 6" xfId="17159" xr:uid="{00000000-0005-0000-0000-0000968C0000}"/>
    <cellStyle name="Note 5 2 2 7" xfId="16232" xr:uid="{00000000-0005-0000-0000-0000978C0000}"/>
    <cellStyle name="Note 5 2 2 8" xfId="36221" xr:uid="{00000000-0005-0000-0000-0000988C0000}"/>
    <cellStyle name="Note 5 2 3" xfId="6733" xr:uid="{00000000-0005-0000-0000-0000998C0000}"/>
    <cellStyle name="Note 5 2 3 2" xfId="13078" xr:uid="{00000000-0005-0000-0000-00009A8C0000}"/>
    <cellStyle name="Note 5 2 3 2 2" xfId="13079" xr:uid="{00000000-0005-0000-0000-00009B8C0000}"/>
    <cellStyle name="Note 5 2 3 2 2 2" xfId="42758" xr:uid="{00000000-0005-0000-0000-00009C8C0000}"/>
    <cellStyle name="Note 5 2 3 2 3" xfId="13080" xr:uid="{00000000-0005-0000-0000-00009D8C0000}"/>
    <cellStyle name="Note 5 2 3 2 4" xfId="13081" xr:uid="{00000000-0005-0000-0000-00009E8C0000}"/>
    <cellStyle name="Note 5 2 3 2 5" xfId="36226" xr:uid="{00000000-0005-0000-0000-00009F8C0000}"/>
    <cellStyle name="Note 5 2 3 3" xfId="13082" xr:uid="{00000000-0005-0000-0000-0000A08C0000}"/>
    <cellStyle name="Note 5 2 3 3 2" xfId="42757" xr:uid="{00000000-0005-0000-0000-0000A18C0000}"/>
    <cellStyle name="Note 5 2 3 4" xfId="13083" xr:uid="{00000000-0005-0000-0000-0000A28C0000}"/>
    <cellStyle name="Note 5 2 3 5" xfId="13084" xr:uid="{00000000-0005-0000-0000-0000A38C0000}"/>
    <cellStyle name="Note 5 2 3 6" xfId="17160" xr:uid="{00000000-0005-0000-0000-0000A48C0000}"/>
    <cellStyle name="Note 5 2 3 7" xfId="15354" xr:uid="{00000000-0005-0000-0000-0000A58C0000}"/>
    <cellStyle name="Note 5 2 3 8" xfId="36225" xr:uid="{00000000-0005-0000-0000-0000A68C0000}"/>
    <cellStyle name="Note 5 2 4" xfId="13085" xr:uid="{00000000-0005-0000-0000-0000A78C0000}"/>
    <cellStyle name="Note 5 2 4 2" xfId="13086" xr:uid="{00000000-0005-0000-0000-0000A88C0000}"/>
    <cellStyle name="Note 5 2 4 2 2" xfId="42759" xr:uid="{00000000-0005-0000-0000-0000A98C0000}"/>
    <cellStyle name="Note 5 2 4 3" xfId="13087" xr:uid="{00000000-0005-0000-0000-0000AA8C0000}"/>
    <cellStyle name="Note 5 2 4 4" xfId="13088" xr:uid="{00000000-0005-0000-0000-0000AB8C0000}"/>
    <cellStyle name="Note 5 2 4 5" xfId="36227" xr:uid="{00000000-0005-0000-0000-0000AC8C0000}"/>
    <cellStyle name="Note 5 2 5" xfId="13089" xr:uid="{00000000-0005-0000-0000-0000AD8C0000}"/>
    <cellStyle name="Note 5 2 5 2" xfId="42760" xr:uid="{00000000-0005-0000-0000-0000AE8C0000}"/>
    <cellStyle name="Note 5 2 5 3" xfId="36228" xr:uid="{00000000-0005-0000-0000-0000AF8C0000}"/>
    <cellStyle name="Note 5 2 6" xfId="13090" xr:uid="{00000000-0005-0000-0000-0000B08C0000}"/>
    <cellStyle name="Note 5 2 6 2" xfId="36229" xr:uid="{00000000-0005-0000-0000-0000B18C0000}"/>
    <cellStyle name="Note 5 2 7" xfId="13091" xr:uid="{00000000-0005-0000-0000-0000B28C0000}"/>
    <cellStyle name="Note 5 2 7 2" xfId="42752" xr:uid="{00000000-0005-0000-0000-0000B38C0000}"/>
    <cellStyle name="Note 5 2 8" xfId="16007" xr:uid="{00000000-0005-0000-0000-0000B48C0000}"/>
    <cellStyle name="Note 5 2 9" xfId="15680" xr:uid="{00000000-0005-0000-0000-0000B58C0000}"/>
    <cellStyle name="Note 5 3" xfId="6734" xr:uid="{00000000-0005-0000-0000-0000B68C0000}"/>
    <cellStyle name="Note 5 3 10" xfId="36230" xr:uid="{00000000-0005-0000-0000-0000B78C0000}"/>
    <cellStyle name="Note 5 3 2" xfId="6735" xr:uid="{00000000-0005-0000-0000-0000B88C0000}"/>
    <cellStyle name="Note 5 3 2 2" xfId="13092" xr:uid="{00000000-0005-0000-0000-0000B98C0000}"/>
    <cellStyle name="Note 5 3 2 2 2" xfId="13093" xr:uid="{00000000-0005-0000-0000-0000BA8C0000}"/>
    <cellStyle name="Note 5 3 2 2 3" xfId="13094" xr:uid="{00000000-0005-0000-0000-0000BB8C0000}"/>
    <cellStyle name="Note 5 3 2 2 4" xfId="13095" xr:uid="{00000000-0005-0000-0000-0000BC8C0000}"/>
    <cellStyle name="Note 5 3 2 3" xfId="13096" xr:uid="{00000000-0005-0000-0000-0000BD8C0000}"/>
    <cellStyle name="Note 5 3 2 4" xfId="13097" xr:uid="{00000000-0005-0000-0000-0000BE8C0000}"/>
    <cellStyle name="Note 5 3 2 5" xfId="13098" xr:uid="{00000000-0005-0000-0000-0000BF8C0000}"/>
    <cellStyle name="Note 5 3 2 6" xfId="17161" xr:uid="{00000000-0005-0000-0000-0000C08C0000}"/>
    <cellStyle name="Note 5 3 2 7" xfId="17665" xr:uid="{00000000-0005-0000-0000-0000C18C0000}"/>
    <cellStyle name="Note 5 3 2 8" xfId="36231" xr:uid="{00000000-0005-0000-0000-0000C28C0000}"/>
    <cellStyle name="Note 5 3 3" xfId="6736" xr:uid="{00000000-0005-0000-0000-0000C38C0000}"/>
    <cellStyle name="Note 5 3 3 2" xfId="13099" xr:uid="{00000000-0005-0000-0000-0000C48C0000}"/>
    <cellStyle name="Note 5 3 3 2 2" xfId="13100" xr:uid="{00000000-0005-0000-0000-0000C58C0000}"/>
    <cellStyle name="Note 5 3 3 2 3" xfId="13101" xr:uid="{00000000-0005-0000-0000-0000C68C0000}"/>
    <cellStyle name="Note 5 3 3 2 4" xfId="13102" xr:uid="{00000000-0005-0000-0000-0000C78C0000}"/>
    <cellStyle name="Note 5 3 3 3" xfId="13103" xr:uid="{00000000-0005-0000-0000-0000C88C0000}"/>
    <cellStyle name="Note 5 3 3 4" xfId="13104" xr:uid="{00000000-0005-0000-0000-0000C98C0000}"/>
    <cellStyle name="Note 5 3 3 5" xfId="13105" xr:uid="{00000000-0005-0000-0000-0000CA8C0000}"/>
    <cellStyle name="Note 5 3 3 6" xfId="17162" xr:uid="{00000000-0005-0000-0000-0000CB8C0000}"/>
    <cellStyle name="Note 5 3 3 7" xfId="16231" xr:uid="{00000000-0005-0000-0000-0000CC8C0000}"/>
    <cellStyle name="Note 5 3 3 8" xfId="42761" xr:uid="{00000000-0005-0000-0000-0000CD8C0000}"/>
    <cellStyle name="Note 5 3 4" xfId="13106" xr:uid="{00000000-0005-0000-0000-0000CE8C0000}"/>
    <cellStyle name="Note 5 3 4 2" xfId="13107" xr:uid="{00000000-0005-0000-0000-0000CF8C0000}"/>
    <cellStyle name="Note 5 3 4 3" xfId="13108" xr:uid="{00000000-0005-0000-0000-0000D08C0000}"/>
    <cellStyle name="Note 5 3 4 4" xfId="13109" xr:uid="{00000000-0005-0000-0000-0000D18C0000}"/>
    <cellStyle name="Note 5 3 5" xfId="13110" xr:uid="{00000000-0005-0000-0000-0000D28C0000}"/>
    <cellStyle name="Note 5 3 6" xfId="13111" xr:uid="{00000000-0005-0000-0000-0000D38C0000}"/>
    <cellStyle name="Note 5 3 7" xfId="13112" xr:uid="{00000000-0005-0000-0000-0000D48C0000}"/>
    <cellStyle name="Note 5 3 8" xfId="16008" xr:uid="{00000000-0005-0000-0000-0000D58C0000}"/>
    <cellStyle name="Note 5 3 9" xfId="17936" xr:uid="{00000000-0005-0000-0000-0000D68C0000}"/>
    <cellStyle name="Note 5 4" xfId="6737" xr:uid="{00000000-0005-0000-0000-0000D78C0000}"/>
    <cellStyle name="Note 5 4 2" xfId="6738" xr:uid="{00000000-0005-0000-0000-0000D88C0000}"/>
    <cellStyle name="Note 5 4 2 2" xfId="6739" xr:uid="{00000000-0005-0000-0000-0000D98C0000}"/>
    <cellStyle name="Note 5 4 2 2 2" xfId="18987" xr:uid="{00000000-0005-0000-0000-0000DA8C0000}"/>
    <cellStyle name="Note 5 4 2 3" xfId="18469" xr:uid="{00000000-0005-0000-0000-0000DB8C0000}"/>
    <cellStyle name="Note 5 4 2 4" xfId="42762" xr:uid="{00000000-0005-0000-0000-0000DC8C0000}"/>
    <cellStyle name="Note 5 4 3" xfId="6740" xr:uid="{00000000-0005-0000-0000-0000DD8C0000}"/>
    <cellStyle name="Note 5 4 3 2" xfId="18705" xr:uid="{00000000-0005-0000-0000-0000DE8C0000}"/>
    <cellStyle name="Note 5 4 4" xfId="18178" xr:uid="{00000000-0005-0000-0000-0000DF8C0000}"/>
    <cellStyle name="Note 5 4 5" xfId="36232" xr:uid="{00000000-0005-0000-0000-0000E08C0000}"/>
    <cellStyle name="Note 5 5" xfId="6741" xr:uid="{00000000-0005-0000-0000-0000E18C0000}"/>
    <cellStyle name="Note 5 5 2" xfId="6742" xr:uid="{00000000-0005-0000-0000-0000E28C0000}"/>
    <cellStyle name="Note 5 5 2 2" xfId="18867" xr:uid="{00000000-0005-0000-0000-0000E38C0000}"/>
    <cellStyle name="Note 5 5 2 3" xfId="42763" xr:uid="{00000000-0005-0000-0000-0000E48C0000}"/>
    <cellStyle name="Note 5 5 3" xfId="18346" xr:uid="{00000000-0005-0000-0000-0000E58C0000}"/>
    <cellStyle name="Note 5 5 4" xfId="36233" xr:uid="{00000000-0005-0000-0000-0000E68C0000}"/>
    <cellStyle name="Note 5 6" xfId="6743" xr:uid="{00000000-0005-0000-0000-0000E78C0000}"/>
    <cellStyle name="Note 5 6 2" xfId="18588" xr:uid="{00000000-0005-0000-0000-0000E88C0000}"/>
    <cellStyle name="Note 5 6 2 2" xfId="42764" xr:uid="{00000000-0005-0000-0000-0000E98C0000}"/>
    <cellStyle name="Note 5 6 3" xfId="36234" xr:uid="{00000000-0005-0000-0000-0000EA8C0000}"/>
    <cellStyle name="Note 5 7" xfId="18030" xr:uid="{00000000-0005-0000-0000-0000EB8C0000}"/>
    <cellStyle name="Note 5 7 2" xfId="36235" xr:uid="{00000000-0005-0000-0000-0000EC8C0000}"/>
    <cellStyle name="Note 5 8" xfId="42751" xr:uid="{00000000-0005-0000-0000-0000ED8C0000}"/>
    <cellStyle name="Note 5 9" xfId="36219" xr:uid="{00000000-0005-0000-0000-0000EE8C0000}"/>
    <cellStyle name="Note 6" xfId="6744" xr:uid="{00000000-0005-0000-0000-0000EF8C0000}"/>
    <cellStyle name="Note 6 10" xfId="36236" xr:uid="{00000000-0005-0000-0000-0000F08C0000}"/>
    <cellStyle name="Note 6 2" xfId="6745" xr:uid="{00000000-0005-0000-0000-0000F18C0000}"/>
    <cellStyle name="Note 6 2 10" xfId="36237" xr:uid="{00000000-0005-0000-0000-0000F28C0000}"/>
    <cellStyle name="Note 6 2 2" xfId="6746" xr:uid="{00000000-0005-0000-0000-0000F38C0000}"/>
    <cellStyle name="Note 6 2 2 2" xfId="13113" xr:uid="{00000000-0005-0000-0000-0000F48C0000}"/>
    <cellStyle name="Note 6 2 2 2 2" xfId="13114" xr:uid="{00000000-0005-0000-0000-0000F58C0000}"/>
    <cellStyle name="Note 6 2 2 2 3" xfId="13115" xr:uid="{00000000-0005-0000-0000-0000F68C0000}"/>
    <cellStyle name="Note 6 2 2 2 4" xfId="13116" xr:uid="{00000000-0005-0000-0000-0000F78C0000}"/>
    <cellStyle name="Note 6 2 2 3" xfId="13117" xr:uid="{00000000-0005-0000-0000-0000F88C0000}"/>
    <cellStyle name="Note 6 2 2 4" xfId="13118" xr:uid="{00000000-0005-0000-0000-0000F98C0000}"/>
    <cellStyle name="Note 6 2 2 5" xfId="13119" xr:uid="{00000000-0005-0000-0000-0000FA8C0000}"/>
    <cellStyle name="Note 6 2 2 6" xfId="17163" xr:uid="{00000000-0005-0000-0000-0000FB8C0000}"/>
    <cellStyle name="Note 6 2 2 7" xfId="15353" xr:uid="{00000000-0005-0000-0000-0000FC8C0000}"/>
    <cellStyle name="Note 6 2 2 8" xfId="36238" xr:uid="{00000000-0005-0000-0000-0000FD8C0000}"/>
    <cellStyle name="Note 6 2 3" xfId="6747" xr:uid="{00000000-0005-0000-0000-0000FE8C0000}"/>
    <cellStyle name="Note 6 2 3 2" xfId="13120" xr:uid="{00000000-0005-0000-0000-0000FF8C0000}"/>
    <cellStyle name="Note 6 2 3 2 2" xfId="13121" xr:uid="{00000000-0005-0000-0000-0000008D0000}"/>
    <cellStyle name="Note 6 2 3 2 3" xfId="13122" xr:uid="{00000000-0005-0000-0000-0000018D0000}"/>
    <cellStyle name="Note 6 2 3 2 4" xfId="13123" xr:uid="{00000000-0005-0000-0000-0000028D0000}"/>
    <cellStyle name="Note 6 2 3 3" xfId="13124" xr:uid="{00000000-0005-0000-0000-0000038D0000}"/>
    <cellStyle name="Note 6 2 3 4" xfId="13125" xr:uid="{00000000-0005-0000-0000-0000048D0000}"/>
    <cellStyle name="Note 6 2 3 5" xfId="13126" xr:uid="{00000000-0005-0000-0000-0000058D0000}"/>
    <cellStyle name="Note 6 2 3 6" xfId="17164" xr:uid="{00000000-0005-0000-0000-0000068D0000}"/>
    <cellStyle name="Note 6 2 3 7" xfId="16103" xr:uid="{00000000-0005-0000-0000-0000078D0000}"/>
    <cellStyle name="Note 6 2 3 8" xfId="42766" xr:uid="{00000000-0005-0000-0000-0000088D0000}"/>
    <cellStyle name="Note 6 2 4" xfId="13127" xr:uid="{00000000-0005-0000-0000-0000098D0000}"/>
    <cellStyle name="Note 6 2 4 2" xfId="13128" xr:uid="{00000000-0005-0000-0000-00000A8D0000}"/>
    <cellStyle name="Note 6 2 4 3" xfId="13129" xr:uid="{00000000-0005-0000-0000-00000B8D0000}"/>
    <cellStyle name="Note 6 2 4 4" xfId="13130" xr:uid="{00000000-0005-0000-0000-00000C8D0000}"/>
    <cellStyle name="Note 6 2 5" xfId="13131" xr:uid="{00000000-0005-0000-0000-00000D8D0000}"/>
    <cellStyle name="Note 6 2 6" xfId="13132" xr:uid="{00000000-0005-0000-0000-00000E8D0000}"/>
    <cellStyle name="Note 6 2 7" xfId="13133" xr:uid="{00000000-0005-0000-0000-00000F8D0000}"/>
    <cellStyle name="Note 6 2 8" xfId="16009" xr:uid="{00000000-0005-0000-0000-0000108D0000}"/>
    <cellStyle name="Note 6 2 9" xfId="16506" xr:uid="{00000000-0005-0000-0000-0000118D0000}"/>
    <cellStyle name="Note 6 3" xfId="6748" xr:uid="{00000000-0005-0000-0000-0000128D0000}"/>
    <cellStyle name="Note 6 3 10" xfId="36239" xr:uid="{00000000-0005-0000-0000-0000138D0000}"/>
    <cellStyle name="Note 6 3 2" xfId="6749" xr:uid="{00000000-0005-0000-0000-0000148D0000}"/>
    <cellStyle name="Note 6 3 2 2" xfId="13134" xr:uid="{00000000-0005-0000-0000-0000158D0000}"/>
    <cellStyle name="Note 6 3 2 2 2" xfId="13135" xr:uid="{00000000-0005-0000-0000-0000168D0000}"/>
    <cellStyle name="Note 6 3 2 2 2 2" xfId="42769" xr:uid="{00000000-0005-0000-0000-0000178D0000}"/>
    <cellStyle name="Note 6 3 2 2 3" xfId="13136" xr:uid="{00000000-0005-0000-0000-0000188D0000}"/>
    <cellStyle name="Note 6 3 2 2 4" xfId="13137" xr:uid="{00000000-0005-0000-0000-0000198D0000}"/>
    <cellStyle name="Note 6 3 2 2 5" xfId="36241" xr:uid="{00000000-0005-0000-0000-00001A8D0000}"/>
    <cellStyle name="Note 6 3 2 3" xfId="13138" xr:uid="{00000000-0005-0000-0000-00001B8D0000}"/>
    <cellStyle name="Note 6 3 2 3 2" xfId="42768" xr:uid="{00000000-0005-0000-0000-00001C8D0000}"/>
    <cellStyle name="Note 6 3 2 4" xfId="13139" xr:uid="{00000000-0005-0000-0000-00001D8D0000}"/>
    <cellStyle name="Note 6 3 2 5" xfId="13140" xr:uid="{00000000-0005-0000-0000-00001E8D0000}"/>
    <cellStyle name="Note 6 3 2 6" xfId="17165" xr:uid="{00000000-0005-0000-0000-00001F8D0000}"/>
    <cellStyle name="Note 6 3 2 7" xfId="17664" xr:uid="{00000000-0005-0000-0000-0000208D0000}"/>
    <cellStyle name="Note 6 3 2 8" xfId="36240" xr:uid="{00000000-0005-0000-0000-0000218D0000}"/>
    <cellStyle name="Note 6 3 3" xfId="6750" xr:uid="{00000000-0005-0000-0000-0000228D0000}"/>
    <cellStyle name="Note 6 3 3 2" xfId="13141" xr:uid="{00000000-0005-0000-0000-0000238D0000}"/>
    <cellStyle name="Note 6 3 3 2 2" xfId="13142" xr:uid="{00000000-0005-0000-0000-0000248D0000}"/>
    <cellStyle name="Note 6 3 3 2 3" xfId="13143" xr:uid="{00000000-0005-0000-0000-0000258D0000}"/>
    <cellStyle name="Note 6 3 3 2 4" xfId="13144" xr:uid="{00000000-0005-0000-0000-0000268D0000}"/>
    <cellStyle name="Note 6 3 3 2 5" xfId="42770" xr:uid="{00000000-0005-0000-0000-0000278D0000}"/>
    <cellStyle name="Note 6 3 3 3" xfId="13145" xr:uid="{00000000-0005-0000-0000-0000288D0000}"/>
    <cellStyle name="Note 6 3 3 4" xfId="13146" xr:uid="{00000000-0005-0000-0000-0000298D0000}"/>
    <cellStyle name="Note 6 3 3 5" xfId="13147" xr:uid="{00000000-0005-0000-0000-00002A8D0000}"/>
    <cellStyle name="Note 6 3 3 6" xfId="17166" xr:uid="{00000000-0005-0000-0000-00002B8D0000}"/>
    <cellStyle name="Note 6 3 3 7" xfId="16230" xr:uid="{00000000-0005-0000-0000-00002C8D0000}"/>
    <cellStyle name="Note 6 3 3 8" xfId="36242" xr:uid="{00000000-0005-0000-0000-00002D8D0000}"/>
    <cellStyle name="Note 6 3 4" xfId="13148" xr:uid="{00000000-0005-0000-0000-00002E8D0000}"/>
    <cellStyle name="Note 6 3 4 2" xfId="13149" xr:uid="{00000000-0005-0000-0000-00002F8D0000}"/>
    <cellStyle name="Note 6 3 4 3" xfId="13150" xr:uid="{00000000-0005-0000-0000-0000308D0000}"/>
    <cellStyle name="Note 6 3 4 4" xfId="13151" xr:uid="{00000000-0005-0000-0000-0000318D0000}"/>
    <cellStyle name="Note 6 3 4 5" xfId="36243" xr:uid="{00000000-0005-0000-0000-0000328D0000}"/>
    <cellStyle name="Note 6 3 5" xfId="13152" xr:uid="{00000000-0005-0000-0000-0000338D0000}"/>
    <cellStyle name="Note 6 3 5 2" xfId="42767" xr:uid="{00000000-0005-0000-0000-0000348D0000}"/>
    <cellStyle name="Note 6 3 6" xfId="13153" xr:uid="{00000000-0005-0000-0000-0000358D0000}"/>
    <cellStyle name="Note 6 3 7" xfId="13154" xr:uid="{00000000-0005-0000-0000-0000368D0000}"/>
    <cellStyle name="Note 6 3 8" xfId="16010" xr:uid="{00000000-0005-0000-0000-0000378D0000}"/>
    <cellStyle name="Note 6 3 9" xfId="15679" xr:uid="{00000000-0005-0000-0000-0000388D0000}"/>
    <cellStyle name="Note 6 4" xfId="13155" xr:uid="{00000000-0005-0000-0000-0000398D0000}"/>
    <cellStyle name="Note 6 4 2" xfId="13156" xr:uid="{00000000-0005-0000-0000-00003A8D0000}"/>
    <cellStyle name="Note 6 4 2 2" xfId="42772" xr:uid="{00000000-0005-0000-0000-00003B8D0000}"/>
    <cellStyle name="Note 6 4 2 3" xfId="36245" xr:uid="{00000000-0005-0000-0000-00003C8D0000}"/>
    <cellStyle name="Note 6 4 3" xfId="13157" xr:uid="{00000000-0005-0000-0000-00003D8D0000}"/>
    <cellStyle name="Note 6 4 3 2" xfId="42771" xr:uid="{00000000-0005-0000-0000-00003E8D0000}"/>
    <cellStyle name="Note 6 4 4" xfId="13158" xr:uid="{00000000-0005-0000-0000-00003F8D0000}"/>
    <cellStyle name="Note 6 4 5" xfId="36244" xr:uid="{00000000-0005-0000-0000-0000408D0000}"/>
    <cellStyle name="Note 6 5" xfId="13159" xr:uid="{00000000-0005-0000-0000-0000418D0000}"/>
    <cellStyle name="Note 6 5 2" xfId="42773" xr:uid="{00000000-0005-0000-0000-0000428D0000}"/>
    <cellStyle name="Note 6 5 3" xfId="36246" xr:uid="{00000000-0005-0000-0000-0000438D0000}"/>
    <cellStyle name="Note 6 6" xfId="13160" xr:uid="{00000000-0005-0000-0000-0000448D0000}"/>
    <cellStyle name="Note 6 6 2" xfId="42774" xr:uid="{00000000-0005-0000-0000-0000458D0000}"/>
    <cellStyle name="Note 6 6 3" xfId="36247" xr:uid="{00000000-0005-0000-0000-0000468D0000}"/>
    <cellStyle name="Note 6 7" xfId="13161" xr:uid="{00000000-0005-0000-0000-0000478D0000}"/>
    <cellStyle name="Note 6 7 2" xfId="36248" xr:uid="{00000000-0005-0000-0000-0000488D0000}"/>
    <cellStyle name="Note 6 8" xfId="18092" xr:uid="{00000000-0005-0000-0000-0000498D0000}"/>
    <cellStyle name="Note 6 8 2" xfId="42765" xr:uid="{00000000-0005-0000-0000-00004A8D0000}"/>
    <cellStyle name="Note 6 9" xfId="19248" xr:uid="{00000000-0005-0000-0000-00004B8D0000}"/>
    <cellStyle name="Note 7" xfId="6751" xr:uid="{00000000-0005-0000-0000-00004C8D0000}"/>
    <cellStyle name="Note 7 2" xfId="6752" xr:uid="{00000000-0005-0000-0000-00004D8D0000}"/>
    <cellStyle name="Note 7 2 10" xfId="36250" xr:uid="{00000000-0005-0000-0000-00004E8D0000}"/>
    <cellStyle name="Note 7 2 2" xfId="6753" xr:uid="{00000000-0005-0000-0000-00004F8D0000}"/>
    <cellStyle name="Note 7 2 2 2" xfId="13162" xr:uid="{00000000-0005-0000-0000-0000508D0000}"/>
    <cellStyle name="Note 7 2 2 2 2" xfId="13163" xr:uid="{00000000-0005-0000-0000-0000518D0000}"/>
    <cellStyle name="Note 7 2 2 2 2 2" xfId="42778" xr:uid="{00000000-0005-0000-0000-0000528D0000}"/>
    <cellStyle name="Note 7 2 2 2 3" xfId="13164" xr:uid="{00000000-0005-0000-0000-0000538D0000}"/>
    <cellStyle name="Note 7 2 2 2 4" xfId="13165" xr:uid="{00000000-0005-0000-0000-0000548D0000}"/>
    <cellStyle name="Note 7 2 2 2 5" xfId="36252" xr:uid="{00000000-0005-0000-0000-0000558D0000}"/>
    <cellStyle name="Note 7 2 2 3" xfId="13166" xr:uid="{00000000-0005-0000-0000-0000568D0000}"/>
    <cellStyle name="Note 7 2 2 3 2" xfId="42777" xr:uid="{00000000-0005-0000-0000-0000578D0000}"/>
    <cellStyle name="Note 7 2 2 4" xfId="13167" xr:uid="{00000000-0005-0000-0000-0000588D0000}"/>
    <cellStyle name="Note 7 2 2 5" xfId="13168" xr:uid="{00000000-0005-0000-0000-0000598D0000}"/>
    <cellStyle name="Note 7 2 2 6" xfId="17167" xr:uid="{00000000-0005-0000-0000-00005A8D0000}"/>
    <cellStyle name="Note 7 2 2 7" xfId="15352" xr:uid="{00000000-0005-0000-0000-00005B8D0000}"/>
    <cellStyle name="Note 7 2 2 8" xfId="36251" xr:uid="{00000000-0005-0000-0000-00005C8D0000}"/>
    <cellStyle name="Note 7 2 3" xfId="6754" xr:uid="{00000000-0005-0000-0000-00005D8D0000}"/>
    <cellStyle name="Note 7 2 3 2" xfId="13169" xr:uid="{00000000-0005-0000-0000-00005E8D0000}"/>
    <cellStyle name="Note 7 2 3 2 2" xfId="13170" xr:uid="{00000000-0005-0000-0000-00005F8D0000}"/>
    <cellStyle name="Note 7 2 3 2 3" xfId="13171" xr:uid="{00000000-0005-0000-0000-0000608D0000}"/>
    <cellStyle name="Note 7 2 3 2 4" xfId="13172" xr:uid="{00000000-0005-0000-0000-0000618D0000}"/>
    <cellStyle name="Note 7 2 3 2 5" xfId="42779" xr:uid="{00000000-0005-0000-0000-0000628D0000}"/>
    <cellStyle name="Note 7 2 3 3" xfId="13173" xr:uid="{00000000-0005-0000-0000-0000638D0000}"/>
    <cellStyle name="Note 7 2 3 4" xfId="13174" xr:uid="{00000000-0005-0000-0000-0000648D0000}"/>
    <cellStyle name="Note 7 2 3 5" xfId="13175" xr:uid="{00000000-0005-0000-0000-0000658D0000}"/>
    <cellStyle name="Note 7 2 3 6" xfId="17168" xr:uid="{00000000-0005-0000-0000-0000668D0000}"/>
    <cellStyle name="Note 7 2 3 7" xfId="17663" xr:uid="{00000000-0005-0000-0000-0000678D0000}"/>
    <cellStyle name="Note 7 2 3 8" xfId="36253" xr:uid="{00000000-0005-0000-0000-0000688D0000}"/>
    <cellStyle name="Note 7 2 4" xfId="13176" xr:uid="{00000000-0005-0000-0000-0000698D0000}"/>
    <cellStyle name="Note 7 2 4 2" xfId="13177" xr:uid="{00000000-0005-0000-0000-00006A8D0000}"/>
    <cellStyle name="Note 7 2 4 3" xfId="13178" xr:uid="{00000000-0005-0000-0000-00006B8D0000}"/>
    <cellStyle name="Note 7 2 4 4" xfId="13179" xr:uid="{00000000-0005-0000-0000-00006C8D0000}"/>
    <cellStyle name="Note 7 2 4 5" xfId="36254" xr:uid="{00000000-0005-0000-0000-00006D8D0000}"/>
    <cellStyle name="Note 7 2 5" xfId="13180" xr:uid="{00000000-0005-0000-0000-00006E8D0000}"/>
    <cellStyle name="Note 7 2 5 2" xfId="42776" xr:uid="{00000000-0005-0000-0000-00006F8D0000}"/>
    <cellStyle name="Note 7 2 6" xfId="13181" xr:uid="{00000000-0005-0000-0000-0000708D0000}"/>
    <cellStyle name="Note 7 2 7" xfId="13182" xr:uid="{00000000-0005-0000-0000-0000718D0000}"/>
    <cellStyle name="Note 7 2 8" xfId="16011" xr:uid="{00000000-0005-0000-0000-0000728D0000}"/>
    <cellStyle name="Note 7 2 9" xfId="17935" xr:uid="{00000000-0005-0000-0000-0000738D0000}"/>
    <cellStyle name="Note 7 3" xfId="6755" xr:uid="{00000000-0005-0000-0000-0000748D0000}"/>
    <cellStyle name="Note 7 3 10" xfId="36255" xr:uid="{00000000-0005-0000-0000-0000758D0000}"/>
    <cellStyle name="Note 7 3 2" xfId="6756" xr:uid="{00000000-0005-0000-0000-0000768D0000}"/>
    <cellStyle name="Note 7 3 2 2" xfId="13183" xr:uid="{00000000-0005-0000-0000-0000778D0000}"/>
    <cellStyle name="Note 7 3 2 2 2" xfId="13184" xr:uid="{00000000-0005-0000-0000-0000788D0000}"/>
    <cellStyle name="Note 7 3 2 2 3" xfId="13185" xr:uid="{00000000-0005-0000-0000-0000798D0000}"/>
    <cellStyle name="Note 7 3 2 2 4" xfId="13186" xr:uid="{00000000-0005-0000-0000-00007A8D0000}"/>
    <cellStyle name="Note 7 3 2 2 5" xfId="42781" xr:uid="{00000000-0005-0000-0000-00007B8D0000}"/>
    <cellStyle name="Note 7 3 2 3" xfId="13187" xr:uid="{00000000-0005-0000-0000-00007C8D0000}"/>
    <cellStyle name="Note 7 3 2 4" xfId="13188" xr:uid="{00000000-0005-0000-0000-00007D8D0000}"/>
    <cellStyle name="Note 7 3 2 5" xfId="13189" xr:uid="{00000000-0005-0000-0000-00007E8D0000}"/>
    <cellStyle name="Note 7 3 2 6" xfId="17169" xr:uid="{00000000-0005-0000-0000-00007F8D0000}"/>
    <cellStyle name="Note 7 3 2 7" xfId="16229" xr:uid="{00000000-0005-0000-0000-0000808D0000}"/>
    <cellStyle name="Note 7 3 2 8" xfId="36256" xr:uid="{00000000-0005-0000-0000-0000818D0000}"/>
    <cellStyle name="Note 7 3 3" xfId="6757" xr:uid="{00000000-0005-0000-0000-0000828D0000}"/>
    <cellStyle name="Note 7 3 3 2" xfId="13190" xr:uid="{00000000-0005-0000-0000-0000838D0000}"/>
    <cellStyle name="Note 7 3 3 2 2" xfId="13191" xr:uid="{00000000-0005-0000-0000-0000848D0000}"/>
    <cellStyle name="Note 7 3 3 2 3" xfId="13192" xr:uid="{00000000-0005-0000-0000-0000858D0000}"/>
    <cellStyle name="Note 7 3 3 2 4" xfId="13193" xr:uid="{00000000-0005-0000-0000-0000868D0000}"/>
    <cellStyle name="Note 7 3 3 3" xfId="13194" xr:uid="{00000000-0005-0000-0000-0000878D0000}"/>
    <cellStyle name="Note 7 3 3 4" xfId="13195" xr:uid="{00000000-0005-0000-0000-0000888D0000}"/>
    <cellStyle name="Note 7 3 3 5" xfId="13196" xr:uid="{00000000-0005-0000-0000-0000898D0000}"/>
    <cellStyle name="Note 7 3 3 6" xfId="17170" xr:uid="{00000000-0005-0000-0000-00008A8D0000}"/>
    <cellStyle name="Note 7 3 3 7" xfId="15351" xr:uid="{00000000-0005-0000-0000-00008B8D0000}"/>
    <cellStyle name="Note 7 3 3 8" xfId="36257" xr:uid="{00000000-0005-0000-0000-00008C8D0000}"/>
    <cellStyle name="Note 7 3 4" xfId="13197" xr:uid="{00000000-0005-0000-0000-00008D8D0000}"/>
    <cellStyle name="Note 7 3 4 2" xfId="13198" xr:uid="{00000000-0005-0000-0000-00008E8D0000}"/>
    <cellStyle name="Note 7 3 4 3" xfId="13199" xr:uid="{00000000-0005-0000-0000-00008F8D0000}"/>
    <cellStyle name="Note 7 3 4 4" xfId="13200" xr:uid="{00000000-0005-0000-0000-0000908D0000}"/>
    <cellStyle name="Note 7 3 4 5" xfId="42780" xr:uid="{00000000-0005-0000-0000-0000918D0000}"/>
    <cellStyle name="Note 7 3 5" xfId="13201" xr:uid="{00000000-0005-0000-0000-0000928D0000}"/>
    <cellStyle name="Note 7 3 6" xfId="13202" xr:uid="{00000000-0005-0000-0000-0000938D0000}"/>
    <cellStyle name="Note 7 3 7" xfId="13203" xr:uid="{00000000-0005-0000-0000-0000948D0000}"/>
    <cellStyle name="Note 7 3 8" xfId="16012" xr:uid="{00000000-0005-0000-0000-0000958D0000}"/>
    <cellStyle name="Note 7 3 9" xfId="16505" xr:uid="{00000000-0005-0000-0000-0000968D0000}"/>
    <cellStyle name="Note 7 4" xfId="6758" xr:uid="{00000000-0005-0000-0000-0000978D0000}"/>
    <cellStyle name="Note 7 4 2" xfId="18743" xr:uid="{00000000-0005-0000-0000-0000988D0000}"/>
    <cellStyle name="Note 7 4 2 2" xfId="42782" xr:uid="{00000000-0005-0000-0000-0000998D0000}"/>
    <cellStyle name="Note 7 4 3" xfId="36258" xr:uid="{00000000-0005-0000-0000-00009A8D0000}"/>
    <cellStyle name="Note 7 5" xfId="13204" xr:uid="{00000000-0005-0000-0000-00009B8D0000}"/>
    <cellStyle name="Note 7 5 2" xfId="42783" xr:uid="{00000000-0005-0000-0000-00009C8D0000}"/>
    <cellStyle name="Note 7 5 3" xfId="36259" xr:uid="{00000000-0005-0000-0000-00009D8D0000}"/>
    <cellStyle name="Note 7 6" xfId="13205" xr:uid="{00000000-0005-0000-0000-00009E8D0000}"/>
    <cellStyle name="Note 7 6 2" xfId="36260" xr:uid="{00000000-0005-0000-0000-00009F8D0000}"/>
    <cellStyle name="Note 7 7" xfId="13206" xr:uid="{00000000-0005-0000-0000-0000A08D0000}"/>
    <cellStyle name="Note 7 7 2" xfId="42775" xr:uid="{00000000-0005-0000-0000-0000A18D0000}"/>
    <cellStyle name="Note 7 8" xfId="13207" xr:uid="{00000000-0005-0000-0000-0000A28D0000}"/>
    <cellStyle name="Note 7 9" xfId="36249" xr:uid="{00000000-0005-0000-0000-0000A38D0000}"/>
    <cellStyle name="Note 8" xfId="6759" xr:uid="{00000000-0005-0000-0000-0000A48D0000}"/>
    <cellStyle name="Note 8 2" xfId="6760" xr:uid="{00000000-0005-0000-0000-0000A58D0000}"/>
    <cellStyle name="Note 8 2 10" xfId="36262" xr:uid="{00000000-0005-0000-0000-0000A68D0000}"/>
    <cellStyle name="Note 8 2 2" xfId="6761" xr:uid="{00000000-0005-0000-0000-0000A78D0000}"/>
    <cellStyle name="Note 8 2 2 2" xfId="13208" xr:uid="{00000000-0005-0000-0000-0000A88D0000}"/>
    <cellStyle name="Note 8 2 2 2 2" xfId="13209" xr:uid="{00000000-0005-0000-0000-0000A98D0000}"/>
    <cellStyle name="Note 8 2 2 2 3" xfId="13210" xr:uid="{00000000-0005-0000-0000-0000AA8D0000}"/>
    <cellStyle name="Note 8 2 2 2 4" xfId="13211" xr:uid="{00000000-0005-0000-0000-0000AB8D0000}"/>
    <cellStyle name="Note 8 2 2 3" xfId="13212" xr:uid="{00000000-0005-0000-0000-0000AC8D0000}"/>
    <cellStyle name="Note 8 2 2 4" xfId="13213" xr:uid="{00000000-0005-0000-0000-0000AD8D0000}"/>
    <cellStyle name="Note 8 2 2 5" xfId="13214" xr:uid="{00000000-0005-0000-0000-0000AE8D0000}"/>
    <cellStyle name="Note 8 2 2 6" xfId="17171" xr:uid="{00000000-0005-0000-0000-0000AF8D0000}"/>
    <cellStyle name="Note 8 2 2 7" xfId="17662" xr:uid="{00000000-0005-0000-0000-0000B08D0000}"/>
    <cellStyle name="Note 8 2 2 8" xfId="42785" xr:uid="{00000000-0005-0000-0000-0000B18D0000}"/>
    <cellStyle name="Note 8 2 3" xfId="6762" xr:uid="{00000000-0005-0000-0000-0000B28D0000}"/>
    <cellStyle name="Note 8 2 3 2" xfId="13215" xr:uid="{00000000-0005-0000-0000-0000B38D0000}"/>
    <cellStyle name="Note 8 2 3 2 2" xfId="13216" xr:uid="{00000000-0005-0000-0000-0000B48D0000}"/>
    <cellStyle name="Note 8 2 3 2 3" xfId="13217" xr:uid="{00000000-0005-0000-0000-0000B58D0000}"/>
    <cellStyle name="Note 8 2 3 2 4" xfId="13218" xr:uid="{00000000-0005-0000-0000-0000B68D0000}"/>
    <cellStyle name="Note 8 2 3 3" xfId="13219" xr:uid="{00000000-0005-0000-0000-0000B78D0000}"/>
    <cellStyle name="Note 8 2 3 4" xfId="13220" xr:uid="{00000000-0005-0000-0000-0000B88D0000}"/>
    <cellStyle name="Note 8 2 3 5" xfId="13221" xr:uid="{00000000-0005-0000-0000-0000B98D0000}"/>
    <cellStyle name="Note 8 2 3 6" xfId="17172" xr:uid="{00000000-0005-0000-0000-0000BA8D0000}"/>
    <cellStyle name="Note 8 2 3 7" xfId="16228" xr:uid="{00000000-0005-0000-0000-0000BB8D0000}"/>
    <cellStyle name="Note 8 2 4" xfId="13222" xr:uid="{00000000-0005-0000-0000-0000BC8D0000}"/>
    <cellStyle name="Note 8 2 4 2" xfId="13223" xr:uid="{00000000-0005-0000-0000-0000BD8D0000}"/>
    <cellStyle name="Note 8 2 4 3" xfId="13224" xr:uid="{00000000-0005-0000-0000-0000BE8D0000}"/>
    <cellStyle name="Note 8 2 4 4" xfId="13225" xr:uid="{00000000-0005-0000-0000-0000BF8D0000}"/>
    <cellStyle name="Note 8 2 5" xfId="13226" xr:uid="{00000000-0005-0000-0000-0000C08D0000}"/>
    <cellStyle name="Note 8 2 6" xfId="13227" xr:uid="{00000000-0005-0000-0000-0000C18D0000}"/>
    <cellStyle name="Note 8 2 7" xfId="13228" xr:uid="{00000000-0005-0000-0000-0000C28D0000}"/>
    <cellStyle name="Note 8 2 8" xfId="16013" xr:uid="{00000000-0005-0000-0000-0000C38D0000}"/>
    <cellStyle name="Note 8 2 9" xfId="15678" xr:uid="{00000000-0005-0000-0000-0000C48D0000}"/>
    <cellStyle name="Note 8 3" xfId="6763" xr:uid="{00000000-0005-0000-0000-0000C58D0000}"/>
    <cellStyle name="Note 8 3 10" xfId="36263" xr:uid="{00000000-0005-0000-0000-0000C68D0000}"/>
    <cellStyle name="Note 8 3 2" xfId="6764" xr:uid="{00000000-0005-0000-0000-0000C78D0000}"/>
    <cellStyle name="Note 8 3 2 2" xfId="13229" xr:uid="{00000000-0005-0000-0000-0000C88D0000}"/>
    <cellStyle name="Note 8 3 2 2 2" xfId="13230" xr:uid="{00000000-0005-0000-0000-0000C98D0000}"/>
    <cellStyle name="Note 8 3 2 2 3" xfId="13231" xr:uid="{00000000-0005-0000-0000-0000CA8D0000}"/>
    <cellStyle name="Note 8 3 2 2 4" xfId="13232" xr:uid="{00000000-0005-0000-0000-0000CB8D0000}"/>
    <cellStyle name="Note 8 3 2 3" xfId="13233" xr:uid="{00000000-0005-0000-0000-0000CC8D0000}"/>
    <cellStyle name="Note 8 3 2 4" xfId="13234" xr:uid="{00000000-0005-0000-0000-0000CD8D0000}"/>
    <cellStyle name="Note 8 3 2 5" xfId="13235" xr:uid="{00000000-0005-0000-0000-0000CE8D0000}"/>
    <cellStyle name="Note 8 3 2 6" xfId="17173" xr:uid="{00000000-0005-0000-0000-0000CF8D0000}"/>
    <cellStyle name="Note 8 3 2 7" xfId="15350" xr:uid="{00000000-0005-0000-0000-0000D08D0000}"/>
    <cellStyle name="Note 8 3 3" xfId="6765" xr:uid="{00000000-0005-0000-0000-0000D18D0000}"/>
    <cellStyle name="Note 8 3 3 2" xfId="13236" xr:uid="{00000000-0005-0000-0000-0000D28D0000}"/>
    <cellStyle name="Note 8 3 3 2 2" xfId="13237" xr:uid="{00000000-0005-0000-0000-0000D38D0000}"/>
    <cellStyle name="Note 8 3 3 2 3" xfId="13238" xr:uid="{00000000-0005-0000-0000-0000D48D0000}"/>
    <cellStyle name="Note 8 3 3 2 4" xfId="13239" xr:uid="{00000000-0005-0000-0000-0000D58D0000}"/>
    <cellStyle name="Note 8 3 3 3" xfId="13240" xr:uid="{00000000-0005-0000-0000-0000D68D0000}"/>
    <cellStyle name="Note 8 3 3 4" xfId="13241" xr:uid="{00000000-0005-0000-0000-0000D78D0000}"/>
    <cellStyle name="Note 8 3 3 5" xfId="13242" xr:uid="{00000000-0005-0000-0000-0000D88D0000}"/>
    <cellStyle name="Note 8 3 3 6" xfId="17174" xr:uid="{00000000-0005-0000-0000-0000D98D0000}"/>
    <cellStyle name="Note 8 3 3 7" xfId="17661" xr:uid="{00000000-0005-0000-0000-0000DA8D0000}"/>
    <cellStyle name="Note 8 3 4" xfId="13243" xr:uid="{00000000-0005-0000-0000-0000DB8D0000}"/>
    <cellStyle name="Note 8 3 4 2" xfId="13244" xr:uid="{00000000-0005-0000-0000-0000DC8D0000}"/>
    <cellStyle name="Note 8 3 4 3" xfId="13245" xr:uid="{00000000-0005-0000-0000-0000DD8D0000}"/>
    <cellStyle name="Note 8 3 4 4" xfId="13246" xr:uid="{00000000-0005-0000-0000-0000DE8D0000}"/>
    <cellStyle name="Note 8 3 5" xfId="13247" xr:uid="{00000000-0005-0000-0000-0000DF8D0000}"/>
    <cellStyle name="Note 8 3 6" xfId="13248" xr:uid="{00000000-0005-0000-0000-0000E08D0000}"/>
    <cellStyle name="Note 8 3 7" xfId="13249" xr:uid="{00000000-0005-0000-0000-0000E18D0000}"/>
    <cellStyle name="Note 8 3 8" xfId="16014" xr:uid="{00000000-0005-0000-0000-0000E28D0000}"/>
    <cellStyle name="Note 8 3 9" xfId="17934" xr:uid="{00000000-0005-0000-0000-0000E38D0000}"/>
    <cellStyle name="Note 8 4" xfId="13250" xr:uid="{00000000-0005-0000-0000-0000E48D0000}"/>
    <cellStyle name="Note 8 4 2" xfId="42784" xr:uid="{00000000-0005-0000-0000-0000E58D0000}"/>
    <cellStyle name="Note 8 5" xfId="13251" xr:uid="{00000000-0005-0000-0000-0000E68D0000}"/>
    <cellStyle name="Note 8 6" xfId="13252" xr:uid="{00000000-0005-0000-0000-0000E78D0000}"/>
    <cellStyle name="Note 8 7" xfId="15886" xr:uid="{00000000-0005-0000-0000-0000E88D0000}"/>
    <cellStyle name="Note 8 8" xfId="15788" xr:uid="{00000000-0005-0000-0000-0000E98D0000}"/>
    <cellStyle name="Note 8 9" xfId="36261" xr:uid="{00000000-0005-0000-0000-0000EA8D0000}"/>
    <cellStyle name="Note 9" xfId="36264" xr:uid="{00000000-0005-0000-0000-0000EB8D0000}"/>
    <cellStyle name="Note 9 2" xfId="6766" xr:uid="{00000000-0005-0000-0000-0000EC8D0000}"/>
    <cellStyle name="Note 9 2 10" xfId="36265" xr:uid="{00000000-0005-0000-0000-0000ED8D0000}"/>
    <cellStyle name="Note 9 2 2" xfId="6767" xr:uid="{00000000-0005-0000-0000-0000EE8D0000}"/>
    <cellStyle name="Note 9 2 2 2" xfId="13253" xr:uid="{00000000-0005-0000-0000-0000EF8D0000}"/>
    <cellStyle name="Note 9 2 2 2 2" xfId="13254" xr:uid="{00000000-0005-0000-0000-0000F08D0000}"/>
    <cellStyle name="Note 9 2 2 2 3" xfId="13255" xr:uid="{00000000-0005-0000-0000-0000F18D0000}"/>
    <cellStyle name="Note 9 2 2 2 4" xfId="13256" xr:uid="{00000000-0005-0000-0000-0000F28D0000}"/>
    <cellStyle name="Note 9 2 2 3" xfId="13257" xr:uid="{00000000-0005-0000-0000-0000F38D0000}"/>
    <cellStyle name="Note 9 2 2 4" xfId="13258" xr:uid="{00000000-0005-0000-0000-0000F48D0000}"/>
    <cellStyle name="Note 9 2 2 5" xfId="13259" xr:uid="{00000000-0005-0000-0000-0000F58D0000}"/>
    <cellStyle name="Note 9 2 2 6" xfId="17175" xr:uid="{00000000-0005-0000-0000-0000F68D0000}"/>
    <cellStyle name="Note 9 2 2 7" xfId="16227" xr:uid="{00000000-0005-0000-0000-0000F78D0000}"/>
    <cellStyle name="Note 9 2 3" xfId="6768" xr:uid="{00000000-0005-0000-0000-0000F88D0000}"/>
    <cellStyle name="Note 9 2 3 2" xfId="13260" xr:uid="{00000000-0005-0000-0000-0000F98D0000}"/>
    <cellStyle name="Note 9 2 3 2 2" xfId="13261" xr:uid="{00000000-0005-0000-0000-0000FA8D0000}"/>
    <cellStyle name="Note 9 2 3 2 3" xfId="13262" xr:uid="{00000000-0005-0000-0000-0000FB8D0000}"/>
    <cellStyle name="Note 9 2 3 2 4" xfId="13263" xr:uid="{00000000-0005-0000-0000-0000FC8D0000}"/>
    <cellStyle name="Note 9 2 3 3" xfId="13264" xr:uid="{00000000-0005-0000-0000-0000FD8D0000}"/>
    <cellStyle name="Note 9 2 3 4" xfId="13265" xr:uid="{00000000-0005-0000-0000-0000FE8D0000}"/>
    <cellStyle name="Note 9 2 3 5" xfId="13266" xr:uid="{00000000-0005-0000-0000-0000FF8D0000}"/>
    <cellStyle name="Note 9 2 3 6" xfId="17176" xr:uid="{00000000-0005-0000-0000-0000008E0000}"/>
    <cellStyle name="Note 9 2 3 7" xfId="15349" xr:uid="{00000000-0005-0000-0000-0000018E0000}"/>
    <cellStyle name="Note 9 2 4" xfId="13267" xr:uid="{00000000-0005-0000-0000-0000028E0000}"/>
    <cellStyle name="Note 9 2 4 2" xfId="13268" xr:uid="{00000000-0005-0000-0000-0000038E0000}"/>
    <cellStyle name="Note 9 2 4 3" xfId="13269" xr:uid="{00000000-0005-0000-0000-0000048E0000}"/>
    <cellStyle name="Note 9 2 4 4" xfId="13270" xr:uid="{00000000-0005-0000-0000-0000058E0000}"/>
    <cellStyle name="Note 9 2 5" xfId="13271" xr:uid="{00000000-0005-0000-0000-0000068E0000}"/>
    <cellStyle name="Note 9 2 6" xfId="13272" xr:uid="{00000000-0005-0000-0000-0000078E0000}"/>
    <cellStyle name="Note 9 2 7" xfId="13273" xr:uid="{00000000-0005-0000-0000-0000088E0000}"/>
    <cellStyle name="Note 9 2 8" xfId="16015" xr:uid="{00000000-0005-0000-0000-0000098E0000}"/>
    <cellStyle name="Note 9 2 9" xfId="16504" xr:uid="{00000000-0005-0000-0000-00000A8E0000}"/>
    <cellStyle name="Note 9 3" xfId="6769" xr:uid="{00000000-0005-0000-0000-00000B8E0000}"/>
    <cellStyle name="Note 9 3 10" xfId="42786" xr:uid="{00000000-0005-0000-0000-00000C8E0000}"/>
    <cellStyle name="Note 9 3 2" xfId="6770" xr:uid="{00000000-0005-0000-0000-00000D8E0000}"/>
    <cellStyle name="Note 9 3 2 2" xfId="13274" xr:uid="{00000000-0005-0000-0000-00000E8E0000}"/>
    <cellStyle name="Note 9 3 2 2 2" xfId="13275" xr:uid="{00000000-0005-0000-0000-00000F8E0000}"/>
    <cellStyle name="Note 9 3 2 2 3" xfId="13276" xr:uid="{00000000-0005-0000-0000-0000108E0000}"/>
    <cellStyle name="Note 9 3 2 2 4" xfId="13277" xr:uid="{00000000-0005-0000-0000-0000118E0000}"/>
    <cellStyle name="Note 9 3 2 3" xfId="13278" xr:uid="{00000000-0005-0000-0000-0000128E0000}"/>
    <cellStyle name="Note 9 3 2 4" xfId="13279" xr:uid="{00000000-0005-0000-0000-0000138E0000}"/>
    <cellStyle name="Note 9 3 2 5" xfId="13280" xr:uid="{00000000-0005-0000-0000-0000148E0000}"/>
    <cellStyle name="Note 9 3 2 6" xfId="17177" xr:uid="{00000000-0005-0000-0000-0000158E0000}"/>
    <cellStyle name="Note 9 3 2 7" xfId="15348" xr:uid="{00000000-0005-0000-0000-0000168E0000}"/>
    <cellStyle name="Note 9 3 3" xfId="6771" xr:uid="{00000000-0005-0000-0000-0000178E0000}"/>
    <cellStyle name="Note 9 3 3 2" xfId="13281" xr:uid="{00000000-0005-0000-0000-0000188E0000}"/>
    <cellStyle name="Note 9 3 3 2 2" xfId="13282" xr:uid="{00000000-0005-0000-0000-0000198E0000}"/>
    <cellStyle name="Note 9 3 3 2 3" xfId="13283" xr:uid="{00000000-0005-0000-0000-00001A8E0000}"/>
    <cellStyle name="Note 9 3 3 2 4" xfId="13284" xr:uid="{00000000-0005-0000-0000-00001B8E0000}"/>
    <cellStyle name="Note 9 3 3 3" xfId="13285" xr:uid="{00000000-0005-0000-0000-00001C8E0000}"/>
    <cellStyle name="Note 9 3 3 4" xfId="13286" xr:uid="{00000000-0005-0000-0000-00001D8E0000}"/>
    <cellStyle name="Note 9 3 3 5" xfId="13287" xr:uid="{00000000-0005-0000-0000-00001E8E0000}"/>
    <cellStyle name="Note 9 3 3 6" xfId="17178" xr:uid="{00000000-0005-0000-0000-00001F8E0000}"/>
    <cellStyle name="Note 9 3 3 7" xfId="17654" xr:uid="{00000000-0005-0000-0000-0000208E0000}"/>
    <cellStyle name="Note 9 3 4" xfId="13288" xr:uid="{00000000-0005-0000-0000-0000218E0000}"/>
    <cellStyle name="Note 9 3 4 2" xfId="13289" xr:uid="{00000000-0005-0000-0000-0000228E0000}"/>
    <cellStyle name="Note 9 3 4 3" xfId="13290" xr:uid="{00000000-0005-0000-0000-0000238E0000}"/>
    <cellStyle name="Note 9 3 4 4" xfId="13291" xr:uid="{00000000-0005-0000-0000-0000248E0000}"/>
    <cellStyle name="Note 9 3 5" xfId="13292" xr:uid="{00000000-0005-0000-0000-0000258E0000}"/>
    <cellStyle name="Note 9 3 6" xfId="13293" xr:uid="{00000000-0005-0000-0000-0000268E0000}"/>
    <cellStyle name="Note 9 3 7" xfId="13294" xr:uid="{00000000-0005-0000-0000-0000278E0000}"/>
    <cellStyle name="Note 9 3 8" xfId="16016" xr:uid="{00000000-0005-0000-0000-0000288E0000}"/>
    <cellStyle name="Note 9 3 9" xfId="15677" xr:uid="{00000000-0005-0000-0000-0000298E0000}"/>
    <cellStyle name="nPlodedDetails" xfId="36266" xr:uid="{00000000-0005-0000-0000-00002A8E0000}"/>
    <cellStyle name="nPlodedDetails 2" xfId="42787" xr:uid="{00000000-0005-0000-0000-00002B8E0000}"/>
    <cellStyle name="NullValueStyle" xfId="36267" xr:uid="{00000000-0005-0000-0000-00002C8E0000}"/>
    <cellStyle name="NullValueStyle 2" xfId="36268" xr:uid="{00000000-0005-0000-0000-00002D8E0000}"/>
    <cellStyle name="NullValueStyle 2 2" xfId="42789" xr:uid="{00000000-0005-0000-0000-00002E8E0000}"/>
    <cellStyle name="NullValueStyle 3" xfId="36269" xr:uid="{00000000-0005-0000-0000-00002F8E0000}"/>
    <cellStyle name="NullValueStyle 3 2" xfId="42790" xr:uid="{00000000-0005-0000-0000-0000308E0000}"/>
    <cellStyle name="NullValueStyle 4" xfId="36270" xr:uid="{00000000-0005-0000-0000-0000318E0000}"/>
    <cellStyle name="NullValueStyle 4 2" xfId="42791" xr:uid="{00000000-0005-0000-0000-0000328E0000}"/>
    <cellStyle name="NullValueStyle 5" xfId="42788" xr:uid="{00000000-0005-0000-0000-0000338E0000}"/>
    <cellStyle name="ook63" xfId="36271" xr:uid="{00000000-0005-0000-0000-0000348E0000}"/>
    <cellStyle name="ook63 2" xfId="42792" xr:uid="{00000000-0005-0000-0000-0000358E0000}"/>
    <cellStyle name="ook6D" xfId="36272" xr:uid="{00000000-0005-0000-0000-0000368E0000}"/>
    <cellStyle name="ook6D 2" xfId="42793" xr:uid="{00000000-0005-0000-0000-0000378E0000}"/>
    <cellStyle name="Output" xfId="44332" builtinId="21" customBuiltin="1"/>
    <cellStyle name="Output 10" xfId="36273" xr:uid="{00000000-0005-0000-0000-0000398E0000}"/>
    <cellStyle name="Output 10 2" xfId="6772" xr:uid="{00000000-0005-0000-0000-00003A8E0000}"/>
    <cellStyle name="Output 10 2 10" xfId="42794" xr:uid="{00000000-0005-0000-0000-00003B8E0000}"/>
    <cellStyle name="Output 10 2 2" xfId="6773" xr:uid="{00000000-0005-0000-0000-00003C8E0000}"/>
    <cellStyle name="Output 10 2 2 2" xfId="6774" xr:uid="{00000000-0005-0000-0000-00003D8E0000}"/>
    <cellStyle name="Output 10 2 2 2 2" xfId="13295" xr:uid="{00000000-0005-0000-0000-00003E8E0000}"/>
    <cellStyle name="Output 10 2 2 2 3" xfId="13296" xr:uid="{00000000-0005-0000-0000-00003F8E0000}"/>
    <cellStyle name="Output 10 2 2 2 4" xfId="13297" xr:uid="{00000000-0005-0000-0000-0000408E0000}"/>
    <cellStyle name="Output 10 2 2 2 5" xfId="17180" xr:uid="{00000000-0005-0000-0000-0000418E0000}"/>
    <cellStyle name="Output 10 2 2 2 6" xfId="17660" xr:uid="{00000000-0005-0000-0000-0000428E0000}"/>
    <cellStyle name="Output 10 2 2 3" xfId="6775" xr:uid="{00000000-0005-0000-0000-0000438E0000}"/>
    <cellStyle name="Output 10 2 2 3 2" xfId="13298" xr:uid="{00000000-0005-0000-0000-0000448E0000}"/>
    <cellStyle name="Output 10 2 2 3 3" xfId="13299" xr:uid="{00000000-0005-0000-0000-0000458E0000}"/>
    <cellStyle name="Output 10 2 2 3 4" xfId="13300" xr:uid="{00000000-0005-0000-0000-0000468E0000}"/>
    <cellStyle name="Output 10 2 2 3 5" xfId="17181" xr:uid="{00000000-0005-0000-0000-0000478E0000}"/>
    <cellStyle name="Output 10 2 2 3 6" xfId="16226" xr:uid="{00000000-0005-0000-0000-0000488E0000}"/>
    <cellStyle name="Output 10 2 2 4" xfId="13301" xr:uid="{00000000-0005-0000-0000-0000498E0000}"/>
    <cellStyle name="Output 10 2 2 5" xfId="13302" xr:uid="{00000000-0005-0000-0000-00004A8E0000}"/>
    <cellStyle name="Output 10 2 2 6" xfId="13303" xr:uid="{00000000-0005-0000-0000-00004B8E0000}"/>
    <cellStyle name="Output 10 2 2 7" xfId="17179" xr:uid="{00000000-0005-0000-0000-00004C8E0000}"/>
    <cellStyle name="Output 10 2 2 8" xfId="16220" xr:uid="{00000000-0005-0000-0000-00004D8E0000}"/>
    <cellStyle name="Output 10 2 3" xfId="6776" xr:uid="{00000000-0005-0000-0000-00004E8E0000}"/>
    <cellStyle name="Output 10 2 3 2" xfId="13304" xr:uid="{00000000-0005-0000-0000-00004F8E0000}"/>
    <cellStyle name="Output 10 2 3 3" xfId="13305" xr:uid="{00000000-0005-0000-0000-0000508E0000}"/>
    <cellStyle name="Output 10 2 3 4" xfId="13306" xr:uid="{00000000-0005-0000-0000-0000518E0000}"/>
    <cellStyle name="Output 10 2 3 5" xfId="17182" xr:uid="{00000000-0005-0000-0000-0000528E0000}"/>
    <cellStyle name="Output 10 2 3 6" xfId="15347" xr:uid="{00000000-0005-0000-0000-0000538E0000}"/>
    <cellStyle name="Output 10 2 4" xfId="6777" xr:uid="{00000000-0005-0000-0000-0000548E0000}"/>
    <cellStyle name="Output 10 2 4 2" xfId="13307" xr:uid="{00000000-0005-0000-0000-0000558E0000}"/>
    <cellStyle name="Output 10 2 4 3" xfId="13308" xr:uid="{00000000-0005-0000-0000-0000568E0000}"/>
    <cellStyle name="Output 10 2 4 4" xfId="13309" xr:uid="{00000000-0005-0000-0000-0000578E0000}"/>
    <cellStyle name="Output 10 2 4 5" xfId="17183" xr:uid="{00000000-0005-0000-0000-0000588E0000}"/>
    <cellStyle name="Output 10 2 4 6" xfId="17659" xr:uid="{00000000-0005-0000-0000-0000598E0000}"/>
    <cellStyle name="Output 10 2 5" xfId="13310" xr:uid="{00000000-0005-0000-0000-00005A8E0000}"/>
    <cellStyle name="Output 10 2 6" xfId="13311" xr:uid="{00000000-0005-0000-0000-00005B8E0000}"/>
    <cellStyle name="Output 10 2 7" xfId="13312" xr:uid="{00000000-0005-0000-0000-00005C8E0000}"/>
    <cellStyle name="Output 10 2 8" xfId="16018" xr:uid="{00000000-0005-0000-0000-00005D8E0000}"/>
    <cellStyle name="Output 10 2 9" xfId="16503" xr:uid="{00000000-0005-0000-0000-00005E8E0000}"/>
    <cellStyle name="Output 10 3" xfId="6778" xr:uid="{00000000-0005-0000-0000-00005F8E0000}"/>
    <cellStyle name="Output 10 3 2" xfId="6779" xr:uid="{00000000-0005-0000-0000-0000608E0000}"/>
    <cellStyle name="Output 10 3 2 2" xfId="6780" xr:uid="{00000000-0005-0000-0000-0000618E0000}"/>
    <cellStyle name="Output 10 3 2 2 2" xfId="13313" xr:uid="{00000000-0005-0000-0000-0000628E0000}"/>
    <cellStyle name="Output 10 3 2 2 3" xfId="13314" xr:uid="{00000000-0005-0000-0000-0000638E0000}"/>
    <cellStyle name="Output 10 3 2 2 4" xfId="13315" xr:uid="{00000000-0005-0000-0000-0000648E0000}"/>
    <cellStyle name="Output 10 3 2 2 5" xfId="17185" xr:uid="{00000000-0005-0000-0000-0000658E0000}"/>
    <cellStyle name="Output 10 3 2 2 6" xfId="15346" xr:uid="{00000000-0005-0000-0000-0000668E0000}"/>
    <cellStyle name="Output 10 3 2 3" xfId="6781" xr:uid="{00000000-0005-0000-0000-0000678E0000}"/>
    <cellStyle name="Output 10 3 2 3 2" xfId="13316" xr:uid="{00000000-0005-0000-0000-0000688E0000}"/>
    <cellStyle name="Output 10 3 2 3 3" xfId="13317" xr:uid="{00000000-0005-0000-0000-0000698E0000}"/>
    <cellStyle name="Output 10 3 2 3 4" xfId="13318" xr:uid="{00000000-0005-0000-0000-00006A8E0000}"/>
    <cellStyle name="Output 10 3 2 3 5" xfId="17186" xr:uid="{00000000-0005-0000-0000-00006B8E0000}"/>
    <cellStyle name="Output 10 3 2 3 6" xfId="17658" xr:uid="{00000000-0005-0000-0000-00006C8E0000}"/>
    <cellStyle name="Output 10 3 2 4" xfId="13319" xr:uid="{00000000-0005-0000-0000-00006D8E0000}"/>
    <cellStyle name="Output 10 3 2 5" xfId="13320" xr:uid="{00000000-0005-0000-0000-00006E8E0000}"/>
    <cellStyle name="Output 10 3 2 6" xfId="13321" xr:uid="{00000000-0005-0000-0000-00006F8E0000}"/>
    <cellStyle name="Output 10 3 2 7" xfId="17184" xr:uid="{00000000-0005-0000-0000-0000708E0000}"/>
    <cellStyle name="Output 10 3 2 8" xfId="16225" xr:uid="{00000000-0005-0000-0000-0000718E0000}"/>
    <cellStyle name="Output 10 3 3" xfId="6782" xr:uid="{00000000-0005-0000-0000-0000728E0000}"/>
    <cellStyle name="Output 10 3 3 2" xfId="13322" xr:uid="{00000000-0005-0000-0000-0000738E0000}"/>
    <cellStyle name="Output 10 3 3 3" xfId="13323" xr:uid="{00000000-0005-0000-0000-0000748E0000}"/>
    <cellStyle name="Output 10 3 3 4" xfId="13324" xr:uid="{00000000-0005-0000-0000-0000758E0000}"/>
    <cellStyle name="Output 10 3 3 5" xfId="17187" xr:uid="{00000000-0005-0000-0000-0000768E0000}"/>
    <cellStyle name="Output 10 3 3 6" xfId="16224" xr:uid="{00000000-0005-0000-0000-0000778E0000}"/>
    <cellStyle name="Output 10 3 4" xfId="6783" xr:uid="{00000000-0005-0000-0000-0000788E0000}"/>
    <cellStyle name="Output 10 3 4 2" xfId="13325" xr:uid="{00000000-0005-0000-0000-0000798E0000}"/>
    <cellStyle name="Output 10 3 4 3" xfId="13326" xr:uid="{00000000-0005-0000-0000-00007A8E0000}"/>
    <cellStyle name="Output 10 3 4 4" xfId="13327" xr:uid="{00000000-0005-0000-0000-00007B8E0000}"/>
    <cellStyle name="Output 10 3 4 5" xfId="17188" xr:uid="{00000000-0005-0000-0000-00007C8E0000}"/>
    <cellStyle name="Output 10 3 4 6" xfId="15345" xr:uid="{00000000-0005-0000-0000-00007D8E0000}"/>
    <cellStyle name="Output 10 3 5" xfId="13328" xr:uid="{00000000-0005-0000-0000-00007E8E0000}"/>
    <cellStyle name="Output 10 3 6" xfId="13329" xr:uid="{00000000-0005-0000-0000-00007F8E0000}"/>
    <cellStyle name="Output 10 3 7" xfId="13330" xr:uid="{00000000-0005-0000-0000-0000808E0000}"/>
    <cellStyle name="Output 10 3 8" xfId="16019" xr:uid="{00000000-0005-0000-0000-0000818E0000}"/>
    <cellStyle name="Output 10 3 9" xfId="15676" xr:uid="{00000000-0005-0000-0000-0000828E0000}"/>
    <cellStyle name="Output 11" xfId="36274" xr:uid="{00000000-0005-0000-0000-0000838E0000}"/>
    <cellStyle name="Output 11 2" xfId="6784" xr:uid="{00000000-0005-0000-0000-0000848E0000}"/>
    <cellStyle name="Output 11 2 2" xfId="6785" xr:uid="{00000000-0005-0000-0000-0000858E0000}"/>
    <cellStyle name="Output 11 2 2 2" xfId="6786" xr:uid="{00000000-0005-0000-0000-0000868E0000}"/>
    <cellStyle name="Output 11 2 2 2 2" xfId="13331" xr:uid="{00000000-0005-0000-0000-0000878E0000}"/>
    <cellStyle name="Output 11 2 2 2 3" xfId="13332" xr:uid="{00000000-0005-0000-0000-0000888E0000}"/>
    <cellStyle name="Output 11 2 2 2 4" xfId="13333" xr:uid="{00000000-0005-0000-0000-0000898E0000}"/>
    <cellStyle name="Output 11 2 2 2 5" xfId="17190" xr:uid="{00000000-0005-0000-0000-00008A8E0000}"/>
    <cellStyle name="Output 11 2 2 2 6" xfId="16223" xr:uid="{00000000-0005-0000-0000-00008B8E0000}"/>
    <cellStyle name="Output 11 2 2 3" xfId="6787" xr:uid="{00000000-0005-0000-0000-00008C8E0000}"/>
    <cellStyle name="Output 11 2 2 3 2" xfId="13334" xr:uid="{00000000-0005-0000-0000-00008D8E0000}"/>
    <cellStyle name="Output 11 2 2 3 3" xfId="13335" xr:uid="{00000000-0005-0000-0000-00008E8E0000}"/>
    <cellStyle name="Output 11 2 2 3 4" xfId="13336" xr:uid="{00000000-0005-0000-0000-00008F8E0000}"/>
    <cellStyle name="Output 11 2 2 3 5" xfId="17191" xr:uid="{00000000-0005-0000-0000-0000908E0000}"/>
    <cellStyle name="Output 11 2 2 3 6" xfId="15344" xr:uid="{00000000-0005-0000-0000-0000918E0000}"/>
    <cellStyle name="Output 11 2 2 4" xfId="13337" xr:uid="{00000000-0005-0000-0000-0000928E0000}"/>
    <cellStyle name="Output 11 2 2 5" xfId="13338" xr:uid="{00000000-0005-0000-0000-0000938E0000}"/>
    <cellStyle name="Output 11 2 2 6" xfId="13339" xr:uid="{00000000-0005-0000-0000-0000948E0000}"/>
    <cellStyle name="Output 11 2 2 7" xfId="17189" xr:uid="{00000000-0005-0000-0000-0000958E0000}"/>
    <cellStyle name="Output 11 2 2 8" xfId="17657" xr:uid="{00000000-0005-0000-0000-0000968E0000}"/>
    <cellStyle name="Output 11 2 3" xfId="6788" xr:uid="{00000000-0005-0000-0000-0000978E0000}"/>
    <cellStyle name="Output 11 2 3 2" xfId="13340" xr:uid="{00000000-0005-0000-0000-0000988E0000}"/>
    <cellStyle name="Output 11 2 3 3" xfId="13341" xr:uid="{00000000-0005-0000-0000-0000998E0000}"/>
    <cellStyle name="Output 11 2 3 4" xfId="13342" xr:uid="{00000000-0005-0000-0000-00009A8E0000}"/>
    <cellStyle name="Output 11 2 3 5" xfId="17192" xr:uid="{00000000-0005-0000-0000-00009B8E0000}"/>
    <cellStyle name="Output 11 2 3 6" xfId="17656" xr:uid="{00000000-0005-0000-0000-00009C8E0000}"/>
    <cellStyle name="Output 11 2 4" xfId="6789" xr:uid="{00000000-0005-0000-0000-00009D8E0000}"/>
    <cellStyle name="Output 11 2 4 2" xfId="13343" xr:uid="{00000000-0005-0000-0000-00009E8E0000}"/>
    <cellStyle name="Output 11 2 4 3" xfId="13344" xr:uid="{00000000-0005-0000-0000-00009F8E0000}"/>
    <cellStyle name="Output 11 2 4 4" xfId="13345" xr:uid="{00000000-0005-0000-0000-0000A08E0000}"/>
    <cellStyle name="Output 11 2 4 5" xfId="17193" xr:uid="{00000000-0005-0000-0000-0000A18E0000}"/>
    <cellStyle name="Output 11 2 4 6" xfId="16222" xr:uid="{00000000-0005-0000-0000-0000A28E0000}"/>
    <cellStyle name="Output 11 2 5" xfId="13346" xr:uid="{00000000-0005-0000-0000-0000A38E0000}"/>
    <cellStyle name="Output 11 2 6" xfId="13347" xr:uid="{00000000-0005-0000-0000-0000A48E0000}"/>
    <cellStyle name="Output 11 2 7" xfId="13348" xr:uid="{00000000-0005-0000-0000-0000A58E0000}"/>
    <cellStyle name="Output 11 2 8" xfId="16020" xr:uid="{00000000-0005-0000-0000-0000A68E0000}"/>
    <cellStyle name="Output 11 2 9" xfId="17932" xr:uid="{00000000-0005-0000-0000-0000A78E0000}"/>
    <cellStyle name="Output 11 3" xfId="6790" xr:uid="{00000000-0005-0000-0000-0000A88E0000}"/>
    <cellStyle name="Output 11 3 2" xfId="6791" xr:uid="{00000000-0005-0000-0000-0000A98E0000}"/>
    <cellStyle name="Output 11 3 2 2" xfId="6792" xr:uid="{00000000-0005-0000-0000-0000AA8E0000}"/>
    <cellStyle name="Output 11 3 2 2 2" xfId="13349" xr:uid="{00000000-0005-0000-0000-0000AB8E0000}"/>
    <cellStyle name="Output 11 3 2 2 3" xfId="13350" xr:uid="{00000000-0005-0000-0000-0000AC8E0000}"/>
    <cellStyle name="Output 11 3 2 2 4" xfId="13351" xr:uid="{00000000-0005-0000-0000-0000AD8E0000}"/>
    <cellStyle name="Output 11 3 2 2 5" xfId="17195" xr:uid="{00000000-0005-0000-0000-0000AE8E0000}"/>
    <cellStyle name="Output 11 3 2 2 6" xfId="17655" xr:uid="{00000000-0005-0000-0000-0000AF8E0000}"/>
    <cellStyle name="Output 11 3 2 3" xfId="6793" xr:uid="{00000000-0005-0000-0000-0000B08E0000}"/>
    <cellStyle name="Output 11 3 2 3 2" xfId="13352" xr:uid="{00000000-0005-0000-0000-0000B18E0000}"/>
    <cellStyle name="Output 11 3 2 3 3" xfId="13353" xr:uid="{00000000-0005-0000-0000-0000B28E0000}"/>
    <cellStyle name="Output 11 3 2 3 4" xfId="13354" xr:uid="{00000000-0005-0000-0000-0000B38E0000}"/>
    <cellStyle name="Output 11 3 2 3 5" xfId="17196" xr:uid="{00000000-0005-0000-0000-0000B48E0000}"/>
    <cellStyle name="Output 11 3 2 3 6" xfId="16221" xr:uid="{00000000-0005-0000-0000-0000B58E0000}"/>
    <cellStyle name="Output 11 3 2 4" xfId="13355" xr:uid="{00000000-0005-0000-0000-0000B68E0000}"/>
    <cellStyle name="Output 11 3 2 5" xfId="13356" xr:uid="{00000000-0005-0000-0000-0000B78E0000}"/>
    <cellStyle name="Output 11 3 2 6" xfId="13357" xr:uid="{00000000-0005-0000-0000-0000B88E0000}"/>
    <cellStyle name="Output 11 3 2 7" xfId="17194" xr:uid="{00000000-0005-0000-0000-0000B98E0000}"/>
    <cellStyle name="Output 11 3 2 8" xfId="15343" xr:uid="{00000000-0005-0000-0000-0000BA8E0000}"/>
    <cellStyle name="Output 11 3 3" xfId="6794" xr:uid="{00000000-0005-0000-0000-0000BB8E0000}"/>
    <cellStyle name="Output 11 3 3 2" xfId="13358" xr:uid="{00000000-0005-0000-0000-0000BC8E0000}"/>
    <cellStyle name="Output 11 3 3 3" xfId="13359" xr:uid="{00000000-0005-0000-0000-0000BD8E0000}"/>
    <cellStyle name="Output 11 3 3 4" xfId="13360" xr:uid="{00000000-0005-0000-0000-0000BE8E0000}"/>
    <cellStyle name="Output 11 3 3 5" xfId="17197" xr:uid="{00000000-0005-0000-0000-0000BF8E0000}"/>
    <cellStyle name="Output 11 3 3 6" xfId="15342" xr:uid="{00000000-0005-0000-0000-0000C08E0000}"/>
    <cellStyle name="Output 11 3 4" xfId="6795" xr:uid="{00000000-0005-0000-0000-0000C18E0000}"/>
    <cellStyle name="Output 11 3 4 2" xfId="13361" xr:uid="{00000000-0005-0000-0000-0000C28E0000}"/>
    <cellStyle name="Output 11 3 4 3" xfId="13362" xr:uid="{00000000-0005-0000-0000-0000C38E0000}"/>
    <cellStyle name="Output 11 3 4 4" xfId="13363" xr:uid="{00000000-0005-0000-0000-0000C48E0000}"/>
    <cellStyle name="Output 11 3 4 5" xfId="17198" xr:uid="{00000000-0005-0000-0000-0000C58E0000}"/>
    <cellStyle name="Output 11 3 4 6" xfId="15341" xr:uid="{00000000-0005-0000-0000-0000C68E0000}"/>
    <cellStyle name="Output 11 3 5" xfId="13364" xr:uid="{00000000-0005-0000-0000-0000C78E0000}"/>
    <cellStyle name="Output 11 3 6" xfId="13365" xr:uid="{00000000-0005-0000-0000-0000C88E0000}"/>
    <cellStyle name="Output 11 3 7" xfId="13366" xr:uid="{00000000-0005-0000-0000-0000C98E0000}"/>
    <cellStyle name="Output 11 3 8" xfId="16021" xr:uid="{00000000-0005-0000-0000-0000CA8E0000}"/>
    <cellStyle name="Output 11 3 9" xfId="16502" xr:uid="{00000000-0005-0000-0000-0000CB8E0000}"/>
    <cellStyle name="Output 12" xfId="36275" xr:uid="{00000000-0005-0000-0000-0000CC8E0000}"/>
    <cellStyle name="Output 12 2" xfId="6796" xr:uid="{00000000-0005-0000-0000-0000CD8E0000}"/>
    <cellStyle name="Output 12 2 2" xfId="6797" xr:uid="{00000000-0005-0000-0000-0000CE8E0000}"/>
    <cellStyle name="Output 12 2 2 2" xfId="6798" xr:uid="{00000000-0005-0000-0000-0000CF8E0000}"/>
    <cellStyle name="Output 12 2 2 2 2" xfId="13367" xr:uid="{00000000-0005-0000-0000-0000D08E0000}"/>
    <cellStyle name="Output 12 2 2 2 3" xfId="13368" xr:uid="{00000000-0005-0000-0000-0000D18E0000}"/>
    <cellStyle name="Output 12 2 2 2 4" xfId="13369" xr:uid="{00000000-0005-0000-0000-0000D28E0000}"/>
    <cellStyle name="Output 12 2 2 2 5" xfId="17200" xr:uid="{00000000-0005-0000-0000-0000D38E0000}"/>
    <cellStyle name="Output 12 2 2 2 6" xfId="16219" xr:uid="{00000000-0005-0000-0000-0000D48E0000}"/>
    <cellStyle name="Output 12 2 2 3" xfId="6799" xr:uid="{00000000-0005-0000-0000-0000D58E0000}"/>
    <cellStyle name="Output 12 2 2 3 2" xfId="13370" xr:uid="{00000000-0005-0000-0000-0000D68E0000}"/>
    <cellStyle name="Output 12 2 2 3 3" xfId="13371" xr:uid="{00000000-0005-0000-0000-0000D78E0000}"/>
    <cellStyle name="Output 12 2 2 3 4" xfId="13372" xr:uid="{00000000-0005-0000-0000-0000D88E0000}"/>
    <cellStyle name="Output 12 2 2 3 5" xfId="17201" xr:uid="{00000000-0005-0000-0000-0000D98E0000}"/>
    <cellStyle name="Output 12 2 2 3 6" xfId="15340" xr:uid="{00000000-0005-0000-0000-0000DA8E0000}"/>
    <cellStyle name="Output 12 2 2 4" xfId="13373" xr:uid="{00000000-0005-0000-0000-0000DB8E0000}"/>
    <cellStyle name="Output 12 2 2 5" xfId="13374" xr:uid="{00000000-0005-0000-0000-0000DC8E0000}"/>
    <cellStyle name="Output 12 2 2 6" xfId="13375" xr:uid="{00000000-0005-0000-0000-0000DD8E0000}"/>
    <cellStyle name="Output 12 2 2 7" xfId="17199" xr:uid="{00000000-0005-0000-0000-0000DE8E0000}"/>
    <cellStyle name="Output 12 2 2 8" xfId="17653" xr:uid="{00000000-0005-0000-0000-0000DF8E0000}"/>
    <cellStyle name="Output 12 2 3" xfId="6800" xr:uid="{00000000-0005-0000-0000-0000E08E0000}"/>
    <cellStyle name="Output 12 2 3 2" xfId="13376" xr:uid="{00000000-0005-0000-0000-0000E18E0000}"/>
    <cellStyle name="Output 12 2 3 3" xfId="13377" xr:uid="{00000000-0005-0000-0000-0000E28E0000}"/>
    <cellStyle name="Output 12 2 3 4" xfId="13378" xr:uid="{00000000-0005-0000-0000-0000E38E0000}"/>
    <cellStyle name="Output 12 2 3 5" xfId="17202" xr:uid="{00000000-0005-0000-0000-0000E48E0000}"/>
    <cellStyle name="Output 12 2 3 6" xfId="17652" xr:uid="{00000000-0005-0000-0000-0000E58E0000}"/>
    <cellStyle name="Output 12 2 4" xfId="6801" xr:uid="{00000000-0005-0000-0000-0000E68E0000}"/>
    <cellStyle name="Output 12 2 4 2" xfId="13379" xr:uid="{00000000-0005-0000-0000-0000E78E0000}"/>
    <cellStyle name="Output 12 2 4 3" xfId="13380" xr:uid="{00000000-0005-0000-0000-0000E88E0000}"/>
    <cellStyle name="Output 12 2 4 4" xfId="13381" xr:uid="{00000000-0005-0000-0000-0000E98E0000}"/>
    <cellStyle name="Output 12 2 4 5" xfId="17203" xr:uid="{00000000-0005-0000-0000-0000EA8E0000}"/>
    <cellStyle name="Output 12 2 4 6" xfId="16218" xr:uid="{00000000-0005-0000-0000-0000EB8E0000}"/>
    <cellStyle name="Output 12 2 5" xfId="13382" xr:uid="{00000000-0005-0000-0000-0000EC8E0000}"/>
    <cellStyle name="Output 12 2 6" xfId="13383" xr:uid="{00000000-0005-0000-0000-0000ED8E0000}"/>
    <cellStyle name="Output 12 2 7" xfId="13384" xr:uid="{00000000-0005-0000-0000-0000EE8E0000}"/>
    <cellStyle name="Output 12 2 8" xfId="16022" xr:uid="{00000000-0005-0000-0000-0000EF8E0000}"/>
    <cellStyle name="Output 12 2 9" xfId="15675" xr:uid="{00000000-0005-0000-0000-0000F08E0000}"/>
    <cellStyle name="Output 12 3" xfId="6802" xr:uid="{00000000-0005-0000-0000-0000F18E0000}"/>
    <cellStyle name="Output 12 3 2" xfId="6803" xr:uid="{00000000-0005-0000-0000-0000F28E0000}"/>
    <cellStyle name="Output 12 3 2 2" xfId="6804" xr:uid="{00000000-0005-0000-0000-0000F38E0000}"/>
    <cellStyle name="Output 12 3 2 2 2" xfId="13385" xr:uid="{00000000-0005-0000-0000-0000F48E0000}"/>
    <cellStyle name="Output 12 3 2 2 3" xfId="13386" xr:uid="{00000000-0005-0000-0000-0000F58E0000}"/>
    <cellStyle name="Output 12 3 2 2 4" xfId="13387" xr:uid="{00000000-0005-0000-0000-0000F68E0000}"/>
    <cellStyle name="Output 12 3 2 2 5" xfId="17205" xr:uid="{00000000-0005-0000-0000-0000F78E0000}"/>
    <cellStyle name="Output 12 3 2 2 6" xfId="15330" xr:uid="{00000000-0005-0000-0000-0000F88E0000}"/>
    <cellStyle name="Output 12 3 2 3" xfId="6805" xr:uid="{00000000-0005-0000-0000-0000F98E0000}"/>
    <cellStyle name="Output 12 3 2 3 2" xfId="13388" xr:uid="{00000000-0005-0000-0000-0000FA8E0000}"/>
    <cellStyle name="Output 12 3 2 3 3" xfId="13389" xr:uid="{00000000-0005-0000-0000-0000FB8E0000}"/>
    <cellStyle name="Output 12 3 2 3 4" xfId="13390" xr:uid="{00000000-0005-0000-0000-0000FC8E0000}"/>
    <cellStyle name="Output 12 3 2 3 5" xfId="17206" xr:uid="{00000000-0005-0000-0000-0000FD8E0000}"/>
    <cellStyle name="Output 12 3 2 3 6" xfId="17651" xr:uid="{00000000-0005-0000-0000-0000FE8E0000}"/>
    <cellStyle name="Output 12 3 2 4" xfId="13391" xr:uid="{00000000-0005-0000-0000-0000FF8E0000}"/>
    <cellStyle name="Output 12 3 2 5" xfId="13392" xr:uid="{00000000-0005-0000-0000-0000008F0000}"/>
    <cellStyle name="Output 12 3 2 6" xfId="13393" xr:uid="{00000000-0005-0000-0000-0000018F0000}"/>
    <cellStyle name="Output 12 3 2 7" xfId="17204" xr:uid="{00000000-0005-0000-0000-0000028F0000}"/>
    <cellStyle name="Output 12 3 2 8" xfId="15339" xr:uid="{00000000-0005-0000-0000-0000038F0000}"/>
    <cellStyle name="Output 12 3 3" xfId="6806" xr:uid="{00000000-0005-0000-0000-0000048F0000}"/>
    <cellStyle name="Output 12 3 3 2" xfId="13394" xr:uid="{00000000-0005-0000-0000-0000058F0000}"/>
    <cellStyle name="Output 12 3 3 3" xfId="13395" xr:uid="{00000000-0005-0000-0000-0000068F0000}"/>
    <cellStyle name="Output 12 3 3 4" xfId="13396" xr:uid="{00000000-0005-0000-0000-0000078F0000}"/>
    <cellStyle name="Output 12 3 3 5" xfId="17207" xr:uid="{00000000-0005-0000-0000-0000088F0000}"/>
    <cellStyle name="Output 12 3 3 6" xfId="16217" xr:uid="{00000000-0005-0000-0000-0000098F0000}"/>
    <cellStyle name="Output 12 3 4" xfId="6807" xr:uid="{00000000-0005-0000-0000-00000A8F0000}"/>
    <cellStyle name="Output 12 3 4 2" xfId="13397" xr:uid="{00000000-0005-0000-0000-00000B8F0000}"/>
    <cellStyle name="Output 12 3 4 3" xfId="13398" xr:uid="{00000000-0005-0000-0000-00000C8F0000}"/>
    <cellStyle name="Output 12 3 4 4" xfId="13399" xr:uid="{00000000-0005-0000-0000-00000D8F0000}"/>
    <cellStyle name="Output 12 3 4 5" xfId="17208" xr:uid="{00000000-0005-0000-0000-00000E8F0000}"/>
    <cellStyle name="Output 12 3 4 6" xfId="15338" xr:uid="{00000000-0005-0000-0000-00000F8F0000}"/>
    <cellStyle name="Output 12 3 5" xfId="13400" xr:uid="{00000000-0005-0000-0000-0000108F0000}"/>
    <cellStyle name="Output 12 3 6" xfId="13401" xr:uid="{00000000-0005-0000-0000-0000118F0000}"/>
    <cellStyle name="Output 12 3 7" xfId="13402" xr:uid="{00000000-0005-0000-0000-0000128F0000}"/>
    <cellStyle name="Output 12 3 8" xfId="16023" xr:uid="{00000000-0005-0000-0000-0000138F0000}"/>
    <cellStyle name="Output 12 3 9" xfId="17925" xr:uid="{00000000-0005-0000-0000-0000148F0000}"/>
    <cellStyle name="Output 13 2" xfId="6808" xr:uid="{00000000-0005-0000-0000-0000158F0000}"/>
    <cellStyle name="Output 13 2 2" xfId="6809" xr:uid="{00000000-0005-0000-0000-0000168F0000}"/>
    <cellStyle name="Output 13 2 2 2" xfId="6810" xr:uid="{00000000-0005-0000-0000-0000178F0000}"/>
    <cellStyle name="Output 13 2 2 2 2" xfId="13403" xr:uid="{00000000-0005-0000-0000-0000188F0000}"/>
    <cellStyle name="Output 13 2 2 2 3" xfId="13404" xr:uid="{00000000-0005-0000-0000-0000198F0000}"/>
    <cellStyle name="Output 13 2 2 2 4" xfId="13405" xr:uid="{00000000-0005-0000-0000-00001A8F0000}"/>
    <cellStyle name="Output 13 2 2 2 5" xfId="17210" xr:uid="{00000000-0005-0000-0000-00001B8F0000}"/>
    <cellStyle name="Output 13 2 2 2 6" xfId="16216" xr:uid="{00000000-0005-0000-0000-00001C8F0000}"/>
    <cellStyle name="Output 13 2 2 3" xfId="6811" xr:uid="{00000000-0005-0000-0000-00001D8F0000}"/>
    <cellStyle name="Output 13 2 2 3 2" xfId="13406" xr:uid="{00000000-0005-0000-0000-00001E8F0000}"/>
    <cellStyle name="Output 13 2 2 3 3" xfId="13407" xr:uid="{00000000-0005-0000-0000-00001F8F0000}"/>
    <cellStyle name="Output 13 2 2 3 4" xfId="13408" xr:uid="{00000000-0005-0000-0000-0000208F0000}"/>
    <cellStyle name="Output 13 2 2 3 5" xfId="17211" xr:uid="{00000000-0005-0000-0000-0000218F0000}"/>
    <cellStyle name="Output 13 2 2 3 6" xfId="15337" xr:uid="{00000000-0005-0000-0000-0000228F0000}"/>
    <cellStyle name="Output 13 2 2 4" xfId="13409" xr:uid="{00000000-0005-0000-0000-0000238F0000}"/>
    <cellStyle name="Output 13 2 2 5" xfId="13410" xr:uid="{00000000-0005-0000-0000-0000248F0000}"/>
    <cellStyle name="Output 13 2 2 6" xfId="13411" xr:uid="{00000000-0005-0000-0000-0000258F0000}"/>
    <cellStyle name="Output 13 2 2 7" xfId="17209" xr:uid="{00000000-0005-0000-0000-0000268F0000}"/>
    <cellStyle name="Output 13 2 2 8" xfId="17650" xr:uid="{00000000-0005-0000-0000-0000278F0000}"/>
    <cellStyle name="Output 13 2 3" xfId="6812" xr:uid="{00000000-0005-0000-0000-0000288F0000}"/>
    <cellStyle name="Output 13 2 3 2" xfId="13412" xr:uid="{00000000-0005-0000-0000-0000298F0000}"/>
    <cellStyle name="Output 13 2 3 3" xfId="13413" xr:uid="{00000000-0005-0000-0000-00002A8F0000}"/>
    <cellStyle name="Output 13 2 3 4" xfId="13414" xr:uid="{00000000-0005-0000-0000-00002B8F0000}"/>
    <cellStyle name="Output 13 2 3 5" xfId="17212" xr:uid="{00000000-0005-0000-0000-00002C8F0000}"/>
    <cellStyle name="Output 13 2 3 6" xfId="17649" xr:uid="{00000000-0005-0000-0000-00002D8F0000}"/>
    <cellStyle name="Output 13 2 4" xfId="6813" xr:uid="{00000000-0005-0000-0000-00002E8F0000}"/>
    <cellStyle name="Output 13 2 4 2" xfId="13415" xr:uid="{00000000-0005-0000-0000-00002F8F0000}"/>
    <cellStyle name="Output 13 2 4 3" xfId="13416" xr:uid="{00000000-0005-0000-0000-0000308F0000}"/>
    <cellStyle name="Output 13 2 4 4" xfId="13417" xr:uid="{00000000-0005-0000-0000-0000318F0000}"/>
    <cellStyle name="Output 13 2 4 5" xfId="17213" xr:uid="{00000000-0005-0000-0000-0000328F0000}"/>
    <cellStyle name="Output 13 2 4 6" xfId="16215" xr:uid="{00000000-0005-0000-0000-0000338F0000}"/>
    <cellStyle name="Output 13 2 5" xfId="13418" xr:uid="{00000000-0005-0000-0000-0000348F0000}"/>
    <cellStyle name="Output 13 2 6" xfId="13419" xr:uid="{00000000-0005-0000-0000-0000358F0000}"/>
    <cellStyle name="Output 13 2 7" xfId="13420" xr:uid="{00000000-0005-0000-0000-0000368F0000}"/>
    <cellStyle name="Output 13 2 8" xfId="16024" xr:uid="{00000000-0005-0000-0000-0000378F0000}"/>
    <cellStyle name="Output 13 2 9" xfId="16495" xr:uid="{00000000-0005-0000-0000-0000388F0000}"/>
    <cellStyle name="Output 13 3" xfId="6814" xr:uid="{00000000-0005-0000-0000-0000398F0000}"/>
    <cellStyle name="Output 13 3 2" xfId="6815" xr:uid="{00000000-0005-0000-0000-00003A8F0000}"/>
    <cellStyle name="Output 13 3 2 2" xfId="6816" xr:uid="{00000000-0005-0000-0000-00003B8F0000}"/>
    <cellStyle name="Output 13 3 2 2 2" xfId="13421" xr:uid="{00000000-0005-0000-0000-00003C8F0000}"/>
    <cellStyle name="Output 13 3 2 2 3" xfId="13422" xr:uid="{00000000-0005-0000-0000-00003D8F0000}"/>
    <cellStyle name="Output 13 3 2 2 4" xfId="13423" xr:uid="{00000000-0005-0000-0000-00003E8F0000}"/>
    <cellStyle name="Output 13 3 2 2 5" xfId="17215" xr:uid="{00000000-0005-0000-0000-00003F8F0000}"/>
    <cellStyle name="Output 13 3 2 2 6" xfId="17648" xr:uid="{00000000-0005-0000-0000-0000408F0000}"/>
    <cellStyle name="Output 13 3 2 3" xfId="6817" xr:uid="{00000000-0005-0000-0000-0000418F0000}"/>
    <cellStyle name="Output 13 3 2 3 2" xfId="13424" xr:uid="{00000000-0005-0000-0000-0000428F0000}"/>
    <cellStyle name="Output 13 3 2 3 3" xfId="13425" xr:uid="{00000000-0005-0000-0000-0000438F0000}"/>
    <cellStyle name="Output 13 3 2 3 4" xfId="13426" xr:uid="{00000000-0005-0000-0000-0000448F0000}"/>
    <cellStyle name="Output 13 3 2 3 5" xfId="17216" xr:uid="{00000000-0005-0000-0000-0000458F0000}"/>
    <cellStyle name="Output 13 3 2 3 6" xfId="16214" xr:uid="{00000000-0005-0000-0000-0000468F0000}"/>
    <cellStyle name="Output 13 3 2 4" xfId="13427" xr:uid="{00000000-0005-0000-0000-0000478F0000}"/>
    <cellStyle name="Output 13 3 2 5" xfId="13428" xr:uid="{00000000-0005-0000-0000-0000488F0000}"/>
    <cellStyle name="Output 13 3 2 6" xfId="13429" xr:uid="{00000000-0005-0000-0000-0000498F0000}"/>
    <cellStyle name="Output 13 3 2 7" xfId="17214" xr:uid="{00000000-0005-0000-0000-00004A8F0000}"/>
    <cellStyle name="Output 13 3 2 8" xfId="15336" xr:uid="{00000000-0005-0000-0000-00004B8F0000}"/>
    <cellStyle name="Output 13 3 3" xfId="6818" xr:uid="{00000000-0005-0000-0000-00004C8F0000}"/>
    <cellStyle name="Output 13 3 3 2" xfId="13430" xr:uid="{00000000-0005-0000-0000-00004D8F0000}"/>
    <cellStyle name="Output 13 3 3 3" xfId="13431" xr:uid="{00000000-0005-0000-0000-00004E8F0000}"/>
    <cellStyle name="Output 13 3 3 4" xfId="13432" xr:uid="{00000000-0005-0000-0000-00004F8F0000}"/>
    <cellStyle name="Output 13 3 3 5" xfId="17217" xr:uid="{00000000-0005-0000-0000-0000508F0000}"/>
    <cellStyle name="Output 13 3 3 6" xfId="15335" xr:uid="{00000000-0005-0000-0000-0000518F0000}"/>
    <cellStyle name="Output 13 3 4" xfId="6819" xr:uid="{00000000-0005-0000-0000-0000528F0000}"/>
    <cellStyle name="Output 13 3 4 2" xfId="13433" xr:uid="{00000000-0005-0000-0000-0000538F0000}"/>
    <cellStyle name="Output 13 3 4 3" xfId="13434" xr:uid="{00000000-0005-0000-0000-0000548F0000}"/>
    <cellStyle name="Output 13 3 4 4" xfId="13435" xr:uid="{00000000-0005-0000-0000-0000558F0000}"/>
    <cellStyle name="Output 13 3 4 5" xfId="17218" xr:uid="{00000000-0005-0000-0000-0000568F0000}"/>
    <cellStyle name="Output 13 3 4 6" xfId="18084" xr:uid="{00000000-0005-0000-0000-0000578F0000}"/>
    <cellStyle name="Output 13 3 5" xfId="13436" xr:uid="{00000000-0005-0000-0000-0000588F0000}"/>
    <cellStyle name="Output 13 3 6" xfId="13437" xr:uid="{00000000-0005-0000-0000-0000598F0000}"/>
    <cellStyle name="Output 13 3 7" xfId="13438" xr:uid="{00000000-0005-0000-0000-00005A8F0000}"/>
    <cellStyle name="Output 13 3 8" xfId="16025" xr:uid="{00000000-0005-0000-0000-00005B8F0000}"/>
    <cellStyle name="Output 13 3 9" xfId="17931" xr:uid="{00000000-0005-0000-0000-00005C8F0000}"/>
    <cellStyle name="Output 14 2" xfId="6820" xr:uid="{00000000-0005-0000-0000-00005D8F0000}"/>
    <cellStyle name="Output 14 2 2" xfId="6821" xr:uid="{00000000-0005-0000-0000-00005E8F0000}"/>
    <cellStyle name="Output 14 2 2 2" xfId="6822" xr:uid="{00000000-0005-0000-0000-00005F8F0000}"/>
    <cellStyle name="Output 14 2 2 2 2" xfId="13439" xr:uid="{00000000-0005-0000-0000-0000608F0000}"/>
    <cellStyle name="Output 14 2 2 2 3" xfId="13440" xr:uid="{00000000-0005-0000-0000-0000618F0000}"/>
    <cellStyle name="Output 14 2 2 2 4" xfId="13441" xr:uid="{00000000-0005-0000-0000-0000628F0000}"/>
    <cellStyle name="Output 14 2 2 2 5" xfId="17220" xr:uid="{00000000-0005-0000-0000-0000638F0000}"/>
    <cellStyle name="Output 14 2 2 2 6" xfId="16213" xr:uid="{00000000-0005-0000-0000-0000648F0000}"/>
    <cellStyle name="Output 14 2 2 3" xfId="6823" xr:uid="{00000000-0005-0000-0000-0000658F0000}"/>
    <cellStyle name="Output 14 2 2 3 2" xfId="13442" xr:uid="{00000000-0005-0000-0000-0000668F0000}"/>
    <cellStyle name="Output 14 2 2 3 3" xfId="13443" xr:uid="{00000000-0005-0000-0000-0000678F0000}"/>
    <cellStyle name="Output 14 2 2 3 4" xfId="13444" xr:uid="{00000000-0005-0000-0000-0000688F0000}"/>
    <cellStyle name="Output 14 2 2 3 5" xfId="17221" xr:uid="{00000000-0005-0000-0000-0000698F0000}"/>
    <cellStyle name="Output 14 2 2 3 6" xfId="15334" xr:uid="{00000000-0005-0000-0000-00006A8F0000}"/>
    <cellStyle name="Output 14 2 2 4" xfId="13445" xr:uid="{00000000-0005-0000-0000-00006B8F0000}"/>
    <cellStyle name="Output 14 2 2 5" xfId="13446" xr:uid="{00000000-0005-0000-0000-00006C8F0000}"/>
    <cellStyle name="Output 14 2 2 6" xfId="13447" xr:uid="{00000000-0005-0000-0000-00006D8F0000}"/>
    <cellStyle name="Output 14 2 2 7" xfId="17219" xr:uid="{00000000-0005-0000-0000-00006E8F0000}"/>
    <cellStyle name="Output 14 2 2 8" xfId="17647" xr:uid="{00000000-0005-0000-0000-00006F8F0000}"/>
    <cellStyle name="Output 14 2 3" xfId="6824" xr:uid="{00000000-0005-0000-0000-0000708F0000}"/>
    <cellStyle name="Output 14 2 3 2" xfId="13448" xr:uid="{00000000-0005-0000-0000-0000718F0000}"/>
    <cellStyle name="Output 14 2 3 3" xfId="13449" xr:uid="{00000000-0005-0000-0000-0000728F0000}"/>
    <cellStyle name="Output 14 2 3 4" xfId="13450" xr:uid="{00000000-0005-0000-0000-0000738F0000}"/>
    <cellStyle name="Output 14 2 3 5" xfId="17222" xr:uid="{00000000-0005-0000-0000-0000748F0000}"/>
    <cellStyle name="Output 14 2 3 6" xfId="17646" xr:uid="{00000000-0005-0000-0000-0000758F0000}"/>
    <cellStyle name="Output 14 2 4" xfId="6825" xr:uid="{00000000-0005-0000-0000-0000768F0000}"/>
    <cellStyle name="Output 14 2 4 2" xfId="13451" xr:uid="{00000000-0005-0000-0000-0000778F0000}"/>
    <cellStyle name="Output 14 2 4 3" xfId="13452" xr:uid="{00000000-0005-0000-0000-0000788F0000}"/>
    <cellStyle name="Output 14 2 4 4" xfId="13453" xr:uid="{00000000-0005-0000-0000-0000798F0000}"/>
    <cellStyle name="Output 14 2 4 5" xfId="17223" xr:uid="{00000000-0005-0000-0000-00007A8F0000}"/>
    <cellStyle name="Output 14 2 4 6" xfId="16212" xr:uid="{00000000-0005-0000-0000-00007B8F0000}"/>
    <cellStyle name="Output 14 2 5" xfId="13454" xr:uid="{00000000-0005-0000-0000-00007C8F0000}"/>
    <cellStyle name="Output 14 2 6" xfId="13455" xr:uid="{00000000-0005-0000-0000-00007D8F0000}"/>
    <cellStyle name="Output 14 2 7" xfId="13456" xr:uid="{00000000-0005-0000-0000-00007E8F0000}"/>
    <cellStyle name="Output 14 2 8" xfId="16026" xr:uid="{00000000-0005-0000-0000-00007F8F0000}"/>
    <cellStyle name="Output 14 2 9" xfId="16501" xr:uid="{00000000-0005-0000-0000-0000808F0000}"/>
    <cellStyle name="Output 14 3" xfId="6826" xr:uid="{00000000-0005-0000-0000-0000818F0000}"/>
    <cellStyle name="Output 14 3 2" xfId="6827" xr:uid="{00000000-0005-0000-0000-0000828F0000}"/>
    <cellStyle name="Output 14 3 2 2" xfId="6828" xr:uid="{00000000-0005-0000-0000-0000838F0000}"/>
    <cellStyle name="Output 14 3 2 2 2" xfId="13457" xr:uid="{00000000-0005-0000-0000-0000848F0000}"/>
    <cellStyle name="Output 14 3 2 2 3" xfId="13458" xr:uid="{00000000-0005-0000-0000-0000858F0000}"/>
    <cellStyle name="Output 14 3 2 2 4" xfId="13459" xr:uid="{00000000-0005-0000-0000-0000868F0000}"/>
    <cellStyle name="Output 14 3 2 2 5" xfId="17225" xr:uid="{00000000-0005-0000-0000-0000878F0000}"/>
    <cellStyle name="Output 14 3 2 2 6" xfId="16209" xr:uid="{00000000-0005-0000-0000-0000888F0000}"/>
    <cellStyle name="Output 14 3 2 3" xfId="6829" xr:uid="{00000000-0005-0000-0000-0000898F0000}"/>
    <cellStyle name="Output 14 3 2 3 2" xfId="13460" xr:uid="{00000000-0005-0000-0000-00008A8F0000}"/>
    <cellStyle name="Output 14 3 2 3 3" xfId="13461" xr:uid="{00000000-0005-0000-0000-00008B8F0000}"/>
    <cellStyle name="Output 14 3 2 3 4" xfId="13462" xr:uid="{00000000-0005-0000-0000-00008C8F0000}"/>
    <cellStyle name="Output 14 3 2 3 5" xfId="17226" xr:uid="{00000000-0005-0000-0000-00008D8F0000}"/>
    <cellStyle name="Output 14 3 2 3 6" xfId="17645" xr:uid="{00000000-0005-0000-0000-00008E8F0000}"/>
    <cellStyle name="Output 14 3 2 4" xfId="13463" xr:uid="{00000000-0005-0000-0000-00008F8F0000}"/>
    <cellStyle name="Output 14 3 2 5" xfId="13464" xr:uid="{00000000-0005-0000-0000-0000908F0000}"/>
    <cellStyle name="Output 14 3 2 6" xfId="13465" xr:uid="{00000000-0005-0000-0000-0000918F0000}"/>
    <cellStyle name="Output 14 3 2 7" xfId="17224" xr:uid="{00000000-0005-0000-0000-0000928F0000}"/>
    <cellStyle name="Output 14 3 2 8" xfId="15333" xr:uid="{00000000-0005-0000-0000-0000938F0000}"/>
    <cellStyle name="Output 14 3 3" xfId="6830" xr:uid="{00000000-0005-0000-0000-0000948F0000}"/>
    <cellStyle name="Output 14 3 3 2" xfId="13466" xr:uid="{00000000-0005-0000-0000-0000958F0000}"/>
    <cellStyle name="Output 14 3 3 3" xfId="13467" xr:uid="{00000000-0005-0000-0000-0000968F0000}"/>
    <cellStyle name="Output 14 3 3 4" xfId="13468" xr:uid="{00000000-0005-0000-0000-0000978F0000}"/>
    <cellStyle name="Output 14 3 3 5" xfId="17227" xr:uid="{00000000-0005-0000-0000-0000988F0000}"/>
    <cellStyle name="Output 14 3 3 6" xfId="16211" xr:uid="{00000000-0005-0000-0000-0000998F0000}"/>
    <cellStyle name="Output 14 3 4" xfId="6831" xr:uid="{00000000-0005-0000-0000-00009A8F0000}"/>
    <cellStyle name="Output 14 3 4 2" xfId="13469" xr:uid="{00000000-0005-0000-0000-00009B8F0000}"/>
    <cellStyle name="Output 14 3 4 3" xfId="13470" xr:uid="{00000000-0005-0000-0000-00009C8F0000}"/>
    <cellStyle name="Output 14 3 4 4" xfId="13471" xr:uid="{00000000-0005-0000-0000-00009D8F0000}"/>
    <cellStyle name="Output 14 3 4 5" xfId="17228" xr:uid="{00000000-0005-0000-0000-00009E8F0000}"/>
    <cellStyle name="Output 14 3 4 6" xfId="15332" xr:uid="{00000000-0005-0000-0000-00009F8F0000}"/>
    <cellStyle name="Output 14 3 5" xfId="13472" xr:uid="{00000000-0005-0000-0000-0000A08F0000}"/>
    <cellStyle name="Output 14 3 6" xfId="13473" xr:uid="{00000000-0005-0000-0000-0000A18F0000}"/>
    <cellStyle name="Output 14 3 7" xfId="13474" xr:uid="{00000000-0005-0000-0000-0000A28F0000}"/>
    <cellStyle name="Output 14 3 8" xfId="16027" xr:uid="{00000000-0005-0000-0000-0000A38F0000}"/>
    <cellStyle name="Output 14 3 9" xfId="15674" xr:uid="{00000000-0005-0000-0000-0000A48F0000}"/>
    <cellStyle name="Output 15" xfId="6832" xr:uid="{00000000-0005-0000-0000-0000A58F0000}"/>
    <cellStyle name="Output 15 10" xfId="6833" xr:uid="{00000000-0005-0000-0000-0000A68F0000}"/>
    <cellStyle name="Output 15 10 2" xfId="13475" xr:uid="{00000000-0005-0000-0000-0000A78F0000}"/>
    <cellStyle name="Output 15 10 3" xfId="13476" xr:uid="{00000000-0005-0000-0000-0000A88F0000}"/>
    <cellStyle name="Output 15 10 4" xfId="13477" xr:uid="{00000000-0005-0000-0000-0000A98F0000}"/>
    <cellStyle name="Output 15 10 5" xfId="17229" xr:uid="{00000000-0005-0000-0000-0000AA8F0000}"/>
    <cellStyle name="Output 15 10 6" xfId="17644" xr:uid="{00000000-0005-0000-0000-0000AB8F0000}"/>
    <cellStyle name="Output 15 11" xfId="13478" xr:uid="{00000000-0005-0000-0000-0000AC8F0000}"/>
    <cellStyle name="Output 15 12" xfId="13479" xr:uid="{00000000-0005-0000-0000-0000AD8F0000}"/>
    <cellStyle name="Output 15 13" xfId="13480" xr:uid="{00000000-0005-0000-0000-0000AE8F0000}"/>
    <cellStyle name="Output 15 14" xfId="16028" xr:uid="{00000000-0005-0000-0000-0000AF8F0000}"/>
    <cellStyle name="Output 15 15" xfId="17930" xr:uid="{00000000-0005-0000-0000-0000B08F0000}"/>
    <cellStyle name="Output 15 2" xfId="6834" xr:uid="{00000000-0005-0000-0000-0000B18F0000}"/>
    <cellStyle name="Output 15 2 2" xfId="6835" xr:uid="{00000000-0005-0000-0000-0000B28F0000}"/>
    <cellStyle name="Output 15 2 2 2" xfId="6836" xr:uid="{00000000-0005-0000-0000-0000B38F0000}"/>
    <cellStyle name="Output 15 2 2 2 2" xfId="13481" xr:uid="{00000000-0005-0000-0000-0000B48F0000}"/>
    <cellStyle name="Output 15 2 2 2 3" xfId="13482" xr:uid="{00000000-0005-0000-0000-0000B58F0000}"/>
    <cellStyle name="Output 15 2 2 2 4" xfId="13483" xr:uid="{00000000-0005-0000-0000-0000B68F0000}"/>
    <cellStyle name="Output 15 2 2 2 5" xfId="17231" xr:uid="{00000000-0005-0000-0000-0000B78F0000}"/>
    <cellStyle name="Output 15 2 2 2 6" xfId="15331" xr:uid="{00000000-0005-0000-0000-0000B88F0000}"/>
    <cellStyle name="Output 15 2 2 3" xfId="6837" xr:uid="{00000000-0005-0000-0000-0000B98F0000}"/>
    <cellStyle name="Output 15 2 2 3 2" xfId="13484" xr:uid="{00000000-0005-0000-0000-0000BA8F0000}"/>
    <cellStyle name="Output 15 2 2 3 3" xfId="13485" xr:uid="{00000000-0005-0000-0000-0000BB8F0000}"/>
    <cellStyle name="Output 15 2 2 3 4" xfId="13486" xr:uid="{00000000-0005-0000-0000-0000BC8F0000}"/>
    <cellStyle name="Output 15 2 2 3 5" xfId="17232" xr:uid="{00000000-0005-0000-0000-0000BD8F0000}"/>
    <cellStyle name="Output 15 2 2 3 6" xfId="16157" xr:uid="{00000000-0005-0000-0000-0000BE8F0000}"/>
    <cellStyle name="Output 15 2 2 4" xfId="13487" xr:uid="{00000000-0005-0000-0000-0000BF8F0000}"/>
    <cellStyle name="Output 15 2 2 5" xfId="13488" xr:uid="{00000000-0005-0000-0000-0000C08F0000}"/>
    <cellStyle name="Output 15 2 2 6" xfId="13489" xr:uid="{00000000-0005-0000-0000-0000C18F0000}"/>
    <cellStyle name="Output 15 2 2 7" xfId="17230" xr:uid="{00000000-0005-0000-0000-0000C28F0000}"/>
    <cellStyle name="Output 15 2 2 8" xfId="16210" xr:uid="{00000000-0005-0000-0000-0000C38F0000}"/>
    <cellStyle name="Output 15 2 3" xfId="6838" xr:uid="{00000000-0005-0000-0000-0000C48F0000}"/>
    <cellStyle name="Output 15 2 3 2" xfId="13490" xr:uid="{00000000-0005-0000-0000-0000C58F0000}"/>
    <cellStyle name="Output 15 2 3 3" xfId="13491" xr:uid="{00000000-0005-0000-0000-0000C68F0000}"/>
    <cellStyle name="Output 15 2 3 4" xfId="13492" xr:uid="{00000000-0005-0000-0000-0000C78F0000}"/>
    <cellStyle name="Output 15 2 3 5" xfId="17233" xr:uid="{00000000-0005-0000-0000-0000C88F0000}"/>
    <cellStyle name="Output 15 2 3 6" xfId="17643" xr:uid="{00000000-0005-0000-0000-0000C98F0000}"/>
    <cellStyle name="Output 15 2 4" xfId="6839" xr:uid="{00000000-0005-0000-0000-0000CA8F0000}"/>
    <cellStyle name="Output 15 2 4 2" xfId="13493" xr:uid="{00000000-0005-0000-0000-0000CB8F0000}"/>
    <cellStyle name="Output 15 2 4 3" xfId="13494" xr:uid="{00000000-0005-0000-0000-0000CC8F0000}"/>
    <cellStyle name="Output 15 2 4 4" xfId="13495" xr:uid="{00000000-0005-0000-0000-0000CD8F0000}"/>
    <cellStyle name="Output 15 2 4 5" xfId="17234" xr:uid="{00000000-0005-0000-0000-0000CE8F0000}"/>
    <cellStyle name="Output 15 2 4 6" xfId="16208" xr:uid="{00000000-0005-0000-0000-0000CF8F0000}"/>
    <cellStyle name="Output 15 2 5" xfId="13496" xr:uid="{00000000-0005-0000-0000-0000D08F0000}"/>
    <cellStyle name="Output 15 2 6" xfId="13497" xr:uid="{00000000-0005-0000-0000-0000D18F0000}"/>
    <cellStyle name="Output 15 2 7" xfId="13498" xr:uid="{00000000-0005-0000-0000-0000D28F0000}"/>
    <cellStyle name="Output 15 2 8" xfId="16029" xr:uid="{00000000-0005-0000-0000-0000D38F0000}"/>
    <cellStyle name="Output 15 2 9" xfId="16500" xr:uid="{00000000-0005-0000-0000-0000D48F0000}"/>
    <cellStyle name="Output 15 3" xfId="6840" xr:uid="{00000000-0005-0000-0000-0000D58F0000}"/>
    <cellStyle name="Output 15 3 2" xfId="6841" xr:uid="{00000000-0005-0000-0000-0000D68F0000}"/>
    <cellStyle name="Output 15 3 2 2" xfId="6842" xr:uid="{00000000-0005-0000-0000-0000D78F0000}"/>
    <cellStyle name="Output 15 3 2 2 2" xfId="13499" xr:uid="{00000000-0005-0000-0000-0000D88F0000}"/>
    <cellStyle name="Output 15 3 2 2 3" xfId="13500" xr:uid="{00000000-0005-0000-0000-0000D98F0000}"/>
    <cellStyle name="Output 15 3 2 2 4" xfId="13501" xr:uid="{00000000-0005-0000-0000-0000DA8F0000}"/>
    <cellStyle name="Output 15 3 2 2 5" xfId="17236" xr:uid="{00000000-0005-0000-0000-0000DB8F0000}"/>
    <cellStyle name="Output 15 3 2 2 6" xfId="17642" xr:uid="{00000000-0005-0000-0000-0000DC8F0000}"/>
    <cellStyle name="Output 15 3 2 3" xfId="6843" xr:uid="{00000000-0005-0000-0000-0000DD8F0000}"/>
    <cellStyle name="Output 15 3 2 3 2" xfId="13502" xr:uid="{00000000-0005-0000-0000-0000DE8F0000}"/>
    <cellStyle name="Output 15 3 2 3 3" xfId="13503" xr:uid="{00000000-0005-0000-0000-0000DF8F0000}"/>
    <cellStyle name="Output 15 3 2 3 4" xfId="13504" xr:uid="{00000000-0005-0000-0000-0000E08F0000}"/>
    <cellStyle name="Output 15 3 2 3 5" xfId="17237" xr:uid="{00000000-0005-0000-0000-0000E18F0000}"/>
    <cellStyle name="Output 15 3 2 3 6" xfId="16207" xr:uid="{00000000-0005-0000-0000-0000E28F0000}"/>
    <cellStyle name="Output 15 3 2 4" xfId="13505" xr:uid="{00000000-0005-0000-0000-0000E38F0000}"/>
    <cellStyle name="Output 15 3 2 5" xfId="13506" xr:uid="{00000000-0005-0000-0000-0000E48F0000}"/>
    <cellStyle name="Output 15 3 2 6" xfId="13507" xr:uid="{00000000-0005-0000-0000-0000E58F0000}"/>
    <cellStyle name="Output 15 3 2 7" xfId="17235" xr:uid="{00000000-0005-0000-0000-0000E68F0000}"/>
    <cellStyle name="Output 15 3 2 8" xfId="15329" xr:uid="{00000000-0005-0000-0000-0000E78F0000}"/>
    <cellStyle name="Output 15 3 3" xfId="6844" xr:uid="{00000000-0005-0000-0000-0000E88F0000}"/>
    <cellStyle name="Output 15 3 3 2" xfId="13508" xr:uid="{00000000-0005-0000-0000-0000E98F0000}"/>
    <cellStyle name="Output 15 3 3 3" xfId="13509" xr:uid="{00000000-0005-0000-0000-0000EA8F0000}"/>
    <cellStyle name="Output 15 3 3 4" xfId="13510" xr:uid="{00000000-0005-0000-0000-0000EB8F0000}"/>
    <cellStyle name="Output 15 3 3 5" xfId="17238" xr:uid="{00000000-0005-0000-0000-0000EC8F0000}"/>
    <cellStyle name="Output 15 3 3 6" xfId="15328" xr:uid="{00000000-0005-0000-0000-0000ED8F0000}"/>
    <cellStyle name="Output 15 3 4" xfId="6845" xr:uid="{00000000-0005-0000-0000-0000EE8F0000}"/>
    <cellStyle name="Output 15 3 4 2" xfId="13511" xr:uid="{00000000-0005-0000-0000-0000EF8F0000}"/>
    <cellStyle name="Output 15 3 4 3" xfId="13512" xr:uid="{00000000-0005-0000-0000-0000F08F0000}"/>
    <cellStyle name="Output 15 3 4 4" xfId="13513" xr:uid="{00000000-0005-0000-0000-0000F18F0000}"/>
    <cellStyle name="Output 15 3 4 5" xfId="17239" xr:uid="{00000000-0005-0000-0000-0000F28F0000}"/>
    <cellStyle name="Output 15 3 4 6" xfId="16159" xr:uid="{00000000-0005-0000-0000-0000F38F0000}"/>
    <cellStyle name="Output 15 3 5" xfId="13514" xr:uid="{00000000-0005-0000-0000-0000F48F0000}"/>
    <cellStyle name="Output 15 3 6" xfId="13515" xr:uid="{00000000-0005-0000-0000-0000F58F0000}"/>
    <cellStyle name="Output 15 3 7" xfId="13516" xr:uid="{00000000-0005-0000-0000-0000F68F0000}"/>
    <cellStyle name="Output 15 3 8" xfId="16030" xr:uid="{00000000-0005-0000-0000-0000F78F0000}"/>
    <cellStyle name="Output 15 3 9" xfId="15673" xr:uid="{00000000-0005-0000-0000-0000F88F0000}"/>
    <cellStyle name="Output 15 4" xfId="6846" xr:uid="{00000000-0005-0000-0000-0000F98F0000}"/>
    <cellStyle name="Output 15 4 2" xfId="6847" xr:uid="{00000000-0005-0000-0000-0000FA8F0000}"/>
    <cellStyle name="Output 15 4 2 2" xfId="6848" xr:uid="{00000000-0005-0000-0000-0000FB8F0000}"/>
    <cellStyle name="Output 15 4 2 2 2" xfId="13517" xr:uid="{00000000-0005-0000-0000-0000FC8F0000}"/>
    <cellStyle name="Output 15 4 2 2 3" xfId="13518" xr:uid="{00000000-0005-0000-0000-0000FD8F0000}"/>
    <cellStyle name="Output 15 4 2 2 4" xfId="13519" xr:uid="{00000000-0005-0000-0000-0000FE8F0000}"/>
    <cellStyle name="Output 15 4 2 2 5" xfId="17241" xr:uid="{00000000-0005-0000-0000-0000FF8F0000}"/>
    <cellStyle name="Output 15 4 2 2 6" xfId="16206" xr:uid="{00000000-0005-0000-0000-000000900000}"/>
    <cellStyle name="Output 15 4 2 3" xfId="6849" xr:uid="{00000000-0005-0000-0000-000001900000}"/>
    <cellStyle name="Output 15 4 2 3 2" xfId="13520" xr:uid="{00000000-0005-0000-0000-000002900000}"/>
    <cellStyle name="Output 15 4 2 3 3" xfId="13521" xr:uid="{00000000-0005-0000-0000-000003900000}"/>
    <cellStyle name="Output 15 4 2 3 4" xfId="13522" xr:uid="{00000000-0005-0000-0000-000004900000}"/>
    <cellStyle name="Output 15 4 2 3 5" xfId="17242" xr:uid="{00000000-0005-0000-0000-000005900000}"/>
    <cellStyle name="Output 15 4 2 3 6" xfId="15327" xr:uid="{00000000-0005-0000-0000-000006900000}"/>
    <cellStyle name="Output 15 4 2 4" xfId="13523" xr:uid="{00000000-0005-0000-0000-000007900000}"/>
    <cellStyle name="Output 15 4 2 5" xfId="13524" xr:uid="{00000000-0005-0000-0000-000008900000}"/>
    <cellStyle name="Output 15 4 2 6" xfId="13525" xr:uid="{00000000-0005-0000-0000-000009900000}"/>
    <cellStyle name="Output 15 4 2 7" xfId="17240" xr:uid="{00000000-0005-0000-0000-00000A900000}"/>
    <cellStyle name="Output 15 4 2 8" xfId="17641" xr:uid="{00000000-0005-0000-0000-00000B900000}"/>
    <cellStyle name="Output 15 4 3" xfId="6850" xr:uid="{00000000-0005-0000-0000-00000C900000}"/>
    <cellStyle name="Output 15 4 3 2" xfId="13526" xr:uid="{00000000-0005-0000-0000-00000D900000}"/>
    <cellStyle name="Output 15 4 3 3" xfId="13527" xr:uid="{00000000-0005-0000-0000-00000E900000}"/>
    <cellStyle name="Output 15 4 3 4" xfId="13528" xr:uid="{00000000-0005-0000-0000-00000F900000}"/>
    <cellStyle name="Output 15 4 3 5" xfId="17243" xr:uid="{00000000-0005-0000-0000-000010900000}"/>
    <cellStyle name="Output 15 4 3 6" xfId="17640" xr:uid="{00000000-0005-0000-0000-000011900000}"/>
    <cellStyle name="Output 15 4 4" xfId="6851" xr:uid="{00000000-0005-0000-0000-000012900000}"/>
    <cellStyle name="Output 15 4 4 2" xfId="13529" xr:uid="{00000000-0005-0000-0000-000013900000}"/>
    <cellStyle name="Output 15 4 4 3" xfId="13530" xr:uid="{00000000-0005-0000-0000-000014900000}"/>
    <cellStyle name="Output 15 4 4 4" xfId="13531" xr:uid="{00000000-0005-0000-0000-000015900000}"/>
    <cellStyle name="Output 15 4 4 5" xfId="17244" xr:uid="{00000000-0005-0000-0000-000016900000}"/>
    <cellStyle name="Output 15 4 4 6" xfId="16205" xr:uid="{00000000-0005-0000-0000-000017900000}"/>
    <cellStyle name="Output 15 4 5" xfId="13532" xr:uid="{00000000-0005-0000-0000-000018900000}"/>
    <cellStyle name="Output 15 4 6" xfId="13533" xr:uid="{00000000-0005-0000-0000-000019900000}"/>
    <cellStyle name="Output 15 4 7" xfId="13534" xr:uid="{00000000-0005-0000-0000-00001A900000}"/>
    <cellStyle name="Output 15 4 8" xfId="16031" xr:uid="{00000000-0005-0000-0000-00001B900000}"/>
    <cellStyle name="Output 15 4 9" xfId="17929" xr:uid="{00000000-0005-0000-0000-00001C900000}"/>
    <cellStyle name="Output 15 5" xfId="6852" xr:uid="{00000000-0005-0000-0000-00001D900000}"/>
    <cellStyle name="Output 15 5 2" xfId="6853" xr:uid="{00000000-0005-0000-0000-00001E900000}"/>
    <cellStyle name="Output 15 5 2 2" xfId="6854" xr:uid="{00000000-0005-0000-0000-00001F900000}"/>
    <cellStyle name="Output 15 5 2 2 2" xfId="13535" xr:uid="{00000000-0005-0000-0000-000020900000}"/>
    <cellStyle name="Output 15 5 2 2 3" xfId="13536" xr:uid="{00000000-0005-0000-0000-000021900000}"/>
    <cellStyle name="Output 15 5 2 2 4" xfId="13537" xr:uid="{00000000-0005-0000-0000-000022900000}"/>
    <cellStyle name="Output 15 5 2 2 5" xfId="17246" xr:uid="{00000000-0005-0000-0000-000023900000}"/>
    <cellStyle name="Output 15 5 2 2 6" xfId="16156" xr:uid="{00000000-0005-0000-0000-000024900000}"/>
    <cellStyle name="Output 15 5 2 3" xfId="6855" xr:uid="{00000000-0005-0000-0000-000025900000}"/>
    <cellStyle name="Output 15 5 2 3 2" xfId="13538" xr:uid="{00000000-0005-0000-0000-000026900000}"/>
    <cellStyle name="Output 15 5 2 3 3" xfId="13539" xr:uid="{00000000-0005-0000-0000-000027900000}"/>
    <cellStyle name="Output 15 5 2 3 4" xfId="13540" xr:uid="{00000000-0005-0000-0000-000028900000}"/>
    <cellStyle name="Output 15 5 2 3 5" xfId="17247" xr:uid="{00000000-0005-0000-0000-000029900000}"/>
    <cellStyle name="Output 15 5 2 3 6" xfId="17639" xr:uid="{00000000-0005-0000-0000-00002A900000}"/>
    <cellStyle name="Output 15 5 2 4" xfId="13541" xr:uid="{00000000-0005-0000-0000-00002B900000}"/>
    <cellStyle name="Output 15 5 2 5" xfId="13542" xr:uid="{00000000-0005-0000-0000-00002C900000}"/>
    <cellStyle name="Output 15 5 2 6" xfId="13543" xr:uid="{00000000-0005-0000-0000-00002D900000}"/>
    <cellStyle name="Output 15 5 2 7" xfId="17245" xr:uid="{00000000-0005-0000-0000-00002E900000}"/>
    <cellStyle name="Output 15 5 2 8" xfId="15326" xr:uid="{00000000-0005-0000-0000-00002F900000}"/>
    <cellStyle name="Output 15 5 3" xfId="6856" xr:uid="{00000000-0005-0000-0000-000030900000}"/>
    <cellStyle name="Output 15 5 3 2" xfId="13544" xr:uid="{00000000-0005-0000-0000-000031900000}"/>
    <cellStyle name="Output 15 5 3 3" xfId="13545" xr:uid="{00000000-0005-0000-0000-000032900000}"/>
    <cellStyle name="Output 15 5 3 4" xfId="13546" xr:uid="{00000000-0005-0000-0000-000033900000}"/>
    <cellStyle name="Output 15 5 3 5" xfId="17248" xr:uid="{00000000-0005-0000-0000-000034900000}"/>
    <cellStyle name="Output 15 5 3 6" xfId="16204" xr:uid="{00000000-0005-0000-0000-000035900000}"/>
    <cellStyle name="Output 15 5 4" xfId="6857" xr:uid="{00000000-0005-0000-0000-000036900000}"/>
    <cellStyle name="Output 15 5 4 2" xfId="13547" xr:uid="{00000000-0005-0000-0000-000037900000}"/>
    <cellStyle name="Output 15 5 4 3" xfId="13548" xr:uid="{00000000-0005-0000-0000-000038900000}"/>
    <cellStyle name="Output 15 5 4 4" xfId="13549" xr:uid="{00000000-0005-0000-0000-000039900000}"/>
    <cellStyle name="Output 15 5 4 5" xfId="17249" xr:uid="{00000000-0005-0000-0000-00003A900000}"/>
    <cellStyle name="Output 15 5 4 6" xfId="15325" xr:uid="{00000000-0005-0000-0000-00003B900000}"/>
    <cellStyle name="Output 15 5 5" xfId="13550" xr:uid="{00000000-0005-0000-0000-00003C900000}"/>
    <cellStyle name="Output 15 5 6" xfId="13551" xr:uid="{00000000-0005-0000-0000-00003D900000}"/>
    <cellStyle name="Output 15 5 7" xfId="13552" xr:uid="{00000000-0005-0000-0000-00003E900000}"/>
    <cellStyle name="Output 15 5 8" xfId="16032" xr:uid="{00000000-0005-0000-0000-00003F900000}"/>
    <cellStyle name="Output 15 5 9" xfId="16499" xr:uid="{00000000-0005-0000-0000-000040900000}"/>
    <cellStyle name="Output 15 6" xfId="6858" xr:uid="{00000000-0005-0000-0000-000041900000}"/>
    <cellStyle name="Output 15 6 2" xfId="6859" xr:uid="{00000000-0005-0000-0000-000042900000}"/>
    <cellStyle name="Output 15 6 2 2" xfId="6860" xr:uid="{00000000-0005-0000-0000-000043900000}"/>
    <cellStyle name="Output 15 6 2 2 2" xfId="13553" xr:uid="{00000000-0005-0000-0000-000044900000}"/>
    <cellStyle name="Output 15 6 2 2 3" xfId="13554" xr:uid="{00000000-0005-0000-0000-000045900000}"/>
    <cellStyle name="Output 15 6 2 2 4" xfId="13555" xr:uid="{00000000-0005-0000-0000-000046900000}"/>
    <cellStyle name="Output 15 6 2 2 5" xfId="17251" xr:uid="{00000000-0005-0000-0000-000047900000}"/>
    <cellStyle name="Output 15 6 2 2 6" xfId="16203" xr:uid="{00000000-0005-0000-0000-000048900000}"/>
    <cellStyle name="Output 15 6 2 3" xfId="6861" xr:uid="{00000000-0005-0000-0000-000049900000}"/>
    <cellStyle name="Output 15 6 2 3 2" xfId="13556" xr:uid="{00000000-0005-0000-0000-00004A900000}"/>
    <cellStyle name="Output 15 6 2 3 3" xfId="13557" xr:uid="{00000000-0005-0000-0000-00004B900000}"/>
    <cellStyle name="Output 15 6 2 3 4" xfId="13558" xr:uid="{00000000-0005-0000-0000-00004C900000}"/>
    <cellStyle name="Output 15 6 2 3 5" xfId="17252" xr:uid="{00000000-0005-0000-0000-00004D900000}"/>
    <cellStyle name="Output 15 6 2 3 6" xfId="15324" xr:uid="{00000000-0005-0000-0000-00004E900000}"/>
    <cellStyle name="Output 15 6 2 4" xfId="13559" xr:uid="{00000000-0005-0000-0000-00004F900000}"/>
    <cellStyle name="Output 15 6 2 5" xfId="13560" xr:uid="{00000000-0005-0000-0000-000050900000}"/>
    <cellStyle name="Output 15 6 2 6" xfId="13561" xr:uid="{00000000-0005-0000-0000-000051900000}"/>
    <cellStyle name="Output 15 6 2 7" xfId="17250" xr:uid="{00000000-0005-0000-0000-000052900000}"/>
    <cellStyle name="Output 15 6 2 8" xfId="17638" xr:uid="{00000000-0005-0000-0000-000053900000}"/>
    <cellStyle name="Output 15 6 3" xfId="6862" xr:uid="{00000000-0005-0000-0000-000054900000}"/>
    <cellStyle name="Output 15 6 3 2" xfId="13562" xr:uid="{00000000-0005-0000-0000-000055900000}"/>
    <cellStyle name="Output 15 6 3 3" xfId="13563" xr:uid="{00000000-0005-0000-0000-000056900000}"/>
    <cellStyle name="Output 15 6 3 4" xfId="13564" xr:uid="{00000000-0005-0000-0000-000057900000}"/>
    <cellStyle name="Output 15 6 3 5" xfId="17253" xr:uid="{00000000-0005-0000-0000-000058900000}"/>
    <cellStyle name="Output 15 6 3 6" xfId="16152" xr:uid="{00000000-0005-0000-0000-000059900000}"/>
    <cellStyle name="Output 15 6 4" xfId="6863" xr:uid="{00000000-0005-0000-0000-00005A900000}"/>
    <cellStyle name="Output 15 6 4 2" xfId="13565" xr:uid="{00000000-0005-0000-0000-00005B900000}"/>
    <cellStyle name="Output 15 6 4 3" xfId="13566" xr:uid="{00000000-0005-0000-0000-00005C900000}"/>
    <cellStyle name="Output 15 6 4 4" xfId="13567" xr:uid="{00000000-0005-0000-0000-00005D900000}"/>
    <cellStyle name="Output 15 6 4 5" xfId="17254" xr:uid="{00000000-0005-0000-0000-00005E900000}"/>
    <cellStyle name="Output 15 6 4 6" xfId="17637" xr:uid="{00000000-0005-0000-0000-00005F900000}"/>
    <cellStyle name="Output 15 6 5" xfId="13568" xr:uid="{00000000-0005-0000-0000-000060900000}"/>
    <cellStyle name="Output 15 6 6" xfId="13569" xr:uid="{00000000-0005-0000-0000-000061900000}"/>
    <cellStyle name="Output 15 6 7" xfId="13570" xr:uid="{00000000-0005-0000-0000-000062900000}"/>
    <cellStyle name="Output 15 6 8" xfId="16033" xr:uid="{00000000-0005-0000-0000-000063900000}"/>
    <cellStyle name="Output 15 6 9" xfId="15672" xr:uid="{00000000-0005-0000-0000-000064900000}"/>
    <cellStyle name="Output 15 7" xfId="6864" xr:uid="{00000000-0005-0000-0000-000065900000}"/>
    <cellStyle name="Output 15 7 2" xfId="6865" xr:uid="{00000000-0005-0000-0000-000066900000}"/>
    <cellStyle name="Output 15 7 2 2" xfId="6866" xr:uid="{00000000-0005-0000-0000-000067900000}"/>
    <cellStyle name="Output 15 7 2 2 2" xfId="13571" xr:uid="{00000000-0005-0000-0000-000068900000}"/>
    <cellStyle name="Output 15 7 2 2 3" xfId="13572" xr:uid="{00000000-0005-0000-0000-000069900000}"/>
    <cellStyle name="Output 15 7 2 2 4" xfId="13573" xr:uid="{00000000-0005-0000-0000-00006A900000}"/>
    <cellStyle name="Output 15 7 2 2 5" xfId="17256" xr:uid="{00000000-0005-0000-0000-00006B900000}"/>
    <cellStyle name="Output 15 7 2 2 6" xfId="15323" xr:uid="{00000000-0005-0000-0000-00006C900000}"/>
    <cellStyle name="Output 15 7 2 3" xfId="6867" xr:uid="{00000000-0005-0000-0000-00006D900000}"/>
    <cellStyle name="Output 15 7 2 3 2" xfId="13574" xr:uid="{00000000-0005-0000-0000-00006E900000}"/>
    <cellStyle name="Output 15 7 2 3 3" xfId="13575" xr:uid="{00000000-0005-0000-0000-00006F900000}"/>
    <cellStyle name="Output 15 7 2 3 4" xfId="13576" xr:uid="{00000000-0005-0000-0000-000070900000}"/>
    <cellStyle name="Output 15 7 2 3 5" xfId="17257" xr:uid="{00000000-0005-0000-0000-000071900000}"/>
    <cellStyle name="Output 15 7 2 3 6" xfId="17636" xr:uid="{00000000-0005-0000-0000-000072900000}"/>
    <cellStyle name="Output 15 7 2 4" xfId="13577" xr:uid="{00000000-0005-0000-0000-000073900000}"/>
    <cellStyle name="Output 15 7 2 5" xfId="13578" xr:uid="{00000000-0005-0000-0000-000074900000}"/>
    <cellStyle name="Output 15 7 2 6" xfId="13579" xr:uid="{00000000-0005-0000-0000-000075900000}"/>
    <cellStyle name="Output 15 7 2 7" xfId="17255" xr:uid="{00000000-0005-0000-0000-000076900000}"/>
    <cellStyle name="Output 15 7 2 8" xfId="16202" xr:uid="{00000000-0005-0000-0000-000077900000}"/>
    <cellStyle name="Output 15 7 3" xfId="6868" xr:uid="{00000000-0005-0000-0000-000078900000}"/>
    <cellStyle name="Output 15 7 3 2" xfId="13580" xr:uid="{00000000-0005-0000-0000-000079900000}"/>
    <cellStyle name="Output 15 7 3 3" xfId="13581" xr:uid="{00000000-0005-0000-0000-00007A900000}"/>
    <cellStyle name="Output 15 7 3 4" xfId="13582" xr:uid="{00000000-0005-0000-0000-00007B900000}"/>
    <cellStyle name="Output 15 7 3 5" xfId="17258" xr:uid="{00000000-0005-0000-0000-00007C900000}"/>
    <cellStyle name="Output 15 7 3 6" xfId="16201" xr:uid="{00000000-0005-0000-0000-00007D900000}"/>
    <cellStyle name="Output 15 7 4" xfId="6869" xr:uid="{00000000-0005-0000-0000-00007E900000}"/>
    <cellStyle name="Output 15 7 4 2" xfId="13583" xr:uid="{00000000-0005-0000-0000-00007F900000}"/>
    <cellStyle name="Output 15 7 4 3" xfId="13584" xr:uid="{00000000-0005-0000-0000-000080900000}"/>
    <cellStyle name="Output 15 7 4 4" xfId="13585" xr:uid="{00000000-0005-0000-0000-000081900000}"/>
    <cellStyle name="Output 15 7 4 5" xfId="17259" xr:uid="{00000000-0005-0000-0000-000082900000}"/>
    <cellStyle name="Output 15 7 4 6" xfId="15322" xr:uid="{00000000-0005-0000-0000-000083900000}"/>
    <cellStyle name="Output 15 7 5" xfId="13586" xr:uid="{00000000-0005-0000-0000-000084900000}"/>
    <cellStyle name="Output 15 7 6" xfId="13587" xr:uid="{00000000-0005-0000-0000-000085900000}"/>
    <cellStyle name="Output 15 7 7" xfId="13588" xr:uid="{00000000-0005-0000-0000-000086900000}"/>
    <cellStyle name="Output 15 7 8" xfId="16034" xr:uid="{00000000-0005-0000-0000-000087900000}"/>
    <cellStyle name="Output 15 7 9" xfId="17928" xr:uid="{00000000-0005-0000-0000-000088900000}"/>
    <cellStyle name="Output 15 8" xfId="6870" xr:uid="{00000000-0005-0000-0000-000089900000}"/>
    <cellStyle name="Output 15 8 2" xfId="6871" xr:uid="{00000000-0005-0000-0000-00008A900000}"/>
    <cellStyle name="Output 15 8 2 2" xfId="13589" xr:uid="{00000000-0005-0000-0000-00008B900000}"/>
    <cellStyle name="Output 15 8 2 3" xfId="13590" xr:uid="{00000000-0005-0000-0000-00008C900000}"/>
    <cellStyle name="Output 15 8 2 4" xfId="13591" xr:uid="{00000000-0005-0000-0000-00008D900000}"/>
    <cellStyle name="Output 15 8 2 5" xfId="17261" xr:uid="{00000000-0005-0000-0000-00008E900000}"/>
    <cellStyle name="Output 15 8 2 6" xfId="17635" xr:uid="{00000000-0005-0000-0000-00008F900000}"/>
    <cellStyle name="Output 15 8 3" xfId="6872" xr:uid="{00000000-0005-0000-0000-000090900000}"/>
    <cellStyle name="Output 15 8 3 2" xfId="13592" xr:uid="{00000000-0005-0000-0000-000091900000}"/>
    <cellStyle name="Output 15 8 3 3" xfId="13593" xr:uid="{00000000-0005-0000-0000-000092900000}"/>
    <cellStyle name="Output 15 8 3 4" xfId="13594" xr:uid="{00000000-0005-0000-0000-000093900000}"/>
    <cellStyle name="Output 15 8 3 5" xfId="17262" xr:uid="{00000000-0005-0000-0000-000094900000}"/>
    <cellStyle name="Output 15 8 3 6" xfId="16200" xr:uid="{00000000-0005-0000-0000-000095900000}"/>
    <cellStyle name="Output 15 8 4" xfId="13595" xr:uid="{00000000-0005-0000-0000-000096900000}"/>
    <cellStyle name="Output 15 8 5" xfId="13596" xr:uid="{00000000-0005-0000-0000-000097900000}"/>
    <cellStyle name="Output 15 8 6" xfId="13597" xr:uid="{00000000-0005-0000-0000-000098900000}"/>
    <cellStyle name="Output 15 8 7" xfId="17260" xr:uid="{00000000-0005-0000-0000-000099900000}"/>
    <cellStyle name="Output 15 8 8" xfId="16146" xr:uid="{00000000-0005-0000-0000-00009A900000}"/>
    <cellStyle name="Output 15 9" xfId="6873" xr:uid="{00000000-0005-0000-0000-00009B900000}"/>
    <cellStyle name="Output 15 9 2" xfId="13598" xr:uid="{00000000-0005-0000-0000-00009C900000}"/>
    <cellStyle name="Output 15 9 3" xfId="13599" xr:uid="{00000000-0005-0000-0000-00009D900000}"/>
    <cellStyle name="Output 15 9 4" xfId="13600" xr:uid="{00000000-0005-0000-0000-00009E900000}"/>
    <cellStyle name="Output 15 9 5" xfId="17263" xr:uid="{00000000-0005-0000-0000-00009F900000}"/>
    <cellStyle name="Output 15 9 6" xfId="15321" xr:uid="{00000000-0005-0000-0000-0000A0900000}"/>
    <cellStyle name="Output 16" xfId="6874" xr:uid="{00000000-0005-0000-0000-0000A1900000}"/>
    <cellStyle name="Output 16 2" xfId="6875" xr:uid="{00000000-0005-0000-0000-0000A2900000}"/>
    <cellStyle name="Output 16 2 2" xfId="6876" xr:uid="{00000000-0005-0000-0000-0000A3900000}"/>
    <cellStyle name="Output 16 2 2 2" xfId="13601" xr:uid="{00000000-0005-0000-0000-0000A4900000}"/>
    <cellStyle name="Output 16 2 2 3" xfId="13602" xr:uid="{00000000-0005-0000-0000-0000A5900000}"/>
    <cellStyle name="Output 16 2 2 4" xfId="13603" xr:uid="{00000000-0005-0000-0000-0000A6900000}"/>
    <cellStyle name="Output 16 2 2 5" xfId="17265" xr:uid="{00000000-0005-0000-0000-0000A7900000}"/>
    <cellStyle name="Output 16 2 2 6" xfId="16199" xr:uid="{00000000-0005-0000-0000-0000A8900000}"/>
    <cellStyle name="Output 16 2 3" xfId="6877" xr:uid="{00000000-0005-0000-0000-0000A9900000}"/>
    <cellStyle name="Output 16 2 3 2" xfId="13604" xr:uid="{00000000-0005-0000-0000-0000AA900000}"/>
    <cellStyle name="Output 16 2 3 3" xfId="13605" xr:uid="{00000000-0005-0000-0000-0000AB900000}"/>
    <cellStyle name="Output 16 2 3 4" xfId="13606" xr:uid="{00000000-0005-0000-0000-0000AC900000}"/>
    <cellStyle name="Output 16 2 3 5" xfId="17266" xr:uid="{00000000-0005-0000-0000-0000AD900000}"/>
    <cellStyle name="Output 16 2 3 6" xfId="15320" xr:uid="{00000000-0005-0000-0000-0000AE900000}"/>
    <cellStyle name="Output 16 2 4" xfId="13607" xr:uid="{00000000-0005-0000-0000-0000AF900000}"/>
    <cellStyle name="Output 16 2 5" xfId="13608" xr:uid="{00000000-0005-0000-0000-0000B0900000}"/>
    <cellStyle name="Output 16 2 6" xfId="13609" xr:uid="{00000000-0005-0000-0000-0000B1900000}"/>
    <cellStyle name="Output 16 2 7" xfId="17264" xr:uid="{00000000-0005-0000-0000-0000B2900000}"/>
    <cellStyle name="Output 16 2 8" xfId="17634" xr:uid="{00000000-0005-0000-0000-0000B3900000}"/>
    <cellStyle name="Output 16 3" xfId="6878" xr:uid="{00000000-0005-0000-0000-0000B4900000}"/>
    <cellStyle name="Output 16 3 2" xfId="13610" xr:uid="{00000000-0005-0000-0000-0000B5900000}"/>
    <cellStyle name="Output 16 3 3" xfId="13611" xr:uid="{00000000-0005-0000-0000-0000B6900000}"/>
    <cellStyle name="Output 16 3 4" xfId="13612" xr:uid="{00000000-0005-0000-0000-0000B7900000}"/>
    <cellStyle name="Output 16 3 5" xfId="17267" xr:uid="{00000000-0005-0000-0000-0000B8900000}"/>
    <cellStyle name="Output 16 3 6" xfId="16134" xr:uid="{00000000-0005-0000-0000-0000B9900000}"/>
    <cellStyle name="Output 16 4" xfId="6879" xr:uid="{00000000-0005-0000-0000-0000BA900000}"/>
    <cellStyle name="Output 16 4 2" xfId="13613" xr:uid="{00000000-0005-0000-0000-0000BB900000}"/>
    <cellStyle name="Output 16 4 3" xfId="13614" xr:uid="{00000000-0005-0000-0000-0000BC900000}"/>
    <cellStyle name="Output 16 4 4" xfId="13615" xr:uid="{00000000-0005-0000-0000-0000BD900000}"/>
    <cellStyle name="Output 16 4 5" xfId="17268" xr:uid="{00000000-0005-0000-0000-0000BE900000}"/>
    <cellStyle name="Output 16 4 6" xfId="17633" xr:uid="{00000000-0005-0000-0000-0000BF900000}"/>
    <cellStyle name="Output 16 5" xfId="13616" xr:uid="{00000000-0005-0000-0000-0000C0900000}"/>
    <cellStyle name="Output 16 6" xfId="13617" xr:uid="{00000000-0005-0000-0000-0000C1900000}"/>
    <cellStyle name="Output 16 7" xfId="13618" xr:uid="{00000000-0005-0000-0000-0000C2900000}"/>
    <cellStyle name="Output 16 8" xfId="16035" xr:uid="{00000000-0005-0000-0000-0000C3900000}"/>
    <cellStyle name="Output 16 9" xfId="16498" xr:uid="{00000000-0005-0000-0000-0000C4900000}"/>
    <cellStyle name="Output 17" xfId="6880" xr:uid="{00000000-0005-0000-0000-0000C5900000}"/>
    <cellStyle name="Output 17 2" xfId="6881" xr:uid="{00000000-0005-0000-0000-0000C6900000}"/>
    <cellStyle name="Output 17 2 2" xfId="6882" xr:uid="{00000000-0005-0000-0000-0000C7900000}"/>
    <cellStyle name="Output 17 2 2 2" xfId="13619" xr:uid="{00000000-0005-0000-0000-0000C8900000}"/>
    <cellStyle name="Output 17 2 2 3" xfId="13620" xr:uid="{00000000-0005-0000-0000-0000C9900000}"/>
    <cellStyle name="Output 17 2 2 4" xfId="13621" xr:uid="{00000000-0005-0000-0000-0000CA900000}"/>
    <cellStyle name="Output 17 2 2 5" xfId="17270" xr:uid="{00000000-0005-0000-0000-0000CB900000}"/>
    <cellStyle name="Output 17 2 2 6" xfId="15319" xr:uid="{00000000-0005-0000-0000-0000CC900000}"/>
    <cellStyle name="Output 17 2 3" xfId="6883" xr:uid="{00000000-0005-0000-0000-0000CD900000}"/>
    <cellStyle name="Output 17 2 3 2" xfId="13622" xr:uid="{00000000-0005-0000-0000-0000CE900000}"/>
    <cellStyle name="Output 17 2 3 3" xfId="13623" xr:uid="{00000000-0005-0000-0000-0000CF900000}"/>
    <cellStyle name="Output 17 2 3 4" xfId="13624" xr:uid="{00000000-0005-0000-0000-0000D0900000}"/>
    <cellStyle name="Output 17 2 3 5" xfId="17271" xr:uid="{00000000-0005-0000-0000-0000D1900000}"/>
    <cellStyle name="Output 17 2 3 6" xfId="17632" xr:uid="{00000000-0005-0000-0000-0000D2900000}"/>
    <cellStyle name="Output 17 2 4" xfId="13625" xr:uid="{00000000-0005-0000-0000-0000D3900000}"/>
    <cellStyle name="Output 17 2 5" xfId="13626" xr:uid="{00000000-0005-0000-0000-0000D4900000}"/>
    <cellStyle name="Output 17 2 6" xfId="13627" xr:uid="{00000000-0005-0000-0000-0000D5900000}"/>
    <cellStyle name="Output 17 2 7" xfId="17269" xr:uid="{00000000-0005-0000-0000-0000D6900000}"/>
    <cellStyle name="Output 17 2 8" xfId="16198" xr:uid="{00000000-0005-0000-0000-0000D7900000}"/>
    <cellStyle name="Output 17 3" xfId="6884" xr:uid="{00000000-0005-0000-0000-0000D8900000}"/>
    <cellStyle name="Output 17 3 2" xfId="13628" xr:uid="{00000000-0005-0000-0000-0000D9900000}"/>
    <cellStyle name="Output 17 3 3" xfId="13629" xr:uid="{00000000-0005-0000-0000-0000DA900000}"/>
    <cellStyle name="Output 17 3 4" xfId="13630" xr:uid="{00000000-0005-0000-0000-0000DB900000}"/>
    <cellStyle name="Output 17 3 5" xfId="17272" xr:uid="{00000000-0005-0000-0000-0000DC900000}"/>
    <cellStyle name="Output 17 3 6" xfId="16197" xr:uid="{00000000-0005-0000-0000-0000DD900000}"/>
    <cellStyle name="Output 17 4" xfId="6885" xr:uid="{00000000-0005-0000-0000-0000DE900000}"/>
    <cellStyle name="Output 17 4 2" xfId="13631" xr:uid="{00000000-0005-0000-0000-0000DF900000}"/>
    <cellStyle name="Output 17 4 3" xfId="13632" xr:uid="{00000000-0005-0000-0000-0000E0900000}"/>
    <cellStyle name="Output 17 4 4" xfId="13633" xr:uid="{00000000-0005-0000-0000-0000E1900000}"/>
    <cellStyle name="Output 17 4 5" xfId="17273" xr:uid="{00000000-0005-0000-0000-0000E2900000}"/>
    <cellStyle name="Output 17 4 6" xfId="15318" xr:uid="{00000000-0005-0000-0000-0000E3900000}"/>
    <cellStyle name="Output 17 5" xfId="13634" xr:uid="{00000000-0005-0000-0000-0000E4900000}"/>
    <cellStyle name="Output 17 6" xfId="13635" xr:uid="{00000000-0005-0000-0000-0000E5900000}"/>
    <cellStyle name="Output 17 7" xfId="13636" xr:uid="{00000000-0005-0000-0000-0000E6900000}"/>
    <cellStyle name="Output 17 8" xfId="16036" xr:uid="{00000000-0005-0000-0000-0000E7900000}"/>
    <cellStyle name="Output 17 9" xfId="15671" xr:uid="{00000000-0005-0000-0000-0000E8900000}"/>
    <cellStyle name="Output 18" xfId="6886" xr:uid="{00000000-0005-0000-0000-0000E9900000}"/>
    <cellStyle name="Output 18 2" xfId="6887" xr:uid="{00000000-0005-0000-0000-0000EA900000}"/>
    <cellStyle name="Output 18 2 2" xfId="6888" xr:uid="{00000000-0005-0000-0000-0000EB900000}"/>
    <cellStyle name="Output 18 2 2 2" xfId="13637" xr:uid="{00000000-0005-0000-0000-0000EC900000}"/>
    <cellStyle name="Output 18 2 2 3" xfId="13638" xr:uid="{00000000-0005-0000-0000-0000ED900000}"/>
    <cellStyle name="Output 18 2 2 4" xfId="13639" xr:uid="{00000000-0005-0000-0000-0000EE900000}"/>
    <cellStyle name="Output 18 2 2 5" xfId="17275" xr:uid="{00000000-0005-0000-0000-0000EF900000}"/>
    <cellStyle name="Output 18 2 2 6" xfId="17631" xr:uid="{00000000-0005-0000-0000-0000F0900000}"/>
    <cellStyle name="Output 18 2 3" xfId="6889" xr:uid="{00000000-0005-0000-0000-0000F1900000}"/>
    <cellStyle name="Output 18 2 3 2" xfId="13640" xr:uid="{00000000-0005-0000-0000-0000F2900000}"/>
    <cellStyle name="Output 18 2 3 3" xfId="13641" xr:uid="{00000000-0005-0000-0000-0000F3900000}"/>
    <cellStyle name="Output 18 2 3 4" xfId="13642" xr:uid="{00000000-0005-0000-0000-0000F4900000}"/>
    <cellStyle name="Output 18 2 3 5" xfId="17276" xr:uid="{00000000-0005-0000-0000-0000F5900000}"/>
    <cellStyle name="Output 18 2 3 6" xfId="16196" xr:uid="{00000000-0005-0000-0000-0000F6900000}"/>
    <cellStyle name="Output 18 2 4" xfId="13643" xr:uid="{00000000-0005-0000-0000-0000F7900000}"/>
    <cellStyle name="Output 18 2 5" xfId="13644" xr:uid="{00000000-0005-0000-0000-0000F8900000}"/>
    <cellStyle name="Output 18 2 6" xfId="13645" xr:uid="{00000000-0005-0000-0000-0000F9900000}"/>
    <cellStyle name="Output 18 2 7" xfId="17274" xr:uid="{00000000-0005-0000-0000-0000FA900000}"/>
    <cellStyle name="Output 18 2 8" xfId="16124" xr:uid="{00000000-0005-0000-0000-0000FB900000}"/>
    <cellStyle name="Output 18 3" xfId="6890" xr:uid="{00000000-0005-0000-0000-0000FC900000}"/>
    <cellStyle name="Output 18 3 2" xfId="13646" xr:uid="{00000000-0005-0000-0000-0000FD900000}"/>
    <cellStyle name="Output 18 3 3" xfId="13647" xr:uid="{00000000-0005-0000-0000-0000FE900000}"/>
    <cellStyle name="Output 18 3 4" xfId="13648" xr:uid="{00000000-0005-0000-0000-0000FF900000}"/>
    <cellStyle name="Output 18 3 5" xfId="17277" xr:uid="{00000000-0005-0000-0000-000000910000}"/>
    <cellStyle name="Output 18 3 6" xfId="15317" xr:uid="{00000000-0005-0000-0000-000001910000}"/>
    <cellStyle name="Output 18 4" xfId="6891" xr:uid="{00000000-0005-0000-0000-000002910000}"/>
    <cellStyle name="Output 18 4 2" xfId="13649" xr:uid="{00000000-0005-0000-0000-000003910000}"/>
    <cellStyle name="Output 18 4 3" xfId="13650" xr:uid="{00000000-0005-0000-0000-000004910000}"/>
    <cellStyle name="Output 18 4 4" xfId="13651" xr:uid="{00000000-0005-0000-0000-000005910000}"/>
    <cellStyle name="Output 18 4 5" xfId="17278" xr:uid="{00000000-0005-0000-0000-000006910000}"/>
    <cellStyle name="Output 18 4 6" xfId="17630" xr:uid="{00000000-0005-0000-0000-000007910000}"/>
    <cellStyle name="Output 18 5" xfId="13652" xr:uid="{00000000-0005-0000-0000-000008910000}"/>
    <cellStyle name="Output 18 6" xfId="13653" xr:uid="{00000000-0005-0000-0000-000009910000}"/>
    <cellStyle name="Output 18 7" xfId="13654" xr:uid="{00000000-0005-0000-0000-00000A910000}"/>
    <cellStyle name="Output 18 8" xfId="16037" xr:uid="{00000000-0005-0000-0000-00000B910000}"/>
    <cellStyle name="Output 18 9" xfId="17927" xr:uid="{00000000-0005-0000-0000-00000C910000}"/>
    <cellStyle name="Output 19" xfId="6892" xr:uid="{00000000-0005-0000-0000-00000D910000}"/>
    <cellStyle name="Output 19 2" xfId="6893" xr:uid="{00000000-0005-0000-0000-00000E910000}"/>
    <cellStyle name="Output 19 2 2" xfId="6894" xr:uid="{00000000-0005-0000-0000-00000F910000}"/>
    <cellStyle name="Output 19 2 2 2" xfId="13655" xr:uid="{00000000-0005-0000-0000-000010910000}"/>
    <cellStyle name="Output 19 2 2 3" xfId="13656" xr:uid="{00000000-0005-0000-0000-000011910000}"/>
    <cellStyle name="Output 19 2 2 4" xfId="13657" xr:uid="{00000000-0005-0000-0000-000012910000}"/>
    <cellStyle name="Output 19 2 2 5" xfId="17280" xr:uid="{00000000-0005-0000-0000-000013910000}"/>
    <cellStyle name="Output 19 2 2 6" xfId="15316" xr:uid="{00000000-0005-0000-0000-000014910000}"/>
    <cellStyle name="Output 19 2 3" xfId="6895" xr:uid="{00000000-0005-0000-0000-000015910000}"/>
    <cellStyle name="Output 19 2 3 2" xfId="13658" xr:uid="{00000000-0005-0000-0000-000016910000}"/>
    <cellStyle name="Output 19 2 3 3" xfId="13659" xr:uid="{00000000-0005-0000-0000-000017910000}"/>
    <cellStyle name="Output 19 2 3 4" xfId="13660" xr:uid="{00000000-0005-0000-0000-000018910000}"/>
    <cellStyle name="Output 19 2 3 5" xfId="17281" xr:uid="{00000000-0005-0000-0000-000019910000}"/>
    <cellStyle name="Output 19 2 3 6" xfId="16112" xr:uid="{00000000-0005-0000-0000-00001A910000}"/>
    <cellStyle name="Output 19 2 4" xfId="13661" xr:uid="{00000000-0005-0000-0000-00001B910000}"/>
    <cellStyle name="Output 19 2 5" xfId="13662" xr:uid="{00000000-0005-0000-0000-00001C910000}"/>
    <cellStyle name="Output 19 2 6" xfId="13663" xr:uid="{00000000-0005-0000-0000-00001D910000}"/>
    <cellStyle name="Output 19 2 7" xfId="17279" xr:uid="{00000000-0005-0000-0000-00001E910000}"/>
    <cellStyle name="Output 19 2 8" xfId="16195" xr:uid="{00000000-0005-0000-0000-00001F910000}"/>
    <cellStyle name="Output 19 3" xfId="6896" xr:uid="{00000000-0005-0000-0000-000020910000}"/>
    <cellStyle name="Output 19 3 2" xfId="13664" xr:uid="{00000000-0005-0000-0000-000021910000}"/>
    <cellStyle name="Output 19 3 3" xfId="13665" xr:uid="{00000000-0005-0000-0000-000022910000}"/>
    <cellStyle name="Output 19 3 4" xfId="13666" xr:uid="{00000000-0005-0000-0000-000023910000}"/>
    <cellStyle name="Output 19 3 5" xfId="17282" xr:uid="{00000000-0005-0000-0000-000024910000}"/>
    <cellStyle name="Output 19 3 6" xfId="17629" xr:uid="{00000000-0005-0000-0000-000025910000}"/>
    <cellStyle name="Output 19 4" xfId="6897" xr:uid="{00000000-0005-0000-0000-000026910000}"/>
    <cellStyle name="Output 19 4 2" xfId="13667" xr:uid="{00000000-0005-0000-0000-000027910000}"/>
    <cellStyle name="Output 19 4 3" xfId="13668" xr:uid="{00000000-0005-0000-0000-000028910000}"/>
    <cellStyle name="Output 19 4 4" xfId="13669" xr:uid="{00000000-0005-0000-0000-000029910000}"/>
    <cellStyle name="Output 19 4 5" xfId="17283" xr:uid="{00000000-0005-0000-0000-00002A910000}"/>
    <cellStyle name="Output 19 4 6" xfId="16194" xr:uid="{00000000-0005-0000-0000-00002B910000}"/>
    <cellStyle name="Output 19 5" xfId="13670" xr:uid="{00000000-0005-0000-0000-00002C910000}"/>
    <cellStyle name="Output 19 6" xfId="13671" xr:uid="{00000000-0005-0000-0000-00002D910000}"/>
    <cellStyle name="Output 19 7" xfId="13672" xr:uid="{00000000-0005-0000-0000-00002E910000}"/>
    <cellStyle name="Output 19 8" xfId="16038" xr:uid="{00000000-0005-0000-0000-00002F910000}"/>
    <cellStyle name="Output 19 9" xfId="16497" xr:uid="{00000000-0005-0000-0000-000030910000}"/>
    <cellStyle name="Output 2" xfId="6898" xr:uid="{00000000-0005-0000-0000-000031910000}"/>
    <cellStyle name="Output 2 10" xfId="13673" xr:uid="{00000000-0005-0000-0000-000032910000}"/>
    <cellStyle name="Output 2 11" xfId="16125" xr:uid="{00000000-0005-0000-0000-000033910000}"/>
    <cellStyle name="Output 2 12" xfId="15622" xr:uid="{00000000-0005-0000-0000-000034910000}"/>
    <cellStyle name="Output 2 2" xfId="6899" xr:uid="{00000000-0005-0000-0000-000035910000}"/>
    <cellStyle name="Output 2 2 10" xfId="36276" xr:uid="{00000000-0005-0000-0000-000036910000}"/>
    <cellStyle name="Output 2 2 2" xfId="6900" xr:uid="{00000000-0005-0000-0000-000037910000}"/>
    <cellStyle name="Output 2 2 2 2" xfId="6901" xr:uid="{00000000-0005-0000-0000-000038910000}"/>
    <cellStyle name="Output 2 2 2 2 2" xfId="13674" xr:uid="{00000000-0005-0000-0000-000039910000}"/>
    <cellStyle name="Output 2 2 2 2 3" xfId="13675" xr:uid="{00000000-0005-0000-0000-00003A910000}"/>
    <cellStyle name="Output 2 2 2 2 4" xfId="13676" xr:uid="{00000000-0005-0000-0000-00003B910000}"/>
    <cellStyle name="Output 2 2 2 2 5" xfId="17285" xr:uid="{00000000-0005-0000-0000-00003C910000}"/>
    <cellStyle name="Output 2 2 2 2 6" xfId="17628" xr:uid="{00000000-0005-0000-0000-00003D910000}"/>
    <cellStyle name="Output 2 2 2 2 7" xfId="42796" xr:uid="{00000000-0005-0000-0000-00003E910000}"/>
    <cellStyle name="Output 2 2 2 3" xfId="6902" xr:uid="{00000000-0005-0000-0000-00003F910000}"/>
    <cellStyle name="Output 2 2 2 3 2" xfId="13677" xr:uid="{00000000-0005-0000-0000-000040910000}"/>
    <cellStyle name="Output 2 2 2 3 3" xfId="13678" xr:uid="{00000000-0005-0000-0000-000041910000}"/>
    <cellStyle name="Output 2 2 2 3 4" xfId="13679" xr:uid="{00000000-0005-0000-0000-000042910000}"/>
    <cellStyle name="Output 2 2 2 3 5" xfId="17286" xr:uid="{00000000-0005-0000-0000-000043910000}"/>
    <cellStyle name="Output 2 2 2 3 6" xfId="16193" xr:uid="{00000000-0005-0000-0000-000044910000}"/>
    <cellStyle name="Output 2 2 2 4" xfId="13680" xr:uid="{00000000-0005-0000-0000-000045910000}"/>
    <cellStyle name="Output 2 2 2 5" xfId="13681" xr:uid="{00000000-0005-0000-0000-000046910000}"/>
    <cellStyle name="Output 2 2 2 6" xfId="13682" xr:uid="{00000000-0005-0000-0000-000047910000}"/>
    <cellStyle name="Output 2 2 2 7" xfId="17284" xr:uid="{00000000-0005-0000-0000-000048910000}"/>
    <cellStyle name="Output 2 2 2 8" xfId="15315" xr:uid="{00000000-0005-0000-0000-000049910000}"/>
    <cellStyle name="Output 2 2 2 9" xfId="36277" xr:uid="{00000000-0005-0000-0000-00004A910000}"/>
    <cellStyle name="Output 2 2 3" xfId="6903" xr:uid="{00000000-0005-0000-0000-00004B910000}"/>
    <cellStyle name="Output 2 2 3 2" xfId="13683" xr:uid="{00000000-0005-0000-0000-00004C910000}"/>
    <cellStyle name="Output 2 2 3 2 2" xfId="42797" xr:uid="{00000000-0005-0000-0000-00004D910000}"/>
    <cellStyle name="Output 2 2 3 3" xfId="13684" xr:uid="{00000000-0005-0000-0000-00004E910000}"/>
    <cellStyle name="Output 2 2 3 4" xfId="13685" xr:uid="{00000000-0005-0000-0000-00004F910000}"/>
    <cellStyle name="Output 2 2 3 5" xfId="17287" xr:uid="{00000000-0005-0000-0000-000050910000}"/>
    <cellStyle name="Output 2 2 3 6" xfId="15314" xr:uid="{00000000-0005-0000-0000-000051910000}"/>
    <cellStyle name="Output 2 2 3 7" xfId="36278" xr:uid="{00000000-0005-0000-0000-000052910000}"/>
    <cellStyle name="Output 2 2 4" xfId="6904" xr:uid="{00000000-0005-0000-0000-000053910000}"/>
    <cellStyle name="Output 2 2 4 2" xfId="13686" xr:uid="{00000000-0005-0000-0000-000054910000}"/>
    <cellStyle name="Output 2 2 4 3" xfId="13687" xr:uid="{00000000-0005-0000-0000-000055910000}"/>
    <cellStyle name="Output 2 2 4 4" xfId="13688" xr:uid="{00000000-0005-0000-0000-000056910000}"/>
    <cellStyle name="Output 2 2 4 5" xfId="17288" xr:uid="{00000000-0005-0000-0000-000057910000}"/>
    <cellStyle name="Output 2 2 4 6" xfId="17627" xr:uid="{00000000-0005-0000-0000-000058910000}"/>
    <cellStyle name="Output 2 2 4 7" xfId="42795" xr:uid="{00000000-0005-0000-0000-000059910000}"/>
    <cellStyle name="Output 2 2 5" xfId="13689" xr:uid="{00000000-0005-0000-0000-00005A910000}"/>
    <cellStyle name="Output 2 2 6" xfId="13690" xr:uid="{00000000-0005-0000-0000-00005B910000}"/>
    <cellStyle name="Output 2 2 7" xfId="13691" xr:uid="{00000000-0005-0000-0000-00005C910000}"/>
    <cellStyle name="Output 2 2 8" xfId="16039" xr:uid="{00000000-0005-0000-0000-00005D910000}"/>
    <cellStyle name="Output 2 2 9" xfId="15670" xr:uid="{00000000-0005-0000-0000-00005E910000}"/>
    <cellStyle name="Output 2 3" xfId="6905" xr:uid="{00000000-0005-0000-0000-00005F910000}"/>
    <cellStyle name="Output 2 3 10" xfId="36279" xr:uid="{00000000-0005-0000-0000-000060910000}"/>
    <cellStyle name="Output 2 3 2" xfId="6906" xr:uid="{00000000-0005-0000-0000-000061910000}"/>
    <cellStyle name="Output 2 3 2 2" xfId="6907" xr:uid="{00000000-0005-0000-0000-000062910000}"/>
    <cellStyle name="Output 2 3 2 2 2" xfId="13692" xr:uid="{00000000-0005-0000-0000-000063910000}"/>
    <cellStyle name="Output 2 3 2 2 3" xfId="13693" xr:uid="{00000000-0005-0000-0000-000064910000}"/>
    <cellStyle name="Output 2 3 2 2 4" xfId="13694" xr:uid="{00000000-0005-0000-0000-000065910000}"/>
    <cellStyle name="Output 2 3 2 2 5" xfId="17290" xr:uid="{00000000-0005-0000-0000-000066910000}"/>
    <cellStyle name="Output 2 3 2 2 6" xfId="15313" xr:uid="{00000000-0005-0000-0000-000067910000}"/>
    <cellStyle name="Output 2 3 2 2 7" xfId="42799" xr:uid="{00000000-0005-0000-0000-000068910000}"/>
    <cellStyle name="Output 2 3 2 3" xfId="6908" xr:uid="{00000000-0005-0000-0000-000069910000}"/>
    <cellStyle name="Output 2 3 2 3 2" xfId="13695" xr:uid="{00000000-0005-0000-0000-00006A910000}"/>
    <cellStyle name="Output 2 3 2 3 3" xfId="13696" xr:uid="{00000000-0005-0000-0000-00006B910000}"/>
    <cellStyle name="Output 2 3 2 3 4" xfId="13697" xr:uid="{00000000-0005-0000-0000-00006C910000}"/>
    <cellStyle name="Output 2 3 2 3 5" xfId="17291" xr:uid="{00000000-0005-0000-0000-00006D910000}"/>
    <cellStyle name="Output 2 3 2 3 6" xfId="17626" xr:uid="{00000000-0005-0000-0000-00006E910000}"/>
    <cellStyle name="Output 2 3 2 4" xfId="13698" xr:uid="{00000000-0005-0000-0000-00006F910000}"/>
    <cellStyle name="Output 2 3 2 5" xfId="13699" xr:uid="{00000000-0005-0000-0000-000070910000}"/>
    <cellStyle name="Output 2 3 2 6" xfId="13700" xr:uid="{00000000-0005-0000-0000-000071910000}"/>
    <cellStyle name="Output 2 3 2 7" xfId="17289" xr:uid="{00000000-0005-0000-0000-000072910000}"/>
    <cellStyle name="Output 2 3 2 8" xfId="16192" xr:uid="{00000000-0005-0000-0000-000073910000}"/>
    <cellStyle name="Output 2 3 2 9" xfId="36280" xr:uid="{00000000-0005-0000-0000-000074910000}"/>
    <cellStyle name="Output 2 3 3" xfId="6909" xr:uid="{00000000-0005-0000-0000-000075910000}"/>
    <cellStyle name="Output 2 3 3 2" xfId="13701" xr:uid="{00000000-0005-0000-0000-000076910000}"/>
    <cellStyle name="Output 2 3 3 3" xfId="13702" xr:uid="{00000000-0005-0000-0000-000077910000}"/>
    <cellStyle name="Output 2 3 3 4" xfId="13703" xr:uid="{00000000-0005-0000-0000-000078910000}"/>
    <cellStyle name="Output 2 3 3 5" xfId="17292" xr:uid="{00000000-0005-0000-0000-000079910000}"/>
    <cellStyle name="Output 2 3 3 6" xfId="16191" xr:uid="{00000000-0005-0000-0000-00007A910000}"/>
    <cellStyle name="Output 2 3 3 7" xfId="42798" xr:uid="{00000000-0005-0000-0000-00007B910000}"/>
    <cellStyle name="Output 2 3 4" xfId="6910" xr:uid="{00000000-0005-0000-0000-00007C910000}"/>
    <cellStyle name="Output 2 3 4 2" xfId="13704" xr:uid="{00000000-0005-0000-0000-00007D910000}"/>
    <cellStyle name="Output 2 3 4 3" xfId="13705" xr:uid="{00000000-0005-0000-0000-00007E910000}"/>
    <cellStyle name="Output 2 3 4 4" xfId="13706" xr:uid="{00000000-0005-0000-0000-00007F910000}"/>
    <cellStyle name="Output 2 3 4 5" xfId="17293" xr:uid="{00000000-0005-0000-0000-000080910000}"/>
    <cellStyle name="Output 2 3 4 6" xfId="15312" xr:uid="{00000000-0005-0000-0000-000081910000}"/>
    <cellStyle name="Output 2 3 5" xfId="13707" xr:uid="{00000000-0005-0000-0000-000082910000}"/>
    <cellStyle name="Output 2 3 6" xfId="13708" xr:uid="{00000000-0005-0000-0000-000083910000}"/>
    <cellStyle name="Output 2 3 7" xfId="13709" xr:uid="{00000000-0005-0000-0000-000084910000}"/>
    <cellStyle name="Output 2 3 8" xfId="16040" xr:uid="{00000000-0005-0000-0000-000085910000}"/>
    <cellStyle name="Output 2 3 9" xfId="17926" xr:uid="{00000000-0005-0000-0000-000086910000}"/>
    <cellStyle name="Output 2 4" xfId="6911" xr:uid="{00000000-0005-0000-0000-000087910000}"/>
    <cellStyle name="Output 2 4 2" xfId="6912" xr:uid="{00000000-0005-0000-0000-000088910000}"/>
    <cellStyle name="Output 2 4 2 2" xfId="13710" xr:uid="{00000000-0005-0000-0000-000089910000}"/>
    <cellStyle name="Output 2 4 2 3" xfId="13711" xr:uid="{00000000-0005-0000-0000-00008A910000}"/>
    <cellStyle name="Output 2 4 2 4" xfId="13712" xr:uid="{00000000-0005-0000-0000-00008B910000}"/>
    <cellStyle name="Output 2 4 2 5" xfId="17295" xr:uid="{00000000-0005-0000-0000-00008C910000}"/>
    <cellStyle name="Output 2 4 2 6" xfId="16190" xr:uid="{00000000-0005-0000-0000-00008D910000}"/>
    <cellStyle name="Output 2 4 2 7" xfId="42800" xr:uid="{00000000-0005-0000-0000-00008E910000}"/>
    <cellStyle name="Output 2 4 3" xfId="6913" xr:uid="{00000000-0005-0000-0000-00008F910000}"/>
    <cellStyle name="Output 2 4 3 2" xfId="13713" xr:uid="{00000000-0005-0000-0000-000090910000}"/>
    <cellStyle name="Output 2 4 3 3" xfId="13714" xr:uid="{00000000-0005-0000-0000-000091910000}"/>
    <cellStyle name="Output 2 4 3 4" xfId="13715" xr:uid="{00000000-0005-0000-0000-000092910000}"/>
    <cellStyle name="Output 2 4 3 5" xfId="17296" xr:uid="{00000000-0005-0000-0000-000093910000}"/>
    <cellStyle name="Output 2 4 3 6" xfId="15311" xr:uid="{00000000-0005-0000-0000-000094910000}"/>
    <cellStyle name="Output 2 4 4" xfId="13716" xr:uid="{00000000-0005-0000-0000-000095910000}"/>
    <cellStyle name="Output 2 4 5" xfId="13717" xr:uid="{00000000-0005-0000-0000-000096910000}"/>
    <cellStyle name="Output 2 4 6" xfId="13718" xr:uid="{00000000-0005-0000-0000-000097910000}"/>
    <cellStyle name="Output 2 4 7" xfId="17294" xr:uid="{00000000-0005-0000-0000-000098910000}"/>
    <cellStyle name="Output 2 4 8" xfId="17625" xr:uid="{00000000-0005-0000-0000-000099910000}"/>
    <cellStyle name="Output 2 4 9" xfId="36281" xr:uid="{00000000-0005-0000-0000-00009A910000}"/>
    <cellStyle name="Output 2 5" xfId="6914" xr:uid="{00000000-0005-0000-0000-00009B910000}"/>
    <cellStyle name="Output 2 5 2" xfId="13719" xr:uid="{00000000-0005-0000-0000-00009C910000}"/>
    <cellStyle name="Output 2 5 2 2" xfId="42801" xr:uid="{00000000-0005-0000-0000-00009D910000}"/>
    <cellStyle name="Output 2 5 3" xfId="13720" xr:uid="{00000000-0005-0000-0000-00009E910000}"/>
    <cellStyle name="Output 2 5 4" xfId="13721" xr:uid="{00000000-0005-0000-0000-00009F910000}"/>
    <cellStyle name="Output 2 5 5" xfId="17297" xr:uid="{00000000-0005-0000-0000-0000A0910000}"/>
    <cellStyle name="Output 2 5 6" xfId="16102" xr:uid="{00000000-0005-0000-0000-0000A1910000}"/>
    <cellStyle name="Output 2 5 7" xfId="36282" xr:uid="{00000000-0005-0000-0000-0000A2910000}"/>
    <cellStyle name="Output 2 6" xfId="6915" xr:uid="{00000000-0005-0000-0000-0000A3910000}"/>
    <cellStyle name="Output 2 6 2" xfId="6916" xr:uid="{00000000-0005-0000-0000-0000A4910000}"/>
    <cellStyle name="Output 2 6 2 2" xfId="13722" xr:uid="{00000000-0005-0000-0000-0000A5910000}"/>
    <cellStyle name="Output 2 6 2 3" xfId="13723" xr:uid="{00000000-0005-0000-0000-0000A6910000}"/>
    <cellStyle name="Output 2 6 2 4" xfId="13724" xr:uid="{00000000-0005-0000-0000-0000A7910000}"/>
    <cellStyle name="Output 2 6 2 5" xfId="18045" xr:uid="{00000000-0005-0000-0000-0000A8910000}"/>
    <cellStyle name="Output 2 6 2 6" xfId="19241" xr:uid="{00000000-0005-0000-0000-0000A9910000}"/>
    <cellStyle name="Output 2 6 2 7" xfId="42802" xr:uid="{00000000-0005-0000-0000-0000AA910000}"/>
    <cellStyle name="Output 2 6 3" xfId="6917" xr:uid="{00000000-0005-0000-0000-0000AB910000}"/>
    <cellStyle name="Output 2 6 3 2" xfId="13725" xr:uid="{00000000-0005-0000-0000-0000AC910000}"/>
    <cellStyle name="Output 2 6 3 3" xfId="13726" xr:uid="{00000000-0005-0000-0000-0000AD910000}"/>
    <cellStyle name="Output 2 6 3 4" xfId="13727" xr:uid="{00000000-0005-0000-0000-0000AE910000}"/>
    <cellStyle name="Output 2 6 3 5" xfId="18292" xr:uid="{00000000-0005-0000-0000-0000AF910000}"/>
    <cellStyle name="Output 2 6 3 6" xfId="19256" xr:uid="{00000000-0005-0000-0000-0000B0910000}"/>
    <cellStyle name="Output 2 6 4" xfId="13728" xr:uid="{00000000-0005-0000-0000-0000B1910000}"/>
    <cellStyle name="Output 2 6 5" xfId="13729" xr:uid="{00000000-0005-0000-0000-0000B2910000}"/>
    <cellStyle name="Output 2 6 6" xfId="13730" xr:uid="{00000000-0005-0000-0000-0000B3910000}"/>
    <cellStyle name="Output 2 6 7" xfId="17298" xr:uid="{00000000-0005-0000-0000-0000B4910000}"/>
    <cellStyle name="Output 2 6 8" xfId="17624" xr:uid="{00000000-0005-0000-0000-0000B5910000}"/>
    <cellStyle name="Output 2 6 9" xfId="36283" xr:uid="{00000000-0005-0000-0000-0000B6910000}"/>
    <cellStyle name="Output 2 7" xfId="13731" xr:uid="{00000000-0005-0000-0000-0000B7910000}"/>
    <cellStyle name="Output 2 7 2" xfId="13732" xr:uid="{00000000-0005-0000-0000-0000B8910000}"/>
    <cellStyle name="Output 2 7 2 2" xfId="42803" xr:uid="{00000000-0005-0000-0000-0000B9910000}"/>
    <cellStyle name="Output 2 7 3" xfId="13733" xr:uid="{00000000-0005-0000-0000-0000BA910000}"/>
    <cellStyle name="Output 2 7 4" xfId="13734" xr:uid="{00000000-0005-0000-0000-0000BB910000}"/>
    <cellStyle name="Output 2 7 5" xfId="36284" xr:uid="{00000000-0005-0000-0000-0000BC910000}"/>
    <cellStyle name="Output 2 8" xfId="13735" xr:uid="{00000000-0005-0000-0000-0000BD910000}"/>
    <cellStyle name="Output 2 8 2" xfId="42804" xr:uid="{00000000-0005-0000-0000-0000BE910000}"/>
    <cellStyle name="Output 2 8 3" xfId="36285" xr:uid="{00000000-0005-0000-0000-0000BF910000}"/>
    <cellStyle name="Output 2 9" xfId="13736" xr:uid="{00000000-0005-0000-0000-0000C0910000}"/>
    <cellStyle name="Output 20" xfId="6918" xr:uid="{00000000-0005-0000-0000-0000C1910000}"/>
    <cellStyle name="Output 20 2" xfId="6919" xr:uid="{00000000-0005-0000-0000-0000C2910000}"/>
    <cellStyle name="Output 20 2 2" xfId="6920" xr:uid="{00000000-0005-0000-0000-0000C3910000}"/>
    <cellStyle name="Output 20 2 2 2" xfId="13737" xr:uid="{00000000-0005-0000-0000-0000C4910000}"/>
    <cellStyle name="Output 20 2 2 3" xfId="13738" xr:uid="{00000000-0005-0000-0000-0000C5910000}"/>
    <cellStyle name="Output 20 2 2 4" xfId="13739" xr:uid="{00000000-0005-0000-0000-0000C6910000}"/>
    <cellStyle name="Output 20 2 2 5" xfId="17300" xr:uid="{00000000-0005-0000-0000-0000C7910000}"/>
    <cellStyle name="Output 20 2 2 6" xfId="15310" xr:uid="{00000000-0005-0000-0000-0000C8910000}"/>
    <cellStyle name="Output 20 2 3" xfId="6921" xr:uid="{00000000-0005-0000-0000-0000C9910000}"/>
    <cellStyle name="Output 20 2 3 2" xfId="13740" xr:uid="{00000000-0005-0000-0000-0000CA910000}"/>
    <cellStyle name="Output 20 2 3 3" xfId="13741" xr:uid="{00000000-0005-0000-0000-0000CB910000}"/>
    <cellStyle name="Output 20 2 3 4" xfId="13742" xr:uid="{00000000-0005-0000-0000-0000CC910000}"/>
    <cellStyle name="Output 20 2 3 5" xfId="17301" xr:uid="{00000000-0005-0000-0000-0000CD910000}"/>
    <cellStyle name="Output 20 2 3 6" xfId="17623" xr:uid="{00000000-0005-0000-0000-0000CE910000}"/>
    <cellStyle name="Output 20 2 4" xfId="13743" xr:uid="{00000000-0005-0000-0000-0000CF910000}"/>
    <cellStyle name="Output 20 2 5" xfId="13744" xr:uid="{00000000-0005-0000-0000-0000D0910000}"/>
    <cellStyle name="Output 20 2 6" xfId="13745" xr:uid="{00000000-0005-0000-0000-0000D1910000}"/>
    <cellStyle name="Output 20 2 7" xfId="17299" xr:uid="{00000000-0005-0000-0000-0000D2910000}"/>
    <cellStyle name="Output 20 2 8" xfId="16189" xr:uid="{00000000-0005-0000-0000-0000D3910000}"/>
    <cellStyle name="Output 20 3" xfId="6922" xr:uid="{00000000-0005-0000-0000-0000D4910000}"/>
    <cellStyle name="Output 20 3 2" xfId="13746" xr:uid="{00000000-0005-0000-0000-0000D5910000}"/>
    <cellStyle name="Output 20 3 3" xfId="13747" xr:uid="{00000000-0005-0000-0000-0000D6910000}"/>
    <cellStyle name="Output 20 3 4" xfId="13748" xr:uid="{00000000-0005-0000-0000-0000D7910000}"/>
    <cellStyle name="Output 20 3 5" xfId="17302" xr:uid="{00000000-0005-0000-0000-0000D8910000}"/>
    <cellStyle name="Output 20 3 6" xfId="16188" xr:uid="{00000000-0005-0000-0000-0000D9910000}"/>
    <cellStyle name="Output 20 4" xfId="6923" xr:uid="{00000000-0005-0000-0000-0000DA910000}"/>
    <cellStyle name="Output 20 4 2" xfId="13749" xr:uid="{00000000-0005-0000-0000-0000DB910000}"/>
    <cellStyle name="Output 20 4 3" xfId="13750" xr:uid="{00000000-0005-0000-0000-0000DC910000}"/>
    <cellStyle name="Output 20 4 4" xfId="13751" xr:uid="{00000000-0005-0000-0000-0000DD910000}"/>
    <cellStyle name="Output 20 4 5" xfId="17303" xr:uid="{00000000-0005-0000-0000-0000DE910000}"/>
    <cellStyle name="Output 20 4 6" xfId="15309" xr:uid="{00000000-0005-0000-0000-0000DF910000}"/>
    <cellStyle name="Output 20 5" xfId="13752" xr:uid="{00000000-0005-0000-0000-0000E0910000}"/>
    <cellStyle name="Output 20 6" xfId="13753" xr:uid="{00000000-0005-0000-0000-0000E1910000}"/>
    <cellStyle name="Output 20 7" xfId="13754" xr:uid="{00000000-0005-0000-0000-0000E2910000}"/>
    <cellStyle name="Output 20 8" xfId="16041" xr:uid="{00000000-0005-0000-0000-0000E3910000}"/>
    <cellStyle name="Output 20 9" xfId="16496" xr:uid="{00000000-0005-0000-0000-0000E4910000}"/>
    <cellStyle name="Output 21" xfId="6924" xr:uid="{00000000-0005-0000-0000-0000E5910000}"/>
    <cellStyle name="Output 21 2" xfId="6925" xr:uid="{00000000-0005-0000-0000-0000E6910000}"/>
    <cellStyle name="Output 21 2 2" xfId="6926" xr:uid="{00000000-0005-0000-0000-0000E7910000}"/>
    <cellStyle name="Output 21 2 2 2" xfId="13755" xr:uid="{00000000-0005-0000-0000-0000E8910000}"/>
    <cellStyle name="Output 21 2 2 3" xfId="13756" xr:uid="{00000000-0005-0000-0000-0000E9910000}"/>
    <cellStyle name="Output 21 2 2 4" xfId="13757" xr:uid="{00000000-0005-0000-0000-0000EA910000}"/>
    <cellStyle name="Output 21 2 2 5" xfId="17305" xr:uid="{00000000-0005-0000-0000-0000EB910000}"/>
    <cellStyle name="Output 21 2 2 6" xfId="16187" xr:uid="{00000000-0005-0000-0000-0000EC910000}"/>
    <cellStyle name="Output 21 2 3" xfId="6927" xr:uid="{00000000-0005-0000-0000-0000ED910000}"/>
    <cellStyle name="Output 21 2 3 2" xfId="13758" xr:uid="{00000000-0005-0000-0000-0000EE910000}"/>
    <cellStyle name="Output 21 2 3 3" xfId="13759" xr:uid="{00000000-0005-0000-0000-0000EF910000}"/>
    <cellStyle name="Output 21 2 3 4" xfId="13760" xr:uid="{00000000-0005-0000-0000-0000F0910000}"/>
    <cellStyle name="Output 21 2 3 5" xfId="17306" xr:uid="{00000000-0005-0000-0000-0000F1910000}"/>
    <cellStyle name="Output 21 2 3 6" xfId="15308" xr:uid="{00000000-0005-0000-0000-0000F2910000}"/>
    <cellStyle name="Output 21 2 4" xfId="13761" xr:uid="{00000000-0005-0000-0000-0000F3910000}"/>
    <cellStyle name="Output 21 2 5" xfId="13762" xr:uid="{00000000-0005-0000-0000-0000F4910000}"/>
    <cellStyle name="Output 21 2 6" xfId="13763" xr:uid="{00000000-0005-0000-0000-0000F5910000}"/>
    <cellStyle name="Output 21 2 7" xfId="17304" xr:uid="{00000000-0005-0000-0000-0000F6910000}"/>
    <cellStyle name="Output 21 2 8" xfId="17622" xr:uid="{00000000-0005-0000-0000-0000F7910000}"/>
    <cellStyle name="Output 21 3" xfId="6928" xr:uid="{00000000-0005-0000-0000-0000F8910000}"/>
    <cellStyle name="Output 21 3 2" xfId="13764" xr:uid="{00000000-0005-0000-0000-0000F9910000}"/>
    <cellStyle name="Output 21 3 3" xfId="13765" xr:uid="{00000000-0005-0000-0000-0000FA910000}"/>
    <cellStyle name="Output 21 3 4" xfId="13766" xr:uid="{00000000-0005-0000-0000-0000FB910000}"/>
    <cellStyle name="Output 21 3 5" xfId="17307" xr:uid="{00000000-0005-0000-0000-0000FC910000}"/>
    <cellStyle name="Output 21 3 6" xfId="17621" xr:uid="{00000000-0005-0000-0000-0000FD910000}"/>
    <cellStyle name="Output 21 4" xfId="6929" xr:uid="{00000000-0005-0000-0000-0000FE910000}"/>
    <cellStyle name="Output 21 4 2" xfId="13767" xr:uid="{00000000-0005-0000-0000-0000FF910000}"/>
    <cellStyle name="Output 21 4 3" xfId="13768" xr:uid="{00000000-0005-0000-0000-000000920000}"/>
    <cellStyle name="Output 21 4 4" xfId="13769" xr:uid="{00000000-0005-0000-0000-000001920000}"/>
    <cellStyle name="Output 21 4 5" xfId="17308" xr:uid="{00000000-0005-0000-0000-000002920000}"/>
    <cellStyle name="Output 21 4 6" xfId="16186" xr:uid="{00000000-0005-0000-0000-000003920000}"/>
    <cellStyle name="Output 21 5" xfId="13770" xr:uid="{00000000-0005-0000-0000-000004920000}"/>
    <cellStyle name="Output 21 6" xfId="13771" xr:uid="{00000000-0005-0000-0000-000005920000}"/>
    <cellStyle name="Output 21 7" xfId="13772" xr:uid="{00000000-0005-0000-0000-000006920000}"/>
    <cellStyle name="Output 21 8" xfId="16042" xr:uid="{00000000-0005-0000-0000-000007920000}"/>
    <cellStyle name="Output 21 9" xfId="15669" xr:uid="{00000000-0005-0000-0000-000008920000}"/>
    <cellStyle name="Output 22" xfId="6930" xr:uid="{00000000-0005-0000-0000-000009920000}"/>
    <cellStyle name="Output 22 2" xfId="6931" xr:uid="{00000000-0005-0000-0000-00000A920000}"/>
    <cellStyle name="Output 22 2 2" xfId="6932" xr:uid="{00000000-0005-0000-0000-00000B920000}"/>
    <cellStyle name="Output 22 2 2 2" xfId="13773" xr:uid="{00000000-0005-0000-0000-00000C920000}"/>
    <cellStyle name="Output 22 2 2 3" xfId="13774" xr:uid="{00000000-0005-0000-0000-00000D920000}"/>
    <cellStyle name="Output 22 2 2 4" xfId="13775" xr:uid="{00000000-0005-0000-0000-00000E920000}"/>
    <cellStyle name="Output 22 2 2 5" xfId="17310" xr:uid="{00000000-0005-0000-0000-00000F920000}"/>
    <cellStyle name="Output 22 2 2 6" xfId="15306" xr:uid="{00000000-0005-0000-0000-000010920000}"/>
    <cellStyle name="Output 22 2 3" xfId="6933" xr:uid="{00000000-0005-0000-0000-000011920000}"/>
    <cellStyle name="Output 22 2 3 2" xfId="13776" xr:uid="{00000000-0005-0000-0000-000012920000}"/>
    <cellStyle name="Output 22 2 3 3" xfId="13777" xr:uid="{00000000-0005-0000-0000-000013920000}"/>
    <cellStyle name="Output 22 2 3 4" xfId="13778" xr:uid="{00000000-0005-0000-0000-000014920000}"/>
    <cellStyle name="Output 22 2 3 5" xfId="17311" xr:uid="{00000000-0005-0000-0000-000015920000}"/>
    <cellStyle name="Output 22 2 3 6" xfId="17614" xr:uid="{00000000-0005-0000-0000-000016920000}"/>
    <cellStyle name="Output 22 2 4" xfId="13779" xr:uid="{00000000-0005-0000-0000-000017920000}"/>
    <cellStyle name="Output 22 2 5" xfId="13780" xr:uid="{00000000-0005-0000-0000-000018920000}"/>
    <cellStyle name="Output 22 2 6" xfId="13781" xr:uid="{00000000-0005-0000-0000-000019920000}"/>
    <cellStyle name="Output 22 2 7" xfId="17309" xr:uid="{00000000-0005-0000-0000-00001A920000}"/>
    <cellStyle name="Output 22 2 8" xfId="15307" xr:uid="{00000000-0005-0000-0000-00001B920000}"/>
    <cellStyle name="Output 22 3" xfId="6934" xr:uid="{00000000-0005-0000-0000-00001C920000}"/>
    <cellStyle name="Output 22 3 2" xfId="13782" xr:uid="{00000000-0005-0000-0000-00001D920000}"/>
    <cellStyle name="Output 22 3 3" xfId="13783" xr:uid="{00000000-0005-0000-0000-00001E920000}"/>
    <cellStyle name="Output 22 3 4" xfId="13784" xr:uid="{00000000-0005-0000-0000-00001F920000}"/>
    <cellStyle name="Output 22 3 5" xfId="17312" xr:uid="{00000000-0005-0000-0000-000020920000}"/>
    <cellStyle name="Output 22 3 6" xfId="16179" xr:uid="{00000000-0005-0000-0000-000021920000}"/>
    <cellStyle name="Output 22 4" xfId="6935" xr:uid="{00000000-0005-0000-0000-000022920000}"/>
    <cellStyle name="Output 22 4 2" xfId="13785" xr:uid="{00000000-0005-0000-0000-000023920000}"/>
    <cellStyle name="Output 22 4 3" xfId="13786" xr:uid="{00000000-0005-0000-0000-000024920000}"/>
    <cellStyle name="Output 22 4 4" xfId="13787" xr:uid="{00000000-0005-0000-0000-000025920000}"/>
    <cellStyle name="Output 22 4 5" xfId="17313" xr:uid="{00000000-0005-0000-0000-000026920000}"/>
    <cellStyle name="Output 22 4 6" xfId="17620" xr:uid="{00000000-0005-0000-0000-000027920000}"/>
    <cellStyle name="Output 22 5" xfId="13788" xr:uid="{00000000-0005-0000-0000-000028920000}"/>
    <cellStyle name="Output 22 6" xfId="13789" xr:uid="{00000000-0005-0000-0000-000029920000}"/>
    <cellStyle name="Output 22 7" xfId="13790" xr:uid="{00000000-0005-0000-0000-00002A920000}"/>
    <cellStyle name="Output 22 8" xfId="16043" xr:uid="{00000000-0005-0000-0000-00002B920000}"/>
    <cellStyle name="Output 22 9" xfId="15668" xr:uid="{00000000-0005-0000-0000-00002C920000}"/>
    <cellStyle name="Output 3" xfId="6936" xr:uid="{00000000-0005-0000-0000-00002D920000}"/>
    <cellStyle name="Output 3 10" xfId="16185" xr:uid="{00000000-0005-0000-0000-00002E920000}"/>
    <cellStyle name="Output 3 11" xfId="36286" xr:uid="{00000000-0005-0000-0000-00002F920000}"/>
    <cellStyle name="Output 3 2" xfId="6937" xr:uid="{00000000-0005-0000-0000-000030920000}"/>
    <cellStyle name="Output 3 2 10" xfId="36287" xr:uid="{00000000-0005-0000-0000-000031920000}"/>
    <cellStyle name="Output 3 2 2" xfId="6938" xr:uid="{00000000-0005-0000-0000-000032920000}"/>
    <cellStyle name="Output 3 2 2 2" xfId="6939" xr:uid="{00000000-0005-0000-0000-000033920000}"/>
    <cellStyle name="Output 3 2 2 2 2" xfId="13791" xr:uid="{00000000-0005-0000-0000-000034920000}"/>
    <cellStyle name="Output 3 2 2 2 3" xfId="13792" xr:uid="{00000000-0005-0000-0000-000035920000}"/>
    <cellStyle name="Output 3 2 2 2 4" xfId="13793" xr:uid="{00000000-0005-0000-0000-000036920000}"/>
    <cellStyle name="Output 3 2 2 2 5" xfId="17316" xr:uid="{00000000-0005-0000-0000-000037920000}"/>
    <cellStyle name="Output 3 2 2 2 6" xfId="17619" xr:uid="{00000000-0005-0000-0000-000038920000}"/>
    <cellStyle name="Output 3 2 2 2 7" xfId="42807" xr:uid="{00000000-0005-0000-0000-000039920000}"/>
    <cellStyle name="Output 3 2 2 3" xfId="6940" xr:uid="{00000000-0005-0000-0000-00003A920000}"/>
    <cellStyle name="Output 3 2 2 3 2" xfId="13794" xr:uid="{00000000-0005-0000-0000-00003B920000}"/>
    <cellStyle name="Output 3 2 2 3 3" xfId="13795" xr:uid="{00000000-0005-0000-0000-00003C920000}"/>
    <cellStyle name="Output 3 2 2 3 4" xfId="13796" xr:uid="{00000000-0005-0000-0000-00003D920000}"/>
    <cellStyle name="Output 3 2 2 3 5" xfId="17317" xr:uid="{00000000-0005-0000-0000-00003E920000}"/>
    <cellStyle name="Output 3 2 2 3 6" xfId="16184" xr:uid="{00000000-0005-0000-0000-00003F920000}"/>
    <cellStyle name="Output 3 2 2 4" xfId="13797" xr:uid="{00000000-0005-0000-0000-000040920000}"/>
    <cellStyle name="Output 3 2 2 5" xfId="13798" xr:uid="{00000000-0005-0000-0000-000041920000}"/>
    <cellStyle name="Output 3 2 2 6" xfId="13799" xr:uid="{00000000-0005-0000-0000-000042920000}"/>
    <cellStyle name="Output 3 2 2 7" xfId="17315" xr:uid="{00000000-0005-0000-0000-000043920000}"/>
    <cellStyle name="Output 3 2 2 8" xfId="15305" xr:uid="{00000000-0005-0000-0000-000044920000}"/>
    <cellStyle name="Output 3 2 2 9" xfId="36288" xr:uid="{00000000-0005-0000-0000-000045920000}"/>
    <cellStyle name="Output 3 2 3" xfId="6941" xr:uid="{00000000-0005-0000-0000-000046920000}"/>
    <cellStyle name="Output 3 2 3 2" xfId="13800" xr:uid="{00000000-0005-0000-0000-000047920000}"/>
    <cellStyle name="Output 3 2 3 3" xfId="13801" xr:uid="{00000000-0005-0000-0000-000048920000}"/>
    <cellStyle name="Output 3 2 3 4" xfId="13802" xr:uid="{00000000-0005-0000-0000-000049920000}"/>
    <cellStyle name="Output 3 2 3 5" xfId="17318" xr:uid="{00000000-0005-0000-0000-00004A920000}"/>
    <cellStyle name="Output 3 2 3 6" xfId="15304" xr:uid="{00000000-0005-0000-0000-00004B920000}"/>
    <cellStyle name="Output 3 2 3 7" xfId="42806" xr:uid="{00000000-0005-0000-0000-00004C920000}"/>
    <cellStyle name="Output 3 2 4" xfId="6942" xr:uid="{00000000-0005-0000-0000-00004D920000}"/>
    <cellStyle name="Output 3 2 4 2" xfId="13803" xr:uid="{00000000-0005-0000-0000-00004E920000}"/>
    <cellStyle name="Output 3 2 4 3" xfId="13804" xr:uid="{00000000-0005-0000-0000-00004F920000}"/>
    <cellStyle name="Output 3 2 4 4" xfId="13805" xr:uid="{00000000-0005-0000-0000-000050920000}"/>
    <cellStyle name="Output 3 2 4 5" xfId="17319" xr:uid="{00000000-0005-0000-0000-000051920000}"/>
    <cellStyle name="Output 3 2 4 6" xfId="17618" xr:uid="{00000000-0005-0000-0000-000052920000}"/>
    <cellStyle name="Output 3 2 5" xfId="13806" xr:uid="{00000000-0005-0000-0000-000053920000}"/>
    <cellStyle name="Output 3 2 6" xfId="13807" xr:uid="{00000000-0005-0000-0000-000054920000}"/>
    <cellStyle name="Output 3 2 7" xfId="13808" xr:uid="{00000000-0005-0000-0000-000055920000}"/>
    <cellStyle name="Output 3 2 8" xfId="16044" xr:uid="{00000000-0005-0000-0000-000056920000}"/>
    <cellStyle name="Output 3 2 9" xfId="17924" xr:uid="{00000000-0005-0000-0000-000057920000}"/>
    <cellStyle name="Output 3 3" xfId="6943" xr:uid="{00000000-0005-0000-0000-000058920000}"/>
    <cellStyle name="Output 3 3 10" xfId="36289" xr:uid="{00000000-0005-0000-0000-000059920000}"/>
    <cellStyle name="Output 3 3 2" xfId="6944" xr:uid="{00000000-0005-0000-0000-00005A920000}"/>
    <cellStyle name="Output 3 3 2 2" xfId="6945" xr:uid="{00000000-0005-0000-0000-00005B920000}"/>
    <cellStyle name="Output 3 3 2 2 2" xfId="13809" xr:uid="{00000000-0005-0000-0000-00005C920000}"/>
    <cellStyle name="Output 3 3 2 2 3" xfId="13810" xr:uid="{00000000-0005-0000-0000-00005D920000}"/>
    <cellStyle name="Output 3 3 2 2 4" xfId="13811" xr:uid="{00000000-0005-0000-0000-00005E920000}"/>
    <cellStyle name="Output 3 3 2 2 5" xfId="17321" xr:uid="{00000000-0005-0000-0000-00005F920000}"/>
    <cellStyle name="Output 3 3 2 2 6" xfId="15303" xr:uid="{00000000-0005-0000-0000-000060920000}"/>
    <cellStyle name="Output 3 3 2 3" xfId="6946" xr:uid="{00000000-0005-0000-0000-000061920000}"/>
    <cellStyle name="Output 3 3 2 3 2" xfId="13812" xr:uid="{00000000-0005-0000-0000-000062920000}"/>
    <cellStyle name="Output 3 3 2 3 3" xfId="13813" xr:uid="{00000000-0005-0000-0000-000063920000}"/>
    <cellStyle name="Output 3 3 2 3 4" xfId="13814" xr:uid="{00000000-0005-0000-0000-000064920000}"/>
    <cellStyle name="Output 3 3 2 3 5" xfId="17322" xr:uid="{00000000-0005-0000-0000-000065920000}"/>
    <cellStyle name="Output 3 3 2 3 6" xfId="17617" xr:uid="{00000000-0005-0000-0000-000066920000}"/>
    <cellStyle name="Output 3 3 2 4" xfId="13815" xr:uid="{00000000-0005-0000-0000-000067920000}"/>
    <cellStyle name="Output 3 3 2 5" xfId="13816" xr:uid="{00000000-0005-0000-0000-000068920000}"/>
    <cellStyle name="Output 3 3 2 6" xfId="13817" xr:uid="{00000000-0005-0000-0000-000069920000}"/>
    <cellStyle name="Output 3 3 2 7" xfId="17320" xr:uid="{00000000-0005-0000-0000-00006A920000}"/>
    <cellStyle name="Output 3 3 2 8" xfId="16183" xr:uid="{00000000-0005-0000-0000-00006B920000}"/>
    <cellStyle name="Output 3 3 2 9" xfId="42808" xr:uid="{00000000-0005-0000-0000-00006C920000}"/>
    <cellStyle name="Output 3 3 3" xfId="6947" xr:uid="{00000000-0005-0000-0000-00006D920000}"/>
    <cellStyle name="Output 3 3 3 2" xfId="13818" xr:uid="{00000000-0005-0000-0000-00006E920000}"/>
    <cellStyle name="Output 3 3 3 3" xfId="13819" xr:uid="{00000000-0005-0000-0000-00006F920000}"/>
    <cellStyle name="Output 3 3 3 4" xfId="13820" xr:uid="{00000000-0005-0000-0000-000070920000}"/>
    <cellStyle name="Output 3 3 3 5" xfId="17323" xr:uid="{00000000-0005-0000-0000-000071920000}"/>
    <cellStyle name="Output 3 3 3 6" xfId="16182" xr:uid="{00000000-0005-0000-0000-000072920000}"/>
    <cellStyle name="Output 3 3 4" xfId="6948" xr:uid="{00000000-0005-0000-0000-000073920000}"/>
    <cellStyle name="Output 3 3 4 2" xfId="13821" xr:uid="{00000000-0005-0000-0000-000074920000}"/>
    <cellStyle name="Output 3 3 4 3" xfId="13822" xr:uid="{00000000-0005-0000-0000-000075920000}"/>
    <cellStyle name="Output 3 3 4 4" xfId="13823" xr:uid="{00000000-0005-0000-0000-000076920000}"/>
    <cellStyle name="Output 3 3 4 5" xfId="17324" xr:uid="{00000000-0005-0000-0000-000077920000}"/>
    <cellStyle name="Output 3 3 4 6" xfId="15302" xr:uid="{00000000-0005-0000-0000-000078920000}"/>
    <cellStyle name="Output 3 3 5" xfId="13824" xr:uid="{00000000-0005-0000-0000-000079920000}"/>
    <cellStyle name="Output 3 3 6" xfId="13825" xr:uid="{00000000-0005-0000-0000-00007A920000}"/>
    <cellStyle name="Output 3 3 7" xfId="13826" xr:uid="{00000000-0005-0000-0000-00007B920000}"/>
    <cellStyle name="Output 3 3 8" xfId="16045" xr:uid="{00000000-0005-0000-0000-00007C920000}"/>
    <cellStyle name="Output 3 3 9" xfId="16494" xr:uid="{00000000-0005-0000-0000-00007D920000}"/>
    <cellStyle name="Output 3 4" xfId="6949" xr:uid="{00000000-0005-0000-0000-00007E920000}"/>
    <cellStyle name="Output 3 4 2" xfId="13827" xr:uid="{00000000-0005-0000-0000-00007F920000}"/>
    <cellStyle name="Output 3 4 2 2" xfId="42809" xr:uid="{00000000-0005-0000-0000-000080920000}"/>
    <cellStyle name="Output 3 4 3" xfId="13828" xr:uid="{00000000-0005-0000-0000-000081920000}"/>
    <cellStyle name="Output 3 4 4" xfId="13829" xr:uid="{00000000-0005-0000-0000-000082920000}"/>
    <cellStyle name="Output 3 4 5" xfId="17325" xr:uid="{00000000-0005-0000-0000-000083920000}"/>
    <cellStyle name="Output 3 4 6" xfId="17616" xr:uid="{00000000-0005-0000-0000-000084920000}"/>
    <cellStyle name="Output 3 4 7" xfId="36290" xr:uid="{00000000-0005-0000-0000-000085920000}"/>
    <cellStyle name="Output 3 5" xfId="6950" xr:uid="{00000000-0005-0000-0000-000086920000}"/>
    <cellStyle name="Output 3 5 2" xfId="13830" xr:uid="{00000000-0005-0000-0000-000087920000}"/>
    <cellStyle name="Output 3 5 2 2" xfId="42810" xr:uid="{00000000-0005-0000-0000-000088920000}"/>
    <cellStyle name="Output 3 5 3" xfId="13831" xr:uid="{00000000-0005-0000-0000-000089920000}"/>
    <cellStyle name="Output 3 5 4" xfId="13832" xr:uid="{00000000-0005-0000-0000-00008A920000}"/>
    <cellStyle name="Output 3 5 5" xfId="17326" xr:uid="{00000000-0005-0000-0000-00008B920000}"/>
    <cellStyle name="Output 3 5 6" xfId="16181" xr:uid="{00000000-0005-0000-0000-00008C920000}"/>
    <cellStyle name="Output 3 5 7" xfId="36291" xr:uid="{00000000-0005-0000-0000-00008D920000}"/>
    <cellStyle name="Output 3 6" xfId="13833" xr:uid="{00000000-0005-0000-0000-00008E920000}"/>
    <cellStyle name="Output 3 6 2" xfId="36292" xr:uid="{00000000-0005-0000-0000-00008F920000}"/>
    <cellStyle name="Output 3 7" xfId="13834" xr:uid="{00000000-0005-0000-0000-000090920000}"/>
    <cellStyle name="Output 3 7 2" xfId="42805" xr:uid="{00000000-0005-0000-0000-000091920000}"/>
    <cellStyle name="Output 3 8" xfId="13835" xr:uid="{00000000-0005-0000-0000-000092920000}"/>
    <cellStyle name="Output 3 9" xfId="17314" xr:uid="{00000000-0005-0000-0000-000093920000}"/>
    <cellStyle name="Output 4" xfId="6951" xr:uid="{00000000-0005-0000-0000-000094920000}"/>
    <cellStyle name="Output 4 2" xfId="6952" xr:uid="{00000000-0005-0000-0000-000095920000}"/>
    <cellStyle name="Output 4 2 10" xfId="36294" xr:uid="{00000000-0005-0000-0000-000096920000}"/>
    <cellStyle name="Output 4 2 2" xfId="6953" xr:uid="{00000000-0005-0000-0000-000097920000}"/>
    <cellStyle name="Output 4 2 2 2" xfId="6954" xr:uid="{00000000-0005-0000-0000-000098920000}"/>
    <cellStyle name="Output 4 2 2 2 2" xfId="13836" xr:uid="{00000000-0005-0000-0000-000099920000}"/>
    <cellStyle name="Output 4 2 2 2 3" xfId="13837" xr:uid="{00000000-0005-0000-0000-00009A920000}"/>
    <cellStyle name="Output 4 2 2 2 4" xfId="13838" xr:uid="{00000000-0005-0000-0000-00009B920000}"/>
    <cellStyle name="Output 4 2 2 2 5" xfId="17328" xr:uid="{00000000-0005-0000-0000-00009C920000}"/>
    <cellStyle name="Output 4 2 2 2 6" xfId="17615" xr:uid="{00000000-0005-0000-0000-00009D920000}"/>
    <cellStyle name="Output 4 2 2 2 7" xfId="42813" xr:uid="{00000000-0005-0000-0000-00009E920000}"/>
    <cellStyle name="Output 4 2 2 3" xfId="6955" xr:uid="{00000000-0005-0000-0000-00009F920000}"/>
    <cellStyle name="Output 4 2 2 3 2" xfId="13839" xr:uid="{00000000-0005-0000-0000-0000A0920000}"/>
    <cellStyle name="Output 4 2 2 3 3" xfId="13840" xr:uid="{00000000-0005-0000-0000-0000A1920000}"/>
    <cellStyle name="Output 4 2 2 3 4" xfId="13841" xr:uid="{00000000-0005-0000-0000-0000A2920000}"/>
    <cellStyle name="Output 4 2 2 3 5" xfId="17329" xr:uid="{00000000-0005-0000-0000-0000A3920000}"/>
    <cellStyle name="Output 4 2 2 3 6" xfId="16180" xr:uid="{00000000-0005-0000-0000-0000A4920000}"/>
    <cellStyle name="Output 4 2 2 4" xfId="13842" xr:uid="{00000000-0005-0000-0000-0000A5920000}"/>
    <cellStyle name="Output 4 2 2 5" xfId="13843" xr:uid="{00000000-0005-0000-0000-0000A6920000}"/>
    <cellStyle name="Output 4 2 2 6" xfId="13844" xr:uid="{00000000-0005-0000-0000-0000A7920000}"/>
    <cellStyle name="Output 4 2 2 7" xfId="17327" xr:uid="{00000000-0005-0000-0000-0000A8920000}"/>
    <cellStyle name="Output 4 2 2 8" xfId="15301" xr:uid="{00000000-0005-0000-0000-0000A9920000}"/>
    <cellStyle name="Output 4 2 2 9" xfId="36295" xr:uid="{00000000-0005-0000-0000-0000AA920000}"/>
    <cellStyle name="Output 4 2 3" xfId="6956" xr:uid="{00000000-0005-0000-0000-0000AB920000}"/>
    <cellStyle name="Output 4 2 3 2" xfId="13845" xr:uid="{00000000-0005-0000-0000-0000AC920000}"/>
    <cellStyle name="Output 4 2 3 3" xfId="13846" xr:uid="{00000000-0005-0000-0000-0000AD920000}"/>
    <cellStyle name="Output 4 2 3 4" xfId="13847" xr:uid="{00000000-0005-0000-0000-0000AE920000}"/>
    <cellStyle name="Output 4 2 3 5" xfId="17330" xr:uid="{00000000-0005-0000-0000-0000AF920000}"/>
    <cellStyle name="Output 4 2 3 6" xfId="15300" xr:uid="{00000000-0005-0000-0000-0000B0920000}"/>
    <cellStyle name="Output 4 2 3 7" xfId="42812" xr:uid="{00000000-0005-0000-0000-0000B1920000}"/>
    <cellStyle name="Output 4 2 4" xfId="6957" xr:uid="{00000000-0005-0000-0000-0000B2920000}"/>
    <cellStyle name="Output 4 2 4 2" xfId="13848" xr:uid="{00000000-0005-0000-0000-0000B3920000}"/>
    <cellStyle name="Output 4 2 4 3" xfId="13849" xr:uid="{00000000-0005-0000-0000-0000B4920000}"/>
    <cellStyle name="Output 4 2 4 4" xfId="13850" xr:uid="{00000000-0005-0000-0000-0000B5920000}"/>
    <cellStyle name="Output 4 2 4 5" xfId="17331" xr:uid="{00000000-0005-0000-0000-0000B6920000}"/>
    <cellStyle name="Output 4 2 4 6" xfId="15299" xr:uid="{00000000-0005-0000-0000-0000B7920000}"/>
    <cellStyle name="Output 4 2 5" xfId="13851" xr:uid="{00000000-0005-0000-0000-0000B8920000}"/>
    <cellStyle name="Output 4 2 6" xfId="13852" xr:uid="{00000000-0005-0000-0000-0000B9920000}"/>
    <cellStyle name="Output 4 2 7" xfId="13853" xr:uid="{00000000-0005-0000-0000-0000BA920000}"/>
    <cellStyle name="Output 4 2 8" xfId="16046" xr:uid="{00000000-0005-0000-0000-0000BB920000}"/>
    <cellStyle name="Output 4 2 9" xfId="15667" xr:uid="{00000000-0005-0000-0000-0000BC920000}"/>
    <cellStyle name="Output 4 3" xfId="6958" xr:uid="{00000000-0005-0000-0000-0000BD920000}"/>
    <cellStyle name="Output 4 3 10" xfId="36296" xr:uid="{00000000-0005-0000-0000-0000BE920000}"/>
    <cellStyle name="Output 4 3 2" xfId="6959" xr:uid="{00000000-0005-0000-0000-0000BF920000}"/>
    <cellStyle name="Output 4 3 2 2" xfId="6960" xr:uid="{00000000-0005-0000-0000-0000C0920000}"/>
    <cellStyle name="Output 4 3 2 2 2" xfId="13854" xr:uid="{00000000-0005-0000-0000-0000C1920000}"/>
    <cellStyle name="Output 4 3 2 2 3" xfId="13855" xr:uid="{00000000-0005-0000-0000-0000C2920000}"/>
    <cellStyle name="Output 4 3 2 2 4" xfId="13856" xr:uid="{00000000-0005-0000-0000-0000C3920000}"/>
    <cellStyle name="Output 4 3 2 2 5" xfId="17333" xr:uid="{00000000-0005-0000-0000-0000C4920000}"/>
    <cellStyle name="Output 4 3 2 2 6" xfId="16178" xr:uid="{00000000-0005-0000-0000-0000C5920000}"/>
    <cellStyle name="Output 4 3 2 3" xfId="6961" xr:uid="{00000000-0005-0000-0000-0000C6920000}"/>
    <cellStyle name="Output 4 3 2 3 2" xfId="13857" xr:uid="{00000000-0005-0000-0000-0000C7920000}"/>
    <cellStyle name="Output 4 3 2 3 3" xfId="13858" xr:uid="{00000000-0005-0000-0000-0000C8920000}"/>
    <cellStyle name="Output 4 3 2 3 4" xfId="13859" xr:uid="{00000000-0005-0000-0000-0000C9920000}"/>
    <cellStyle name="Output 4 3 2 3 5" xfId="17334" xr:uid="{00000000-0005-0000-0000-0000CA920000}"/>
    <cellStyle name="Output 4 3 2 3 6" xfId="15298" xr:uid="{00000000-0005-0000-0000-0000CB920000}"/>
    <cellStyle name="Output 4 3 2 4" xfId="13860" xr:uid="{00000000-0005-0000-0000-0000CC920000}"/>
    <cellStyle name="Output 4 3 2 5" xfId="13861" xr:uid="{00000000-0005-0000-0000-0000CD920000}"/>
    <cellStyle name="Output 4 3 2 6" xfId="13862" xr:uid="{00000000-0005-0000-0000-0000CE920000}"/>
    <cellStyle name="Output 4 3 2 7" xfId="17332" xr:uid="{00000000-0005-0000-0000-0000CF920000}"/>
    <cellStyle name="Output 4 3 2 8" xfId="17613" xr:uid="{00000000-0005-0000-0000-0000D0920000}"/>
    <cellStyle name="Output 4 3 2 9" xfId="42814" xr:uid="{00000000-0005-0000-0000-0000D1920000}"/>
    <cellStyle name="Output 4 3 3" xfId="6962" xr:uid="{00000000-0005-0000-0000-0000D2920000}"/>
    <cellStyle name="Output 4 3 3 2" xfId="13863" xr:uid="{00000000-0005-0000-0000-0000D3920000}"/>
    <cellStyle name="Output 4 3 3 3" xfId="13864" xr:uid="{00000000-0005-0000-0000-0000D4920000}"/>
    <cellStyle name="Output 4 3 3 4" xfId="13865" xr:uid="{00000000-0005-0000-0000-0000D5920000}"/>
    <cellStyle name="Output 4 3 3 5" xfId="17335" xr:uid="{00000000-0005-0000-0000-0000D6920000}"/>
    <cellStyle name="Output 4 3 3 6" xfId="17612" xr:uid="{00000000-0005-0000-0000-0000D7920000}"/>
    <cellStyle name="Output 4 3 4" xfId="6963" xr:uid="{00000000-0005-0000-0000-0000D8920000}"/>
    <cellStyle name="Output 4 3 4 2" xfId="13866" xr:uid="{00000000-0005-0000-0000-0000D9920000}"/>
    <cellStyle name="Output 4 3 4 3" xfId="13867" xr:uid="{00000000-0005-0000-0000-0000DA920000}"/>
    <cellStyle name="Output 4 3 4 4" xfId="13868" xr:uid="{00000000-0005-0000-0000-0000DB920000}"/>
    <cellStyle name="Output 4 3 4 5" xfId="17336" xr:uid="{00000000-0005-0000-0000-0000DC920000}"/>
    <cellStyle name="Output 4 3 4 6" xfId="16177" xr:uid="{00000000-0005-0000-0000-0000DD920000}"/>
    <cellStyle name="Output 4 3 5" xfId="13869" xr:uid="{00000000-0005-0000-0000-0000DE920000}"/>
    <cellStyle name="Output 4 3 6" xfId="13870" xr:uid="{00000000-0005-0000-0000-0000DF920000}"/>
    <cellStyle name="Output 4 3 7" xfId="13871" xr:uid="{00000000-0005-0000-0000-0000E0920000}"/>
    <cellStyle name="Output 4 3 8" xfId="16047" xr:uid="{00000000-0005-0000-0000-0000E1920000}"/>
    <cellStyle name="Output 4 3 9" xfId="16589" xr:uid="{00000000-0005-0000-0000-0000E2920000}"/>
    <cellStyle name="Output 4 4" xfId="36297" xr:uid="{00000000-0005-0000-0000-0000E3920000}"/>
    <cellStyle name="Output 4 5" xfId="42811" xr:uid="{00000000-0005-0000-0000-0000E4920000}"/>
    <cellStyle name="Output 4 6" xfId="36293" xr:uid="{00000000-0005-0000-0000-0000E5920000}"/>
    <cellStyle name="Output 5" xfId="6964" xr:uid="{00000000-0005-0000-0000-0000E6920000}"/>
    <cellStyle name="Output 5 2" xfId="6965" xr:uid="{00000000-0005-0000-0000-0000E7920000}"/>
    <cellStyle name="Output 5 2 10" xfId="36299" xr:uid="{00000000-0005-0000-0000-0000E8920000}"/>
    <cellStyle name="Output 5 2 2" xfId="6966" xr:uid="{00000000-0005-0000-0000-0000E9920000}"/>
    <cellStyle name="Output 5 2 2 2" xfId="6967" xr:uid="{00000000-0005-0000-0000-0000EA920000}"/>
    <cellStyle name="Output 5 2 2 2 2" xfId="13872" xr:uid="{00000000-0005-0000-0000-0000EB920000}"/>
    <cellStyle name="Output 5 2 2 2 3" xfId="13873" xr:uid="{00000000-0005-0000-0000-0000EC920000}"/>
    <cellStyle name="Output 5 2 2 2 4" xfId="13874" xr:uid="{00000000-0005-0000-0000-0000ED920000}"/>
    <cellStyle name="Output 5 2 2 2 5" xfId="17338" xr:uid="{00000000-0005-0000-0000-0000EE920000}"/>
    <cellStyle name="Output 5 2 2 2 6" xfId="15288" xr:uid="{00000000-0005-0000-0000-0000EF920000}"/>
    <cellStyle name="Output 5 2 2 3" xfId="6968" xr:uid="{00000000-0005-0000-0000-0000F0920000}"/>
    <cellStyle name="Output 5 2 2 3 2" xfId="13875" xr:uid="{00000000-0005-0000-0000-0000F1920000}"/>
    <cellStyle name="Output 5 2 2 3 3" xfId="13876" xr:uid="{00000000-0005-0000-0000-0000F2920000}"/>
    <cellStyle name="Output 5 2 2 3 4" xfId="13877" xr:uid="{00000000-0005-0000-0000-0000F3920000}"/>
    <cellStyle name="Output 5 2 2 3 5" xfId="17339" xr:uid="{00000000-0005-0000-0000-0000F4920000}"/>
    <cellStyle name="Output 5 2 2 3 6" xfId="17611" xr:uid="{00000000-0005-0000-0000-0000F5920000}"/>
    <cellStyle name="Output 5 2 2 4" xfId="13878" xr:uid="{00000000-0005-0000-0000-0000F6920000}"/>
    <cellStyle name="Output 5 2 2 5" xfId="13879" xr:uid="{00000000-0005-0000-0000-0000F7920000}"/>
    <cellStyle name="Output 5 2 2 6" xfId="13880" xr:uid="{00000000-0005-0000-0000-0000F8920000}"/>
    <cellStyle name="Output 5 2 2 7" xfId="17337" xr:uid="{00000000-0005-0000-0000-0000F9920000}"/>
    <cellStyle name="Output 5 2 2 8" xfId="15297" xr:uid="{00000000-0005-0000-0000-0000FA920000}"/>
    <cellStyle name="Output 5 2 2 9" xfId="42816" xr:uid="{00000000-0005-0000-0000-0000FB920000}"/>
    <cellStyle name="Output 5 2 3" xfId="6969" xr:uid="{00000000-0005-0000-0000-0000FC920000}"/>
    <cellStyle name="Output 5 2 3 2" xfId="13881" xr:uid="{00000000-0005-0000-0000-0000FD920000}"/>
    <cellStyle name="Output 5 2 3 3" xfId="13882" xr:uid="{00000000-0005-0000-0000-0000FE920000}"/>
    <cellStyle name="Output 5 2 3 4" xfId="13883" xr:uid="{00000000-0005-0000-0000-0000FF920000}"/>
    <cellStyle name="Output 5 2 3 5" xfId="17340" xr:uid="{00000000-0005-0000-0000-000000930000}"/>
    <cellStyle name="Output 5 2 3 6" xfId="16176" xr:uid="{00000000-0005-0000-0000-000001930000}"/>
    <cellStyle name="Output 5 2 4" xfId="6970" xr:uid="{00000000-0005-0000-0000-000002930000}"/>
    <cellStyle name="Output 5 2 4 2" xfId="13884" xr:uid="{00000000-0005-0000-0000-000003930000}"/>
    <cellStyle name="Output 5 2 4 3" xfId="13885" xr:uid="{00000000-0005-0000-0000-000004930000}"/>
    <cellStyle name="Output 5 2 4 4" xfId="13886" xr:uid="{00000000-0005-0000-0000-000005930000}"/>
    <cellStyle name="Output 5 2 4 5" xfId="17341" xr:uid="{00000000-0005-0000-0000-000006930000}"/>
    <cellStyle name="Output 5 2 4 6" xfId="15296" xr:uid="{00000000-0005-0000-0000-000007930000}"/>
    <cellStyle name="Output 5 2 5" xfId="13887" xr:uid="{00000000-0005-0000-0000-000008930000}"/>
    <cellStyle name="Output 5 2 6" xfId="13888" xr:uid="{00000000-0005-0000-0000-000009930000}"/>
    <cellStyle name="Output 5 2 7" xfId="13889" xr:uid="{00000000-0005-0000-0000-00000A930000}"/>
    <cellStyle name="Output 5 2 8" xfId="16048" xr:uid="{00000000-0005-0000-0000-00000B930000}"/>
    <cellStyle name="Output 5 2 9" xfId="15666" xr:uid="{00000000-0005-0000-0000-00000C930000}"/>
    <cellStyle name="Output 5 3" xfId="6971" xr:uid="{00000000-0005-0000-0000-00000D930000}"/>
    <cellStyle name="Output 5 3 10" xfId="36300" xr:uid="{00000000-0005-0000-0000-00000E930000}"/>
    <cellStyle name="Output 5 3 2" xfId="6972" xr:uid="{00000000-0005-0000-0000-00000F930000}"/>
    <cellStyle name="Output 5 3 2 2" xfId="6973" xr:uid="{00000000-0005-0000-0000-000010930000}"/>
    <cellStyle name="Output 5 3 2 2 2" xfId="13890" xr:uid="{00000000-0005-0000-0000-000011930000}"/>
    <cellStyle name="Output 5 3 2 2 3" xfId="13891" xr:uid="{00000000-0005-0000-0000-000012930000}"/>
    <cellStyle name="Output 5 3 2 2 4" xfId="13892" xr:uid="{00000000-0005-0000-0000-000013930000}"/>
    <cellStyle name="Output 5 3 2 2 5" xfId="17343" xr:uid="{00000000-0005-0000-0000-000014930000}"/>
    <cellStyle name="Output 5 3 2 2 6" xfId="16175" xr:uid="{00000000-0005-0000-0000-000015930000}"/>
    <cellStyle name="Output 5 3 2 3" xfId="6974" xr:uid="{00000000-0005-0000-0000-000016930000}"/>
    <cellStyle name="Output 5 3 2 3 2" xfId="13893" xr:uid="{00000000-0005-0000-0000-000017930000}"/>
    <cellStyle name="Output 5 3 2 3 3" xfId="13894" xr:uid="{00000000-0005-0000-0000-000018930000}"/>
    <cellStyle name="Output 5 3 2 3 4" xfId="13895" xr:uid="{00000000-0005-0000-0000-000019930000}"/>
    <cellStyle name="Output 5 3 2 3 5" xfId="17344" xr:uid="{00000000-0005-0000-0000-00001A930000}"/>
    <cellStyle name="Output 5 3 2 3 6" xfId="15295" xr:uid="{00000000-0005-0000-0000-00001B930000}"/>
    <cellStyle name="Output 5 3 2 4" xfId="13896" xr:uid="{00000000-0005-0000-0000-00001C930000}"/>
    <cellStyle name="Output 5 3 2 5" xfId="13897" xr:uid="{00000000-0005-0000-0000-00001D930000}"/>
    <cellStyle name="Output 5 3 2 6" xfId="13898" xr:uid="{00000000-0005-0000-0000-00001E930000}"/>
    <cellStyle name="Output 5 3 2 7" xfId="17342" xr:uid="{00000000-0005-0000-0000-00001F930000}"/>
    <cellStyle name="Output 5 3 2 8" xfId="17610" xr:uid="{00000000-0005-0000-0000-000020930000}"/>
    <cellStyle name="Output 5 3 3" xfId="6975" xr:uid="{00000000-0005-0000-0000-000021930000}"/>
    <cellStyle name="Output 5 3 3 2" xfId="13899" xr:uid="{00000000-0005-0000-0000-000022930000}"/>
    <cellStyle name="Output 5 3 3 3" xfId="13900" xr:uid="{00000000-0005-0000-0000-000023930000}"/>
    <cellStyle name="Output 5 3 3 4" xfId="13901" xr:uid="{00000000-0005-0000-0000-000024930000}"/>
    <cellStyle name="Output 5 3 3 5" xfId="17345" xr:uid="{00000000-0005-0000-0000-000025930000}"/>
    <cellStyle name="Output 5 3 3 6" xfId="17609" xr:uid="{00000000-0005-0000-0000-000026930000}"/>
    <cellStyle name="Output 5 3 4" xfId="6976" xr:uid="{00000000-0005-0000-0000-000027930000}"/>
    <cellStyle name="Output 5 3 4 2" xfId="13902" xr:uid="{00000000-0005-0000-0000-000028930000}"/>
    <cellStyle name="Output 5 3 4 3" xfId="13903" xr:uid="{00000000-0005-0000-0000-000029930000}"/>
    <cellStyle name="Output 5 3 4 4" xfId="13904" xr:uid="{00000000-0005-0000-0000-00002A930000}"/>
    <cellStyle name="Output 5 3 4 5" xfId="17346" xr:uid="{00000000-0005-0000-0000-00002B930000}"/>
    <cellStyle name="Output 5 3 4 6" xfId="16174" xr:uid="{00000000-0005-0000-0000-00002C930000}"/>
    <cellStyle name="Output 5 3 5" xfId="13905" xr:uid="{00000000-0005-0000-0000-00002D930000}"/>
    <cellStyle name="Output 5 3 6" xfId="13906" xr:uid="{00000000-0005-0000-0000-00002E930000}"/>
    <cellStyle name="Output 5 3 7" xfId="13907" xr:uid="{00000000-0005-0000-0000-00002F930000}"/>
    <cellStyle name="Output 5 3 8" xfId="16049" xr:uid="{00000000-0005-0000-0000-000030930000}"/>
    <cellStyle name="Output 5 3 9" xfId="15665" xr:uid="{00000000-0005-0000-0000-000031930000}"/>
    <cellStyle name="Output 5 4" xfId="13908" xr:uid="{00000000-0005-0000-0000-000032930000}"/>
    <cellStyle name="Output 5 4 2" xfId="42815" xr:uid="{00000000-0005-0000-0000-000033930000}"/>
    <cellStyle name="Output 5 5" xfId="13909" xr:uid="{00000000-0005-0000-0000-000034930000}"/>
    <cellStyle name="Output 5 6" xfId="13910" xr:uid="{00000000-0005-0000-0000-000035930000}"/>
    <cellStyle name="Output 5 7" xfId="18093" xr:uid="{00000000-0005-0000-0000-000036930000}"/>
    <cellStyle name="Output 5 8" xfId="19249" xr:uid="{00000000-0005-0000-0000-000037930000}"/>
    <cellStyle name="Output 5 9" xfId="36298" xr:uid="{00000000-0005-0000-0000-000038930000}"/>
    <cellStyle name="Output 6" xfId="6977" xr:uid="{00000000-0005-0000-0000-000039930000}"/>
    <cellStyle name="Output 6 2" xfId="6978" xr:uid="{00000000-0005-0000-0000-00003A930000}"/>
    <cellStyle name="Output 6 2 10" xfId="42817" xr:uid="{00000000-0005-0000-0000-00003B930000}"/>
    <cellStyle name="Output 6 2 2" xfId="6979" xr:uid="{00000000-0005-0000-0000-00003C930000}"/>
    <cellStyle name="Output 6 2 2 2" xfId="6980" xr:uid="{00000000-0005-0000-0000-00003D930000}"/>
    <cellStyle name="Output 6 2 2 2 2" xfId="13911" xr:uid="{00000000-0005-0000-0000-00003E930000}"/>
    <cellStyle name="Output 6 2 2 2 3" xfId="13912" xr:uid="{00000000-0005-0000-0000-00003F930000}"/>
    <cellStyle name="Output 6 2 2 2 4" xfId="13913" xr:uid="{00000000-0005-0000-0000-000040930000}"/>
    <cellStyle name="Output 6 2 2 2 5" xfId="17348" xr:uid="{00000000-0005-0000-0000-000041930000}"/>
    <cellStyle name="Output 6 2 2 2 6" xfId="17608" xr:uid="{00000000-0005-0000-0000-000042930000}"/>
    <cellStyle name="Output 6 2 2 3" xfId="6981" xr:uid="{00000000-0005-0000-0000-000043930000}"/>
    <cellStyle name="Output 6 2 2 3 2" xfId="13914" xr:uid="{00000000-0005-0000-0000-000044930000}"/>
    <cellStyle name="Output 6 2 2 3 3" xfId="13915" xr:uid="{00000000-0005-0000-0000-000045930000}"/>
    <cellStyle name="Output 6 2 2 3 4" xfId="13916" xr:uid="{00000000-0005-0000-0000-000046930000}"/>
    <cellStyle name="Output 6 2 2 3 5" xfId="17349" xr:uid="{00000000-0005-0000-0000-000047930000}"/>
    <cellStyle name="Output 6 2 2 3 6" xfId="16173" xr:uid="{00000000-0005-0000-0000-000048930000}"/>
    <cellStyle name="Output 6 2 2 4" xfId="13917" xr:uid="{00000000-0005-0000-0000-000049930000}"/>
    <cellStyle name="Output 6 2 2 5" xfId="13918" xr:uid="{00000000-0005-0000-0000-00004A930000}"/>
    <cellStyle name="Output 6 2 2 6" xfId="13919" xr:uid="{00000000-0005-0000-0000-00004B930000}"/>
    <cellStyle name="Output 6 2 2 7" xfId="17347" xr:uid="{00000000-0005-0000-0000-00004C930000}"/>
    <cellStyle name="Output 6 2 2 8" xfId="15294" xr:uid="{00000000-0005-0000-0000-00004D930000}"/>
    <cellStyle name="Output 6 2 3" xfId="6982" xr:uid="{00000000-0005-0000-0000-00004E930000}"/>
    <cellStyle name="Output 6 2 3 2" xfId="13920" xr:uid="{00000000-0005-0000-0000-00004F930000}"/>
    <cellStyle name="Output 6 2 3 3" xfId="13921" xr:uid="{00000000-0005-0000-0000-000050930000}"/>
    <cellStyle name="Output 6 2 3 4" xfId="13922" xr:uid="{00000000-0005-0000-0000-000051930000}"/>
    <cellStyle name="Output 6 2 3 5" xfId="17350" xr:uid="{00000000-0005-0000-0000-000052930000}"/>
    <cellStyle name="Output 6 2 3 6" xfId="15293" xr:uid="{00000000-0005-0000-0000-000053930000}"/>
    <cellStyle name="Output 6 2 4" xfId="6983" xr:uid="{00000000-0005-0000-0000-000054930000}"/>
    <cellStyle name="Output 6 2 4 2" xfId="13923" xr:uid="{00000000-0005-0000-0000-000055930000}"/>
    <cellStyle name="Output 6 2 4 3" xfId="13924" xr:uid="{00000000-0005-0000-0000-000056930000}"/>
    <cellStyle name="Output 6 2 4 4" xfId="13925" xr:uid="{00000000-0005-0000-0000-000057930000}"/>
    <cellStyle name="Output 6 2 4 5" xfId="17351" xr:uid="{00000000-0005-0000-0000-000058930000}"/>
    <cellStyle name="Output 6 2 4 6" xfId="18083" xr:uid="{00000000-0005-0000-0000-000059930000}"/>
    <cellStyle name="Output 6 2 5" xfId="13926" xr:uid="{00000000-0005-0000-0000-00005A930000}"/>
    <cellStyle name="Output 6 2 6" xfId="13927" xr:uid="{00000000-0005-0000-0000-00005B930000}"/>
    <cellStyle name="Output 6 2 7" xfId="13928" xr:uid="{00000000-0005-0000-0000-00005C930000}"/>
    <cellStyle name="Output 6 2 8" xfId="16050" xr:uid="{00000000-0005-0000-0000-00005D930000}"/>
    <cellStyle name="Output 6 2 9" xfId="15664" xr:uid="{00000000-0005-0000-0000-00005E930000}"/>
    <cellStyle name="Output 6 3" xfId="6984" xr:uid="{00000000-0005-0000-0000-00005F930000}"/>
    <cellStyle name="Output 6 3 2" xfId="6985" xr:uid="{00000000-0005-0000-0000-000060930000}"/>
    <cellStyle name="Output 6 3 2 2" xfId="6986" xr:uid="{00000000-0005-0000-0000-000061930000}"/>
    <cellStyle name="Output 6 3 2 2 2" xfId="13929" xr:uid="{00000000-0005-0000-0000-000062930000}"/>
    <cellStyle name="Output 6 3 2 2 3" xfId="13930" xr:uid="{00000000-0005-0000-0000-000063930000}"/>
    <cellStyle name="Output 6 3 2 2 4" xfId="13931" xr:uid="{00000000-0005-0000-0000-000064930000}"/>
    <cellStyle name="Output 6 3 2 2 5" xfId="17353" xr:uid="{00000000-0005-0000-0000-000065930000}"/>
    <cellStyle name="Output 6 3 2 2 6" xfId="16172" xr:uid="{00000000-0005-0000-0000-000066930000}"/>
    <cellStyle name="Output 6 3 2 3" xfId="6987" xr:uid="{00000000-0005-0000-0000-000067930000}"/>
    <cellStyle name="Output 6 3 2 3 2" xfId="13932" xr:uid="{00000000-0005-0000-0000-000068930000}"/>
    <cellStyle name="Output 6 3 2 3 3" xfId="13933" xr:uid="{00000000-0005-0000-0000-000069930000}"/>
    <cellStyle name="Output 6 3 2 3 4" xfId="13934" xr:uid="{00000000-0005-0000-0000-00006A930000}"/>
    <cellStyle name="Output 6 3 2 3 5" xfId="17354" xr:uid="{00000000-0005-0000-0000-00006B930000}"/>
    <cellStyle name="Output 6 3 2 3 6" xfId="15292" xr:uid="{00000000-0005-0000-0000-00006C930000}"/>
    <cellStyle name="Output 6 3 2 4" xfId="13935" xr:uid="{00000000-0005-0000-0000-00006D930000}"/>
    <cellStyle name="Output 6 3 2 5" xfId="13936" xr:uid="{00000000-0005-0000-0000-00006E930000}"/>
    <cellStyle name="Output 6 3 2 6" xfId="13937" xr:uid="{00000000-0005-0000-0000-00006F930000}"/>
    <cellStyle name="Output 6 3 2 7" xfId="17352" xr:uid="{00000000-0005-0000-0000-000070930000}"/>
    <cellStyle name="Output 6 3 2 8" xfId="17607" xr:uid="{00000000-0005-0000-0000-000071930000}"/>
    <cellStyle name="Output 6 3 3" xfId="6988" xr:uid="{00000000-0005-0000-0000-000072930000}"/>
    <cellStyle name="Output 6 3 3 2" xfId="13938" xr:uid="{00000000-0005-0000-0000-000073930000}"/>
    <cellStyle name="Output 6 3 3 3" xfId="13939" xr:uid="{00000000-0005-0000-0000-000074930000}"/>
    <cellStyle name="Output 6 3 3 4" xfId="13940" xr:uid="{00000000-0005-0000-0000-000075930000}"/>
    <cellStyle name="Output 6 3 3 5" xfId="17355" xr:uid="{00000000-0005-0000-0000-000076930000}"/>
    <cellStyle name="Output 6 3 3 6" xfId="17606" xr:uid="{00000000-0005-0000-0000-000077930000}"/>
    <cellStyle name="Output 6 3 4" xfId="6989" xr:uid="{00000000-0005-0000-0000-000078930000}"/>
    <cellStyle name="Output 6 3 4 2" xfId="13941" xr:uid="{00000000-0005-0000-0000-000079930000}"/>
    <cellStyle name="Output 6 3 4 3" xfId="13942" xr:uid="{00000000-0005-0000-0000-00007A930000}"/>
    <cellStyle name="Output 6 3 4 4" xfId="13943" xr:uid="{00000000-0005-0000-0000-00007B930000}"/>
    <cellStyle name="Output 6 3 4 5" xfId="17356" xr:uid="{00000000-0005-0000-0000-00007C930000}"/>
    <cellStyle name="Output 6 3 4 6" xfId="16171" xr:uid="{00000000-0005-0000-0000-00007D930000}"/>
    <cellStyle name="Output 6 3 5" xfId="13944" xr:uid="{00000000-0005-0000-0000-00007E930000}"/>
    <cellStyle name="Output 6 3 6" xfId="13945" xr:uid="{00000000-0005-0000-0000-00007F930000}"/>
    <cellStyle name="Output 6 3 7" xfId="13946" xr:uid="{00000000-0005-0000-0000-000080930000}"/>
    <cellStyle name="Output 6 3 8" xfId="16051" xr:uid="{00000000-0005-0000-0000-000081930000}"/>
    <cellStyle name="Output 6 3 9" xfId="15663" xr:uid="{00000000-0005-0000-0000-000082930000}"/>
    <cellStyle name="Output 6 4" xfId="13947" xr:uid="{00000000-0005-0000-0000-000083930000}"/>
    <cellStyle name="Output 6 5" xfId="13948" xr:uid="{00000000-0005-0000-0000-000084930000}"/>
    <cellStyle name="Output 6 6" xfId="13949" xr:uid="{00000000-0005-0000-0000-000085930000}"/>
    <cellStyle name="Output 6 7" xfId="16017" xr:uid="{00000000-0005-0000-0000-000086930000}"/>
    <cellStyle name="Output 6 8" xfId="17933" xr:uid="{00000000-0005-0000-0000-000087930000}"/>
    <cellStyle name="Output 6 9" xfId="36301" xr:uid="{00000000-0005-0000-0000-000088930000}"/>
    <cellStyle name="Output 7" xfId="36302" xr:uid="{00000000-0005-0000-0000-000089930000}"/>
    <cellStyle name="Output 7 2" xfId="6990" xr:uid="{00000000-0005-0000-0000-00008A930000}"/>
    <cellStyle name="Output 7 2 10" xfId="42818" xr:uid="{00000000-0005-0000-0000-00008B930000}"/>
    <cellStyle name="Output 7 2 2" xfId="6991" xr:uid="{00000000-0005-0000-0000-00008C930000}"/>
    <cellStyle name="Output 7 2 2 2" xfId="6992" xr:uid="{00000000-0005-0000-0000-00008D930000}"/>
    <cellStyle name="Output 7 2 2 2 2" xfId="13950" xr:uid="{00000000-0005-0000-0000-00008E930000}"/>
    <cellStyle name="Output 7 2 2 2 3" xfId="13951" xr:uid="{00000000-0005-0000-0000-00008F930000}"/>
    <cellStyle name="Output 7 2 2 2 4" xfId="13952" xr:uid="{00000000-0005-0000-0000-000090930000}"/>
    <cellStyle name="Output 7 2 2 2 5" xfId="17358" xr:uid="{00000000-0005-0000-0000-000091930000}"/>
    <cellStyle name="Output 7 2 2 2 6" xfId="16168" xr:uid="{00000000-0005-0000-0000-000092930000}"/>
    <cellStyle name="Output 7 2 2 3" xfId="6993" xr:uid="{00000000-0005-0000-0000-000093930000}"/>
    <cellStyle name="Output 7 2 2 3 2" xfId="13953" xr:uid="{00000000-0005-0000-0000-000094930000}"/>
    <cellStyle name="Output 7 2 2 3 3" xfId="13954" xr:uid="{00000000-0005-0000-0000-000095930000}"/>
    <cellStyle name="Output 7 2 2 3 4" xfId="13955" xr:uid="{00000000-0005-0000-0000-000096930000}"/>
    <cellStyle name="Output 7 2 2 3 5" xfId="17359" xr:uid="{00000000-0005-0000-0000-000097930000}"/>
    <cellStyle name="Output 7 2 2 3 6" xfId="17605" xr:uid="{00000000-0005-0000-0000-000098930000}"/>
    <cellStyle name="Output 7 2 2 4" xfId="13956" xr:uid="{00000000-0005-0000-0000-000099930000}"/>
    <cellStyle name="Output 7 2 2 5" xfId="13957" xr:uid="{00000000-0005-0000-0000-00009A930000}"/>
    <cellStyle name="Output 7 2 2 6" xfId="13958" xr:uid="{00000000-0005-0000-0000-00009B930000}"/>
    <cellStyle name="Output 7 2 2 7" xfId="17357" xr:uid="{00000000-0005-0000-0000-00009C930000}"/>
    <cellStyle name="Output 7 2 2 8" xfId="15291" xr:uid="{00000000-0005-0000-0000-00009D930000}"/>
    <cellStyle name="Output 7 2 3" xfId="6994" xr:uid="{00000000-0005-0000-0000-00009E930000}"/>
    <cellStyle name="Output 7 2 3 2" xfId="13959" xr:uid="{00000000-0005-0000-0000-00009F930000}"/>
    <cellStyle name="Output 7 2 3 3" xfId="13960" xr:uid="{00000000-0005-0000-0000-0000A0930000}"/>
    <cellStyle name="Output 7 2 3 4" xfId="13961" xr:uid="{00000000-0005-0000-0000-0000A1930000}"/>
    <cellStyle name="Output 7 2 3 5" xfId="17360" xr:uid="{00000000-0005-0000-0000-0000A2930000}"/>
    <cellStyle name="Output 7 2 3 6" xfId="16170" xr:uid="{00000000-0005-0000-0000-0000A3930000}"/>
    <cellStyle name="Output 7 2 4" xfId="6995" xr:uid="{00000000-0005-0000-0000-0000A4930000}"/>
    <cellStyle name="Output 7 2 4 2" xfId="13962" xr:uid="{00000000-0005-0000-0000-0000A5930000}"/>
    <cellStyle name="Output 7 2 4 3" xfId="13963" xr:uid="{00000000-0005-0000-0000-0000A6930000}"/>
    <cellStyle name="Output 7 2 4 4" xfId="13964" xr:uid="{00000000-0005-0000-0000-0000A7930000}"/>
    <cellStyle name="Output 7 2 4 5" xfId="17361" xr:uid="{00000000-0005-0000-0000-0000A8930000}"/>
    <cellStyle name="Output 7 2 4 6" xfId="15290" xr:uid="{00000000-0005-0000-0000-0000A9930000}"/>
    <cellStyle name="Output 7 2 5" xfId="13965" xr:uid="{00000000-0005-0000-0000-0000AA930000}"/>
    <cellStyle name="Output 7 2 6" xfId="13966" xr:uid="{00000000-0005-0000-0000-0000AB930000}"/>
    <cellStyle name="Output 7 2 7" xfId="13967" xr:uid="{00000000-0005-0000-0000-0000AC930000}"/>
    <cellStyle name="Output 7 2 8" xfId="16052" xr:uid="{00000000-0005-0000-0000-0000AD930000}"/>
    <cellStyle name="Output 7 2 9" xfId="15662" xr:uid="{00000000-0005-0000-0000-0000AE930000}"/>
    <cellStyle name="Output 7 3" xfId="6996" xr:uid="{00000000-0005-0000-0000-0000AF930000}"/>
    <cellStyle name="Output 7 3 2" xfId="6997" xr:uid="{00000000-0005-0000-0000-0000B0930000}"/>
    <cellStyle name="Output 7 3 2 2" xfId="6998" xr:uid="{00000000-0005-0000-0000-0000B1930000}"/>
    <cellStyle name="Output 7 3 2 2 2" xfId="13968" xr:uid="{00000000-0005-0000-0000-0000B2930000}"/>
    <cellStyle name="Output 7 3 2 2 3" xfId="13969" xr:uid="{00000000-0005-0000-0000-0000B3930000}"/>
    <cellStyle name="Output 7 3 2 2 4" xfId="13970" xr:uid="{00000000-0005-0000-0000-0000B4930000}"/>
    <cellStyle name="Output 7 3 2 2 5" xfId="17363" xr:uid="{00000000-0005-0000-0000-0000B5930000}"/>
    <cellStyle name="Output 7 3 2 2 6" xfId="16169" xr:uid="{00000000-0005-0000-0000-0000B6930000}"/>
    <cellStyle name="Output 7 3 2 3" xfId="6999" xr:uid="{00000000-0005-0000-0000-0000B7930000}"/>
    <cellStyle name="Output 7 3 2 3 2" xfId="13971" xr:uid="{00000000-0005-0000-0000-0000B8930000}"/>
    <cellStyle name="Output 7 3 2 3 3" xfId="13972" xr:uid="{00000000-0005-0000-0000-0000B9930000}"/>
    <cellStyle name="Output 7 3 2 3 4" xfId="13973" xr:uid="{00000000-0005-0000-0000-0000BA930000}"/>
    <cellStyle name="Output 7 3 2 3 5" xfId="17364" xr:uid="{00000000-0005-0000-0000-0000BB930000}"/>
    <cellStyle name="Output 7 3 2 3 6" xfId="15289" xr:uid="{00000000-0005-0000-0000-0000BC930000}"/>
    <cellStyle name="Output 7 3 2 4" xfId="13974" xr:uid="{00000000-0005-0000-0000-0000BD930000}"/>
    <cellStyle name="Output 7 3 2 5" xfId="13975" xr:uid="{00000000-0005-0000-0000-0000BE930000}"/>
    <cellStyle name="Output 7 3 2 6" xfId="13976" xr:uid="{00000000-0005-0000-0000-0000BF930000}"/>
    <cellStyle name="Output 7 3 2 7" xfId="17362" xr:uid="{00000000-0005-0000-0000-0000C0930000}"/>
    <cellStyle name="Output 7 3 2 8" xfId="17604" xr:uid="{00000000-0005-0000-0000-0000C1930000}"/>
    <cellStyle name="Output 7 3 3" xfId="7000" xr:uid="{00000000-0005-0000-0000-0000C2930000}"/>
    <cellStyle name="Output 7 3 3 2" xfId="13977" xr:uid="{00000000-0005-0000-0000-0000C3930000}"/>
    <cellStyle name="Output 7 3 3 3" xfId="13978" xr:uid="{00000000-0005-0000-0000-0000C4930000}"/>
    <cellStyle name="Output 7 3 3 4" xfId="13979" xr:uid="{00000000-0005-0000-0000-0000C5930000}"/>
    <cellStyle name="Output 7 3 3 5" xfId="17365" xr:uid="{00000000-0005-0000-0000-0000C6930000}"/>
    <cellStyle name="Output 7 3 3 6" xfId="16161" xr:uid="{00000000-0005-0000-0000-0000C7930000}"/>
    <cellStyle name="Output 7 3 4" xfId="7001" xr:uid="{00000000-0005-0000-0000-0000C8930000}"/>
    <cellStyle name="Output 7 3 4 2" xfId="13980" xr:uid="{00000000-0005-0000-0000-0000C9930000}"/>
    <cellStyle name="Output 7 3 4 3" xfId="13981" xr:uid="{00000000-0005-0000-0000-0000CA930000}"/>
    <cellStyle name="Output 7 3 4 4" xfId="13982" xr:uid="{00000000-0005-0000-0000-0000CB930000}"/>
    <cellStyle name="Output 7 3 4 5" xfId="17366" xr:uid="{00000000-0005-0000-0000-0000CC930000}"/>
    <cellStyle name="Output 7 3 4 6" xfId="18080" xr:uid="{00000000-0005-0000-0000-0000CD930000}"/>
    <cellStyle name="Output 7 3 5" xfId="13983" xr:uid="{00000000-0005-0000-0000-0000CE930000}"/>
    <cellStyle name="Output 7 3 6" xfId="13984" xr:uid="{00000000-0005-0000-0000-0000CF930000}"/>
    <cellStyle name="Output 7 3 7" xfId="13985" xr:uid="{00000000-0005-0000-0000-0000D0930000}"/>
    <cellStyle name="Output 7 3 8" xfId="16053" xr:uid="{00000000-0005-0000-0000-0000D1930000}"/>
    <cellStyle name="Output 7 3 9" xfId="17923" xr:uid="{00000000-0005-0000-0000-0000D2930000}"/>
    <cellStyle name="Output 8" xfId="36303" xr:uid="{00000000-0005-0000-0000-0000D3930000}"/>
    <cellStyle name="Output 8 2" xfId="7002" xr:uid="{00000000-0005-0000-0000-0000D4930000}"/>
    <cellStyle name="Output 8 2 10" xfId="42819" xr:uid="{00000000-0005-0000-0000-0000D5930000}"/>
    <cellStyle name="Output 8 2 2" xfId="7003" xr:uid="{00000000-0005-0000-0000-0000D6930000}"/>
    <cellStyle name="Output 8 2 2 2" xfId="7004" xr:uid="{00000000-0005-0000-0000-0000D7930000}"/>
    <cellStyle name="Output 8 2 2 2 2" xfId="13986" xr:uid="{00000000-0005-0000-0000-0000D8930000}"/>
    <cellStyle name="Output 8 2 2 2 3" xfId="13987" xr:uid="{00000000-0005-0000-0000-0000D9930000}"/>
    <cellStyle name="Output 8 2 2 2 4" xfId="13988" xr:uid="{00000000-0005-0000-0000-0000DA930000}"/>
    <cellStyle name="Output 8 2 2 2 5" xfId="17368" xr:uid="{00000000-0005-0000-0000-0000DB930000}"/>
    <cellStyle name="Output 8 2 2 2 6" xfId="16101" xr:uid="{00000000-0005-0000-0000-0000DC930000}"/>
    <cellStyle name="Output 8 2 2 3" xfId="7005" xr:uid="{00000000-0005-0000-0000-0000DD930000}"/>
    <cellStyle name="Output 8 2 2 3 2" xfId="13989" xr:uid="{00000000-0005-0000-0000-0000DE930000}"/>
    <cellStyle name="Output 8 2 2 3 3" xfId="13990" xr:uid="{00000000-0005-0000-0000-0000DF930000}"/>
    <cellStyle name="Output 8 2 2 3 4" xfId="13991" xr:uid="{00000000-0005-0000-0000-0000E0930000}"/>
    <cellStyle name="Output 8 2 2 3 5" xfId="17369" xr:uid="{00000000-0005-0000-0000-0000E1930000}"/>
    <cellStyle name="Output 8 2 2 3 6" xfId="15287" xr:uid="{00000000-0005-0000-0000-0000E2930000}"/>
    <cellStyle name="Output 8 2 2 4" xfId="13992" xr:uid="{00000000-0005-0000-0000-0000E3930000}"/>
    <cellStyle name="Output 8 2 2 5" xfId="13993" xr:uid="{00000000-0005-0000-0000-0000E4930000}"/>
    <cellStyle name="Output 8 2 2 6" xfId="13994" xr:uid="{00000000-0005-0000-0000-0000E5930000}"/>
    <cellStyle name="Output 8 2 2 7" xfId="17367" xr:uid="{00000000-0005-0000-0000-0000E6930000}"/>
    <cellStyle name="Output 8 2 2 8" xfId="18079" xr:uid="{00000000-0005-0000-0000-0000E7930000}"/>
    <cellStyle name="Output 8 2 3" xfId="7006" xr:uid="{00000000-0005-0000-0000-0000E8930000}"/>
    <cellStyle name="Output 8 2 3 2" xfId="13995" xr:uid="{00000000-0005-0000-0000-0000E9930000}"/>
    <cellStyle name="Output 8 2 3 3" xfId="13996" xr:uid="{00000000-0005-0000-0000-0000EA930000}"/>
    <cellStyle name="Output 8 2 3 4" xfId="13997" xr:uid="{00000000-0005-0000-0000-0000EB930000}"/>
    <cellStyle name="Output 8 2 3 5" xfId="17370" xr:uid="{00000000-0005-0000-0000-0000EC930000}"/>
    <cellStyle name="Output 8 2 3 6" xfId="16100" xr:uid="{00000000-0005-0000-0000-0000ED930000}"/>
    <cellStyle name="Output 8 2 4" xfId="7007" xr:uid="{00000000-0005-0000-0000-0000EE930000}"/>
    <cellStyle name="Output 8 2 4 2" xfId="13998" xr:uid="{00000000-0005-0000-0000-0000EF930000}"/>
    <cellStyle name="Output 8 2 4 3" xfId="13999" xr:uid="{00000000-0005-0000-0000-0000F0930000}"/>
    <cellStyle name="Output 8 2 4 4" xfId="14000" xr:uid="{00000000-0005-0000-0000-0000F1930000}"/>
    <cellStyle name="Output 8 2 4 5" xfId="17371" xr:uid="{00000000-0005-0000-0000-0000F2930000}"/>
    <cellStyle name="Output 8 2 4 6" xfId="15286" xr:uid="{00000000-0005-0000-0000-0000F3930000}"/>
    <cellStyle name="Output 8 2 5" xfId="14001" xr:uid="{00000000-0005-0000-0000-0000F4930000}"/>
    <cellStyle name="Output 8 2 6" xfId="14002" xr:uid="{00000000-0005-0000-0000-0000F5930000}"/>
    <cellStyle name="Output 8 2 7" xfId="14003" xr:uid="{00000000-0005-0000-0000-0000F6930000}"/>
    <cellStyle name="Output 8 2 8" xfId="16054" xr:uid="{00000000-0005-0000-0000-0000F7930000}"/>
    <cellStyle name="Output 8 2 9" xfId="16493" xr:uid="{00000000-0005-0000-0000-0000F8930000}"/>
    <cellStyle name="Output 8 3" xfId="7008" xr:uid="{00000000-0005-0000-0000-0000F9930000}"/>
    <cellStyle name="Output 8 3 2" xfId="7009" xr:uid="{00000000-0005-0000-0000-0000FA930000}"/>
    <cellStyle name="Output 8 3 2 2" xfId="7010" xr:uid="{00000000-0005-0000-0000-0000FB930000}"/>
    <cellStyle name="Output 8 3 2 2 2" xfId="14004" xr:uid="{00000000-0005-0000-0000-0000FC930000}"/>
    <cellStyle name="Output 8 3 2 2 3" xfId="14005" xr:uid="{00000000-0005-0000-0000-0000FD930000}"/>
    <cellStyle name="Output 8 3 2 2 4" xfId="14006" xr:uid="{00000000-0005-0000-0000-0000FE930000}"/>
    <cellStyle name="Output 8 3 2 2 5" xfId="17373" xr:uid="{00000000-0005-0000-0000-0000FF930000}"/>
    <cellStyle name="Output 8 3 2 2 6" xfId="17986" xr:uid="{00000000-0005-0000-0000-000000940000}"/>
    <cellStyle name="Output 8 3 2 3" xfId="7011" xr:uid="{00000000-0005-0000-0000-000001940000}"/>
    <cellStyle name="Output 8 3 2 3 2" xfId="14007" xr:uid="{00000000-0005-0000-0000-000002940000}"/>
    <cellStyle name="Output 8 3 2 3 3" xfId="14008" xr:uid="{00000000-0005-0000-0000-000003940000}"/>
    <cellStyle name="Output 8 3 2 3 4" xfId="14009" xr:uid="{00000000-0005-0000-0000-000004940000}"/>
    <cellStyle name="Output 8 3 2 3 5" xfId="17374" xr:uid="{00000000-0005-0000-0000-000005940000}"/>
    <cellStyle name="Output 8 3 2 3 6" xfId="17987" xr:uid="{00000000-0005-0000-0000-000006940000}"/>
    <cellStyle name="Output 8 3 2 4" xfId="14010" xr:uid="{00000000-0005-0000-0000-000007940000}"/>
    <cellStyle name="Output 8 3 2 5" xfId="14011" xr:uid="{00000000-0005-0000-0000-000008940000}"/>
    <cellStyle name="Output 8 3 2 6" xfId="14012" xr:uid="{00000000-0005-0000-0000-000009940000}"/>
    <cellStyle name="Output 8 3 2 7" xfId="17372" xr:uid="{00000000-0005-0000-0000-00000A940000}"/>
    <cellStyle name="Output 8 3 2 8" xfId="15285" xr:uid="{00000000-0005-0000-0000-00000B940000}"/>
    <cellStyle name="Output 8 3 3" xfId="7012" xr:uid="{00000000-0005-0000-0000-00000C940000}"/>
    <cellStyle name="Output 8 3 3 2" xfId="14013" xr:uid="{00000000-0005-0000-0000-00000D940000}"/>
    <cellStyle name="Output 8 3 3 3" xfId="14014" xr:uid="{00000000-0005-0000-0000-00000E940000}"/>
    <cellStyle name="Output 8 3 3 4" xfId="14015" xr:uid="{00000000-0005-0000-0000-00000F940000}"/>
    <cellStyle name="Output 8 3 3 5" xfId="17375" xr:uid="{00000000-0005-0000-0000-000010940000}"/>
    <cellStyle name="Output 8 3 3 6" xfId="17954" xr:uid="{00000000-0005-0000-0000-000011940000}"/>
    <cellStyle name="Output 8 3 4" xfId="7013" xr:uid="{00000000-0005-0000-0000-000012940000}"/>
    <cellStyle name="Output 8 3 4 2" xfId="14016" xr:uid="{00000000-0005-0000-0000-000013940000}"/>
    <cellStyle name="Output 8 3 4 3" xfId="14017" xr:uid="{00000000-0005-0000-0000-000014940000}"/>
    <cellStyle name="Output 8 3 4 4" xfId="14018" xr:uid="{00000000-0005-0000-0000-000015940000}"/>
    <cellStyle name="Output 8 3 4 5" xfId="17376" xr:uid="{00000000-0005-0000-0000-000016940000}"/>
    <cellStyle name="Output 8 3 4 6" xfId="17600" xr:uid="{00000000-0005-0000-0000-000017940000}"/>
    <cellStyle name="Output 8 3 5" xfId="14019" xr:uid="{00000000-0005-0000-0000-000018940000}"/>
    <cellStyle name="Output 8 3 6" xfId="14020" xr:uid="{00000000-0005-0000-0000-000019940000}"/>
    <cellStyle name="Output 8 3 7" xfId="14021" xr:uid="{00000000-0005-0000-0000-00001A940000}"/>
    <cellStyle name="Output 8 3 8" xfId="16055" xr:uid="{00000000-0005-0000-0000-00001B940000}"/>
    <cellStyle name="Output 8 3 9" xfId="15661" xr:uid="{00000000-0005-0000-0000-00001C940000}"/>
    <cellStyle name="Output 9" xfId="36304" xr:uid="{00000000-0005-0000-0000-00001D940000}"/>
    <cellStyle name="Output 9 2" xfId="7014" xr:uid="{00000000-0005-0000-0000-00001E940000}"/>
    <cellStyle name="Output 9 2 10" xfId="42820" xr:uid="{00000000-0005-0000-0000-00001F940000}"/>
    <cellStyle name="Output 9 2 2" xfId="7015" xr:uid="{00000000-0005-0000-0000-000020940000}"/>
    <cellStyle name="Output 9 2 2 2" xfId="7016" xr:uid="{00000000-0005-0000-0000-000021940000}"/>
    <cellStyle name="Output 9 2 2 2 2" xfId="14022" xr:uid="{00000000-0005-0000-0000-000022940000}"/>
    <cellStyle name="Output 9 2 2 2 3" xfId="14023" xr:uid="{00000000-0005-0000-0000-000023940000}"/>
    <cellStyle name="Output 9 2 2 2 4" xfId="14024" xr:uid="{00000000-0005-0000-0000-000024940000}"/>
    <cellStyle name="Output 9 2 2 2 5" xfId="17378" xr:uid="{00000000-0005-0000-0000-000025940000}"/>
    <cellStyle name="Output 9 2 2 2 6" xfId="16586" xr:uid="{00000000-0005-0000-0000-000026940000}"/>
    <cellStyle name="Output 9 2 2 3" xfId="7017" xr:uid="{00000000-0005-0000-0000-000027940000}"/>
    <cellStyle name="Output 9 2 2 3 2" xfId="14025" xr:uid="{00000000-0005-0000-0000-000028940000}"/>
    <cellStyle name="Output 9 2 2 3 3" xfId="14026" xr:uid="{00000000-0005-0000-0000-000029940000}"/>
    <cellStyle name="Output 9 2 2 3 4" xfId="14027" xr:uid="{00000000-0005-0000-0000-00002A940000}"/>
    <cellStyle name="Output 9 2 2 3 5" xfId="17379" xr:uid="{00000000-0005-0000-0000-00002B940000}"/>
    <cellStyle name="Output 9 2 2 3 6" xfId="16167" xr:uid="{00000000-0005-0000-0000-00002C940000}"/>
    <cellStyle name="Output 9 2 2 4" xfId="14028" xr:uid="{00000000-0005-0000-0000-00002D940000}"/>
    <cellStyle name="Output 9 2 2 5" xfId="14029" xr:uid="{00000000-0005-0000-0000-00002E940000}"/>
    <cellStyle name="Output 9 2 2 6" xfId="14030" xr:uid="{00000000-0005-0000-0000-00002F940000}"/>
    <cellStyle name="Output 9 2 2 7" xfId="17377" xr:uid="{00000000-0005-0000-0000-000030940000}"/>
    <cellStyle name="Output 9 2 2 8" xfId="16587" xr:uid="{00000000-0005-0000-0000-000031940000}"/>
    <cellStyle name="Output 9 2 3" xfId="7018" xr:uid="{00000000-0005-0000-0000-000032940000}"/>
    <cellStyle name="Output 9 2 3 2" xfId="14031" xr:uid="{00000000-0005-0000-0000-000033940000}"/>
    <cellStyle name="Output 9 2 3 3" xfId="14032" xr:uid="{00000000-0005-0000-0000-000034940000}"/>
    <cellStyle name="Output 9 2 3 4" xfId="14033" xr:uid="{00000000-0005-0000-0000-000035940000}"/>
    <cellStyle name="Output 9 2 3 5" xfId="17380" xr:uid="{00000000-0005-0000-0000-000036940000}"/>
    <cellStyle name="Output 9 2 3 6" xfId="16099" xr:uid="{00000000-0005-0000-0000-000037940000}"/>
    <cellStyle name="Output 9 2 4" xfId="7019" xr:uid="{00000000-0005-0000-0000-000038940000}"/>
    <cellStyle name="Output 9 2 4 2" xfId="14034" xr:uid="{00000000-0005-0000-0000-000039940000}"/>
    <cellStyle name="Output 9 2 4 3" xfId="14035" xr:uid="{00000000-0005-0000-0000-00003A940000}"/>
    <cellStyle name="Output 9 2 4 4" xfId="14036" xr:uid="{00000000-0005-0000-0000-00003B940000}"/>
    <cellStyle name="Output 9 2 4 5" xfId="17381" xr:uid="{00000000-0005-0000-0000-00003C940000}"/>
    <cellStyle name="Output 9 2 4 6" xfId="18505" xr:uid="{00000000-0005-0000-0000-00003D940000}"/>
    <cellStyle name="Output 9 2 5" xfId="14037" xr:uid="{00000000-0005-0000-0000-00003E940000}"/>
    <cellStyle name="Output 9 2 6" xfId="14038" xr:uid="{00000000-0005-0000-0000-00003F940000}"/>
    <cellStyle name="Output 9 2 7" xfId="14039" xr:uid="{00000000-0005-0000-0000-000040940000}"/>
    <cellStyle name="Output 9 2 8" xfId="16056" xr:uid="{00000000-0005-0000-0000-000041940000}"/>
    <cellStyle name="Output 9 2 9" xfId="17922" xr:uid="{00000000-0005-0000-0000-000042940000}"/>
    <cellStyle name="Output 9 3" xfId="7020" xr:uid="{00000000-0005-0000-0000-000043940000}"/>
    <cellStyle name="Output 9 3 2" xfId="7021" xr:uid="{00000000-0005-0000-0000-000044940000}"/>
    <cellStyle name="Output 9 3 2 2" xfId="7022" xr:uid="{00000000-0005-0000-0000-000045940000}"/>
    <cellStyle name="Output 9 3 2 2 2" xfId="14040" xr:uid="{00000000-0005-0000-0000-000046940000}"/>
    <cellStyle name="Output 9 3 2 2 3" xfId="14041" xr:uid="{00000000-0005-0000-0000-000047940000}"/>
    <cellStyle name="Output 9 3 2 2 4" xfId="14042" xr:uid="{00000000-0005-0000-0000-000048940000}"/>
    <cellStyle name="Output 9 3 2 2 5" xfId="17383" xr:uid="{00000000-0005-0000-0000-000049940000}"/>
    <cellStyle name="Output 9 3 2 2 6" xfId="18260" xr:uid="{00000000-0005-0000-0000-00004A940000}"/>
    <cellStyle name="Output 9 3 2 3" xfId="7023" xr:uid="{00000000-0005-0000-0000-00004B940000}"/>
    <cellStyle name="Output 9 3 2 3 2" xfId="14043" xr:uid="{00000000-0005-0000-0000-00004C940000}"/>
    <cellStyle name="Output 9 3 2 3 3" xfId="14044" xr:uid="{00000000-0005-0000-0000-00004D940000}"/>
    <cellStyle name="Output 9 3 2 3 4" xfId="14045" xr:uid="{00000000-0005-0000-0000-00004E940000}"/>
    <cellStyle name="Output 9 3 2 3 5" xfId="17384" xr:uid="{00000000-0005-0000-0000-00004F940000}"/>
    <cellStyle name="Output 9 3 2 3 6" xfId="18227" xr:uid="{00000000-0005-0000-0000-000050940000}"/>
    <cellStyle name="Output 9 3 2 4" xfId="14046" xr:uid="{00000000-0005-0000-0000-000051940000}"/>
    <cellStyle name="Output 9 3 2 5" xfId="14047" xr:uid="{00000000-0005-0000-0000-000052940000}"/>
    <cellStyle name="Output 9 3 2 6" xfId="14048" xr:uid="{00000000-0005-0000-0000-000053940000}"/>
    <cellStyle name="Output 9 3 2 7" xfId="17382" xr:uid="{00000000-0005-0000-0000-000054940000}"/>
    <cellStyle name="Output 9 3 2 8" xfId="18228" xr:uid="{00000000-0005-0000-0000-000055940000}"/>
    <cellStyle name="Output 9 3 3" xfId="7024" xr:uid="{00000000-0005-0000-0000-000056940000}"/>
    <cellStyle name="Output 9 3 3 2" xfId="14049" xr:uid="{00000000-0005-0000-0000-000057940000}"/>
    <cellStyle name="Output 9 3 3 3" xfId="14050" xr:uid="{00000000-0005-0000-0000-000058940000}"/>
    <cellStyle name="Output 9 3 3 4" xfId="14051" xr:uid="{00000000-0005-0000-0000-000059940000}"/>
    <cellStyle name="Output 9 3 3 5" xfId="17385" xr:uid="{00000000-0005-0000-0000-00005A940000}"/>
    <cellStyle name="Output 9 3 3 6" xfId="18095" xr:uid="{00000000-0005-0000-0000-00005B940000}"/>
    <cellStyle name="Output 9 3 4" xfId="7025" xr:uid="{00000000-0005-0000-0000-00005C940000}"/>
    <cellStyle name="Output 9 3 4 2" xfId="14052" xr:uid="{00000000-0005-0000-0000-00005D940000}"/>
    <cellStyle name="Output 9 3 4 3" xfId="14053" xr:uid="{00000000-0005-0000-0000-00005E940000}"/>
    <cellStyle name="Output 9 3 4 4" xfId="14054" xr:uid="{00000000-0005-0000-0000-00005F940000}"/>
    <cellStyle name="Output 9 3 4 5" xfId="17386" xr:uid="{00000000-0005-0000-0000-000060940000}"/>
    <cellStyle name="Output 9 3 4 6" xfId="18082" xr:uid="{00000000-0005-0000-0000-000061940000}"/>
    <cellStyle name="Output 9 3 5" xfId="14055" xr:uid="{00000000-0005-0000-0000-000062940000}"/>
    <cellStyle name="Output 9 3 6" xfId="14056" xr:uid="{00000000-0005-0000-0000-000063940000}"/>
    <cellStyle name="Output 9 3 7" xfId="14057" xr:uid="{00000000-0005-0000-0000-000064940000}"/>
    <cellStyle name="Output 9 3 8" xfId="16057" xr:uid="{00000000-0005-0000-0000-000065940000}"/>
    <cellStyle name="Output 9 3 9" xfId="16492" xr:uid="{00000000-0005-0000-0000-000066940000}"/>
    <cellStyle name="Paragraph text" xfId="7026" xr:uid="{00000000-0005-0000-0000-000067940000}"/>
    <cellStyle name="Paragraph text 2" xfId="7027" xr:uid="{00000000-0005-0000-0000-000068940000}"/>
    <cellStyle name="Paragraph text 2 2" xfId="7028" xr:uid="{00000000-0005-0000-0000-000069940000}"/>
    <cellStyle name="Paragraph text 2 2 2" xfId="14058" xr:uid="{00000000-0005-0000-0000-00006A940000}"/>
    <cellStyle name="Paragraph text 2 3" xfId="7029" xr:uid="{00000000-0005-0000-0000-00006B940000}"/>
    <cellStyle name="Paragraph text 2 3 2" xfId="14059" xr:uid="{00000000-0005-0000-0000-00006C940000}"/>
    <cellStyle name="Paragraph text 2 4" xfId="14060" xr:uid="{00000000-0005-0000-0000-00006D940000}"/>
    <cellStyle name="Paragraph text 3" xfId="7030" xr:uid="{00000000-0005-0000-0000-00006E940000}"/>
    <cellStyle name="Paragraph text 3 2" xfId="7031" xr:uid="{00000000-0005-0000-0000-00006F940000}"/>
    <cellStyle name="Paragraph text 3 2 2" xfId="14061" xr:uid="{00000000-0005-0000-0000-000070940000}"/>
    <cellStyle name="Paragraph text 3 3" xfId="14062" xr:uid="{00000000-0005-0000-0000-000071940000}"/>
    <cellStyle name="Paragraph text 4" xfId="14063" xr:uid="{00000000-0005-0000-0000-000072940000}"/>
    <cellStyle name="Paragraph text 5" xfId="14064" xr:uid="{00000000-0005-0000-0000-000073940000}"/>
    <cellStyle name="pb_page_heading_LS" xfId="7032" xr:uid="{00000000-0005-0000-0000-000074940000}"/>
    <cellStyle name="Percen - Style1" xfId="36305" xr:uid="{00000000-0005-0000-0000-000075940000}"/>
    <cellStyle name="Percen - Style1 2" xfId="42821" xr:uid="{00000000-0005-0000-0000-000076940000}"/>
    <cellStyle name="Percen - Style2" xfId="36306" xr:uid="{00000000-0005-0000-0000-000077940000}"/>
    <cellStyle name="Percent" xfId="26" builtinId="5"/>
    <cellStyle name="Percent (0)" xfId="36307" xr:uid="{00000000-0005-0000-0000-000079940000}"/>
    <cellStyle name="Percent (0) 2" xfId="42822" xr:uid="{00000000-0005-0000-0000-00007A940000}"/>
    <cellStyle name="Percent (2)" xfId="36308" xr:uid="{00000000-0005-0000-0000-00007B940000}"/>
    <cellStyle name="Percent (2) 2" xfId="42823" xr:uid="{00000000-0005-0000-0000-00007C940000}"/>
    <cellStyle name="Percent .00" xfId="36309" xr:uid="{00000000-0005-0000-0000-00007D940000}"/>
    <cellStyle name="Percent .00 2" xfId="36310" xr:uid="{00000000-0005-0000-0000-00007E940000}"/>
    <cellStyle name="Percent .00 2 2" xfId="42825" xr:uid="{00000000-0005-0000-0000-00007F940000}"/>
    <cellStyle name="Percent .00 3" xfId="36311" xr:uid="{00000000-0005-0000-0000-000080940000}"/>
    <cellStyle name="Percent .00 3 2" xfId="36312" xr:uid="{00000000-0005-0000-0000-000081940000}"/>
    <cellStyle name="Percent .00 3 2 2" xfId="42827" xr:uid="{00000000-0005-0000-0000-000082940000}"/>
    <cellStyle name="Percent .00 3 3" xfId="42826" xr:uid="{00000000-0005-0000-0000-000083940000}"/>
    <cellStyle name="Percent .00 4" xfId="36313" xr:uid="{00000000-0005-0000-0000-000084940000}"/>
    <cellStyle name="Percent .00 4 2" xfId="36314" xr:uid="{00000000-0005-0000-0000-000085940000}"/>
    <cellStyle name="Percent .00 4 2 2" xfId="42829" xr:uid="{00000000-0005-0000-0000-000086940000}"/>
    <cellStyle name="Percent .00 4 3" xfId="42828" xr:uid="{00000000-0005-0000-0000-000087940000}"/>
    <cellStyle name="Percent .00 5" xfId="36315" xr:uid="{00000000-0005-0000-0000-000088940000}"/>
    <cellStyle name="Percent .00 5 2" xfId="36316" xr:uid="{00000000-0005-0000-0000-000089940000}"/>
    <cellStyle name="Percent .00 5 2 2" xfId="42831" xr:uid="{00000000-0005-0000-0000-00008A940000}"/>
    <cellStyle name="Percent .00 5 3" xfId="42830" xr:uid="{00000000-0005-0000-0000-00008B940000}"/>
    <cellStyle name="Percent .00 6" xfId="42824" xr:uid="{00000000-0005-0000-0000-00008C940000}"/>
    <cellStyle name="Percent .n" xfId="36317" xr:uid="{00000000-0005-0000-0000-00008D940000}"/>
    <cellStyle name="Percent .n 2" xfId="42832" xr:uid="{00000000-0005-0000-0000-00008E940000}"/>
    <cellStyle name="Percent [0%]" xfId="36318" xr:uid="{00000000-0005-0000-0000-00008F940000}"/>
    <cellStyle name="Percent [0.00%]" xfId="36319" xr:uid="{00000000-0005-0000-0000-000090940000}"/>
    <cellStyle name="Percent [2]" xfId="7033" xr:uid="{00000000-0005-0000-0000-000091940000}"/>
    <cellStyle name="Percent [2] 10" xfId="36320" xr:uid="{00000000-0005-0000-0000-000092940000}"/>
    <cellStyle name="Percent [2] 10 2" xfId="42833" xr:uid="{00000000-0005-0000-0000-000093940000}"/>
    <cellStyle name="Percent [2] 11" xfId="36321" xr:uid="{00000000-0005-0000-0000-000094940000}"/>
    <cellStyle name="Percent [2] 11 2" xfId="42834" xr:uid="{00000000-0005-0000-0000-000095940000}"/>
    <cellStyle name="Percent [2] 12" xfId="36322" xr:uid="{00000000-0005-0000-0000-000096940000}"/>
    <cellStyle name="Percent [2] 12 2" xfId="42835" xr:uid="{00000000-0005-0000-0000-000097940000}"/>
    <cellStyle name="Percent [2] 13" xfId="36323" xr:uid="{00000000-0005-0000-0000-000098940000}"/>
    <cellStyle name="Percent [2] 13 2" xfId="42836" xr:uid="{00000000-0005-0000-0000-000099940000}"/>
    <cellStyle name="Percent [2] 14" xfId="36324" xr:uid="{00000000-0005-0000-0000-00009A940000}"/>
    <cellStyle name="Percent [2] 14 2" xfId="42837" xr:uid="{00000000-0005-0000-0000-00009B940000}"/>
    <cellStyle name="Percent [2] 15" xfId="36325" xr:uid="{00000000-0005-0000-0000-00009C940000}"/>
    <cellStyle name="Percent [2] 15 2" xfId="42838" xr:uid="{00000000-0005-0000-0000-00009D940000}"/>
    <cellStyle name="Percent [2] 16" xfId="36326" xr:uid="{00000000-0005-0000-0000-00009E940000}"/>
    <cellStyle name="Percent [2] 16 2" xfId="42839" xr:uid="{00000000-0005-0000-0000-00009F940000}"/>
    <cellStyle name="Percent [2] 17" xfId="36327" xr:uid="{00000000-0005-0000-0000-0000A0940000}"/>
    <cellStyle name="Percent [2] 17 2" xfId="42840" xr:uid="{00000000-0005-0000-0000-0000A1940000}"/>
    <cellStyle name="Percent [2] 18" xfId="36328" xr:uid="{00000000-0005-0000-0000-0000A2940000}"/>
    <cellStyle name="Percent [2] 18 2" xfId="42841" xr:uid="{00000000-0005-0000-0000-0000A3940000}"/>
    <cellStyle name="Percent [2] 19" xfId="36329" xr:uid="{00000000-0005-0000-0000-0000A4940000}"/>
    <cellStyle name="Percent [2] 19 2" xfId="42842" xr:uid="{00000000-0005-0000-0000-0000A5940000}"/>
    <cellStyle name="Percent [2] 2" xfId="7034" xr:uid="{00000000-0005-0000-0000-0000A6940000}"/>
    <cellStyle name="Percent [2] 2 2" xfId="14065" xr:uid="{00000000-0005-0000-0000-0000A7940000}"/>
    <cellStyle name="Percent [2] 2 2 2" xfId="42843" xr:uid="{00000000-0005-0000-0000-0000A8940000}"/>
    <cellStyle name="Percent [2] 2 3" xfId="36330" xr:uid="{00000000-0005-0000-0000-0000A9940000}"/>
    <cellStyle name="Percent [2] 20" xfId="36331" xr:uid="{00000000-0005-0000-0000-0000AA940000}"/>
    <cellStyle name="Percent [2] 20 2" xfId="42844" xr:uid="{00000000-0005-0000-0000-0000AB940000}"/>
    <cellStyle name="Percent [2] 21" xfId="36332" xr:uid="{00000000-0005-0000-0000-0000AC940000}"/>
    <cellStyle name="Percent [2] 21 2" xfId="42845" xr:uid="{00000000-0005-0000-0000-0000AD940000}"/>
    <cellStyle name="Percent [2] 22" xfId="36333" xr:uid="{00000000-0005-0000-0000-0000AE940000}"/>
    <cellStyle name="Percent [2] 22 2" xfId="42846" xr:uid="{00000000-0005-0000-0000-0000AF940000}"/>
    <cellStyle name="Percent [2] 23" xfId="36334" xr:uid="{00000000-0005-0000-0000-0000B0940000}"/>
    <cellStyle name="Percent [2] 23 2" xfId="42847" xr:uid="{00000000-0005-0000-0000-0000B1940000}"/>
    <cellStyle name="Percent [2] 24" xfId="36335" xr:uid="{00000000-0005-0000-0000-0000B2940000}"/>
    <cellStyle name="Percent [2] 24 2" xfId="42848" xr:uid="{00000000-0005-0000-0000-0000B3940000}"/>
    <cellStyle name="Percent [2] 25" xfId="36336" xr:uid="{00000000-0005-0000-0000-0000B4940000}"/>
    <cellStyle name="Percent [2] 25 2" xfId="42849" xr:uid="{00000000-0005-0000-0000-0000B5940000}"/>
    <cellStyle name="Percent [2] 26" xfId="36337" xr:uid="{00000000-0005-0000-0000-0000B6940000}"/>
    <cellStyle name="Percent [2] 26 2" xfId="42850" xr:uid="{00000000-0005-0000-0000-0000B7940000}"/>
    <cellStyle name="Percent [2] 27" xfId="36338" xr:uid="{00000000-0005-0000-0000-0000B8940000}"/>
    <cellStyle name="Percent [2] 27 2" xfId="42851" xr:uid="{00000000-0005-0000-0000-0000B9940000}"/>
    <cellStyle name="Percent [2] 28" xfId="36339" xr:uid="{00000000-0005-0000-0000-0000BA940000}"/>
    <cellStyle name="Percent [2] 28 2" xfId="42852" xr:uid="{00000000-0005-0000-0000-0000BB940000}"/>
    <cellStyle name="Percent [2] 29" xfId="36340" xr:uid="{00000000-0005-0000-0000-0000BC940000}"/>
    <cellStyle name="Percent [2] 29 2" xfId="42853" xr:uid="{00000000-0005-0000-0000-0000BD940000}"/>
    <cellStyle name="Percent [2] 3" xfId="7035" xr:uid="{00000000-0005-0000-0000-0000BE940000}"/>
    <cellStyle name="Percent [2] 3 2" xfId="7036" xr:uid="{00000000-0005-0000-0000-0000BF940000}"/>
    <cellStyle name="Percent [2] 3 2 2" xfId="14066" xr:uid="{00000000-0005-0000-0000-0000C0940000}"/>
    <cellStyle name="Percent [2] 3 2 2 2" xfId="42855" xr:uid="{00000000-0005-0000-0000-0000C1940000}"/>
    <cellStyle name="Percent [2] 3 2 3" xfId="36342" xr:uid="{00000000-0005-0000-0000-0000C2940000}"/>
    <cellStyle name="Percent [2] 3 3" xfId="14067" xr:uid="{00000000-0005-0000-0000-0000C3940000}"/>
    <cellStyle name="Percent [2] 3 3 2" xfId="42854" xr:uid="{00000000-0005-0000-0000-0000C4940000}"/>
    <cellStyle name="Percent [2] 3 4" xfId="36341" xr:uid="{00000000-0005-0000-0000-0000C5940000}"/>
    <cellStyle name="Percent [2] 30" xfId="36343" xr:uid="{00000000-0005-0000-0000-0000C6940000}"/>
    <cellStyle name="Percent [2] 30 2" xfId="42856" xr:uid="{00000000-0005-0000-0000-0000C7940000}"/>
    <cellStyle name="Percent [2] 31" xfId="36344" xr:uid="{00000000-0005-0000-0000-0000C8940000}"/>
    <cellStyle name="Percent [2] 31 2" xfId="42857" xr:uid="{00000000-0005-0000-0000-0000C9940000}"/>
    <cellStyle name="Percent [2] 32" xfId="36345" xr:uid="{00000000-0005-0000-0000-0000CA940000}"/>
    <cellStyle name="Percent [2] 32 2" xfId="36346" xr:uid="{00000000-0005-0000-0000-0000CB940000}"/>
    <cellStyle name="Percent [2] 32 2 2" xfId="42859" xr:uid="{00000000-0005-0000-0000-0000CC940000}"/>
    <cellStyle name="Percent [2] 32 3" xfId="36347" xr:uid="{00000000-0005-0000-0000-0000CD940000}"/>
    <cellStyle name="Percent [2] 32 3 2" xfId="42860" xr:uid="{00000000-0005-0000-0000-0000CE940000}"/>
    <cellStyle name="Percent [2] 32 4" xfId="42858" xr:uid="{00000000-0005-0000-0000-0000CF940000}"/>
    <cellStyle name="Percent [2] 33" xfId="36348" xr:uid="{00000000-0005-0000-0000-0000D0940000}"/>
    <cellStyle name="Percent [2] 33 2" xfId="42861" xr:uid="{00000000-0005-0000-0000-0000D1940000}"/>
    <cellStyle name="Percent [2] 34" xfId="36349" xr:uid="{00000000-0005-0000-0000-0000D2940000}"/>
    <cellStyle name="Percent [2] 34 2" xfId="42862" xr:uid="{00000000-0005-0000-0000-0000D3940000}"/>
    <cellStyle name="Percent [2] 35" xfId="36350" xr:uid="{00000000-0005-0000-0000-0000D4940000}"/>
    <cellStyle name="Percent [2] 35 2" xfId="42863" xr:uid="{00000000-0005-0000-0000-0000D5940000}"/>
    <cellStyle name="Percent [2] 4" xfId="14068" xr:uid="{00000000-0005-0000-0000-0000D6940000}"/>
    <cellStyle name="Percent [2] 4 2" xfId="36352" xr:uid="{00000000-0005-0000-0000-0000D7940000}"/>
    <cellStyle name="Percent [2] 4 2 2" xfId="42865" xr:uid="{00000000-0005-0000-0000-0000D8940000}"/>
    <cellStyle name="Percent [2] 4 3" xfId="42864" xr:uid="{00000000-0005-0000-0000-0000D9940000}"/>
    <cellStyle name="Percent [2] 4 4" xfId="36351" xr:uid="{00000000-0005-0000-0000-0000DA940000}"/>
    <cellStyle name="Percent [2] 5" xfId="36353" xr:uid="{00000000-0005-0000-0000-0000DB940000}"/>
    <cellStyle name="Percent [2] 5 2" xfId="36354" xr:uid="{00000000-0005-0000-0000-0000DC940000}"/>
    <cellStyle name="Percent [2] 5 2 2" xfId="42867" xr:uid="{00000000-0005-0000-0000-0000DD940000}"/>
    <cellStyle name="Percent [2] 5 3" xfId="42866" xr:uid="{00000000-0005-0000-0000-0000DE940000}"/>
    <cellStyle name="Percent [2] 6" xfId="36355" xr:uid="{00000000-0005-0000-0000-0000DF940000}"/>
    <cellStyle name="Percent [2] 6 2" xfId="42868" xr:uid="{00000000-0005-0000-0000-0000E0940000}"/>
    <cellStyle name="Percent [2] 7" xfId="36356" xr:uid="{00000000-0005-0000-0000-0000E1940000}"/>
    <cellStyle name="Percent [2] 7 2" xfId="42869" xr:uid="{00000000-0005-0000-0000-0000E2940000}"/>
    <cellStyle name="Percent [2] 8" xfId="36357" xr:uid="{00000000-0005-0000-0000-0000E3940000}"/>
    <cellStyle name="Percent [2] 8 2" xfId="36358" xr:uid="{00000000-0005-0000-0000-0000E4940000}"/>
    <cellStyle name="Percent [2] 8 2 2" xfId="42871" xr:uid="{00000000-0005-0000-0000-0000E5940000}"/>
    <cellStyle name="Percent [2] 8 3" xfId="42870" xr:uid="{00000000-0005-0000-0000-0000E6940000}"/>
    <cellStyle name="Percent [2] 9" xfId="36359" xr:uid="{00000000-0005-0000-0000-0000E7940000}"/>
    <cellStyle name="Percent [2] 9 2" xfId="42872" xr:uid="{00000000-0005-0000-0000-0000E8940000}"/>
    <cellStyle name="Percent [n" xfId="36360" xr:uid="{00000000-0005-0000-0000-0000E9940000}"/>
    <cellStyle name="Percent [n 2" xfId="42873" xr:uid="{00000000-0005-0000-0000-0000EA940000}"/>
    <cellStyle name="Percent 0%" xfId="36361" xr:uid="{00000000-0005-0000-0000-0000EB940000}"/>
    <cellStyle name="Percent 10" xfId="7037" xr:uid="{00000000-0005-0000-0000-0000EC940000}"/>
    <cellStyle name="Percent 10 10" xfId="7038" xr:uid="{00000000-0005-0000-0000-0000ED940000}"/>
    <cellStyle name="Percent 10 10 2" xfId="14069" xr:uid="{00000000-0005-0000-0000-0000EE940000}"/>
    <cellStyle name="Percent 10 11" xfId="7039" xr:uid="{00000000-0005-0000-0000-0000EF940000}"/>
    <cellStyle name="Percent 10 11 2" xfId="14070" xr:uid="{00000000-0005-0000-0000-0000F0940000}"/>
    <cellStyle name="Percent 10 12" xfId="14071" xr:uid="{00000000-0005-0000-0000-0000F1940000}"/>
    <cellStyle name="Percent 10 2" xfId="7040" xr:uid="{00000000-0005-0000-0000-0000F2940000}"/>
    <cellStyle name="Percent 10 2 2" xfId="7041" xr:uid="{00000000-0005-0000-0000-0000F3940000}"/>
    <cellStyle name="Percent 10 2 2 2" xfId="7042" xr:uid="{00000000-0005-0000-0000-0000F4940000}"/>
    <cellStyle name="Percent 10 2 2 2 2" xfId="42876" xr:uid="{00000000-0005-0000-0000-0000F5940000}"/>
    <cellStyle name="Percent 10 2 2 2 3" xfId="36364" xr:uid="{00000000-0005-0000-0000-0000F6940000}"/>
    <cellStyle name="Percent 10 2 2 3" xfId="7043" xr:uid="{00000000-0005-0000-0000-0000F7940000}"/>
    <cellStyle name="Percent 10 2 2 3 2" xfId="42875" xr:uid="{00000000-0005-0000-0000-0000F8940000}"/>
    <cellStyle name="Percent 10 2 2 4" xfId="36363" xr:uid="{00000000-0005-0000-0000-0000F9940000}"/>
    <cellStyle name="Percent 10 2 3" xfId="7044" xr:uid="{00000000-0005-0000-0000-0000FA940000}"/>
    <cellStyle name="Percent 10 2 3 2" xfId="7045" xr:uid="{00000000-0005-0000-0000-0000FB940000}"/>
    <cellStyle name="Percent 10 2 3 2 2" xfId="42877" xr:uid="{00000000-0005-0000-0000-0000FC940000}"/>
    <cellStyle name="Percent 10 2 3 3" xfId="7046" xr:uid="{00000000-0005-0000-0000-0000FD940000}"/>
    <cellStyle name="Percent 10 2 3 4" xfId="36365" xr:uid="{00000000-0005-0000-0000-0000FE940000}"/>
    <cellStyle name="Percent 10 2 4" xfId="7047" xr:uid="{00000000-0005-0000-0000-0000FF940000}"/>
    <cellStyle name="Percent 10 2 4 2" xfId="7048" xr:uid="{00000000-0005-0000-0000-000000950000}"/>
    <cellStyle name="Percent 10 2 4 2 2" xfId="42878" xr:uid="{00000000-0005-0000-0000-000001950000}"/>
    <cellStyle name="Percent 10 2 4 3" xfId="7049" xr:uid="{00000000-0005-0000-0000-000002950000}"/>
    <cellStyle name="Percent 10 2 4 4" xfId="36366" xr:uid="{00000000-0005-0000-0000-000003950000}"/>
    <cellStyle name="Percent 10 2 5" xfId="7050" xr:uid="{00000000-0005-0000-0000-000004950000}"/>
    <cellStyle name="Percent 10 2 5 2" xfId="7051" xr:uid="{00000000-0005-0000-0000-000005950000}"/>
    <cellStyle name="Percent 10 2 5 3" xfId="7052" xr:uid="{00000000-0005-0000-0000-000006950000}"/>
    <cellStyle name="Percent 10 2 5 4" xfId="42874" xr:uid="{00000000-0005-0000-0000-000007950000}"/>
    <cellStyle name="Percent 10 2 6" xfId="14072" xr:uid="{00000000-0005-0000-0000-000008950000}"/>
    <cellStyle name="Percent 10 2 7" xfId="36362" xr:uid="{00000000-0005-0000-0000-000009950000}"/>
    <cellStyle name="Percent 10 3" xfId="7053" xr:uid="{00000000-0005-0000-0000-00000A950000}"/>
    <cellStyle name="Percent 10 3 2" xfId="7054" xr:uid="{00000000-0005-0000-0000-00000B950000}"/>
    <cellStyle name="Percent 10 3 2 2" xfId="42880" xr:uid="{00000000-0005-0000-0000-00000C950000}"/>
    <cellStyle name="Percent 10 3 2 3" xfId="36368" xr:uid="{00000000-0005-0000-0000-00000D950000}"/>
    <cellStyle name="Percent 10 3 3" xfId="7055" xr:uid="{00000000-0005-0000-0000-00000E950000}"/>
    <cellStyle name="Percent 10 3 3 2" xfId="42881" xr:uid="{00000000-0005-0000-0000-00000F950000}"/>
    <cellStyle name="Percent 10 3 3 3" xfId="36369" xr:uid="{00000000-0005-0000-0000-000010950000}"/>
    <cellStyle name="Percent 10 3 4" xfId="42879" xr:uid="{00000000-0005-0000-0000-000011950000}"/>
    <cellStyle name="Percent 10 3 5" xfId="36367" xr:uid="{00000000-0005-0000-0000-000012950000}"/>
    <cellStyle name="Percent 10 4" xfId="7056" xr:uid="{00000000-0005-0000-0000-000013950000}"/>
    <cellStyle name="Percent 10 4 2" xfId="7057" xr:uid="{00000000-0005-0000-0000-000014950000}"/>
    <cellStyle name="Percent 10 4 2 2" xfId="42882" xr:uid="{00000000-0005-0000-0000-000015950000}"/>
    <cellStyle name="Percent 10 4 3" xfId="7058" xr:uid="{00000000-0005-0000-0000-000016950000}"/>
    <cellStyle name="Percent 10 4 4" xfId="36370" xr:uid="{00000000-0005-0000-0000-000017950000}"/>
    <cellStyle name="Percent 10 5" xfId="7059" xr:uid="{00000000-0005-0000-0000-000018950000}"/>
    <cellStyle name="Percent 10 5 2" xfId="7060" xr:uid="{00000000-0005-0000-0000-000019950000}"/>
    <cellStyle name="Percent 10 5 2 2" xfId="42883" xr:uid="{00000000-0005-0000-0000-00001A950000}"/>
    <cellStyle name="Percent 10 5 3" xfId="7061" xr:uid="{00000000-0005-0000-0000-00001B950000}"/>
    <cellStyle name="Percent 10 5 4" xfId="36371" xr:uid="{00000000-0005-0000-0000-00001C950000}"/>
    <cellStyle name="Percent 10 6" xfId="7062" xr:uid="{00000000-0005-0000-0000-00001D950000}"/>
    <cellStyle name="Percent 10 6 2" xfId="7063" xr:uid="{00000000-0005-0000-0000-00001E950000}"/>
    <cellStyle name="Percent 10 6 2 2" xfId="42884" xr:uid="{00000000-0005-0000-0000-00001F950000}"/>
    <cellStyle name="Percent 10 6 3" xfId="7064" xr:uid="{00000000-0005-0000-0000-000020950000}"/>
    <cellStyle name="Percent 10 6 4" xfId="36372" xr:uid="{00000000-0005-0000-0000-000021950000}"/>
    <cellStyle name="Percent 10 7" xfId="7065" xr:uid="{00000000-0005-0000-0000-000022950000}"/>
    <cellStyle name="Percent 10 7 2" xfId="7066" xr:uid="{00000000-0005-0000-0000-000023950000}"/>
    <cellStyle name="Percent 10 7 2 2" xfId="42885" xr:uid="{00000000-0005-0000-0000-000024950000}"/>
    <cellStyle name="Percent 10 7 3" xfId="7067" xr:uid="{00000000-0005-0000-0000-000025950000}"/>
    <cellStyle name="Percent 10 7 4" xfId="36373" xr:uid="{00000000-0005-0000-0000-000026950000}"/>
    <cellStyle name="Percent 10 8" xfId="7068" xr:uid="{00000000-0005-0000-0000-000027950000}"/>
    <cellStyle name="Percent 10 8 2" xfId="14073" xr:uid="{00000000-0005-0000-0000-000028950000}"/>
    <cellStyle name="Percent 10 8 2 2" xfId="42886" xr:uid="{00000000-0005-0000-0000-000029950000}"/>
    <cellStyle name="Percent 10 8 3" xfId="36374" xr:uid="{00000000-0005-0000-0000-00002A950000}"/>
    <cellStyle name="Percent 10 9" xfId="7069" xr:uid="{00000000-0005-0000-0000-00002B950000}"/>
    <cellStyle name="Percent 10 9 2" xfId="14074" xr:uid="{00000000-0005-0000-0000-00002C950000}"/>
    <cellStyle name="Percent 100" xfId="36375" xr:uid="{00000000-0005-0000-0000-00002D950000}"/>
    <cellStyle name="Percent 100 2" xfId="42887" xr:uid="{00000000-0005-0000-0000-00002E950000}"/>
    <cellStyle name="Percent 101" xfId="36376" xr:uid="{00000000-0005-0000-0000-00002F950000}"/>
    <cellStyle name="Percent 101 2" xfId="42888" xr:uid="{00000000-0005-0000-0000-000030950000}"/>
    <cellStyle name="Percent 102" xfId="36377" xr:uid="{00000000-0005-0000-0000-000031950000}"/>
    <cellStyle name="Percent 102 2" xfId="42889" xr:uid="{00000000-0005-0000-0000-000032950000}"/>
    <cellStyle name="Percent 103" xfId="36378" xr:uid="{00000000-0005-0000-0000-000033950000}"/>
    <cellStyle name="Percent 103 2" xfId="42890" xr:uid="{00000000-0005-0000-0000-000034950000}"/>
    <cellStyle name="Percent 104" xfId="36379" xr:uid="{00000000-0005-0000-0000-000035950000}"/>
    <cellStyle name="Percent 104 2" xfId="42891" xr:uid="{00000000-0005-0000-0000-000036950000}"/>
    <cellStyle name="Percent 105" xfId="36380" xr:uid="{00000000-0005-0000-0000-000037950000}"/>
    <cellStyle name="Percent 105 2" xfId="42892" xr:uid="{00000000-0005-0000-0000-000038950000}"/>
    <cellStyle name="Percent 106" xfId="36381" xr:uid="{00000000-0005-0000-0000-000039950000}"/>
    <cellStyle name="Percent 106 2" xfId="42893" xr:uid="{00000000-0005-0000-0000-00003A950000}"/>
    <cellStyle name="Percent 107" xfId="36382" xr:uid="{00000000-0005-0000-0000-00003B950000}"/>
    <cellStyle name="Percent 107 2" xfId="42894" xr:uid="{00000000-0005-0000-0000-00003C950000}"/>
    <cellStyle name="Percent 108" xfId="36383" xr:uid="{00000000-0005-0000-0000-00003D950000}"/>
    <cellStyle name="Percent 108 2" xfId="42895" xr:uid="{00000000-0005-0000-0000-00003E950000}"/>
    <cellStyle name="Percent 109" xfId="36384" xr:uid="{00000000-0005-0000-0000-00003F950000}"/>
    <cellStyle name="Percent 109 2" xfId="42896" xr:uid="{00000000-0005-0000-0000-000040950000}"/>
    <cellStyle name="Percent 11" xfId="7070" xr:uid="{00000000-0005-0000-0000-000041950000}"/>
    <cellStyle name="Percent 11 2" xfId="7071" xr:uid="{00000000-0005-0000-0000-000042950000}"/>
    <cellStyle name="Percent 11 2 2" xfId="14075" xr:uid="{00000000-0005-0000-0000-000043950000}"/>
    <cellStyle name="Percent 11 2 2 2" xfId="36387" xr:uid="{00000000-0005-0000-0000-000044950000}"/>
    <cellStyle name="Percent 11 2 2 2 2" xfId="42899" xr:uid="{00000000-0005-0000-0000-000045950000}"/>
    <cellStyle name="Percent 11 2 2 3" xfId="42898" xr:uid="{00000000-0005-0000-0000-000046950000}"/>
    <cellStyle name="Percent 11 2 2 4" xfId="36386" xr:uid="{00000000-0005-0000-0000-000047950000}"/>
    <cellStyle name="Percent 11 2 3" xfId="36388" xr:uid="{00000000-0005-0000-0000-000048950000}"/>
    <cellStyle name="Percent 11 2 3 2" xfId="42900" xr:uid="{00000000-0005-0000-0000-000049950000}"/>
    <cellStyle name="Percent 11 2 4" xfId="36389" xr:uid="{00000000-0005-0000-0000-00004A950000}"/>
    <cellStyle name="Percent 11 2 4 2" xfId="42901" xr:uid="{00000000-0005-0000-0000-00004B950000}"/>
    <cellStyle name="Percent 11 2 5" xfId="36390" xr:uid="{00000000-0005-0000-0000-00004C950000}"/>
    <cellStyle name="Percent 11 2 5 2" xfId="42902" xr:uid="{00000000-0005-0000-0000-00004D950000}"/>
    <cellStyle name="Percent 11 2 6" xfId="42897" xr:uid="{00000000-0005-0000-0000-00004E950000}"/>
    <cellStyle name="Percent 11 2 7" xfId="36385" xr:uid="{00000000-0005-0000-0000-00004F950000}"/>
    <cellStyle name="Percent 11 3" xfId="14076" xr:uid="{00000000-0005-0000-0000-000050950000}"/>
    <cellStyle name="Percent 11 3 2" xfId="36392" xr:uid="{00000000-0005-0000-0000-000051950000}"/>
    <cellStyle name="Percent 11 3 2 2" xfId="42904" xr:uid="{00000000-0005-0000-0000-000052950000}"/>
    <cellStyle name="Percent 11 3 3" xfId="42903" xr:uid="{00000000-0005-0000-0000-000053950000}"/>
    <cellStyle name="Percent 11 3 4" xfId="36391" xr:uid="{00000000-0005-0000-0000-000054950000}"/>
    <cellStyle name="Percent 11 4" xfId="36393" xr:uid="{00000000-0005-0000-0000-000055950000}"/>
    <cellStyle name="Percent 11 4 2" xfId="36394" xr:uid="{00000000-0005-0000-0000-000056950000}"/>
    <cellStyle name="Percent 11 4 2 2" xfId="42906" xr:uid="{00000000-0005-0000-0000-000057950000}"/>
    <cellStyle name="Percent 11 4 3" xfId="42905" xr:uid="{00000000-0005-0000-0000-000058950000}"/>
    <cellStyle name="Percent 11 5" xfId="36395" xr:uid="{00000000-0005-0000-0000-000059950000}"/>
    <cellStyle name="Percent 11 5 2" xfId="42907" xr:uid="{00000000-0005-0000-0000-00005A950000}"/>
    <cellStyle name="Percent 11 6" xfId="36396" xr:uid="{00000000-0005-0000-0000-00005B950000}"/>
    <cellStyle name="Percent 11 6 2" xfId="42908" xr:uid="{00000000-0005-0000-0000-00005C950000}"/>
    <cellStyle name="Percent 11 7" xfId="36397" xr:uid="{00000000-0005-0000-0000-00005D950000}"/>
    <cellStyle name="Percent 11 7 2" xfId="42909" xr:uid="{00000000-0005-0000-0000-00005E950000}"/>
    <cellStyle name="Percent 11 8" xfId="36398" xr:uid="{00000000-0005-0000-0000-00005F950000}"/>
    <cellStyle name="Percent 11 8 2" xfId="42910" xr:uid="{00000000-0005-0000-0000-000060950000}"/>
    <cellStyle name="Percent 110" xfId="36399" xr:uid="{00000000-0005-0000-0000-000061950000}"/>
    <cellStyle name="Percent 110 2" xfId="42911" xr:uid="{00000000-0005-0000-0000-000062950000}"/>
    <cellStyle name="Percent 111" xfId="36400" xr:uid="{00000000-0005-0000-0000-000063950000}"/>
    <cellStyle name="Percent 111 2" xfId="42912" xr:uid="{00000000-0005-0000-0000-000064950000}"/>
    <cellStyle name="Percent 112" xfId="36401" xr:uid="{00000000-0005-0000-0000-000065950000}"/>
    <cellStyle name="Percent 112 2" xfId="42913" xr:uid="{00000000-0005-0000-0000-000066950000}"/>
    <cellStyle name="Percent 113" xfId="36402" xr:uid="{00000000-0005-0000-0000-000067950000}"/>
    <cellStyle name="Percent 113 2" xfId="42914" xr:uid="{00000000-0005-0000-0000-000068950000}"/>
    <cellStyle name="Percent 114" xfId="36403" xr:uid="{00000000-0005-0000-0000-000069950000}"/>
    <cellStyle name="Percent 114 2" xfId="42915" xr:uid="{00000000-0005-0000-0000-00006A950000}"/>
    <cellStyle name="Percent 115" xfId="36404" xr:uid="{00000000-0005-0000-0000-00006B950000}"/>
    <cellStyle name="Percent 115 2" xfId="42916" xr:uid="{00000000-0005-0000-0000-00006C950000}"/>
    <cellStyle name="Percent 116" xfId="36405" xr:uid="{00000000-0005-0000-0000-00006D950000}"/>
    <cellStyle name="Percent 116 2" xfId="42917" xr:uid="{00000000-0005-0000-0000-00006E950000}"/>
    <cellStyle name="Percent 117" xfId="36406" xr:uid="{00000000-0005-0000-0000-00006F950000}"/>
    <cellStyle name="Percent 117 2" xfId="42918" xr:uid="{00000000-0005-0000-0000-000070950000}"/>
    <cellStyle name="Percent 118" xfId="36407" xr:uid="{00000000-0005-0000-0000-000071950000}"/>
    <cellStyle name="Percent 118 2" xfId="42919" xr:uid="{00000000-0005-0000-0000-000072950000}"/>
    <cellStyle name="Percent 119" xfId="36408" xr:uid="{00000000-0005-0000-0000-000073950000}"/>
    <cellStyle name="Percent 119 2" xfId="42920" xr:uid="{00000000-0005-0000-0000-000074950000}"/>
    <cellStyle name="Percent 12" xfId="7072" xr:uid="{00000000-0005-0000-0000-000075950000}"/>
    <cellStyle name="Percent 12 2" xfId="7073" xr:uid="{00000000-0005-0000-0000-000076950000}"/>
    <cellStyle name="Percent 12 2 2" xfId="14077" xr:uid="{00000000-0005-0000-0000-000077950000}"/>
    <cellStyle name="Percent 12 2 2 2" xfId="42922" xr:uid="{00000000-0005-0000-0000-000078950000}"/>
    <cellStyle name="Percent 12 2 2 3" xfId="36410" xr:uid="{00000000-0005-0000-0000-000079950000}"/>
    <cellStyle name="Percent 12 2 3" xfId="36411" xr:uid="{00000000-0005-0000-0000-00007A950000}"/>
    <cellStyle name="Percent 12 2 3 2" xfId="42923" xr:uid="{00000000-0005-0000-0000-00007B950000}"/>
    <cellStyle name="Percent 12 2 4" xfId="42921" xr:uid="{00000000-0005-0000-0000-00007C950000}"/>
    <cellStyle name="Percent 12 2 5" xfId="36409" xr:uid="{00000000-0005-0000-0000-00007D950000}"/>
    <cellStyle name="Percent 12 3" xfId="14078" xr:uid="{00000000-0005-0000-0000-00007E950000}"/>
    <cellStyle name="Percent 12 3 2" xfId="36413" xr:uid="{00000000-0005-0000-0000-00007F950000}"/>
    <cellStyle name="Percent 12 3 2 2" xfId="42925" xr:uid="{00000000-0005-0000-0000-000080950000}"/>
    <cellStyle name="Percent 12 3 3" xfId="42924" xr:uid="{00000000-0005-0000-0000-000081950000}"/>
    <cellStyle name="Percent 12 3 4" xfId="36412" xr:uid="{00000000-0005-0000-0000-000082950000}"/>
    <cellStyle name="Percent 12 4" xfId="36414" xr:uid="{00000000-0005-0000-0000-000083950000}"/>
    <cellStyle name="Percent 12 4 2" xfId="36415" xr:uid="{00000000-0005-0000-0000-000084950000}"/>
    <cellStyle name="Percent 12 4 2 2" xfId="42927" xr:uid="{00000000-0005-0000-0000-000085950000}"/>
    <cellStyle name="Percent 12 4 3" xfId="42926" xr:uid="{00000000-0005-0000-0000-000086950000}"/>
    <cellStyle name="Percent 12 5" xfId="36416" xr:uid="{00000000-0005-0000-0000-000087950000}"/>
    <cellStyle name="Percent 12 5 2" xfId="42928" xr:uid="{00000000-0005-0000-0000-000088950000}"/>
    <cellStyle name="Percent 12 6" xfId="36417" xr:uid="{00000000-0005-0000-0000-000089950000}"/>
    <cellStyle name="Percent 12 6 2" xfId="42929" xr:uid="{00000000-0005-0000-0000-00008A950000}"/>
    <cellStyle name="Percent 12 7" xfId="36418" xr:uid="{00000000-0005-0000-0000-00008B950000}"/>
    <cellStyle name="Percent 12 7 2" xfId="42930" xr:uid="{00000000-0005-0000-0000-00008C950000}"/>
    <cellStyle name="Percent 12 8" xfId="36419" xr:uid="{00000000-0005-0000-0000-00008D950000}"/>
    <cellStyle name="Percent 12 8 2" xfId="42931" xr:uid="{00000000-0005-0000-0000-00008E950000}"/>
    <cellStyle name="Percent 120" xfId="36420" xr:uid="{00000000-0005-0000-0000-00008F950000}"/>
    <cellStyle name="Percent 120 2" xfId="42932" xr:uid="{00000000-0005-0000-0000-000090950000}"/>
    <cellStyle name="Percent 121" xfId="36421" xr:uid="{00000000-0005-0000-0000-000091950000}"/>
    <cellStyle name="Percent 121 2" xfId="42933" xr:uid="{00000000-0005-0000-0000-000092950000}"/>
    <cellStyle name="Percent 122" xfId="36422" xr:uid="{00000000-0005-0000-0000-000093950000}"/>
    <cellStyle name="Percent 122 2" xfId="42934" xr:uid="{00000000-0005-0000-0000-000094950000}"/>
    <cellStyle name="Percent 123" xfId="36423" xr:uid="{00000000-0005-0000-0000-000095950000}"/>
    <cellStyle name="Percent 123 2" xfId="42935" xr:uid="{00000000-0005-0000-0000-000096950000}"/>
    <cellStyle name="Percent 124" xfId="36424" xr:uid="{00000000-0005-0000-0000-000097950000}"/>
    <cellStyle name="Percent 124 2" xfId="42936" xr:uid="{00000000-0005-0000-0000-000098950000}"/>
    <cellStyle name="Percent 125" xfId="36425" xr:uid="{00000000-0005-0000-0000-000099950000}"/>
    <cellStyle name="Percent 125 2" xfId="42937" xr:uid="{00000000-0005-0000-0000-00009A950000}"/>
    <cellStyle name="Percent 126" xfId="36426" xr:uid="{00000000-0005-0000-0000-00009B950000}"/>
    <cellStyle name="Percent 126 2" xfId="42938" xr:uid="{00000000-0005-0000-0000-00009C950000}"/>
    <cellStyle name="Percent 127" xfId="36427" xr:uid="{00000000-0005-0000-0000-00009D950000}"/>
    <cellStyle name="Percent 127 2" xfId="42939" xr:uid="{00000000-0005-0000-0000-00009E950000}"/>
    <cellStyle name="Percent 128" xfId="36428" xr:uid="{00000000-0005-0000-0000-00009F950000}"/>
    <cellStyle name="Percent 128 2" xfId="42940" xr:uid="{00000000-0005-0000-0000-0000A0950000}"/>
    <cellStyle name="Percent 129" xfId="36429" xr:uid="{00000000-0005-0000-0000-0000A1950000}"/>
    <cellStyle name="Percent 129 2" xfId="42941" xr:uid="{00000000-0005-0000-0000-0000A2950000}"/>
    <cellStyle name="Percent 13" xfId="7074" xr:uid="{00000000-0005-0000-0000-0000A3950000}"/>
    <cellStyle name="Percent 13 10" xfId="36431" xr:uid="{00000000-0005-0000-0000-0000A4950000}"/>
    <cellStyle name="Percent 13 11" xfId="36432" xr:uid="{00000000-0005-0000-0000-0000A5950000}"/>
    <cellStyle name="Percent 13 12" xfId="36433" xr:uid="{00000000-0005-0000-0000-0000A6950000}"/>
    <cellStyle name="Percent 13 13" xfId="36434" xr:uid="{00000000-0005-0000-0000-0000A7950000}"/>
    <cellStyle name="Percent 13 14" xfId="36435" xr:uid="{00000000-0005-0000-0000-0000A8950000}"/>
    <cellStyle name="Percent 13 15" xfId="36436" xr:uid="{00000000-0005-0000-0000-0000A9950000}"/>
    <cellStyle name="Percent 13 16" xfId="36437" xr:uid="{00000000-0005-0000-0000-0000AA950000}"/>
    <cellStyle name="Percent 13 16 2" xfId="42942" xr:uid="{00000000-0005-0000-0000-0000AB950000}"/>
    <cellStyle name="Percent 13 17" xfId="36438" xr:uid="{00000000-0005-0000-0000-0000AC950000}"/>
    <cellStyle name="Percent 13 17 2" xfId="42943" xr:uid="{00000000-0005-0000-0000-0000AD950000}"/>
    <cellStyle name="Percent 13 18" xfId="36439" xr:uid="{00000000-0005-0000-0000-0000AE950000}"/>
    <cellStyle name="Percent 13 19" xfId="36430" xr:uid="{00000000-0005-0000-0000-0000AF950000}"/>
    <cellStyle name="Percent 13 2" xfId="7075" xr:uid="{00000000-0005-0000-0000-0000B0950000}"/>
    <cellStyle name="Percent 13 2 2" xfId="14079" xr:uid="{00000000-0005-0000-0000-0000B1950000}"/>
    <cellStyle name="Percent 13 2 2 2" xfId="42944" xr:uid="{00000000-0005-0000-0000-0000B2950000}"/>
    <cellStyle name="Percent 13 2 2 3" xfId="36441" xr:uid="{00000000-0005-0000-0000-0000B3950000}"/>
    <cellStyle name="Percent 13 2 3" xfId="36442" xr:uid="{00000000-0005-0000-0000-0000B4950000}"/>
    <cellStyle name="Percent 13 2 3 2" xfId="42945" xr:uid="{00000000-0005-0000-0000-0000B5950000}"/>
    <cellStyle name="Percent 13 2 4" xfId="36443" xr:uid="{00000000-0005-0000-0000-0000B6950000}"/>
    <cellStyle name="Percent 13 2 4 2" xfId="42946" xr:uid="{00000000-0005-0000-0000-0000B7950000}"/>
    <cellStyle name="Percent 13 2 5" xfId="36440" xr:uid="{00000000-0005-0000-0000-0000B8950000}"/>
    <cellStyle name="Percent 13 3" xfId="14080" xr:uid="{00000000-0005-0000-0000-0000B9950000}"/>
    <cellStyle name="Percent 13 3 2" xfId="36445" xr:uid="{00000000-0005-0000-0000-0000BA950000}"/>
    <cellStyle name="Percent 13 3 2 2" xfId="42947" xr:uid="{00000000-0005-0000-0000-0000BB950000}"/>
    <cellStyle name="Percent 13 3 3" xfId="36446" xr:uid="{00000000-0005-0000-0000-0000BC950000}"/>
    <cellStyle name="Percent 13 3 3 2" xfId="42948" xr:uid="{00000000-0005-0000-0000-0000BD950000}"/>
    <cellStyle name="Percent 13 3 4" xfId="36444" xr:uid="{00000000-0005-0000-0000-0000BE950000}"/>
    <cellStyle name="Percent 13 4" xfId="36447" xr:uid="{00000000-0005-0000-0000-0000BF950000}"/>
    <cellStyle name="Percent 13 4 2" xfId="36448" xr:uid="{00000000-0005-0000-0000-0000C0950000}"/>
    <cellStyle name="Percent 13 4 2 2" xfId="42949" xr:uid="{00000000-0005-0000-0000-0000C1950000}"/>
    <cellStyle name="Percent 13 4 3" xfId="36449" xr:uid="{00000000-0005-0000-0000-0000C2950000}"/>
    <cellStyle name="Percent 13 4 3 2" xfId="42950" xr:uid="{00000000-0005-0000-0000-0000C3950000}"/>
    <cellStyle name="Percent 13 5" xfId="36450" xr:uid="{00000000-0005-0000-0000-0000C4950000}"/>
    <cellStyle name="Percent 13 5 2" xfId="36451" xr:uid="{00000000-0005-0000-0000-0000C5950000}"/>
    <cellStyle name="Percent 13 5 2 2" xfId="42951" xr:uid="{00000000-0005-0000-0000-0000C6950000}"/>
    <cellStyle name="Percent 13 5 3" xfId="36452" xr:uid="{00000000-0005-0000-0000-0000C7950000}"/>
    <cellStyle name="Percent 13 5 3 2" xfId="42952" xr:uid="{00000000-0005-0000-0000-0000C8950000}"/>
    <cellStyle name="Percent 13 6" xfId="36453" xr:uid="{00000000-0005-0000-0000-0000C9950000}"/>
    <cellStyle name="Percent 13 6 2" xfId="36454" xr:uid="{00000000-0005-0000-0000-0000CA950000}"/>
    <cellStyle name="Percent 13 6 2 2" xfId="42953" xr:uid="{00000000-0005-0000-0000-0000CB950000}"/>
    <cellStyle name="Percent 13 6 3" xfId="36455" xr:uid="{00000000-0005-0000-0000-0000CC950000}"/>
    <cellStyle name="Percent 13 6 3 2" xfId="42954" xr:uid="{00000000-0005-0000-0000-0000CD950000}"/>
    <cellStyle name="Percent 13 7" xfId="36456" xr:uid="{00000000-0005-0000-0000-0000CE950000}"/>
    <cellStyle name="Percent 13 8" xfId="36457" xr:uid="{00000000-0005-0000-0000-0000CF950000}"/>
    <cellStyle name="Percent 13 9" xfId="36458" xr:uid="{00000000-0005-0000-0000-0000D0950000}"/>
    <cellStyle name="Percent 130" xfId="36459" xr:uid="{00000000-0005-0000-0000-0000D1950000}"/>
    <cellStyle name="Percent 130 2" xfId="42955" xr:uid="{00000000-0005-0000-0000-0000D2950000}"/>
    <cellStyle name="Percent 131" xfId="36460" xr:uid="{00000000-0005-0000-0000-0000D3950000}"/>
    <cellStyle name="Percent 131 2" xfId="42956" xr:uid="{00000000-0005-0000-0000-0000D4950000}"/>
    <cellStyle name="Percent 132" xfId="36461" xr:uid="{00000000-0005-0000-0000-0000D5950000}"/>
    <cellStyle name="Percent 132 2" xfId="42957" xr:uid="{00000000-0005-0000-0000-0000D6950000}"/>
    <cellStyle name="Percent 133" xfId="36462" xr:uid="{00000000-0005-0000-0000-0000D7950000}"/>
    <cellStyle name="Percent 133 2" xfId="42958" xr:uid="{00000000-0005-0000-0000-0000D8950000}"/>
    <cellStyle name="Percent 134" xfId="36463" xr:uid="{00000000-0005-0000-0000-0000D9950000}"/>
    <cellStyle name="Percent 134 2" xfId="42959" xr:uid="{00000000-0005-0000-0000-0000DA950000}"/>
    <cellStyle name="Percent 135" xfId="36464" xr:uid="{00000000-0005-0000-0000-0000DB950000}"/>
    <cellStyle name="Percent 135 2" xfId="42960" xr:uid="{00000000-0005-0000-0000-0000DC950000}"/>
    <cellStyle name="Percent 136" xfId="36465" xr:uid="{00000000-0005-0000-0000-0000DD950000}"/>
    <cellStyle name="Percent 136 2" xfId="42961" xr:uid="{00000000-0005-0000-0000-0000DE950000}"/>
    <cellStyle name="Percent 137" xfId="36466" xr:uid="{00000000-0005-0000-0000-0000DF950000}"/>
    <cellStyle name="Percent 137 2" xfId="42962" xr:uid="{00000000-0005-0000-0000-0000E0950000}"/>
    <cellStyle name="Percent 138" xfId="36467" xr:uid="{00000000-0005-0000-0000-0000E1950000}"/>
    <cellStyle name="Percent 138 2" xfId="42963" xr:uid="{00000000-0005-0000-0000-0000E2950000}"/>
    <cellStyle name="Percent 139" xfId="36468" xr:uid="{00000000-0005-0000-0000-0000E3950000}"/>
    <cellStyle name="Percent 139 2" xfId="42964" xr:uid="{00000000-0005-0000-0000-0000E4950000}"/>
    <cellStyle name="Percent 14" xfId="7076" xr:uid="{00000000-0005-0000-0000-0000E5950000}"/>
    <cellStyle name="Percent 14 10" xfId="36470" xr:uid="{00000000-0005-0000-0000-0000E6950000}"/>
    <cellStyle name="Percent 14 11" xfId="36471" xr:uid="{00000000-0005-0000-0000-0000E7950000}"/>
    <cellStyle name="Percent 14 12" xfId="36472" xr:uid="{00000000-0005-0000-0000-0000E8950000}"/>
    <cellStyle name="Percent 14 13" xfId="36473" xr:uid="{00000000-0005-0000-0000-0000E9950000}"/>
    <cellStyle name="Percent 14 14" xfId="36474" xr:uid="{00000000-0005-0000-0000-0000EA950000}"/>
    <cellStyle name="Percent 14 15" xfId="36475" xr:uid="{00000000-0005-0000-0000-0000EB950000}"/>
    <cellStyle name="Percent 14 16" xfId="36476" xr:uid="{00000000-0005-0000-0000-0000EC950000}"/>
    <cellStyle name="Percent 14 16 2" xfId="42965" xr:uid="{00000000-0005-0000-0000-0000ED950000}"/>
    <cellStyle name="Percent 14 17" xfId="36477" xr:uid="{00000000-0005-0000-0000-0000EE950000}"/>
    <cellStyle name="Percent 14 17 2" xfId="42966" xr:uid="{00000000-0005-0000-0000-0000EF950000}"/>
    <cellStyle name="Percent 14 18" xfId="36478" xr:uid="{00000000-0005-0000-0000-0000F0950000}"/>
    <cellStyle name="Percent 14 19" xfId="36469" xr:uid="{00000000-0005-0000-0000-0000F1950000}"/>
    <cellStyle name="Percent 14 2" xfId="7077" xr:uid="{00000000-0005-0000-0000-0000F2950000}"/>
    <cellStyle name="Percent 14 2 2" xfId="14081" xr:uid="{00000000-0005-0000-0000-0000F3950000}"/>
    <cellStyle name="Percent 14 2 2 2" xfId="42967" xr:uid="{00000000-0005-0000-0000-0000F4950000}"/>
    <cellStyle name="Percent 14 2 2 3" xfId="36480" xr:uid="{00000000-0005-0000-0000-0000F5950000}"/>
    <cellStyle name="Percent 14 2 3" xfId="36481" xr:uid="{00000000-0005-0000-0000-0000F6950000}"/>
    <cellStyle name="Percent 14 2 3 2" xfId="42968" xr:uid="{00000000-0005-0000-0000-0000F7950000}"/>
    <cellStyle name="Percent 14 2 4" xfId="36482" xr:uid="{00000000-0005-0000-0000-0000F8950000}"/>
    <cellStyle name="Percent 14 2 4 2" xfId="42969" xr:uid="{00000000-0005-0000-0000-0000F9950000}"/>
    <cellStyle name="Percent 14 2 5" xfId="36479" xr:uid="{00000000-0005-0000-0000-0000FA950000}"/>
    <cellStyle name="Percent 14 3" xfId="14082" xr:uid="{00000000-0005-0000-0000-0000FB950000}"/>
    <cellStyle name="Percent 14 3 2" xfId="36484" xr:uid="{00000000-0005-0000-0000-0000FC950000}"/>
    <cellStyle name="Percent 14 3 2 2" xfId="42970" xr:uid="{00000000-0005-0000-0000-0000FD950000}"/>
    <cellStyle name="Percent 14 3 3" xfId="36485" xr:uid="{00000000-0005-0000-0000-0000FE950000}"/>
    <cellStyle name="Percent 14 3 3 2" xfId="42971" xr:uid="{00000000-0005-0000-0000-0000FF950000}"/>
    <cellStyle name="Percent 14 3 4" xfId="36483" xr:uid="{00000000-0005-0000-0000-000000960000}"/>
    <cellStyle name="Percent 14 4" xfId="36486" xr:uid="{00000000-0005-0000-0000-000001960000}"/>
    <cellStyle name="Percent 14 4 2" xfId="36487" xr:uid="{00000000-0005-0000-0000-000002960000}"/>
    <cellStyle name="Percent 14 4 2 2" xfId="42972" xr:uid="{00000000-0005-0000-0000-000003960000}"/>
    <cellStyle name="Percent 14 4 3" xfId="36488" xr:uid="{00000000-0005-0000-0000-000004960000}"/>
    <cellStyle name="Percent 14 4 3 2" xfId="42973" xr:uid="{00000000-0005-0000-0000-000005960000}"/>
    <cellStyle name="Percent 14 5" xfId="36489" xr:uid="{00000000-0005-0000-0000-000006960000}"/>
    <cellStyle name="Percent 14 5 2" xfId="36490" xr:uid="{00000000-0005-0000-0000-000007960000}"/>
    <cellStyle name="Percent 14 5 2 2" xfId="42974" xr:uid="{00000000-0005-0000-0000-000008960000}"/>
    <cellStyle name="Percent 14 5 3" xfId="36491" xr:uid="{00000000-0005-0000-0000-000009960000}"/>
    <cellStyle name="Percent 14 5 3 2" xfId="42975" xr:uid="{00000000-0005-0000-0000-00000A960000}"/>
    <cellStyle name="Percent 14 6" xfId="36492" xr:uid="{00000000-0005-0000-0000-00000B960000}"/>
    <cellStyle name="Percent 14 6 2" xfId="36493" xr:uid="{00000000-0005-0000-0000-00000C960000}"/>
    <cellStyle name="Percent 14 6 2 2" xfId="42976" xr:uid="{00000000-0005-0000-0000-00000D960000}"/>
    <cellStyle name="Percent 14 6 3" xfId="36494" xr:uid="{00000000-0005-0000-0000-00000E960000}"/>
    <cellStyle name="Percent 14 6 3 2" xfId="42977" xr:uid="{00000000-0005-0000-0000-00000F960000}"/>
    <cellStyle name="Percent 14 7" xfId="36495" xr:uid="{00000000-0005-0000-0000-000010960000}"/>
    <cellStyle name="Percent 14 8" xfId="36496" xr:uid="{00000000-0005-0000-0000-000011960000}"/>
    <cellStyle name="Percent 14 9" xfId="36497" xr:uid="{00000000-0005-0000-0000-000012960000}"/>
    <cellStyle name="Percent 140" xfId="36498" xr:uid="{00000000-0005-0000-0000-000013960000}"/>
    <cellStyle name="Percent 140 2" xfId="42978" xr:uid="{00000000-0005-0000-0000-000014960000}"/>
    <cellStyle name="Percent 141" xfId="36499" xr:uid="{00000000-0005-0000-0000-000015960000}"/>
    <cellStyle name="Percent 141 2" xfId="42979" xr:uid="{00000000-0005-0000-0000-000016960000}"/>
    <cellStyle name="Percent 142" xfId="36500" xr:uid="{00000000-0005-0000-0000-000017960000}"/>
    <cellStyle name="Percent 142 2" xfId="42980" xr:uid="{00000000-0005-0000-0000-000018960000}"/>
    <cellStyle name="Percent 143" xfId="36501" xr:uid="{00000000-0005-0000-0000-000019960000}"/>
    <cellStyle name="Percent 143 2" xfId="42981" xr:uid="{00000000-0005-0000-0000-00001A960000}"/>
    <cellStyle name="Percent 144" xfId="36502" xr:uid="{00000000-0005-0000-0000-00001B960000}"/>
    <cellStyle name="Percent 144 2" xfId="42982" xr:uid="{00000000-0005-0000-0000-00001C960000}"/>
    <cellStyle name="Percent 145" xfId="36503" xr:uid="{00000000-0005-0000-0000-00001D960000}"/>
    <cellStyle name="Percent 145 2" xfId="42983" xr:uid="{00000000-0005-0000-0000-00001E960000}"/>
    <cellStyle name="Percent 146" xfId="36504" xr:uid="{00000000-0005-0000-0000-00001F960000}"/>
    <cellStyle name="Percent 146 2" xfId="42984" xr:uid="{00000000-0005-0000-0000-000020960000}"/>
    <cellStyle name="Percent 147" xfId="36505" xr:uid="{00000000-0005-0000-0000-000021960000}"/>
    <cellStyle name="Percent 147 2" xfId="42985" xr:uid="{00000000-0005-0000-0000-000022960000}"/>
    <cellStyle name="Percent 148" xfId="36506" xr:uid="{00000000-0005-0000-0000-000023960000}"/>
    <cellStyle name="Percent 148 2" xfId="42986" xr:uid="{00000000-0005-0000-0000-000024960000}"/>
    <cellStyle name="Percent 149" xfId="36507" xr:uid="{00000000-0005-0000-0000-000025960000}"/>
    <cellStyle name="Percent 149 2" xfId="36508" xr:uid="{00000000-0005-0000-0000-000026960000}"/>
    <cellStyle name="Percent 149 2 2" xfId="42988" xr:uid="{00000000-0005-0000-0000-000027960000}"/>
    <cellStyle name="Percent 149 3" xfId="42987" xr:uid="{00000000-0005-0000-0000-000028960000}"/>
    <cellStyle name="Percent 15" xfId="7078" xr:uid="{00000000-0005-0000-0000-000029960000}"/>
    <cellStyle name="Percent 15 10" xfId="36510" xr:uid="{00000000-0005-0000-0000-00002A960000}"/>
    <cellStyle name="Percent 15 11" xfId="36511" xr:uid="{00000000-0005-0000-0000-00002B960000}"/>
    <cellStyle name="Percent 15 12" xfId="36512" xr:uid="{00000000-0005-0000-0000-00002C960000}"/>
    <cellStyle name="Percent 15 13" xfId="36513" xr:uid="{00000000-0005-0000-0000-00002D960000}"/>
    <cellStyle name="Percent 15 14" xfId="36514" xr:uid="{00000000-0005-0000-0000-00002E960000}"/>
    <cellStyle name="Percent 15 15" xfId="36515" xr:uid="{00000000-0005-0000-0000-00002F960000}"/>
    <cellStyle name="Percent 15 16" xfId="36516" xr:uid="{00000000-0005-0000-0000-000030960000}"/>
    <cellStyle name="Percent 15 16 2" xfId="42989" xr:uid="{00000000-0005-0000-0000-000031960000}"/>
    <cellStyle name="Percent 15 17" xfId="36517" xr:uid="{00000000-0005-0000-0000-000032960000}"/>
    <cellStyle name="Percent 15 17 2" xfId="42990" xr:uid="{00000000-0005-0000-0000-000033960000}"/>
    <cellStyle name="Percent 15 18" xfId="36518" xr:uid="{00000000-0005-0000-0000-000034960000}"/>
    <cellStyle name="Percent 15 19" xfId="36509" xr:uid="{00000000-0005-0000-0000-000035960000}"/>
    <cellStyle name="Percent 15 2" xfId="7079" xr:uid="{00000000-0005-0000-0000-000036960000}"/>
    <cellStyle name="Percent 15 2 2" xfId="14083" xr:uid="{00000000-0005-0000-0000-000037960000}"/>
    <cellStyle name="Percent 15 2 2 2" xfId="42991" xr:uid="{00000000-0005-0000-0000-000038960000}"/>
    <cellStyle name="Percent 15 2 2 3" xfId="36520" xr:uid="{00000000-0005-0000-0000-000039960000}"/>
    <cellStyle name="Percent 15 2 3" xfId="36521" xr:uid="{00000000-0005-0000-0000-00003A960000}"/>
    <cellStyle name="Percent 15 2 3 2" xfId="42992" xr:uid="{00000000-0005-0000-0000-00003B960000}"/>
    <cellStyle name="Percent 15 2 4" xfId="36522" xr:uid="{00000000-0005-0000-0000-00003C960000}"/>
    <cellStyle name="Percent 15 2 4 2" xfId="42993" xr:uid="{00000000-0005-0000-0000-00003D960000}"/>
    <cellStyle name="Percent 15 2 5" xfId="36523" xr:uid="{00000000-0005-0000-0000-00003E960000}"/>
    <cellStyle name="Percent 15 2 5 2" xfId="42994" xr:uid="{00000000-0005-0000-0000-00003F960000}"/>
    <cellStyle name="Percent 15 2 6" xfId="36524" xr:uid="{00000000-0005-0000-0000-000040960000}"/>
    <cellStyle name="Percent 15 2 6 2" xfId="42995" xr:uid="{00000000-0005-0000-0000-000041960000}"/>
    <cellStyle name="Percent 15 2 7" xfId="36525" xr:uid="{00000000-0005-0000-0000-000042960000}"/>
    <cellStyle name="Percent 15 2 7 2" xfId="42996" xr:uid="{00000000-0005-0000-0000-000043960000}"/>
    <cellStyle name="Percent 15 2 8" xfId="36519" xr:uid="{00000000-0005-0000-0000-000044960000}"/>
    <cellStyle name="Percent 15 3" xfId="14084" xr:uid="{00000000-0005-0000-0000-000045960000}"/>
    <cellStyle name="Percent 15 3 2" xfId="36527" xr:uid="{00000000-0005-0000-0000-000046960000}"/>
    <cellStyle name="Percent 15 3 2 2" xfId="42997" xr:uid="{00000000-0005-0000-0000-000047960000}"/>
    <cellStyle name="Percent 15 3 3" xfId="36528" xr:uid="{00000000-0005-0000-0000-000048960000}"/>
    <cellStyle name="Percent 15 3 3 2" xfId="42998" xr:uid="{00000000-0005-0000-0000-000049960000}"/>
    <cellStyle name="Percent 15 3 4" xfId="36526" xr:uid="{00000000-0005-0000-0000-00004A960000}"/>
    <cellStyle name="Percent 15 4" xfId="36529" xr:uid="{00000000-0005-0000-0000-00004B960000}"/>
    <cellStyle name="Percent 15 4 2" xfId="36530" xr:uid="{00000000-0005-0000-0000-00004C960000}"/>
    <cellStyle name="Percent 15 4 2 2" xfId="42999" xr:uid="{00000000-0005-0000-0000-00004D960000}"/>
    <cellStyle name="Percent 15 4 3" xfId="36531" xr:uid="{00000000-0005-0000-0000-00004E960000}"/>
    <cellStyle name="Percent 15 4 3 2" xfId="43000" xr:uid="{00000000-0005-0000-0000-00004F960000}"/>
    <cellStyle name="Percent 15 5" xfId="36532" xr:uid="{00000000-0005-0000-0000-000050960000}"/>
    <cellStyle name="Percent 15 5 2" xfId="36533" xr:uid="{00000000-0005-0000-0000-000051960000}"/>
    <cellStyle name="Percent 15 5 2 2" xfId="43001" xr:uid="{00000000-0005-0000-0000-000052960000}"/>
    <cellStyle name="Percent 15 5 3" xfId="36534" xr:uid="{00000000-0005-0000-0000-000053960000}"/>
    <cellStyle name="Percent 15 5 3 2" xfId="43002" xr:uid="{00000000-0005-0000-0000-000054960000}"/>
    <cellStyle name="Percent 15 6" xfId="36535" xr:uid="{00000000-0005-0000-0000-000055960000}"/>
    <cellStyle name="Percent 15 6 2" xfId="36536" xr:uid="{00000000-0005-0000-0000-000056960000}"/>
    <cellStyle name="Percent 15 6 2 2" xfId="43003" xr:uid="{00000000-0005-0000-0000-000057960000}"/>
    <cellStyle name="Percent 15 6 3" xfId="36537" xr:uid="{00000000-0005-0000-0000-000058960000}"/>
    <cellStyle name="Percent 15 6 3 2" xfId="43004" xr:uid="{00000000-0005-0000-0000-000059960000}"/>
    <cellStyle name="Percent 15 7" xfId="36538" xr:uid="{00000000-0005-0000-0000-00005A960000}"/>
    <cellStyle name="Percent 15 7 2" xfId="36539" xr:uid="{00000000-0005-0000-0000-00005B960000}"/>
    <cellStyle name="Percent 15 7 2 2" xfId="43005" xr:uid="{00000000-0005-0000-0000-00005C960000}"/>
    <cellStyle name="Percent 15 7 3" xfId="36540" xr:uid="{00000000-0005-0000-0000-00005D960000}"/>
    <cellStyle name="Percent 15 7 3 2" xfId="43006" xr:uid="{00000000-0005-0000-0000-00005E960000}"/>
    <cellStyle name="Percent 15 8" xfId="36541" xr:uid="{00000000-0005-0000-0000-00005F960000}"/>
    <cellStyle name="Percent 15 8 2" xfId="36542" xr:uid="{00000000-0005-0000-0000-000060960000}"/>
    <cellStyle name="Percent 15 8 2 2" xfId="43007" xr:uid="{00000000-0005-0000-0000-000061960000}"/>
    <cellStyle name="Percent 15 8 3" xfId="36543" xr:uid="{00000000-0005-0000-0000-000062960000}"/>
    <cellStyle name="Percent 15 8 3 2" xfId="43008" xr:uid="{00000000-0005-0000-0000-000063960000}"/>
    <cellStyle name="Percent 15 9" xfId="36544" xr:uid="{00000000-0005-0000-0000-000064960000}"/>
    <cellStyle name="Percent 150" xfId="36545" xr:uid="{00000000-0005-0000-0000-000065960000}"/>
    <cellStyle name="Percent 150 2" xfId="36546" xr:uid="{00000000-0005-0000-0000-000066960000}"/>
    <cellStyle name="Percent 150 2 2" xfId="43010" xr:uid="{00000000-0005-0000-0000-000067960000}"/>
    <cellStyle name="Percent 150 3" xfId="43009" xr:uid="{00000000-0005-0000-0000-000068960000}"/>
    <cellStyle name="Percent 151" xfId="36547" xr:uid="{00000000-0005-0000-0000-000069960000}"/>
    <cellStyle name="Percent 151 2" xfId="43011" xr:uid="{00000000-0005-0000-0000-00006A960000}"/>
    <cellStyle name="Percent 152" xfId="36548" xr:uid="{00000000-0005-0000-0000-00006B960000}"/>
    <cellStyle name="Percent 152 2" xfId="43012" xr:uid="{00000000-0005-0000-0000-00006C960000}"/>
    <cellStyle name="Percent 153" xfId="36549" xr:uid="{00000000-0005-0000-0000-00006D960000}"/>
    <cellStyle name="Percent 153 2" xfId="36550" xr:uid="{00000000-0005-0000-0000-00006E960000}"/>
    <cellStyle name="Percent 153 2 2" xfId="43014" xr:uid="{00000000-0005-0000-0000-00006F960000}"/>
    <cellStyle name="Percent 153 3" xfId="36551" xr:uid="{00000000-0005-0000-0000-000070960000}"/>
    <cellStyle name="Percent 153 3 2" xfId="43015" xr:uid="{00000000-0005-0000-0000-000071960000}"/>
    <cellStyle name="Percent 153 4" xfId="43013" xr:uid="{00000000-0005-0000-0000-000072960000}"/>
    <cellStyle name="Percent 154" xfId="36552" xr:uid="{00000000-0005-0000-0000-000073960000}"/>
    <cellStyle name="Percent 154 2" xfId="36553" xr:uid="{00000000-0005-0000-0000-000074960000}"/>
    <cellStyle name="Percent 154 2 2" xfId="43017" xr:uid="{00000000-0005-0000-0000-000075960000}"/>
    <cellStyle name="Percent 154 3" xfId="36554" xr:uid="{00000000-0005-0000-0000-000076960000}"/>
    <cellStyle name="Percent 154 3 2" xfId="43018" xr:uid="{00000000-0005-0000-0000-000077960000}"/>
    <cellStyle name="Percent 154 4" xfId="43016" xr:uid="{00000000-0005-0000-0000-000078960000}"/>
    <cellStyle name="Percent 155" xfId="36555" xr:uid="{00000000-0005-0000-0000-000079960000}"/>
    <cellStyle name="Percent 155 2" xfId="43019" xr:uid="{00000000-0005-0000-0000-00007A960000}"/>
    <cellStyle name="Percent 156" xfId="36556" xr:uid="{00000000-0005-0000-0000-00007B960000}"/>
    <cellStyle name="Percent 156 2" xfId="43020" xr:uid="{00000000-0005-0000-0000-00007C960000}"/>
    <cellStyle name="Percent 157" xfId="36557" xr:uid="{00000000-0005-0000-0000-00007D960000}"/>
    <cellStyle name="Percent 157 2" xfId="43021" xr:uid="{00000000-0005-0000-0000-00007E960000}"/>
    <cellStyle name="Percent 158" xfId="36558" xr:uid="{00000000-0005-0000-0000-00007F960000}"/>
    <cellStyle name="Percent 158 2" xfId="43022" xr:uid="{00000000-0005-0000-0000-000080960000}"/>
    <cellStyle name="Percent 159" xfId="36559" xr:uid="{00000000-0005-0000-0000-000081960000}"/>
    <cellStyle name="Percent 159 2" xfId="43023" xr:uid="{00000000-0005-0000-0000-000082960000}"/>
    <cellStyle name="Percent 16" xfId="7080" xr:uid="{00000000-0005-0000-0000-000083960000}"/>
    <cellStyle name="Percent 16 10" xfId="36561" xr:uid="{00000000-0005-0000-0000-000084960000}"/>
    <cellStyle name="Percent 16 11" xfId="36562" xr:uid="{00000000-0005-0000-0000-000085960000}"/>
    <cellStyle name="Percent 16 12" xfId="36563" xr:uid="{00000000-0005-0000-0000-000086960000}"/>
    <cellStyle name="Percent 16 13" xfId="36564" xr:uid="{00000000-0005-0000-0000-000087960000}"/>
    <cellStyle name="Percent 16 14" xfId="36565" xr:uid="{00000000-0005-0000-0000-000088960000}"/>
    <cellStyle name="Percent 16 15" xfId="36566" xr:uid="{00000000-0005-0000-0000-000089960000}"/>
    <cellStyle name="Percent 16 16" xfId="36567" xr:uid="{00000000-0005-0000-0000-00008A960000}"/>
    <cellStyle name="Percent 16 16 2" xfId="43024" xr:uid="{00000000-0005-0000-0000-00008B960000}"/>
    <cellStyle name="Percent 16 17" xfId="36568" xr:uid="{00000000-0005-0000-0000-00008C960000}"/>
    <cellStyle name="Percent 16 17 2" xfId="43025" xr:uid="{00000000-0005-0000-0000-00008D960000}"/>
    <cellStyle name="Percent 16 18" xfId="36569" xr:uid="{00000000-0005-0000-0000-00008E960000}"/>
    <cellStyle name="Percent 16 19" xfId="36560" xr:uid="{00000000-0005-0000-0000-00008F960000}"/>
    <cellStyle name="Percent 16 2" xfId="7081" xr:uid="{00000000-0005-0000-0000-000090960000}"/>
    <cellStyle name="Percent 16 2 2" xfId="14085" xr:uid="{00000000-0005-0000-0000-000091960000}"/>
    <cellStyle name="Percent 16 2 2 2" xfId="43026" xr:uid="{00000000-0005-0000-0000-000092960000}"/>
    <cellStyle name="Percent 16 2 2 3" xfId="36571" xr:uid="{00000000-0005-0000-0000-000093960000}"/>
    <cellStyle name="Percent 16 2 3" xfId="36572" xr:uid="{00000000-0005-0000-0000-000094960000}"/>
    <cellStyle name="Percent 16 2 3 2" xfId="43027" xr:uid="{00000000-0005-0000-0000-000095960000}"/>
    <cellStyle name="Percent 16 2 4" xfId="36573" xr:uid="{00000000-0005-0000-0000-000096960000}"/>
    <cellStyle name="Percent 16 2 4 2" xfId="43028" xr:uid="{00000000-0005-0000-0000-000097960000}"/>
    <cellStyle name="Percent 16 2 5" xfId="36574" xr:uid="{00000000-0005-0000-0000-000098960000}"/>
    <cellStyle name="Percent 16 2 5 2" xfId="43029" xr:uid="{00000000-0005-0000-0000-000099960000}"/>
    <cellStyle name="Percent 16 2 6" xfId="36575" xr:uid="{00000000-0005-0000-0000-00009A960000}"/>
    <cellStyle name="Percent 16 2 6 2" xfId="43030" xr:uid="{00000000-0005-0000-0000-00009B960000}"/>
    <cellStyle name="Percent 16 2 7" xfId="36570" xr:uid="{00000000-0005-0000-0000-00009C960000}"/>
    <cellStyle name="Percent 16 3" xfId="14086" xr:uid="{00000000-0005-0000-0000-00009D960000}"/>
    <cellStyle name="Percent 16 3 2" xfId="36577" xr:uid="{00000000-0005-0000-0000-00009E960000}"/>
    <cellStyle name="Percent 16 3 2 2" xfId="43031" xr:uid="{00000000-0005-0000-0000-00009F960000}"/>
    <cellStyle name="Percent 16 3 3" xfId="36578" xr:uid="{00000000-0005-0000-0000-0000A0960000}"/>
    <cellStyle name="Percent 16 3 3 2" xfId="43032" xr:uid="{00000000-0005-0000-0000-0000A1960000}"/>
    <cellStyle name="Percent 16 3 4" xfId="36576" xr:uid="{00000000-0005-0000-0000-0000A2960000}"/>
    <cellStyle name="Percent 16 4" xfId="36579" xr:uid="{00000000-0005-0000-0000-0000A3960000}"/>
    <cellStyle name="Percent 16 4 2" xfId="36580" xr:uid="{00000000-0005-0000-0000-0000A4960000}"/>
    <cellStyle name="Percent 16 4 2 2" xfId="43033" xr:uid="{00000000-0005-0000-0000-0000A5960000}"/>
    <cellStyle name="Percent 16 4 3" xfId="36581" xr:uid="{00000000-0005-0000-0000-0000A6960000}"/>
    <cellStyle name="Percent 16 4 3 2" xfId="43034" xr:uid="{00000000-0005-0000-0000-0000A7960000}"/>
    <cellStyle name="Percent 16 5" xfId="36582" xr:uid="{00000000-0005-0000-0000-0000A8960000}"/>
    <cellStyle name="Percent 16 5 2" xfId="36583" xr:uid="{00000000-0005-0000-0000-0000A9960000}"/>
    <cellStyle name="Percent 16 5 2 2" xfId="43035" xr:uid="{00000000-0005-0000-0000-0000AA960000}"/>
    <cellStyle name="Percent 16 5 3" xfId="36584" xr:uid="{00000000-0005-0000-0000-0000AB960000}"/>
    <cellStyle name="Percent 16 5 3 2" xfId="43036" xr:uid="{00000000-0005-0000-0000-0000AC960000}"/>
    <cellStyle name="Percent 16 6" xfId="36585" xr:uid="{00000000-0005-0000-0000-0000AD960000}"/>
    <cellStyle name="Percent 16 6 2" xfId="36586" xr:uid="{00000000-0005-0000-0000-0000AE960000}"/>
    <cellStyle name="Percent 16 6 2 2" xfId="43037" xr:uid="{00000000-0005-0000-0000-0000AF960000}"/>
    <cellStyle name="Percent 16 6 3" xfId="36587" xr:uid="{00000000-0005-0000-0000-0000B0960000}"/>
    <cellStyle name="Percent 16 6 3 2" xfId="43038" xr:uid="{00000000-0005-0000-0000-0000B1960000}"/>
    <cellStyle name="Percent 16 7" xfId="36588" xr:uid="{00000000-0005-0000-0000-0000B2960000}"/>
    <cellStyle name="Percent 16 7 2" xfId="36589" xr:uid="{00000000-0005-0000-0000-0000B3960000}"/>
    <cellStyle name="Percent 16 7 2 2" xfId="43039" xr:uid="{00000000-0005-0000-0000-0000B4960000}"/>
    <cellStyle name="Percent 16 7 3" xfId="36590" xr:uid="{00000000-0005-0000-0000-0000B5960000}"/>
    <cellStyle name="Percent 16 7 3 2" xfId="43040" xr:uid="{00000000-0005-0000-0000-0000B6960000}"/>
    <cellStyle name="Percent 16 8" xfId="36591" xr:uid="{00000000-0005-0000-0000-0000B7960000}"/>
    <cellStyle name="Percent 16 9" xfId="36592" xr:uid="{00000000-0005-0000-0000-0000B8960000}"/>
    <cellStyle name="Percent 160" xfId="36593" xr:uid="{00000000-0005-0000-0000-0000B9960000}"/>
    <cellStyle name="Percent 160 2" xfId="43041" xr:uid="{00000000-0005-0000-0000-0000BA960000}"/>
    <cellStyle name="Percent 161" xfId="36594" xr:uid="{00000000-0005-0000-0000-0000BB960000}"/>
    <cellStyle name="Percent 161 2" xfId="43042" xr:uid="{00000000-0005-0000-0000-0000BC960000}"/>
    <cellStyle name="Percent 162" xfId="36595" xr:uid="{00000000-0005-0000-0000-0000BD960000}"/>
    <cellStyle name="Percent 162 2" xfId="43043" xr:uid="{00000000-0005-0000-0000-0000BE960000}"/>
    <cellStyle name="Percent 163" xfId="36596" xr:uid="{00000000-0005-0000-0000-0000BF960000}"/>
    <cellStyle name="Percent 163 2" xfId="43044" xr:uid="{00000000-0005-0000-0000-0000C0960000}"/>
    <cellStyle name="Percent 164" xfId="36597" xr:uid="{00000000-0005-0000-0000-0000C1960000}"/>
    <cellStyle name="Percent 164 2" xfId="43045" xr:uid="{00000000-0005-0000-0000-0000C2960000}"/>
    <cellStyle name="Percent 165" xfId="36598" xr:uid="{00000000-0005-0000-0000-0000C3960000}"/>
    <cellStyle name="Percent 165 2" xfId="43046" xr:uid="{00000000-0005-0000-0000-0000C4960000}"/>
    <cellStyle name="Percent 166" xfId="36599" xr:uid="{00000000-0005-0000-0000-0000C5960000}"/>
    <cellStyle name="Percent 166 2" xfId="43047" xr:uid="{00000000-0005-0000-0000-0000C6960000}"/>
    <cellStyle name="Percent 167" xfId="36600" xr:uid="{00000000-0005-0000-0000-0000C7960000}"/>
    <cellStyle name="Percent 167 2" xfId="43048" xr:uid="{00000000-0005-0000-0000-0000C8960000}"/>
    <cellStyle name="Percent 168" xfId="36601" xr:uid="{00000000-0005-0000-0000-0000C9960000}"/>
    <cellStyle name="Percent 168 2" xfId="43049" xr:uid="{00000000-0005-0000-0000-0000CA960000}"/>
    <cellStyle name="Percent 169" xfId="36602" xr:uid="{00000000-0005-0000-0000-0000CB960000}"/>
    <cellStyle name="Percent 169 2" xfId="43050" xr:uid="{00000000-0005-0000-0000-0000CC960000}"/>
    <cellStyle name="Percent 17" xfId="7082" xr:uid="{00000000-0005-0000-0000-0000CD960000}"/>
    <cellStyle name="Percent 17 10" xfId="36604" xr:uid="{00000000-0005-0000-0000-0000CE960000}"/>
    <cellStyle name="Percent 17 11" xfId="36605" xr:uid="{00000000-0005-0000-0000-0000CF960000}"/>
    <cellStyle name="Percent 17 12" xfId="36606" xr:uid="{00000000-0005-0000-0000-0000D0960000}"/>
    <cellStyle name="Percent 17 13" xfId="36607" xr:uid="{00000000-0005-0000-0000-0000D1960000}"/>
    <cellStyle name="Percent 17 14" xfId="36608" xr:uid="{00000000-0005-0000-0000-0000D2960000}"/>
    <cellStyle name="Percent 17 15" xfId="36609" xr:uid="{00000000-0005-0000-0000-0000D3960000}"/>
    <cellStyle name="Percent 17 16" xfId="36610" xr:uid="{00000000-0005-0000-0000-0000D4960000}"/>
    <cellStyle name="Percent 17 16 2" xfId="43051" xr:uid="{00000000-0005-0000-0000-0000D5960000}"/>
    <cellStyle name="Percent 17 17" xfId="36611" xr:uid="{00000000-0005-0000-0000-0000D6960000}"/>
    <cellStyle name="Percent 17 17 2" xfId="43052" xr:uid="{00000000-0005-0000-0000-0000D7960000}"/>
    <cellStyle name="Percent 17 18" xfId="36612" xr:uid="{00000000-0005-0000-0000-0000D8960000}"/>
    <cellStyle name="Percent 17 19" xfId="36603" xr:uid="{00000000-0005-0000-0000-0000D9960000}"/>
    <cellStyle name="Percent 17 2" xfId="7083" xr:uid="{00000000-0005-0000-0000-0000DA960000}"/>
    <cellStyle name="Percent 17 2 2" xfId="14087" xr:uid="{00000000-0005-0000-0000-0000DB960000}"/>
    <cellStyle name="Percent 17 2 2 2" xfId="43053" xr:uid="{00000000-0005-0000-0000-0000DC960000}"/>
    <cellStyle name="Percent 17 2 2 3" xfId="36614" xr:uid="{00000000-0005-0000-0000-0000DD960000}"/>
    <cellStyle name="Percent 17 2 3" xfId="36615" xr:uid="{00000000-0005-0000-0000-0000DE960000}"/>
    <cellStyle name="Percent 17 2 3 2" xfId="43054" xr:uid="{00000000-0005-0000-0000-0000DF960000}"/>
    <cellStyle name="Percent 17 2 4" xfId="36613" xr:uid="{00000000-0005-0000-0000-0000E0960000}"/>
    <cellStyle name="Percent 17 3" xfId="14088" xr:uid="{00000000-0005-0000-0000-0000E1960000}"/>
    <cellStyle name="Percent 17 3 2" xfId="36617" xr:uid="{00000000-0005-0000-0000-0000E2960000}"/>
    <cellStyle name="Percent 17 3 2 2" xfId="43055" xr:uid="{00000000-0005-0000-0000-0000E3960000}"/>
    <cellStyle name="Percent 17 3 3" xfId="36618" xr:uid="{00000000-0005-0000-0000-0000E4960000}"/>
    <cellStyle name="Percent 17 3 3 2" xfId="43056" xr:uid="{00000000-0005-0000-0000-0000E5960000}"/>
    <cellStyle name="Percent 17 3 4" xfId="36616" xr:uid="{00000000-0005-0000-0000-0000E6960000}"/>
    <cellStyle name="Percent 17 4" xfId="36619" xr:uid="{00000000-0005-0000-0000-0000E7960000}"/>
    <cellStyle name="Percent 17 4 2" xfId="36620" xr:uid="{00000000-0005-0000-0000-0000E8960000}"/>
    <cellStyle name="Percent 17 4 2 2" xfId="43057" xr:uid="{00000000-0005-0000-0000-0000E9960000}"/>
    <cellStyle name="Percent 17 4 3" xfId="36621" xr:uid="{00000000-0005-0000-0000-0000EA960000}"/>
    <cellStyle name="Percent 17 4 3 2" xfId="43058" xr:uid="{00000000-0005-0000-0000-0000EB960000}"/>
    <cellStyle name="Percent 17 5" xfId="36622" xr:uid="{00000000-0005-0000-0000-0000EC960000}"/>
    <cellStyle name="Percent 17 5 2" xfId="36623" xr:uid="{00000000-0005-0000-0000-0000ED960000}"/>
    <cellStyle name="Percent 17 5 2 2" xfId="43059" xr:uid="{00000000-0005-0000-0000-0000EE960000}"/>
    <cellStyle name="Percent 17 5 3" xfId="36624" xr:uid="{00000000-0005-0000-0000-0000EF960000}"/>
    <cellStyle name="Percent 17 5 3 2" xfId="43060" xr:uid="{00000000-0005-0000-0000-0000F0960000}"/>
    <cellStyle name="Percent 17 6" xfId="36625" xr:uid="{00000000-0005-0000-0000-0000F1960000}"/>
    <cellStyle name="Percent 17 6 2" xfId="36626" xr:uid="{00000000-0005-0000-0000-0000F2960000}"/>
    <cellStyle name="Percent 17 6 2 2" xfId="43061" xr:uid="{00000000-0005-0000-0000-0000F3960000}"/>
    <cellStyle name="Percent 17 6 3" xfId="36627" xr:uid="{00000000-0005-0000-0000-0000F4960000}"/>
    <cellStyle name="Percent 17 6 3 2" xfId="43062" xr:uid="{00000000-0005-0000-0000-0000F5960000}"/>
    <cellStyle name="Percent 17 7" xfId="36628" xr:uid="{00000000-0005-0000-0000-0000F6960000}"/>
    <cellStyle name="Percent 17 8" xfId="36629" xr:uid="{00000000-0005-0000-0000-0000F7960000}"/>
    <cellStyle name="Percent 17 9" xfId="36630" xr:uid="{00000000-0005-0000-0000-0000F8960000}"/>
    <cellStyle name="Percent 170" xfId="36631" xr:uid="{00000000-0005-0000-0000-0000F9960000}"/>
    <cellStyle name="Percent 170 2" xfId="43063" xr:uid="{00000000-0005-0000-0000-0000FA960000}"/>
    <cellStyle name="Percent 171" xfId="36632" xr:uid="{00000000-0005-0000-0000-0000FB960000}"/>
    <cellStyle name="Percent 171 2" xfId="43064" xr:uid="{00000000-0005-0000-0000-0000FC960000}"/>
    <cellStyle name="Percent 172" xfId="36633" xr:uid="{00000000-0005-0000-0000-0000FD960000}"/>
    <cellStyle name="Percent 172 2" xfId="43065" xr:uid="{00000000-0005-0000-0000-0000FE960000}"/>
    <cellStyle name="Percent 173" xfId="36634" xr:uid="{00000000-0005-0000-0000-0000FF960000}"/>
    <cellStyle name="Percent 173 2" xfId="43066" xr:uid="{00000000-0005-0000-0000-000000970000}"/>
    <cellStyle name="Percent 174" xfId="36635" xr:uid="{00000000-0005-0000-0000-000001970000}"/>
    <cellStyle name="Percent 174 2" xfId="43067" xr:uid="{00000000-0005-0000-0000-000002970000}"/>
    <cellStyle name="Percent 175" xfId="36636" xr:uid="{00000000-0005-0000-0000-000003970000}"/>
    <cellStyle name="Percent 175 2" xfId="43068" xr:uid="{00000000-0005-0000-0000-000004970000}"/>
    <cellStyle name="Percent 176" xfId="36637" xr:uid="{00000000-0005-0000-0000-000005970000}"/>
    <cellStyle name="Percent 176 2" xfId="43069" xr:uid="{00000000-0005-0000-0000-000006970000}"/>
    <cellStyle name="Percent 177" xfId="36638" xr:uid="{00000000-0005-0000-0000-000007970000}"/>
    <cellStyle name="Percent 177 2" xfId="43070" xr:uid="{00000000-0005-0000-0000-000008970000}"/>
    <cellStyle name="Percent 178" xfId="36639" xr:uid="{00000000-0005-0000-0000-000009970000}"/>
    <cellStyle name="Percent 178 2" xfId="43071" xr:uid="{00000000-0005-0000-0000-00000A970000}"/>
    <cellStyle name="Percent 179" xfId="36640" xr:uid="{00000000-0005-0000-0000-00000B970000}"/>
    <cellStyle name="Percent 179 2" xfId="43072" xr:uid="{00000000-0005-0000-0000-00000C970000}"/>
    <cellStyle name="Percent 18" xfId="7084" xr:uid="{00000000-0005-0000-0000-00000D970000}"/>
    <cellStyle name="Percent 18 10" xfId="36642" xr:uid="{00000000-0005-0000-0000-00000E970000}"/>
    <cellStyle name="Percent 18 11" xfId="36643" xr:uid="{00000000-0005-0000-0000-00000F970000}"/>
    <cellStyle name="Percent 18 12" xfId="36644" xr:uid="{00000000-0005-0000-0000-000010970000}"/>
    <cellStyle name="Percent 18 13" xfId="36645" xr:uid="{00000000-0005-0000-0000-000011970000}"/>
    <cellStyle name="Percent 18 14" xfId="36646" xr:uid="{00000000-0005-0000-0000-000012970000}"/>
    <cellStyle name="Percent 18 15" xfId="36647" xr:uid="{00000000-0005-0000-0000-000013970000}"/>
    <cellStyle name="Percent 18 16" xfId="36648" xr:uid="{00000000-0005-0000-0000-000014970000}"/>
    <cellStyle name="Percent 18 16 2" xfId="43073" xr:uid="{00000000-0005-0000-0000-000015970000}"/>
    <cellStyle name="Percent 18 17" xfId="36649" xr:uid="{00000000-0005-0000-0000-000016970000}"/>
    <cellStyle name="Percent 18 17 2" xfId="43074" xr:uid="{00000000-0005-0000-0000-000017970000}"/>
    <cellStyle name="Percent 18 18" xfId="36650" xr:uid="{00000000-0005-0000-0000-000018970000}"/>
    <cellStyle name="Percent 18 19" xfId="36641" xr:uid="{00000000-0005-0000-0000-000019970000}"/>
    <cellStyle name="Percent 18 2" xfId="7085" xr:uid="{00000000-0005-0000-0000-00001A970000}"/>
    <cellStyle name="Percent 18 2 2" xfId="14089" xr:uid="{00000000-0005-0000-0000-00001B970000}"/>
    <cellStyle name="Percent 18 2 2 2" xfId="43075" xr:uid="{00000000-0005-0000-0000-00001C970000}"/>
    <cellStyle name="Percent 18 2 2 3" xfId="36652" xr:uid="{00000000-0005-0000-0000-00001D970000}"/>
    <cellStyle name="Percent 18 2 3" xfId="36653" xr:uid="{00000000-0005-0000-0000-00001E970000}"/>
    <cellStyle name="Percent 18 2 3 2" xfId="43076" xr:uid="{00000000-0005-0000-0000-00001F970000}"/>
    <cellStyle name="Percent 18 2 4" xfId="36651" xr:uid="{00000000-0005-0000-0000-000020970000}"/>
    <cellStyle name="Percent 18 3" xfId="14090" xr:uid="{00000000-0005-0000-0000-000021970000}"/>
    <cellStyle name="Percent 18 3 2" xfId="36655" xr:uid="{00000000-0005-0000-0000-000022970000}"/>
    <cellStyle name="Percent 18 3 2 2" xfId="43077" xr:uid="{00000000-0005-0000-0000-000023970000}"/>
    <cellStyle name="Percent 18 3 3" xfId="36656" xr:uid="{00000000-0005-0000-0000-000024970000}"/>
    <cellStyle name="Percent 18 3 3 2" xfId="43078" xr:uid="{00000000-0005-0000-0000-000025970000}"/>
    <cellStyle name="Percent 18 3 4" xfId="36654" xr:uid="{00000000-0005-0000-0000-000026970000}"/>
    <cellStyle name="Percent 18 4" xfId="36657" xr:uid="{00000000-0005-0000-0000-000027970000}"/>
    <cellStyle name="Percent 18 4 2" xfId="36658" xr:uid="{00000000-0005-0000-0000-000028970000}"/>
    <cellStyle name="Percent 18 4 2 2" xfId="43079" xr:uid="{00000000-0005-0000-0000-000029970000}"/>
    <cellStyle name="Percent 18 4 3" xfId="36659" xr:uid="{00000000-0005-0000-0000-00002A970000}"/>
    <cellStyle name="Percent 18 4 3 2" xfId="43080" xr:uid="{00000000-0005-0000-0000-00002B970000}"/>
    <cellStyle name="Percent 18 5" xfId="36660" xr:uid="{00000000-0005-0000-0000-00002C970000}"/>
    <cellStyle name="Percent 18 5 2" xfId="36661" xr:uid="{00000000-0005-0000-0000-00002D970000}"/>
    <cellStyle name="Percent 18 5 2 2" xfId="43081" xr:uid="{00000000-0005-0000-0000-00002E970000}"/>
    <cellStyle name="Percent 18 5 3" xfId="36662" xr:uid="{00000000-0005-0000-0000-00002F970000}"/>
    <cellStyle name="Percent 18 5 3 2" xfId="43082" xr:uid="{00000000-0005-0000-0000-000030970000}"/>
    <cellStyle name="Percent 18 6" xfId="36663" xr:uid="{00000000-0005-0000-0000-000031970000}"/>
    <cellStyle name="Percent 18 6 2" xfId="36664" xr:uid="{00000000-0005-0000-0000-000032970000}"/>
    <cellStyle name="Percent 18 6 2 2" xfId="43083" xr:uid="{00000000-0005-0000-0000-000033970000}"/>
    <cellStyle name="Percent 18 6 3" xfId="36665" xr:uid="{00000000-0005-0000-0000-000034970000}"/>
    <cellStyle name="Percent 18 6 3 2" xfId="43084" xr:uid="{00000000-0005-0000-0000-000035970000}"/>
    <cellStyle name="Percent 18 7" xfId="36666" xr:uid="{00000000-0005-0000-0000-000036970000}"/>
    <cellStyle name="Percent 18 8" xfId="36667" xr:uid="{00000000-0005-0000-0000-000037970000}"/>
    <cellStyle name="Percent 18 9" xfId="36668" xr:uid="{00000000-0005-0000-0000-000038970000}"/>
    <cellStyle name="Percent 180" xfId="36669" xr:uid="{00000000-0005-0000-0000-000039970000}"/>
    <cellStyle name="Percent 180 2" xfId="43085" xr:uid="{00000000-0005-0000-0000-00003A970000}"/>
    <cellStyle name="Percent 181" xfId="36670" xr:uid="{00000000-0005-0000-0000-00003B970000}"/>
    <cellStyle name="Percent 181 2" xfId="43086" xr:uid="{00000000-0005-0000-0000-00003C970000}"/>
    <cellStyle name="Percent 182" xfId="36671" xr:uid="{00000000-0005-0000-0000-00003D970000}"/>
    <cellStyle name="Percent 183" xfId="36672" xr:uid="{00000000-0005-0000-0000-00003E970000}"/>
    <cellStyle name="Percent 184" xfId="36673" xr:uid="{00000000-0005-0000-0000-00003F970000}"/>
    <cellStyle name="Percent 185" xfId="36674" xr:uid="{00000000-0005-0000-0000-000040970000}"/>
    <cellStyle name="Percent 186" xfId="36675" xr:uid="{00000000-0005-0000-0000-000041970000}"/>
    <cellStyle name="Percent 187" xfId="44386" xr:uid="{00000000-0005-0000-0000-000042970000}"/>
    <cellStyle name="Percent 188" xfId="44388" xr:uid="{00000000-0005-0000-0000-000043970000}"/>
    <cellStyle name="Percent 189" xfId="44392" xr:uid="{00000000-0005-0000-0000-000044970000}"/>
    <cellStyle name="Percent 19" xfId="7086" xr:uid="{00000000-0005-0000-0000-000045970000}"/>
    <cellStyle name="Percent 19 10" xfId="36677" xr:uid="{00000000-0005-0000-0000-000046970000}"/>
    <cellStyle name="Percent 19 11" xfId="36678" xr:uid="{00000000-0005-0000-0000-000047970000}"/>
    <cellStyle name="Percent 19 12" xfId="36679" xr:uid="{00000000-0005-0000-0000-000048970000}"/>
    <cellStyle name="Percent 19 13" xfId="36680" xr:uid="{00000000-0005-0000-0000-000049970000}"/>
    <cellStyle name="Percent 19 14" xfId="36681" xr:uid="{00000000-0005-0000-0000-00004A970000}"/>
    <cellStyle name="Percent 19 15" xfId="36682" xr:uid="{00000000-0005-0000-0000-00004B970000}"/>
    <cellStyle name="Percent 19 16" xfId="36683" xr:uid="{00000000-0005-0000-0000-00004C970000}"/>
    <cellStyle name="Percent 19 16 2" xfId="43087" xr:uid="{00000000-0005-0000-0000-00004D970000}"/>
    <cellStyle name="Percent 19 17" xfId="36684" xr:uid="{00000000-0005-0000-0000-00004E970000}"/>
    <cellStyle name="Percent 19 17 2" xfId="43088" xr:uid="{00000000-0005-0000-0000-00004F970000}"/>
    <cellStyle name="Percent 19 18" xfId="36685" xr:uid="{00000000-0005-0000-0000-000050970000}"/>
    <cellStyle name="Percent 19 19" xfId="36676" xr:uid="{00000000-0005-0000-0000-000051970000}"/>
    <cellStyle name="Percent 19 2" xfId="7087" xr:uid="{00000000-0005-0000-0000-000052970000}"/>
    <cellStyle name="Percent 19 2 2" xfId="14091" xr:uid="{00000000-0005-0000-0000-000053970000}"/>
    <cellStyle name="Percent 19 2 2 2" xfId="43089" xr:uid="{00000000-0005-0000-0000-000054970000}"/>
    <cellStyle name="Percent 19 2 2 3" xfId="36687" xr:uid="{00000000-0005-0000-0000-000055970000}"/>
    <cellStyle name="Percent 19 2 3" xfId="36688" xr:uid="{00000000-0005-0000-0000-000056970000}"/>
    <cellStyle name="Percent 19 2 3 2" xfId="43090" xr:uid="{00000000-0005-0000-0000-000057970000}"/>
    <cellStyle name="Percent 19 2 4" xfId="36686" xr:uid="{00000000-0005-0000-0000-000058970000}"/>
    <cellStyle name="Percent 19 3" xfId="14092" xr:uid="{00000000-0005-0000-0000-000059970000}"/>
    <cellStyle name="Percent 19 3 2" xfId="36690" xr:uid="{00000000-0005-0000-0000-00005A970000}"/>
    <cellStyle name="Percent 19 3 2 2" xfId="43091" xr:uid="{00000000-0005-0000-0000-00005B970000}"/>
    <cellStyle name="Percent 19 3 3" xfId="36691" xr:uid="{00000000-0005-0000-0000-00005C970000}"/>
    <cellStyle name="Percent 19 3 3 2" xfId="43092" xr:uid="{00000000-0005-0000-0000-00005D970000}"/>
    <cellStyle name="Percent 19 3 4" xfId="36689" xr:uid="{00000000-0005-0000-0000-00005E970000}"/>
    <cellStyle name="Percent 19 4" xfId="36692" xr:uid="{00000000-0005-0000-0000-00005F970000}"/>
    <cellStyle name="Percent 19 4 2" xfId="36693" xr:uid="{00000000-0005-0000-0000-000060970000}"/>
    <cellStyle name="Percent 19 4 2 2" xfId="43093" xr:uid="{00000000-0005-0000-0000-000061970000}"/>
    <cellStyle name="Percent 19 4 3" xfId="36694" xr:uid="{00000000-0005-0000-0000-000062970000}"/>
    <cellStyle name="Percent 19 4 3 2" xfId="43094" xr:uid="{00000000-0005-0000-0000-000063970000}"/>
    <cellStyle name="Percent 19 5" xfId="36695" xr:uid="{00000000-0005-0000-0000-000064970000}"/>
    <cellStyle name="Percent 19 5 2" xfId="36696" xr:uid="{00000000-0005-0000-0000-000065970000}"/>
    <cellStyle name="Percent 19 5 2 2" xfId="43095" xr:uid="{00000000-0005-0000-0000-000066970000}"/>
    <cellStyle name="Percent 19 5 3" xfId="36697" xr:uid="{00000000-0005-0000-0000-000067970000}"/>
    <cellStyle name="Percent 19 5 3 2" xfId="43096" xr:uid="{00000000-0005-0000-0000-000068970000}"/>
    <cellStyle name="Percent 19 6" xfId="36698" xr:uid="{00000000-0005-0000-0000-000069970000}"/>
    <cellStyle name="Percent 19 6 2" xfId="36699" xr:uid="{00000000-0005-0000-0000-00006A970000}"/>
    <cellStyle name="Percent 19 6 2 2" xfId="43097" xr:uid="{00000000-0005-0000-0000-00006B970000}"/>
    <cellStyle name="Percent 19 6 3" xfId="36700" xr:uid="{00000000-0005-0000-0000-00006C970000}"/>
    <cellStyle name="Percent 19 6 3 2" xfId="43098" xr:uid="{00000000-0005-0000-0000-00006D970000}"/>
    <cellStyle name="Percent 19 7" xfId="36701" xr:uid="{00000000-0005-0000-0000-00006E970000}"/>
    <cellStyle name="Percent 19 8" xfId="36702" xr:uid="{00000000-0005-0000-0000-00006F970000}"/>
    <cellStyle name="Percent 19 9" xfId="36703" xr:uid="{00000000-0005-0000-0000-000070970000}"/>
    <cellStyle name="Percent 190" xfId="44394" xr:uid="{00000000-0005-0000-0000-000071970000}"/>
    <cellStyle name="Percent 191" xfId="44401" xr:uid="{27403535-114D-4C04-85D2-7BF5C8917AD5}"/>
    <cellStyle name="Percent 192" xfId="44402" xr:uid="{F7026515-2F36-4F8D-986E-610E75692F24}"/>
    <cellStyle name="Percent 193" xfId="44416" xr:uid="{71EBF8F8-5A80-4C83-8CA9-515FDD10F58F}"/>
    <cellStyle name="Percent 194" xfId="44419" xr:uid="{949036D2-B113-4D9A-BC8F-5A0AC188E7E9}"/>
    <cellStyle name="Percent 2" xfId="32" xr:uid="{00000000-0005-0000-0000-000072970000}"/>
    <cellStyle name="Percent 2 10" xfId="7089" xr:uid="{00000000-0005-0000-0000-000073970000}"/>
    <cellStyle name="Percent 2 10 2" xfId="14093" xr:uid="{00000000-0005-0000-0000-000074970000}"/>
    <cellStyle name="Percent 2 10 2 2" xfId="43099" xr:uid="{00000000-0005-0000-0000-000075970000}"/>
    <cellStyle name="Percent 2 10 3" xfId="36704" xr:uid="{00000000-0005-0000-0000-000076970000}"/>
    <cellStyle name="Percent 2 11" xfId="7090" xr:uid="{00000000-0005-0000-0000-000077970000}"/>
    <cellStyle name="Percent 2 11 2" xfId="14094" xr:uid="{00000000-0005-0000-0000-000078970000}"/>
    <cellStyle name="Percent 2 11 2 2" xfId="43100" xr:uid="{00000000-0005-0000-0000-000079970000}"/>
    <cellStyle name="Percent 2 11 3" xfId="36705" xr:uid="{00000000-0005-0000-0000-00007A970000}"/>
    <cellStyle name="Percent 2 12" xfId="7091" xr:uid="{00000000-0005-0000-0000-00007B970000}"/>
    <cellStyle name="Percent 2 12 2" xfId="14095" xr:uid="{00000000-0005-0000-0000-00007C970000}"/>
    <cellStyle name="Percent 2 12 2 2" xfId="43101" xr:uid="{00000000-0005-0000-0000-00007D970000}"/>
    <cellStyle name="Percent 2 12 3" xfId="36706" xr:uid="{00000000-0005-0000-0000-00007E970000}"/>
    <cellStyle name="Percent 2 13" xfId="7092" xr:uid="{00000000-0005-0000-0000-00007F970000}"/>
    <cellStyle name="Percent 2 13 2" xfId="14096" xr:uid="{00000000-0005-0000-0000-000080970000}"/>
    <cellStyle name="Percent 2 13 2 2" xfId="43102" xr:uid="{00000000-0005-0000-0000-000081970000}"/>
    <cellStyle name="Percent 2 13 3" xfId="36707" xr:uid="{00000000-0005-0000-0000-000082970000}"/>
    <cellStyle name="Percent 2 14" xfId="7093" xr:uid="{00000000-0005-0000-0000-000083970000}"/>
    <cellStyle name="Percent 2 14 2" xfId="14097" xr:uid="{00000000-0005-0000-0000-000084970000}"/>
    <cellStyle name="Percent 2 15" xfId="7094" xr:uid="{00000000-0005-0000-0000-000085970000}"/>
    <cellStyle name="Percent 2 15 2" xfId="14098" xr:uid="{00000000-0005-0000-0000-000086970000}"/>
    <cellStyle name="Percent 2 16" xfId="7095" xr:uid="{00000000-0005-0000-0000-000087970000}"/>
    <cellStyle name="Percent 2 16 2" xfId="14099" xr:uid="{00000000-0005-0000-0000-000088970000}"/>
    <cellStyle name="Percent 2 17" xfId="7096" xr:uid="{00000000-0005-0000-0000-000089970000}"/>
    <cellStyle name="Percent 2 17 2" xfId="14100" xr:uid="{00000000-0005-0000-0000-00008A970000}"/>
    <cellStyle name="Percent 2 18" xfId="7097" xr:uid="{00000000-0005-0000-0000-00008B970000}"/>
    <cellStyle name="Percent 2 18 2" xfId="14101" xr:uid="{00000000-0005-0000-0000-00008C970000}"/>
    <cellStyle name="Percent 2 19" xfId="7098" xr:uid="{00000000-0005-0000-0000-00008D970000}"/>
    <cellStyle name="Percent 2 19 2" xfId="14102" xr:uid="{00000000-0005-0000-0000-00008E970000}"/>
    <cellStyle name="Percent 2 2" xfId="7099" xr:uid="{00000000-0005-0000-0000-00008F970000}"/>
    <cellStyle name="Percent 2 2 10" xfId="7100" xr:uid="{00000000-0005-0000-0000-000090970000}"/>
    <cellStyle name="Percent 2 2 10 2" xfId="7101" xr:uid="{00000000-0005-0000-0000-000091970000}"/>
    <cellStyle name="Percent 2 2 10 2 2" xfId="14103" xr:uid="{00000000-0005-0000-0000-000092970000}"/>
    <cellStyle name="Percent 2 2 10 3" xfId="7102" xr:uid="{00000000-0005-0000-0000-000093970000}"/>
    <cellStyle name="Percent 2 2 10 3 2" xfId="14104" xr:uid="{00000000-0005-0000-0000-000094970000}"/>
    <cellStyle name="Percent 2 2 10 4" xfId="14105" xr:uid="{00000000-0005-0000-0000-000095970000}"/>
    <cellStyle name="Percent 2 2 11" xfId="7103" xr:uid="{00000000-0005-0000-0000-000096970000}"/>
    <cellStyle name="Percent 2 2 11 2" xfId="7104" xr:uid="{00000000-0005-0000-0000-000097970000}"/>
    <cellStyle name="Percent 2 2 11 2 2" xfId="14106" xr:uid="{00000000-0005-0000-0000-000098970000}"/>
    <cellStyle name="Percent 2 2 11 3" xfId="7105" xr:uid="{00000000-0005-0000-0000-000099970000}"/>
    <cellStyle name="Percent 2 2 11 3 2" xfId="14107" xr:uid="{00000000-0005-0000-0000-00009A970000}"/>
    <cellStyle name="Percent 2 2 11 4" xfId="14108" xr:uid="{00000000-0005-0000-0000-00009B970000}"/>
    <cellStyle name="Percent 2 2 12" xfId="7106" xr:uid="{00000000-0005-0000-0000-00009C970000}"/>
    <cellStyle name="Percent 2 2 12 2" xfId="7107" xr:uid="{00000000-0005-0000-0000-00009D970000}"/>
    <cellStyle name="Percent 2 2 12 2 2" xfId="14109" xr:uid="{00000000-0005-0000-0000-00009E970000}"/>
    <cellStyle name="Percent 2 2 12 3" xfId="7108" xr:uid="{00000000-0005-0000-0000-00009F970000}"/>
    <cellStyle name="Percent 2 2 12 3 2" xfId="14110" xr:uid="{00000000-0005-0000-0000-0000A0970000}"/>
    <cellStyle name="Percent 2 2 12 4" xfId="14111" xr:uid="{00000000-0005-0000-0000-0000A1970000}"/>
    <cellStyle name="Percent 2 2 13" xfId="7109" xr:uid="{00000000-0005-0000-0000-0000A2970000}"/>
    <cellStyle name="Percent 2 2 13 2" xfId="7110" xr:uid="{00000000-0005-0000-0000-0000A3970000}"/>
    <cellStyle name="Percent 2 2 13 2 2" xfId="14112" xr:uid="{00000000-0005-0000-0000-0000A4970000}"/>
    <cellStyle name="Percent 2 2 13 3" xfId="7111" xr:uid="{00000000-0005-0000-0000-0000A5970000}"/>
    <cellStyle name="Percent 2 2 13 3 2" xfId="14113" xr:uid="{00000000-0005-0000-0000-0000A6970000}"/>
    <cellStyle name="Percent 2 2 13 4" xfId="14114" xr:uid="{00000000-0005-0000-0000-0000A7970000}"/>
    <cellStyle name="Percent 2 2 14" xfId="7112" xr:uid="{00000000-0005-0000-0000-0000A8970000}"/>
    <cellStyle name="Percent 2 2 14 2" xfId="7113" xr:uid="{00000000-0005-0000-0000-0000A9970000}"/>
    <cellStyle name="Percent 2 2 14 2 2" xfId="14115" xr:uid="{00000000-0005-0000-0000-0000AA970000}"/>
    <cellStyle name="Percent 2 2 14 3" xfId="7114" xr:uid="{00000000-0005-0000-0000-0000AB970000}"/>
    <cellStyle name="Percent 2 2 14 3 2" xfId="14116" xr:uid="{00000000-0005-0000-0000-0000AC970000}"/>
    <cellStyle name="Percent 2 2 14 4" xfId="14117" xr:uid="{00000000-0005-0000-0000-0000AD970000}"/>
    <cellStyle name="Percent 2 2 15" xfId="7115" xr:uid="{00000000-0005-0000-0000-0000AE970000}"/>
    <cellStyle name="Percent 2 2 15 2" xfId="14118" xr:uid="{00000000-0005-0000-0000-0000AF970000}"/>
    <cellStyle name="Percent 2 2 16" xfId="7116" xr:uid="{00000000-0005-0000-0000-0000B0970000}"/>
    <cellStyle name="Percent 2 2 16 2" xfId="14119" xr:uid="{00000000-0005-0000-0000-0000B1970000}"/>
    <cellStyle name="Percent 2 2 17" xfId="7117" xr:uid="{00000000-0005-0000-0000-0000B2970000}"/>
    <cellStyle name="Percent 2 2 17 2" xfId="14120" xr:uid="{00000000-0005-0000-0000-0000B3970000}"/>
    <cellStyle name="Percent 2 2 18" xfId="7118" xr:uid="{00000000-0005-0000-0000-0000B4970000}"/>
    <cellStyle name="Percent 2 2 18 2" xfId="14121" xr:uid="{00000000-0005-0000-0000-0000B5970000}"/>
    <cellStyle name="Percent 2 2 19" xfId="7119" xr:uid="{00000000-0005-0000-0000-0000B6970000}"/>
    <cellStyle name="Percent 2 2 19 2" xfId="14122" xr:uid="{00000000-0005-0000-0000-0000B7970000}"/>
    <cellStyle name="Percent 2 2 2" xfId="7120" xr:uid="{00000000-0005-0000-0000-0000B8970000}"/>
    <cellStyle name="Percent 2 2 2 10" xfId="7121" xr:uid="{00000000-0005-0000-0000-0000B9970000}"/>
    <cellStyle name="Percent 2 2 2 10 2" xfId="14123" xr:uid="{00000000-0005-0000-0000-0000BA970000}"/>
    <cellStyle name="Percent 2 2 2 11" xfId="14124" xr:uid="{00000000-0005-0000-0000-0000BB970000}"/>
    <cellStyle name="Percent 2 2 2 12" xfId="36708" xr:uid="{00000000-0005-0000-0000-0000BC970000}"/>
    <cellStyle name="Percent 2 2 2 2" xfId="7122" xr:uid="{00000000-0005-0000-0000-0000BD970000}"/>
    <cellStyle name="Percent 2 2 2 2 2" xfId="14125" xr:uid="{00000000-0005-0000-0000-0000BE970000}"/>
    <cellStyle name="Percent 2 2 2 2 2 2" xfId="43103" xr:uid="{00000000-0005-0000-0000-0000BF970000}"/>
    <cellStyle name="Percent 2 2 2 2 3" xfId="36709" xr:uid="{00000000-0005-0000-0000-0000C0970000}"/>
    <cellStyle name="Percent 2 2 2 3" xfId="7123" xr:uid="{00000000-0005-0000-0000-0000C1970000}"/>
    <cellStyle name="Percent 2 2 2 3 2" xfId="14126" xr:uid="{00000000-0005-0000-0000-0000C2970000}"/>
    <cellStyle name="Percent 2 2 2 3 2 2" xfId="43104" xr:uid="{00000000-0005-0000-0000-0000C3970000}"/>
    <cellStyle name="Percent 2 2 2 3 3" xfId="36710" xr:uid="{00000000-0005-0000-0000-0000C4970000}"/>
    <cellStyle name="Percent 2 2 2 4" xfId="7124" xr:uid="{00000000-0005-0000-0000-0000C5970000}"/>
    <cellStyle name="Percent 2 2 2 4 2" xfId="14127" xr:uid="{00000000-0005-0000-0000-0000C6970000}"/>
    <cellStyle name="Percent 2 2 2 4 2 2" xfId="43105" xr:uid="{00000000-0005-0000-0000-0000C7970000}"/>
    <cellStyle name="Percent 2 2 2 4 3" xfId="36711" xr:uid="{00000000-0005-0000-0000-0000C8970000}"/>
    <cellStyle name="Percent 2 2 2 5" xfId="7125" xr:uid="{00000000-0005-0000-0000-0000C9970000}"/>
    <cellStyle name="Percent 2 2 2 5 2" xfId="14128" xr:uid="{00000000-0005-0000-0000-0000CA970000}"/>
    <cellStyle name="Percent 2 2 2 6" xfId="7126" xr:uid="{00000000-0005-0000-0000-0000CB970000}"/>
    <cellStyle name="Percent 2 2 2 6 2" xfId="14129" xr:uid="{00000000-0005-0000-0000-0000CC970000}"/>
    <cellStyle name="Percent 2 2 2 7" xfId="7127" xr:uid="{00000000-0005-0000-0000-0000CD970000}"/>
    <cellStyle name="Percent 2 2 2 7 2" xfId="14130" xr:uid="{00000000-0005-0000-0000-0000CE970000}"/>
    <cellStyle name="Percent 2 2 2 8" xfId="7128" xr:uid="{00000000-0005-0000-0000-0000CF970000}"/>
    <cellStyle name="Percent 2 2 2 8 2" xfId="14131" xr:uid="{00000000-0005-0000-0000-0000D0970000}"/>
    <cellStyle name="Percent 2 2 2 9" xfId="7129" xr:uid="{00000000-0005-0000-0000-0000D1970000}"/>
    <cellStyle name="Percent 2 2 2 9 2" xfId="14132" xr:uid="{00000000-0005-0000-0000-0000D2970000}"/>
    <cellStyle name="Percent 2 2 20" xfId="7130" xr:uid="{00000000-0005-0000-0000-0000D3970000}"/>
    <cellStyle name="Percent 2 2 20 2" xfId="14133" xr:uid="{00000000-0005-0000-0000-0000D4970000}"/>
    <cellStyle name="Percent 2 2 21" xfId="7131" xr:uid="{00000000-0005-0000-0000-0000D5970000}"/>
    <cellStyle name="Percent 2 2 21 2" xfId="14134" xr:uid="{00000000-0005-0000-0000-0000D6970000}"/>
    <cellStyle name="Percent 2 2 22" xfId="14135" xr:uid="{00000000-0005-0000-0000-0000D7970000}"/>
    <cellStyle name="Percent 2 2 3" xfId="7132" xr:uid="{00000000-0005-0000-0000-0000D8970000}"/>
    <cellStyle name="Percent 2 2 3 2" xfId="7133" xr:uid="{00000000-0005-0000-0000-0000D9970000}"/>
    <cellStyle name="Percent 2 2 3 2 2" xfId="14136" xr:uid="{00000000-0005-0000-0000-0000DA970000}"/>
    <cellStyle name="Percent 2 2 3 2 3" xfId="43106" xr:uid="{00000000-0005-0000-0000-0000DB970000}"/>
    <cellStyle name="Percent 2 2 3 3" xfId="7134" xr:uid="{00000000-0005-0000-0000-0000DC970000}"/>
    <cellStyle name="Percent 2 2 3 3 2" xfId="14137" xr:uid="{00000000-0005-0000-0000-0000DD970000}"/>
    <cellStyle name="Percent 2 2 3 4" xfId="14138" xr:uid="{00000000-0005-0000-0000-0000DE970000}"/>
    <cellStyle name="Percent 2 2 3 5" xfId="36712" xr:uid="{00000000-0005-0000-0000-0000DF970000}"/>
    <cellStyle name="Percent 2 2 4" xfId="7135" xr:uid="{00000000-0005-0000-0000-0000E0970000}"/>
    <cellStyle name="Percent 2 2 4 2" xfId="7136" xr:uid="{00000000-0005-0000-0000-0000E1970000}"/>
    <cellStyle name="Percent 2 2 4 2 2" xfId="14139" xr:uid="{00000000-0005-0000-0000-0000E2970000}"/>
    <cellStyle name="Percent 2 2 4 2 3" xfId="43107" xr:uid="{00000000-0005-0000-0000-0000E3970000}"/>
    <cellStyle name="Percent 2 2 4 3" xfId="7137" xr:uid="{00000000-0005-0000-0000-0000E4970000}"/>
    <cellStyle name="Percent 2 2 4 3 2" xfId="14140" xr:uid="{00000000-0005-0000-0000-0000E5970000}"/>
    <cellStyle name="Percent 2 2 4 4" xfId="14141" xr:uid="{00000000-0005-0000-0000-0000E6970000}"/>
    <cellStyle name="Percent 2 2 4 5" xfId="36713" xr:uid="{00000000-0005-0000-0000-0000E7970000}"/>
    <cellStyle name="Percent 2 2 5" xfId="7138" xr:uid="{00000000-0005-0000-0000-0000E8970000}"/>
    <cellStyle name="Percent 2 2 5 2" xfId="7139" xr:uid="{00000000-0005-0000-0000-0000E9970000}"/>
    <cellStyle name="Percent 2 2 5 2 2" xfId="14142" xr:uid="{00000000-0005-0000-0000-0000EA970000}"/>
    <cellStyle name="Percent 2 2 5 2 3" xfId="43108" xr:uid="{00000000-0005-0000-0000-0000EB970000}"/>
    <cellStyle name="Percent 2 2 5 3" xfId="7140" xr:uid="{00000000-0005-0000-0000-0000EC970000}"/>
    <cellStyle name="Percent 2 2 5 3 2" xfId="14143" xr:uid="{00000000-0005-0000-0000-0000ED970000}"/>
    <cellStyle name="Percent 2 2 5 4" xfId="14144" xr:uid="{00000000-0005-0000-0000-0000EE970000}"/>
    <cellStyle name="Percent 2 2 5 5" xfId="36714" xr:uid="{00000000-0005-0000-0000-0000EF970000}"/>
    <cellStyle name="Percent 2 2 6" xfId="7141" xr:uid="{00000000-0005-0000-0000-0000F0970000}"/>
    <cellStyle name="Percent 2 2 6 2" xfId="7142" xr:uid="{00000000-0005-0000-0000-0000F1970000}"/>
    <cellStyle name="Percent 2 2 6 2 2" xfId="14145" xr:uid="{00000000-0005-0000-0000-0000F2970000}"/>
    <cellStyle name="Percent 2 2 6 2 3" xfId="43109" xr:uid="{00000000-0005-0000-0000-0000F3970000}"/>
    <cellStyle name="Percent 2 2 6 3" xfId="7143" xr:uid="{00000000-0005-0000-0000-0000F4970000}"/>
    <cellStyle name="Percent 2 2 6 3 2" xfId="14146" xr:uid="{00000000-0005-0000-0000-0000F5970000}"/>
    <cellStyle name="Percent 2 2 6 4" xfId="14147" xr:uid="{00000000-0005-0000-0000-0000F6970000}"/>
    <cellStyle name="Percent 2 2 6 5" xfId="36715" xr:uid="{00000000-0005-0000-0000-0000F7970000}"/>
    <cellStyle name="Percent 2 2 7" xfId="7144" xr:uid="{00000000-0005-0000-0000-0000F8970000}"/>
    <cellStyle name="Percent 2 2 7 2" xfId="7145" xr:uid="{00000000-0005-0000-0000-0000F9970000}"/>
    <cellStyle name="Percent 2 2 7 2 2" xfId="14148" xr:uid="{00000000-0005-0000-0000-0000FA970000}"/>
    <cellStyle name="Percent 2 2 7 2 3" xfId="43110" xr:uid="{00000000-0005-0000-0000-0000FB970000}"/>
    <cellStyle name="Percent 2 2 7 3" xfId="7146" xr:uid="{00000000-0005-0000-0000-0000FC970000}"/>
    <cellStyle name="Percent 2 2 7 3 2" xfId="14149" xr:uid="{00000000-0005-0000-0000-0000FD970000}"/>
    <cellStyle name="Percent 2 2 7 4" xfId="14150" xr:uid="{00000000-0005-0000-0000-0000FE970000}"/>
    <cellStyle name="Percent 2 2 7 5" xfId="36716" xr:uid="{00000000-0005-0000-0000-0000FF970000}"/>
    <cellStyle name="Percent 2 2 8" xfId="7147" xr:uid="{00000000-0005-0000-0000-000000980000}"/>
    <cellStyle name="Percent 2 2 8 2" xfId="7148" xr:uid="{00000000-0005-0000-0000-000001980000}"/>
    <cellStyle name="Percent 2 2 8 2 2" xfId="14151" xr:uid="{00000000-0005-0000-0000-000002980000}"/>
    <cellStyle name="Percent 2 2 8 3" xfId="7149" xr:uid="{00000000-0005-0000-0000-000003980000}"/>
    <cellStyle name="Percent 2 2 8 3 2" xfId="14152" xr:uid="{00000000-0005-0000-0000-000004980000}"/>
    <cellStyle name="Percent 2 2 8 4" xfId="14153" xr:uid="{00000000-0005-0000-0000-000005980000}"/>
    <cellStyle name="Percent 2 2 9" xfId="7150" xr:uid="{00000000-0005-0000-0000-000006980000}"/>
    <cellStyle name="Percent 2 2 9 2" xfId="7151" xr:uid="{00000000-0005-0000-0000-000007980000}"/>
    <cellStyle name="Percent 2 2 9 2 2" xfId="14154" xr:uid="{00000000-0005-0000-0000-000008980000}"/>
    <cellStyle name="Percent 2 2 9 3" xfId="7152" xr:uid="{00000000-0005-0000-0000-000009980000}"/>
    <cellStyle name="Percent 2 2 9 3 2" xfId="14155" xr:uid="{00000000-0005-0000-0000-00000A980000}"/>
    <cellStyle name="Percent 2 2 9 4" xfId="14156" xr:uid="{00000000-0005-0000-0000-00000B980000}"/>
    <cellStyle name="Percent 2 20" xfId="7153" xr:uid="{00000000-0005-0000-0000-00000C980000}"/>
    <cellStyle name="Percent 2 20 2" xfId="14157" xr:uid="{00000000-0005-0000-0000-00000D980000}"/>
    <cellStyle name="Percent 2 21" xfId="7154" xr:uid="{00000000-0005-0000-0000-00000E980000}"/>
    <cellStyle name="Percent 2 21 2" xfId="14158" xr:uid="{00000000-0005-0000-0000-00000F980000}"/>
    <cellStyle name="Percent 2 22" xfId="7155" xr:uid="{00000000-0005-0000-0000-000010980000}"/>
    <cellStyle name="Percent 2 22 2" xfId="14159" xr:uid="{00000000-0005-0000-0000-000011980000}"/>
    <cellStyle name="Percent 2 23" xfId="7156" xr:uid="{00000000-0005-0000-0000-000012980000}"/>
    <cellStyle name="Percent 2 23 2" xfId="14160" xr:uid="{00000000-0005-0000-0000-000013980000}"/>
    <cellStyle name="Percent 2 24" xfId="7157" xr:uid="{00000000-0005-0000-0000-000014980000}"/>
    <cellStyle name="Percent 2 24 2" xfId="14161" xr:uid="{00000000-0005-0000-0000-000015980000}"/>
    <cellStyle name="Percent 2 25" xfId="7158" xr:uid="{00000000-0005-0000-0000-000016980000}"/>
    <cellStyle name="Percent 2 25 2" xfId="14162" xr:uid="{00000000-0005-0000-0000-000017980000}"/>
    <cellStyle name="Percent 2 26" xfId="7159" xr:uid="{00000000-0005-0000-0000-000018980000}"/>
    <cellStyle name="Percent 2 26 2" xfId="14163" xr:uid="{00000000-0005-0000-0000-000019980000}"/>
    <cellStyle name="Percent 2 27" xfId="7160" xr:uid="{00000000-0005-0000-0000-00001A980000}"/>
    <cellStyle name="Percent 2 28" xfId="7161" xr:uid="{00000000-0005-0000-0000-00001B980000}"/>
    <cellStyle name="Percent 2 28 2" xfId="7162" xr:uid="{00000000-0005-0000-0000-00001C980000}"/>
    <cellStyle name="Percent 2 28 2 2" xfId="18903" xr:uid="{00000000-0005-0000-0000-00001D980000}"/>
    <cellStyle name="Percent 2 28 3" xfId="18384" xr:uid="{00000000-0005-0000-0000-00001E980000}"/>
    <cellStyle name="Percent 2 29" xfId="19272" xr:uid="{00000000-0005-0000-0000-00001F980000}"/>
    <cellStyle name="Percent 2 3" xfId="7163" xr:uid="{00000000-0005-0000-0000-000020980000}"/>
    <cellStyle name="Percent 2 3 10" xfId="7164" xr:uid="{00000000-0005-0000-0000-000021980000}"/>
    <cellStyle name="Percent 2 3 10 2" xfId="14164" xr:uid="{00000000-0005-0000-0000-000022980000}"/>
    <cellStyle name="Percent 2 3 11" xfId="14165" xr:uid="{00000000-0005-0000-0000-000023980000}"/>
    <cellStyle name="Percent 2 3 12" xfId="36717" xr:uid="{00000000-0005-0000-0000-000024980000}"/>
    <cellStyle name="Percent 2 3 2" xfId="7165" xr:uid="{00000000-0005-0000-0000-000025980000}"/>
    <cellStyle name="Percent 2 3 2 2" xfId="14166" xr:uid="{00000000-0005-0000-0000-000026980000}"/>
    <cellStyle name="Percent 2 3 2 2 2" xfId="43112" xr:uid="{00000000-0005-0000-0000-000027980000}"/>
    <cellStyle name="Percent 2 3 2 2 3" xfId="36719" xr:uid="{00000000-0005-0000-0000-000028980000}"/>
    <cellStyle name="Percent 2 3 2 3" xfId="43111" xr:uid="{00000000-0005-0000-0000-000029980000}"/>
    <cellStyle name="Percent 2 3 2 4" xfId="36718" xr:uid="{00000000-0005-0000-0000-00002A980000}"/>
    <cellStyle name="Percent 2 3 3" xfId="7166" xr:uid="{00000000-0005-0000-0000-00002B980000}"/>
    <cellStyle name="Percent 2 3 3 2" xfId="14167" xr:uid="{00000000-0005-0000-0000-00002C980000}"/>
    <cellStyle name="Percent 2 3 3 2 2" xfId="43113" xr:uid="{00000000-0005-0000-0000-00002D980000}"/>
    <cellStyle name="Percent 2 3 3 3" xfId="36720" xr:uid="{00000000-0005-0000-0000-00002E980000}"/>
    <cellStyle name="Percent 2 3 4" xfId="7167" xr:uid="{00000000-0005-0000-0000-00002F980000}"/>
    <cellStyle name="Percent 2 3 4 2" xfId="14168" xr:uid="{00000000-0005-0000-0000-000030980000}"/>
    <cellStyle name="Percent 2 3 4 2 2" xfId="43114" xr:uid="{00000000-0005-0000-0000-000031980000}"/>
    <cellStyle name="Percent 2 3 4 3" xfId="36721" xr:uid="{00000000-0005-0000-0000-000032980000}"/>
    <cellStyle name="Percent 2 3 5" xfId="7168" xr:uid="{00000000-0005-0000-0000-000033980000}"/>
    <cellStyle name="Percent 2 3 5 2" xfId="14169" xr:uid="{00000000-0005-0000-0000-000034980000}"/>
    <cellStyle name="Percent 2 3 5 2 2" xfId="43115" xr:uid="{00000000-0005-0000-0000-000035980000}"/>
    <cellStyle name="Percent 2 3 5 3" xfId="36722" xr:uid="{00000000-0005-0000-0000-000036980000}"/>
    <cellStyle name="Percent 2 3 6" xfId="7169" xr:uid="{00000000-0005-0000-0000-000037980000}"/>
    <cellStyle name="Percent 2 3 6 2" xfId="14170" xr:uid="{00000000-0005-0000-0000-000038980000}"/>
    <cellStyle name="Percent 2 3 7" xfId="7170" xr:uid="{00000000-0005-0000-0000-000039980000}"/>
    <cellStyle name="Percent 2 3 7 2" xfId="14171" xr:uid="{00000000-0005-0000-0000-00003A980000}"/>
    <cellStyle name="Percent 2 3 8" xfId="7171" xr:uid="{00000000-0005-0000-0000-00003B980000}"/>
    <cellStyle name="Percent 2 3 8 2" xfId="14172" xr:uid="{00000000-0005-0000-0000-00003C980000}"/>
    <cellStyle name="Percent 2 3 9" xfId="7172" xr:uid="{00000000-0005-0000-0000-00003D980000}"/>
    <cellStyle name="Percent 2 3 9 2" xfId="14173" xr:uid="{00000000-0005-0000-0000-00003E980000}"/>
    <cellStyle name="Percent 2 30" xfId="7088" xr:uid="{00000000-0005-0000-0000-00003F980000}"/>
    <cellStyle name="Percent 2 4" xfId="7173" xr:uid="{00000000-0005-0000-0000-000040980000}"/>
    <cellStyle name="Percent 2 4 10" xfId="7174" xr:uid="{00000000-0005-0000-0000-000041980000}"/>
    <cellStyle name="Percent 2 4 10 2" xfId="14174" xr:uid="{00000000-0005-0000-0000-000042980000}"/>
    <cellStyle name="Percent 2 4 11" xfId="14175" xr:uid="{00000000-0005-0000-0000-000043980000}"/>
    <cellStyle name="Percent 2 4 12" xfId="36723" xr:uid="{00000000-0005-0000-0000-000044980000}"/>
    <cellStyle name="Percent 2 4 2" xfId="7175" xr:uid="{00000000-0005-0000-0000-000045980000}"/>
    <cellStyle name="Percent 2 4 2 2" xfId="14176" xr:uid="{00000000-0005-0000-0000-000046980000}"/>
    <cellStyle name="Percent 2 4 2 2 2" xfId="43116" xr:uid="{00000000-0005-0000-0000-000047980000}"/>
    <cellStyle name="Percent 2 4 2 3" xfId="36724" xr:uid="{00000000-0005-0000-0000-000048980000}"/>
    <cellStyle name="Percent 2 4 3" xfId="7176" xr:uid="{00000000-0005-0000-0000-000049980000}"/>
    <cellStyle name="Percent 2 4 3 2" xfId="14177" xr:uid="{00000000-0005-0000-0000-00004A980000}"/>
    <cellStyle name="Percent 2 4 3 2 2" xfId="43117" xr:uid="{00000000-0005-0000-0000-00004B980000}"/>
    <cellStyle name="Percent 2 4 3 3" xfId="36725" xr:uid="{00000000-0005-0000-0000-00004C980000}"/>
    <cellStyle name="Percent 2 4 4" xfId="7177" xr:uid="{00000000-0005-0000-0000-00004D980000}"/>
    <cellStyle name="Percent 2 4 4 2" xfId="14178" xr:uid="{00000000-0005-0000-0000-00004E980000}"/>
    <cellStyle name="Percent 2 4 4 2 2" xfId="43118" xr:uid="{00000000-0005-0000-0000-00004F980000}"/>
    <cellStyle name="Percent 2 4 4 3" xfId="36726" xr:uid="{00000000-0005-0000-0000-000050980000}"/>
    <cellStyle name="Percent 2 4 5" xfId="7178" xr:uid="{00000000-0005-0000-0000-000051980000}"/>
    <cellStyle name="Percent 2 4 5 2" xfId="14179" xr:uid="{00000000-0005-0000-0000-000052980000}"/>
    <cellStyle name="Percent 2 4 6" xfId="7179" xr:uid="{00000000-0005-0000-0000-000053980000}"/>
    <cellStyle name="Percent 2 4 6 2" xfId="14180" xr:uid="{00000000-0005-0000-0000-000054980000}"/>
    <cellStyle name="Percent 2 4 7" xfId="7180" xr:uid="{00000000-0005-0000-0000-000055980000}"/>
    <cellStyle name="Percent 2 4 7 2" xfId="14181" xr:uid="{00000000-0005-0000-0000-000056980000}"/>
    <cellStyle name="Percent 2 4 8" xfId="7181" xr:uid="{00000000-0005-0000-0000-000057980000}"/>
    <cellStyle name="Percent 2 4 8 2" xfId="14182" xr:uid="{00000000-0005-0000-0000-000058980000}"/>
    <cellStyle name="Percent 2 4 9" xfId="7182" xr:uid="{00000000-0005-0000-0000-000059980000}"/>
    <cellStyle name="Percent 2 4 9 2" xfId="14183" xr:uid="{00000000-0005-0000-0000-00005A980000}"/>
    <cellStyle name="Percent 2 5" xfId="7183" xr:uid="{00000000-0005-0000-0000-00005B980000}"/>
    <cellStyle name="Percent 2 5 10" xfId="7184" xr:uid="{00000000-0005-0000-0000-00005C980000}"/>
    <cellStyle name="Percent 2 5 10 2" xfId="14184" xr:uid="{00000000-0005-0000-0000-00005D980000}"/>
    <cellStyle name="Percent 2 5 11" xfId="14185" xr:uid="{00000000-0005-0000-0000-00005E980000}"/>
    <cellStyle name="Percent 2 5 12" xfId="36727" xr:uid="{00000000-0005-0000-0000-00005F980000}"/>
    <cellStyle name="Percent 2 5 2" xfId="7185" xr:uid="{00000000-0005-0000-0000-000060980000}"/>
    <cellStyle name="Percent 2 5 2 2" xfId="14186" xr:uid="{00000000-0005-0000-0000-000061980000}"/>
    <cellStyle name="Percent 2 5 2 3" xfId="43119" xr:uid="{00000000-0005-0000-0000-000062980000}"/>
    <cellStyle name="Percent 2 5 3" xfId="7186" xr:uid="{00000000-0005-0000-0000-000063980000}"/>
    <cellStyle name="Percent 2 5 3 2" xfId="14187" xr:uid="{00000000-0005-0000-0000-000064980000}"/>
    <cellStyle name="Percent 2 5 4" xfId="7187" xr:uid="{00000000-0005-0000-0000-000065980000}"/>
    <cellStyle name="Percent 2 5 4 2" xfId="14188" xr:uid="{00000000-0005-0000-0000-000066980000}"/>
    <cellStyle name="Percent 2 5 5" xfId="7188" xr:uid="{00000000-0005-0000-0000-000067980000}"/>
    <cellStyle name="Percent 2 5 5 2" xfId="14189" xr:uid="{00000000-0005-0000-0000-000068980000}"/>
    <cellStyle name="Percent 2 5 6" xfId="7189" xr:uid="{00000000-0005-0000-0000-000069980000}"/>
    <cellStyle name="Percent 2 5 6 2" xfId="14190" xr:uid="{00000000-0005-0000-0000-00006A980000}"/>
    <cellStyle name="Percent 2 5 7" xfId="7190" xr:uid="{00000000-0005-0000-0000-00006B980000}"/>
    <cellStyle name="Percent 2 5 7 2" xfId="14191" xr:uid="{00000000-0005-0000-0000-00006C980000}"/>
    <cellStyle name="Percent 2 5 8" xfId="7191" xr:uid="{00000000-0005-0000-0000-00006D980000}"/>
    <cellStyle name="Percent 2 5 8 2" xfId="14192" xr:uid="{00000000-0005-0000-0000-00006E980000}"/>
    <cellStyle name="Percent 2 5 9" xfId="7192" xr:uid="{00000000-0005-0000-0000-00006F980000}"/>
    <cellStyle name="Percent 2 5 9 2" xfId="14193" xr:uid="{00000000-0005-0000-0000-000070980000}"/>
    <cellStyle name="Percent 2 6" xfId="7193" xr:uid="{00000000-0005-0000-0000-000071980000}"/>
    <cellStyle name="Percent 2 6 10" xfId="7194" xr:uid="{00000000-0005-0000-0000-000072980000}"/>
    <cellStyle name="Percent 2 6 10 2" xfId="14194" xr:uid="{00000000-0005-0000-0000-000073980000}"/>
    <cellStyle name="Percent 2 6 11" xfId="14195" xr:uid="{00000000-0005-0000-0000-000074980000}"/>
    <cellStyle name="Percent 2 6 12" xfId="36728" xr:uid="{00000000-0005-0000-0000-000075980000}"/>
    <cellStyle name="Percent 2 6 2" xfId="7195" xr:uid="{00000000-0005-0000-0000-000076980000}"/>
    <cellStyle name="Percent 2 6 2 2" xfId="14196" xr:uid="{00000000-0005-0000-0000-000077980000}"/>
    <cellStyle name="Percent 2 6 2 3" xfId="43120" xr:uid="{00000000-0005-0000-0000-000078980000}"/>
    <cellStyle name="Percent 2 6 3" xfId="7196" xr:uid="{00000000-0005-0000-0000-000079980000}"/>
    <cellStyle name="Percent 2 6 3 2" xfId="14197" xr:uid="{00000000-0005-0000-0000-00007A980000}"/>
    <cellStyle name="Percent 2 6 4" xfId="7197" xr:uid="{00000000-0005-0000-0000-00007B980000}"/>
    <cellStyle name="Percent 2 6 4 2" xfId="14198" xr:uid="{00000000-0005-0000-0000-00007C980000}"/>
    <cellStyle name="Percent 2 6 5" xfId="7198" xr:uid="{00000000-0005-0000-0000-00007D980000}"/>
    <cellStyle name="Percent 2 6 5 2" xfId="14199" xr:uid="{00000000-0005-0000-0000-00007E980000}"/>
    <cellStyle name="Percent 2 6 6" xfId="7199" xr:uid="{00000000-0005-0000-0000-00007F980000}"/>
    <cellStyle name="Percent 2 6 6 2" xfId="14200" xr:uid="{00000000-0005-0000-0000-000080980000}"/>
    <cellStyle name="Percent 2 6 7" xfId="7200" xr:uid="{00000000-0005-0000-0000-000081980000}"/>
    <cellStyle name="Percent 2 6 7 2" xfId="14201" xr:uid="{00000000-0005-0000-0000-000082980000}"/>
    <cellStyle name="Percent 2 6 8" xfId="7201" xr:uid="{00000000-0005-0000-0000-000083980000}"/>
    <cellStyle name="Percent 2 6 8 2" xfId="14202" xr:uid="{00000000-0005-0000-0000-000084980000}"/>
    <cellStyle name="Percent 2 6 9" xfId="7202" xr:uid="{00000000-0005-0000-0000-000085980000}"/>
    <cellStyle name="Percent 2 6 9 2" xfId="14203" xr:uid="{00000000-0005-0000-0000-000086980000}"/>
    <cellStyle name="Percent 2 7" xfId="7203" xr:uid="{00000000-0005-0000-0000-000087980000}"/>
    <cellStyle name="Percent 2 7 2" xfId="14204" xr:uid="{00000000-0005-0000-0000-000088980000}"/>
    <cellStyle name="Percent 2 7 2 2" xfId="43121" xr:uid="{00000000-0005-0000-0000-000089980000}"/>
    <cellStyle name="Percent 2 7 3" xfId="36729" xr:uid="{00000000-0005-0000-0000-00008A980000}"/>
    <cellStyle name="Percent 2 8" xfId="7204" xr:uid="{00000000-0005-0000-0000-00008B980000}"/>
    <cellStyle name="Percent 2 8 2" xfId="14205" xr:uid="{00000000-0005-0000-0000-00008C980000}"/>
    <cellStyle name="Percent 2 8 2 2" xfId="43122" xr:uid="{00000000-0005-0000-0000-00008D980000}"/>
    <cellStyle name="Percent 2 8 3" xfId="36730" xr:uid="{00000000-0005-0000-0000-00008E980000}"/>
    <cellStyle name="Percent 2 9" xfId="7205" xr:uid="{00000000-0005-0000-0000-00008F980000}"/>
    <cellStyle name="Percent 2 9 2" xfId="14206" xr:uid="{00000000-0005-0000-0000-000090980000}"/>
    <cellStyle name="Percent 2 9 2 2" xfId="43123" xr:uid="{00000000-0005-0000-0000-000091980000}"/>
    <cellStyle name="Percent 2 9 3" xfId="36731" xr:uid="{00000000-0005-0000-0000-000092980000}"/>
    <cellStyle name="Percent 20" xfId="7206" xr:uid="{00000000-0005-0000-0000-000093980000}"/>
    <cellStyle name="Percent 20 10" xfId="36733" xr:uid="{00000000-0005-0000-0000-000094980000}"/>
    <cellStyle name="Percent 20 11" xfId="36734" xr:uid="{00000000-0005-0000-0000-000095980000}"/>
    <cellStyle name="Percent 20 12" xfId="36735" xr:uid="{00000000-0005-0000-0000-000096980000}"/>
    <cellStyle name="Percent 20 13" xfId="36736" xr:uid="{00000000-0005-0000-0000-000097980000}"/>
    <cellStyle name="Percent 20 14" xfId="36737" xr:uid="{00000000-0005-0000-0000-000098980000}"/>
    <cellStyle name="Percent 20 15" xfId="36738" xr:uid="{00000000-0005-0000-0000-000099980000}"/>
    <cellStyle name="Percent 20 16" xfId="36739" xr:uid="{00000000-0005-0000-0000-00009A980000}"/>
    <cellStyle name="Percent 20 16 2" xfId="43124" xr:uid="{00000000-0005-0000-0000-00009B980000}"/>
    <cellStyle name="Percent 20 17" xfId="36740" xr:uid="{00000000-0005-0000-0000-00009C980000}"/>
    <cellStyle name="Percent 20 17 2" xfId="43125" xr:uid="{00000000-0005-0000-0000-00009D980000}"/>
    <cellStyle name="Percent 20 18" xfId="36741" xr:uid="{00000000-0005-0000-0000-00009E980000}"/>
    <cellStyle name="Percent 20 19" xfId="36732" xr:uid="{00000000-0005-0000-0000-00009F980000}"/>
    <cellStyle name="Percent 20 2" xfId="7207" xr:uid="{00000000-0005-0000-0000-0000A0980000}"/>
    <cellStyle name="Percent 20 2 2" xfId="14207" xr:uid="{00000000-0005-0000-0000-0000A1980000}"/>
    <cellStyle name="Percent 20 2 2 2" xfId="43126" xr:uid="{00000000-0005-0000-0000-0000A2980000}"/>
    <cellStyle name="Percent 20 2 2 3" xfId="36743" xr:uid="{00000000-0005-0000-0000-0000A3980000}"/>
    <cellStyle name="Percent 20 2 3" xfId="36744" xr:uid="{00000000-0005-0000-0000-0000A4980000}"/>
    <cellStyle name="Percent 20 2 3 2" xfId="43127" xr:uid="{00000000-0005-0000-0000-0000A5980000}"/>
    <cellStyle name="Percent 20 2 4" xfId="36742" xr:uid="{00000000-0005-0000-0000-0000A6980000}"/>
    <cellStyle name="Percent 20 3" xfId="14208" xr:uid="{00000000-0005-0000-0000-0000A7980000}"/>
    <cellStyle name="Percent 20 3 2" xfId="36746" xr:uid="{00000000-0005-0000-0000-0000A8980000}"/>
    <cellStyle name="Percent 20 3 2 2" xfId="43128" xr:uid="{00000000-0005-0000-0000-0000A9980000}"/>
    <cellStyle name="Percent 20 3 3" xfId="36747" xr:uid="{00000000-0005-0000-0000-0000AA980000}"/>
    <cellStyle name="Percent 20 3 3 2" xfId="43129" xr:uid="{00000000-0005-0000-0000-0000AB980000}"/>
    <cellStyle name="Percent 20 3 4" xfId="36745" xr:uid="{00000000-0005-0000-0000-0000AC980000}"/>
    <cellStyle name="Percent 20 4" xfId="36748" xr:uid="{00000000-0005-0000-0000-0000AD980000}"/>
    <cellStyle name="Percent 20 4 2" xfId="36749" xr:uid="{00000000-0005-0000-0000-0000AE980000}"/>
    <cellStyle name="Percent 20 4 2 2" xfId="43130" xr:uid="{00000000-0005-0000-0000-0000AF980000}"/>
    <cellStyle name="Percent 20 4 3" xfId="36750" xr:uid="{00000000-0005-0000-0000-0000B0980000}"/>
    <cellStyle name="Percent 20 4 3 2" xfId="43131" xr:uid="{00000000-0005-0000-0000-0000B1980000}"/>
    <cellStyle name="Percent 20 5" xfId="36751" xr:uid="{00000000-0005-0000-0000-0000B2980000}"/>
    <cellStyle name="Percent 20 5 2" xfId="36752" xr:uid="{00000000-0005-0000-0000-0000B3980000}"/>
    <cellStyle name="Percent 20 5 2 2" xfId="43132" xr:uid="{00000000-0005-0000-0000-0000B4980000}"/>
    <cellStyle name="Percent 20 5 3" xfId="36753" xr:uid="{00000000-0005-0000-0000-0000B5980000}"/>
    <cellStyle name="Percent 20 5 3 2" xfId="43133" xr:uid="{00000000-0005-0000-0000-0000B6980000}"/>
    <cellStyle name="Percent 20 6" xfId="36754" xr:uid="{00000000-0005-0000-0000-0000B7980000}"/>
    <cellStyle name="Percent 20 6 2" xfId="36755" xr:uid="{00000000-0005-0000-0000-0000B8980000}"/>
    <cellStyle name="Percent 20 6 2 2" xfId="43134" xr:uid="{00000000-0005-0000-0000-0000B9980000}"/>
    <cellStyle name="Percent 20 6 3" xfId="36756" xr:uid="{00000000-0005-0000-0000-0000BA980000}"/>
    <cellStyle name="Percent 20 6 3 2" xfId="43135" xr:uid="{00000000-0005-0000-0000-0000BB980000}"/>
    <cellStyle name="Percent 20 7" xfId="36757" xr:uid="{00000000-0005-0000-0000-0000BC980000}"/>
    <cellStyle name="Percent 20 8" xfId="36758" xr:uid="{00000000-0005-0000-0000-0000BD980000}"/>
    <cellStyle name="Percent 20 9" xfId="36759" xr:uid="{00000000-0005-0000-0000-0000BE980000}"/>
    <cellStyle name="Percent 21" xfId="7208" xr:uid="{00000000-0005-0000-0000-0000BF980000}"/>
    <cellStyle name="Percent 21 10" xfId="36761" xr:uid="{00000000-0005-0000-0000-0000C0980000}"/>
    <cellStyle name="Percent 21 11" xfId="36762" xr:uid="{00000000-0005-0000-0000-0000C1980000}"/>
    <cellStyle name="Percent 21 12" xfId="36763" xr:uid="{00000000-0005-0000-0000-0000C2980000}"/>
    <cellStyle name="Percent 21 13" xfId="36764" xr:uid="{00000000-0005-0000-0000-0000C3980000}"/>
    <cellStyle name="Percent 21 14" xfId="36765" xr:uid="{00000000-0005-0000-0000-0000C4980000}"/>
    <cellStyle name="Percent 21 15" xfId="36766" xr:uid="{00000000-0005-0000-0000-0000C5980000}"/>
    <cellStyle name="Percent 21 16" xfId="36767" xr:uid="{00000000-0005-0000-0000-0000C6980000}"/>
    <cellStyle name="Percent 21 16 2" xfId="43136" xr:uid="{00000000-0005-0000-0000-0000C7980000}"/>
    <cellStyle name="Percent 21 17" xfId="36768" xr:uid="{00000000-0005-0000-0000-0000C8980000}"/>
    <cellStyle name="Percent 21 17 2" xfId="43137" xr:uid="{00000000-0005-0000-0000-0000C9980000}"/>
    <cellStyle name="Percent 21 18" xfId="36769" xr:uid="{00000000-0005-0000-0000-0000CA980000}"/>
    <cellStyle name="Percent 21 19" xfId="36760" xr:uid="{00000000-0005-0000-0000-0000CB980000}"/>
    <cellStyle name="Percent 21 2" xfId="7209" xr:uid="{00000000-0005-0000-0000-0000CC980000}"/>
    <cellStyle name="Percent 21 2 2" xfId="14209" xr:uid="{00000000-0005-0000-0000-0000CD980000}"/>
    <cellStyle name="Percent 21 2 2 2" xfId="43138" xr:uid="{00000000-0005-0000-0000-0000CE980000}"/>
    <cellStyle name="Percent 21 2 2 3" xfId="36771" xr:uid="{00000000-0005-0000-0000-0000CF980000}"/>
    <cellStyle name="Percent 21 2 3" xfId="36772" xr:uid="{00000000-0005-0000-0000-0000D0980000}"/>
    <cellStyle name="Percent 21 2 3 2" xfId="43139" xr:uid="{00000000-0005-0000-0000-0000D1980000}"/>
    <cellStyle name="Percent 21 2 4" xfId="36770" xr:uid="{00000000-0005-0000-0000-0000D2980000}"/>
    <cellStyle name="Percent 21 3" xfId="14210" xr:uid="{00000000-0005-0000-0000-0000D3980000}"/>
    <cellStyle name="Percent 21 3 2" xfId="36774" xr:uid="{00000000-0005-0000-0000-0000D4980000}"/>
    <cellStyle name="Percent 21 3 2 2" xfId="43140" xr:uid="{00000000-0005-0000-0000-0000D5980000}"/>
    <cellStyle name="Percent 21 3 3" xfId="36775" xr:uid="{00000000-0005-0000-0000-0000D6980000}"/>
    <cellStyle name="Percent 21 3 3 2" xfId="43141" xr:uid="{00000000-0005-0000-0000-0000D7980000}"/>
    <cellStyle name="Percent 21 3 4" xfId="36773" xr:uid="{00000000-0005-0000-0000-0000D8980000}"/>
    <cellStyle name="Percent 21 4" xfId="36776" xr:uid="{00000000-0005-0000-0000-0000D9980000}"/>
    <cellStyle name="Percent 21 4 2" xfId="36777" xr:uid="{00000000-0005-0000-0000-0000DA980000}"/>
    <cellStyle name="Percent 21 4 2 2" xfId="43142" xr:uid="{00000000-0005-0000-0000-0000DB980000}"/>
    <cellStyle name="Percent 21 4 3" xfId="36778" xr:uid="{00000000-0005-0000-0000-0000DC980000}"/>
    <cellStyle name="Percent 21 4 3 2" xfId="43143" xr:uid="{00000000-0005-0000-0000-0000DD980000}"/>
    <cellStyle name="Percent 21 5" xfId="36779" xr:uid="{00000000-0005-0000-0000-0000DE980000}"/>
    <cellStyle name="Percent 21 5 2" xfId="36780" xr:uid="{00000000-0005-0000-0000-0000DF980000}"/>
    <cellStyle name="Percent 21 5 2 2" xfId="43144" xr:uid="{00000000-0005-0000-0000-0000E0980000}"/>
    <cellStyle name="Percent 21 5 3" xfId="36781" xr:uid="{00000000-0005-0000-0000-0000E1980000}"/>
    <cellStyle name="Percent 21 5 3 2" xfId="43145" xr:uid="{00000000-0005-0000-0000-0000E2980000}"/>
    <cellStyle name="Percent 21 6" xfId="36782" xr:uid="{00000000-0005-0000-0000-0000E3980000}"/>
    <cellStyle name="Percent 21 6 2" xfId="36783" xr:uid="{00000000-0005-0000-0000-0000E4980000}"/>
    <cellStyle name="Percent 21 6 2 2" xfId="43146" xr:uid="{00000000-0005-0000-0000-0000E5980000}"/>
    <cellStyle name="Percent 21 6 3" xfId="36784" xr:uid="{00000000-0005-0000-0000-0000E6980000}"/>
    <cellStyle name="Percent 21 6 3 2" xfId="43147" xr:uid="{00000000-0005-0000-0000-0000E7980000}"/>
    <cellStyle name="Percent 21 7" xfId="36785" xr:uid="{00000000-0005-0000-0000-0000E8980000}"/>
    <cellStyle name="Percent 21 8" xfId="36786" xr:uid="{00000000-0005-0000-0000-0000E9980000}"/>
    <cellStyle name="Percent 21 9" xfId="36787" xr:uid="{00000000-0005-0000-0000-0000EA980000}"/>
    <cellStyle name="Percent 22" xfId="7210" xr:uid="{00000000-0005-0000-0000-0000EB980000}"/>
    <cellStyle name="Percent 22 10" xfId="36789" xr:uid="{00000000-0005-0000-0000-0000EC980000}"/>
    <cellStyle name="Percent 22 11" xfId="36790" xr:uid="{00000000-0005-0000-0000-0000ED980000}"/>
    <cellStyle name="Percent 22 12" xfId="36791" xr:uid="{00000000-0005-0000-0000-0000EE980000}"/>
    <cellStyle name="Percent 22 13" xfId="36792" xr:uid="{00000000-0005-0000-0000-0000EF980000}"/>
    <cellStyle name="Percent 22 14" xfId="36793" xr:uid="{00000000-0005-0000-0000-0000F0980000}"/>
    <cellStyle name="Percent 22 15" xfId="36794" xr:uid="{00000000-0005-0000-0000-0000F1980000}"/>
    <cellStyle name="Percent 22 16" xfId="36795" xr:uid="{00000000-0005-0000-0000-0000F2980000}"/>
    <cellStyle name="Percent 22 16 2" xfId="43148" xr:uid="{00000000-0005-0000-0000-0000F3980000}"/>
    <cellStyle name="Percent 22 17" xfId="36796" xr:uid="{00000000-0005-0000-0000-0000F4980000}"/>
    <cellStyle name="Percent 22 17 2" xfId="43149" xr:uid="{00000000-0005-0000-0000-0000F5980000}"/>
    <cellStyle name="Percent 22 18" xfId="36797" xr:uid="{00000000-0005-0000-0000-0000F6980000}"/>
    <cellStyle name="Percent 22 19" xfId="36788" xr:uid="{00000000-0005-0000-0000-0000F7980000}"/>
    <cellStyle name="Percent 22 2" xfId="7211" xr:uid="{00000000-0005-0000-0000-0000F8980000}"/>
    <cellStyle name="Percent 22 2 2" xfId="14211" xr:uid="{00000000-0005-0000-0000-0000F9980000}"/>
    <cellStyle name="Percent 22 2 2 2" xfId="43150" xr:uid="{00000000-0005-0000-0000-0000FA980000}"/>
    <cellStyle name="Percent 22 2 2 3" xfId="36799" xr:uid="{00000000-0005-0000-0000-0000FB980000}"/>
    <cellStyle name="Percent 22 2 3" xfId="36800" xr:uid="{00000000-0005-0000-0000-0000FC980000}"/>
    <cellStyle name="Percent 22 2 3 2" xfId="43151" xr:uid="{00000000-0005-0000-0000-0000FD980000}"/>
    <cellStyle name="Percent 22 2 4" xfId="36798" xr:uid="{00000000-0005-0000-0000-0000FE980000}"/>
    <cellStyle name="Percent 22 3" xfId="14212" xr:uid="{00000000-0005-0000-0000-0000FF980000}"/>
    <cellStyle name="Percent 22 3 2" xfId="36802" xr:uid="{00000000-0005-0000-0000-000000990000}"/>
    <cellStyle name="Percent 22 3 2 2" xfId="43152" xr:uid="{00000000-0005-0000-0000-000001990000}"/>
    <cellStyle name="Percent 22 3 3" xfId="36803" xr:uid="{00000000-0005-0000-0000-000002990000}"/>
    <cellStyle name="Percent 22 3 3 2" xfId="43153" xr:uid="{00000000-0005-0000-0000-000003990000}"/>
    <cellStyle name="Percent 22 3 4" xfId="36801" xr:uid="{00000000-0005-0000-0000-000004990000}"/>
    <cellStyle name="Percent 22 4" xfId="36804" xr:uid="{00000000-0005-0000-0000-000005990000}"/>
    <cellStyle name="Percent 22 4 2" xfId="36805" xr:uid="{00000000-0005-0000-0000-000006990000}"/>
    <cellStyle name="Percent 22 4 2 2" xfId="43154" xr:uid="{00000000-0005-0000-0000-000007990000}"/>
    <cellStyle name="Percent 22 4 3" xfId="36806" xr:uid="{00000000-0005-0000-0000-000008990000}"/>
    <cellStyle name="Percent 22 4 3 2" xfId="43155" xr:uid="{00000000-0005-0000-0000-000009990000}"/>
    <cellStyle name="Percent 22 5" xfId="36807" xr:uid="{00000000-0005-0000-0000-00000A990000}"/>
    <cellStyle name="Percent 22 5 2" xfId="36808" xr:uid="{00000000-0005-0000-0000-00000B990000}"/>
    <cellStyle name="Percent 22 5 2 2" xfId="43156" xr:uid="{00000000-0005-0000-0000-00000C990000}"/>
    <cellStyle name="Percent 22 5 3" xfId="36809" xr:uid="{00000000-0005-0000-0000-00000D990000}"/>
    <cellStyle name="Percent 22 5 3 2" xfId="43157" xr:uid="{00000000-0005-0000-0000-00000E990000}"/>
    <cellStyle name="Percent 22 6" xfId="36810" xr:uid="{00000000-0005-0000-0000-00000F990000}"/>
    <cellStyle name="Percent 22 7" xfId="36811" xr:uid="{00000000-0005-0000-0000-000010990000}"/>
    <cellStyle name="Percent 22 8" xfId="36812" xr:uid="{00000000-0005-0000-0000-000011990000}"/>
    <cellStyle name="Percent 22 9" xfId="36813" xr:uid="{00000000-0005-0000-0000-000012990000}"/>
    <cellStyle name="Percent 23" xfId="7212" xr:uid="{00000000-0005-0000-0000-000013990000}"/>
    <cellStyle name="Percent 23 10" xfId="36814" xr:uid="{00000000-0005-0000-0000-000014990000}"/>
    <cellStyle name="Percent 23 11" xfId="36815" xr:uid="{00000000-0005-0000-0000-000015990000}"/>
    <cellStyle name="Percent 23 12" xfId="36816" xr:uid="{00000000-0005-0000-0000-000016990000}"/>
    <cellStyle name="Percent 23 13" xfId="36817" xr:uid="{00000000-0005-0000-0000-000017990000}"/>
    <cellStyle name="Percent 23 14" xfId="36818" xr:uid="{00000000-0005-0000-0000-000018990000}"/>
    <cellStyle name="Percent 23 15" xfId="36819" xr:uid="{00000000-0005-0000-0000-000019990000}"/>
    <cellStyle name="Percent 23 16" xfId="36820" xr:uid="{00000000-0005-0000-0000-00001A990000}"/>
    <cellStyle name="Percent 23 16 2" xfId="43158" xr:uid="{00000000-0005-0000-0000-00001B990000}"/>
    <cellStyle name="Percent 23 17" xfId="36821" xr:uid="{00000000-0005-0000-0000-00001C990000}"/>
    <cellStyle name="Percent 23 17 2" xfId="43159" xr:uid="{00000000-0005-0000-0000-00001D990000}"/>
    <cellStyle name="Percent 23 18" xfId="36822" xr:uid="{00000000-0005-0000-0000-00001E990000}"/>
    <cellStyle name="Percent 23 2" xfId="7213" xr:uid="{00000000-0005-0000-0000-00001F990000}"/>
    <cellStyle name="Percent 23 2 2" xfId="36823" xr:uid="{00000000-0005-0000-0000-000020990000}"/>
    <cellStyle name="Percent 23 2 2 2" xfId="43160" xr:uid="{00000000-0005-0000-0000-000021990000}"/>
    <cellStyle name="Percent 23 2 3" xfId="36824" xr:uid="{00000000-0005-0000-0000-000022990000}"/>
    <cellStyle name="Percent 23 2 3 2" xfId="43161" xr:uid="{00000000-0005-0000-0000-000023990000}"/>
    <cellStyle name="Percent 23 3" xfId="7214" xr:uid="{00000000-0005-0000-0000-000024990000}"/>
    <cellStyle name="Percent 23 3 2" xfId="36825" xr:uid="{00000000-0005-0000-0000-000025990000}"/>
    <cellStyle name="Percent 23 3 2 2" xfId="43162" xr:uid="{00000000-0005-0000-0000-000026990000}"/>
    <cellStyle name="Percent 23 3 3" xfId="36826" xr:uid="{00000000-0005-0000-0000-000027990000}"/>
    <cellStyle name="Percent 23 3 3 2" xfId="43163" xr:uid="{00000000-0005-0000-0000-000028990000}"/>
    <cellStyle name="Percent 23 4" xfId="36827" xr:uid="{00000000-0005-0000-0000-000029990000}"/>
    <cellStyle name="Percent 23 4 2" xfId="36828" xr:uid="{00000000-0005-0000-0000-00002A990000}"/>
    <cellStyle name="Percent 23 4 2 2" xfId="43164" xr:uid="{00000000-0005-0000-0000-00002B990000}"/>
    <cellStyle name="Percent 23 4 3" xfId="36829" xr:uid="{00000000-0005-0000-0000-00002C990000}"/>
    <cellStyle name="Percent 23 4 3 2" xfId="43165" xr:uid="{00000000-0005-0000-0000-00002D990000}"/>
    <cellStyle name="Percent 23 5" xfId="36830" xr:uid="{00000000-0005-0000-0000-00002E990000}"/>
    <cellStyle name="Percent 23 5 2" xfId="36831" xr:uid="{00000000-0005-0000-0000-00002F990000}"/>
    <cellStyle name="Percent 23 5 2 2" xfId="43166" xr:uid="{00000000-0005-0000-0000-000030990000}"/>
    <cellStyle name="Percent 23 5 3" xfId="36832" xr:uid="{00000000-0005-0000-0000-000031990000}"/>
    <cellStyle name="Percent 23 5 3 2" xfId="43167" xr:uid="{00000000-0005-0000-0000-000032990000}"/>
    <cellStyle name="Percent 23 6" xfId="36833" xr:uid="{00000000-0005-0000-0000-000033990000}"/>
    <cellStyle name="Percent 23 7" xfId="36834" xr:uid="{00000000-0005-0000-0000-000034990000}"/>
    <cellStyle name="Percent 23 8" xfId="36835" xr:uid="{00000000-0005-0000-0000-000035990000}"/>
    <cellStyle name="Percent 23 9" xfId="36836" xr:uid="{00000000-0005-0000-0000-000036990000}"/>
    <cellStyle name="Percent 24" xfId="7215" xr:uid="{00000000-0005-0000-0000-000037990000}"/>
    <cellStyle name="Percent 24 10" xfId="36837" xr:uid="{00000000-0005-0000-0000-000038990000}"/>
    <cellStyle name="Percent 24 11" xfId="36838" xr:uid="{00000000-0005-0000-0000-000039990000}"/>
    <cellStyle name="Percent 24 12" xfId="36839" xr:uid="{00000000-0005-0000-0000-00003A990000}"/>
    <cellStyle name="Percent 24 13" xfId="36840" xr:uid="{00000000-0005-0000-0000-00003B990000}"/>
    <cellStyle name="Percent 24 14" xfId="36841" xr:uid="{00000000-0005-0000-0000-00003C990000}"/>
    <cellStyle name="Percent 24 15" xfId="36842" xr:uid="{00000000-0005-0000-0000-00003D990000}"/>
    <cellStyle name="Percent 24 16" xfId="36843" xr:uid="{00000000-0005-0000-0000-00003E990000}"/>
    <cellStyle name="Percent 24 16 2" xfId="43168" xr:uid="{00000000-0005-0000-0000-00003F990000}"/>
    <cellStyle name="Percent 24 17" xfId="36844" xr:uid="{00000000-0005-0000-0000-000040990000}"/>
    <cellStyle name="Percent 24 17 2" xfId="43169" xr:uid="{00000000-0005-0000-0000-000041990000}"/>
    <cellStyle name="Percent 24 18" xfId="36845" xr:uid="{00000000-0005-0000-0000-000042990000}"/>
    <cellStyle name="Percent 24 2" xfId="7216" xr:uid="{00000000-0005-0000-0000-000043990000}"/>
    <cellStyle name="Percent 24 2 2" xfId="36846" xr:uid="{00000000-0005-0000-0000-000044990000}"/>
    <cellStyle name="Percent 24 2 2 2" xfId="43170" xr:uid="{00000000-0005-0000-0000-000045990000}"/>
    <cellStyle name="Percent 24 2 3" xfId="36847" xr:uid="{00000000-0005-0000-0000-000046990000}"/>
    <cellStyle name="Percent 24 2 3 2" xfId="43171" xr:uid="{00000000-0005-0000-0000-000047990000}"/>
    <cellStyle name="Percent 24 2 4" xfId="36848" xr:uid="{00000000-0005-0000-0000-000048990000}"/>
    <cellStyle name="Percent 24 2 4 2" xfId="43172" xr:uid="{00000000-0005-0000-0000-000049990000}"/>
    <cellStyle name="Percent 24 3" xfId="7217" xr:uid="{00000000-0005-0000-0000-00004A990000}"/>
    <cellStyle name="Percent 24 3 2" xfId="36849" xr:uid="{00000000-0005-0000-0000-00004B990000}"/>
    <cellStyle name="Percent 24 3 2 2" xfId="43173" xr:uid="{00000000-0005-0000-0000-00004C990000}"/>
    <cellStyle name="Percent 24 3 3" xfId="36850" xr:uid="{00000000-0005-0000-0000-00004D990000}"/>
    <cellStyle name="Percent 24 3 3 2" xfId="43174" xr:uid="{00000000-0005-0000-0000-00004E990000}"/>
    <cellStyle name="Percent 24 4" xfId="36851" xr:uid="{00000000-0005-0000-0000-00004F990000}"/>
    <cellStyle name="Percent 24 4 2" xfId="36852" xr:uid="{00000000-0005-0000-0000-000050990000}"/>
    <cellStyle name="Percent 24 4 2 2" xfId="43175" xr:uid="{00000000-0005-0000-0000-000051990000}"/>
    <cellStyle name="Percent 24 4 3" xfId="36853" xr:uid="{00000000-0005-0000-0000-000052990000}"/>
    <cellStyle name="Percent 24 4 3 2" xfId="43176" xr:uid="{00000000-0005-0000-0000-000053990000}"/>
    <cellStyle name="Percent 24 5" xfId="36854" xr:uid="{00000000-0005-0000-0000-000054990000}"/>
    <cellStyle name="Percent 24 5 2" xfId="36855" xr:uid="{00000000-0005-0000-0000-000055990000}"/>
    <cellStyle name="Percent 24 5 2 2" xfId="43177" xr:uid="{00000000-0005-0000-0000-000056990000}"/>
    <cellStyle name="Percent 24 5 3" xfId="36856" xr:uid="{00000000-0005-0000-0000-000057990000}"/>
    <cellStyle name="Percent 24 5 3 2" xfId="43178" xr:uid="{00000000-0005-0000-0000-000058990000}"/>
    <cellStyle name="Percent 24 6" xfId="36857" xr:uid="{00000000-0005-0000-0000-000059990000}"/>
    <cellStyle name="Percent 24 7" xfId="36858" xr:uid="{00000000-0005-0000-0000-00005A990000}"/>
    <cellStyle name="Percent 24 8" xfId="36859" xr:uid="{00000000-0005-0000-0000-00005B990000}"/>
    <cellStyle name="Percent 24 9" xfId="36860" xr:uid="{00000000-0005-0000-0000-00005C990000}"/>
    <cellStyle name="Percent 25" xfId="7218" xr:uid="{00000000-0005-0000-0000-00005D990000}"/>
    <cellStyle name="Percent 25 10" xfId="36861" xr:uid="{00000000-0005-0000-0000-00005E990000}"/>
    <cellStyle name="Percent 25 11" xfId="36862" xr:uid="{00000000-0005-0000-0000-00005F990000}"/>
    <cellStyle name="Percent 25 12" xfId="36863" xr:uid="{00000000-0005-0000-0000-000060990000}"/>
    <cellStyle name="Percent 25 13" xfId="36864" xr:uid="{00000000-0005-0000-0000-000061990000}"/>
    <cellStyle name="Percent 25 14" xfId="36865" xr:uid="{00000000-0005-0000-0000-000062990000}"/>
    <cellStyle name="Percent 25 15" xfId="36866" xr:uid="{00000000-0005-0000-0000-000063990000}"/>
    <cellStyle name="Percent 25 16" xfId="36867" xr:uid="{00000000-0005-0000-0000-000064990000}"/>
    <cellStyle name="Percent 25 16 2" xfId="43179" xr:uid="{00000000-0005-0000-0000-000065990000}"/>
    <cellStyle name="Percent 25 17" xfId="36868" xr:uid="{00000000-0005-0000-0000-000066990000}"/>
    <cellStyle name="Percent 25 17 2" xfId="43180" xr:uid="{00000000-0005-0000-0000-000067990000}"/>
    <cellStyle name="Percent 25 18" xfId="36869" xr:uid="{00000000-0005-0000-0000-000068990000}"/>
    <cellStyle name="Percent 25 2" xfId="7219" xr:uid="{00000000-0005-0000-0000-000069990000}"/>
    <cellStyle name="Percent 25 2 2" xfId="36870" xr:uid="{00000000-0005-0000-0000-00006A990000}"/>
    <cellStyle name="Percent 25 2 2 2" xfId="43181" xr:uid="{00000000-0005-0000-0000-00006B990000}"/>
    <cellStyle name="Percent 25 2 3" xfId="36871" xr:uid="{00000000-0005-0000-0000-00006C990000}"/>
    <cellStyle name="Percent 25 2 3 2" xfId="43182" xr:uid="{00000000-0005-0000-0000-00006D990000}"/>
    <cellStyle name="Percent 25 2 4" xfId="36872" xr:uid="{00000000-0005-0000-0000-00006E990000}"/>
    <cellStyle name="Percent 25 2 4 2" xfId="43183" xr:uid="{00000000-0005-0000-0000-00006F990000}"/>
    <cellStyle name="Percent 25 3" xfId="7220" xr:uid="{00000000-0005-0000-0000-000070990000}"/>
    <cellStyle name="Percent 25 3 2" xfId="36873" xr:uid="{00000000-0005-0000-0000-000071990000}"/>
    <cellStyle name="Percent 25 3 2 2" xfId="43184" xr:uid="{00000000-0005-0000-0000-000072990000}"/>
    <cellStyle name="Percent 25 3 3" xfId="36874" xr:uid="{00000000-0005-0000-0000-000073990000}"/>
    <cellStyle name="Percent 25 3 3 2" xfId="43185" xr:uid="{00000000-0005-0000-0000-000074990000}"/>
    <cellStyle name="Percent 25 4" xfId="36875" xr:uid="{00000000-0005-0000-0000-000075990000}"/>
    <cellStyle name="Percent 25 4 2" xfId="36876" xr:uid="{00000000-0005-0000-0000-000076990000}"/>
    <cellStyle name="Percent 25 4 2 2" xfId="43186" xr:uid="{00000000-0005-0000-0000-000077990000}"/>
    <cellStyle name="Percent 25 4 3" xfId="36877" xr:uid="{00000000-0005-0000-0000-000078990000}"/>
    <cellStyle name="Percent 25 4 3 2" xfId="43187" xr:uid="{00000000-0005-0000-0000-000079990000}"/>
    <cellStyle name="Percent 25 5" xfId="36878" xr:uid="{00000000-0005-0000-0000-00007A990000}"/>
    <cellStyle name="Percent 25 5 2" xfId="36879" xr:uid="{00000000-0005-0000-0000-00007B990000}"/>
    <cellStyle name="Percent 25 5 2 2" xfId="43188" xr:uid="{00000000-0005-0000-0000-00007C990000}"/>
    <cellStyle name="Percent 25 5 3" xfId="36880" xr:uid="{00000000-0005-0000-0000-00007D990000}"/>
    <cellStyle name="Percent 25 5 3 2" xfId="43189" xr:uid="{00000000-0005-0000-0000-00007E990000}"/>
    <cellStyle name="Percent 25 6" xfId="36881" xr:uid="{00000000-0005-0000-0000-00007F990000}"/>
    <cellStyle name="Percent 25 7" xfId="36882" xr:uid="{00000000-0005-0000-0000-000080990000}"/>
    <cellStyle name="Percent 25 8" xfId="36883" xr:uid="{00000000-0005-0000-0000-000081990000}"/>
    <cellStyle name="Percent 25 9" xfId="36884" xr:uid="{00000000-0005-0000-0000-000082990000}"/>
    <cellStyle name="Percent 26" xfId="7221" xr:uid="{00000000-0005-0000-0000-000083990000}"/>
    <cellStyle name="Percent 26 10" xfId="36885" xr:uid="{00000000-0005-0000-0000-000084990000}"/>
    <cellStyle name="Percent 26 11" xfId="36886" xr:uid="{00000000-0005-0000-0000-000085990000}"/>
    <cellStyle name="Percent 26 12" xfId="36887" xr:uid="{00000000-0005-0000-0000-000086990000}"/>
    <cellStyle name="Percent 26 13" xfId="36888" xr:uid="{00000000-0005-0000-0000-000087990000}"/>
    <cellStyle name="Percent 26 14" xfId="36889" xr:uid="{00000000-0005-0000-0000-000088990000}"/>
    <cellStyle name="Percent 26 15" xfId="36890" xr:uid="{00000000-0005-0000-0000-000089990000}"/>
    <cellStyle name="Percent 26 16" xfId="36891" xr:uid="{00000000-0005-0000-0000-00008A990000}"/>
    <cellStyle name="Percent 26 16 2" xfId="43190" xr:uid="{00000000-0005-0000-0000-00008B990000}"/>
    <cellStyle name="Percent 26 17" xfId="36892" xr:uid="{00000000-0005-0000-0000-00008C990000}"/>
    <cellStyle name="Percent 26 17 2" xfId="43191" xr:uid="{00000000-0005-0000-0000-00008D990000}"/>
    <cellStyle name="Percent 26 18" xfId="36893" xr:uid="{00000000-0005-0000-0000-00008E990000}"/>
    <cellStyle name="Percent 26 2" xfId="7222" xr:uid="{00000000-0005-0000-0000-00008F990000}"/>
    <cellStyle name="Percent 26 2 2" xfId="36894" xr:uid="{00000000-0005-0000-0000-000090990000}"/>
    <cellStyle name="Percent 26 2 2 2" xfId="43192" xr:uid="{00000000-0005-0000-0000-000091990000}"/>
    <cellStyle name="Percent 26 2 3" xfId="36895" xr:uid="{00000000-0005-0000-0000-000092990000}"/>
    <cellStyle name="Percent 26 2 3 2" xfId="43193" xr:uid="{00000000-0005-0000-0000-000093990000}"/>
    <cellStyle name="Percent 26 3" xfId="7223" xr:uid="{00000000-0005-0000-0000-000094990000}"/>
    <cellStyle name="Percent 26 3 2" xfId="36896" xr:uid="{00000000-0005-0000-0000-000095990000}"/>
    <cellStyle name="Percent 26 3 2 2" xfId="43194" xr:uid="{00000000-0005-0000-0000-000096990000}"/>
    <cellStyle name="Percent 26 3 3" xfId="36897" xr:uid="{00000000-0005-0000-0000-000097990000}"/>
    <cellStyle name="Percent 26 3 3 2" xfId="43195" xr:uid="{00000000-0005-0000-0000-000098990000}"/>
    <cellStyle name="Percent 26 4" xfId="36898" xr:uid="{00000000-0005-0000-0000-000099990000}"/>
    <cellStyle name="Percent 26 4 2" xfId="36899" xr:uid="{00000000-0005-0000-0000-00009A990000}"/>
    <cellStyle name="Percent 26 4 2 2" xfId="43196" xr:uid="{00000000-0005-0000-0000-00009B990000}"/>
    <cellStyle name="Percent 26 4 3" xfId="36900" xr:uid="{00000000-0005-0000-0000-00009C990000}"/>
    <cellStyle name="Percent 26 4 3 2" xfId="43197" xr:uid="{00000000-0005-0000-0000-00009D990000}"/>
    <cellStyle name="Percent 26 5" xfId="36901" xr:uid="{00000000-0005-0000-0000-00009E990000}"/>
    <cellStyle name="Percent 26 5 2" xfId="36902" xr:uid="{00000000-0005-0000-0000-00009F990000}"/>
    <cellStyle name="Percent 26 5 2 2" xfId="43198" xr:uid="{00000000-0005-0000-0000-0000A0990000}"/>
    <cellStyle name="Percent 26 5 3" xfId="36903" xr:uid="{00000000-0005-0000-0000-0000A1990000}"/>
    <cellStyle name="Percent 26 5 3 2" xfId="43199" xr:uid="{00000000-0005-0000-0000-0000A2990000}"/>
    <cellStyle name="Percent 26 6" xfId="36904" xr:uid="{00000000-0005-0000-0000-0000A3990000}"/>
    <cellStyle name="Percent 26 7" xfId="36905" xr:uid="{00000000-0005-0000-0000-0000A4990000}"/>
    <cellStyle name="Percent 26 8" xfId="36906" xr:uid="{00000000-0005-0000-0000-0000A5990000}"/>
    <cellStyle name="Percent 26 9" xfId="36907" xr:uid="{00000000-0005-0000-0000-0000A6990000}"/>
    <cellStyle name="Percent 27" xfId="7224" xr:uid="{00000000-0005-0000-0000-0000A7990000}"/>
    <cellStyle name="Percent 27 10" xfId="36908" xr:uid="{00000000-0005-0000-0000-0000A8990000}"/>
    <cellStyle name="Percent 27 11" xfId="36909" xr:uid="{00000000-0005-0000-0000-0000A9990000}"/>
    <cellStyle name="Percent 27 12" xfId="36910" xr:uid="{00000000-0005-0000-0000-0000AA990000}"/>
    <cellStyle name="Percent 27 13" xfId="36911" xr:uid="{00000000-0005-0000-0000-0000AB990000}"/>
    <cellStyle name="Percent 27 14" xfId="36912" xr:uid="{00000000-0005-0000-0000-0000AC990000}"/>
    <cellStyle name="Percent 27 15" xfId="36913" xr:uid="{00000000-0005-0000-0000-0000AD990000}"/>
    <cellStyle name="Percent 27 16" xfId="36914" xr:uid="{00000000-0005-0000-0000-0000AE990000}"/>
    <cellStyle name="Percent 27 16 2" xfId="43200" xr:uid="{00000000-0005-0000-0000-0000AF990000}"/>
    <cellStyle name="Percent 27 17" xfId="36915" xr:uid="{00000000-0005-0000-0000-0000B0990000}"/>
    <cellStyle name="Percent 27 17 2" xfId="43201" xr:uid="{00000000-0005-0000-0000-0000B1990000}"/>
    <cellStyle name="Percent 27 18" xfId="36916" xr:uid="{00000000-0005-0000-0000-0000B2990000}"/>
    <cellStyle name="Percent 27 2" xfId="7225" xr:uid="{00000000-0005-0000-0000-0000B3990000}"/>
    <cellStyle name="Percent 27 2 2" xfId="36917" xr:uid="{00000000-0005-0000-0000-0000B4990000}"/>
    <cellStyle name="Percent 27 2 2 2" xfId="43202" xr:uid="{00000000-0005-0000-0000-0000B5990000}"/>
    <cellStyle name="Percent 27 2 3" xfId="36918" xr:uid="{00000000-0005-0000-0000-0000B6990000}"/>
    <cellStyle name="Percent 27 2 3 2" xfId="43203" xr:uid="{00000000-0005-0000-0000-0000B7990000}"/>
    <cellStyle name="Percent 27 3" xfId="7226" xr:uid="{00000000-0005-0000-0000-0000B8990000}"/>
    <cellStyle name="Percent 27 3 2" xfId="36919" xr:uid="{00000000-0005-0000-0000-0000B9990000}"/>
    <cellStyle name="Percent 27 3 2 2" xfId="43204" xr:uid="{00000000-0005-0000-0000-0000BA990000}"/>
    <cellStyle name="Percent 27 3 3" xfId="36920" xr:uid="{00000000-0005-0000-0000-0000BB990000}"/>
    <cellStyle name="Percent 27 3 3 2" xfId="43205" xr:uid="{00000000-0005-0000-0000-0000BC990000}"/>
    <cellStyle name="Percent 27 4" xfId="36921" xr:uid="{00000000-0005-0000-0000-0000BD990000}"/>
    <cellStyle name="Percent 27 4 2" xfId="36922" xr:uid="{00000000-0005-0000-0000-0000BE990000}"/>
    <cellStyle name="Percent 27 4 2 2" xfId="43206" xr:uid="{00000000-0005-0000-0000-0000BF990000}"/>
    <cellStyle name="Percent 27 4 3" xfId="36923" xr:uid="{00000000-0005-0000-0000-0000C0990000}"/>
    <cellStyle name="Percent 27 4 3 2" xfId="43207" xr:uid="{00000000-0005-0000-0000-0000C1990000}"/>
    <cellStyle name="Percent 27 5" xfId="36924" xr:uid="{00000000-0005-0000-0000-0000C2990000}"/>
    <cellStyle name="Percent 27 5 2" xfId="36925" xr:uid="{00000000-0005-0000-0000-0000C3990000}"/>
    <cellStyle name="Percent 27 5 2 2" xfId="43208" xr:uid="{00000000-0005-0000-0000-0000C4990000}"/>
    <cellStyle name="Percent 27 5 3" xfId="36926" xr:uid="{00000000-0005-0000-0000-0000C5990000}"/>
    <cellStyle name="Percent 27 5 3 2" xfId="43209" xr:uid="{00000000-0005-0000-0000-0000C6990000}"/>
    <cellStyle name="Percent 27 6" xfId="36927" xr:uid="{00000000-0005-0000-0000-0000C7990000}"/>
    <cellStyle name="Percent 27 7" xfId="36928" xr:uid="{00000000-0005-0000-0000-0000C8990000}"/>
    <cellStyle name="Percent 27 8" xfId="36929" xr:uid="{00000000-0005-0000-0000-0000C9990000}"/>
    <cellStyle name="Percent 27 9" xfId="36930" xr:uid="{00000000-0005-0000-0000-0000CA990000}"/>
    <cellStyle name="Percent 28" xfId="7227" xr:uid="{00000000-0005-0000-0000-0000CB990000}"/>
    <cellStyle name="Percent 28 10" xfId="36931" xr:uid="{00000000-0005-0000-0000-0000CC990000}"/>
    <cellStyle name="Percent 28 11" xfId="36932" xr:uid="{00000000-0005-0000-0000-0000CD990000}"/>
    <cellStyle name="Percent 28 12" xfId="36933" xr:uid="{00000000-0005-0000-0000-0000CE990000}"/>
    <cellStyle name="Percent 28 13" xfId="36934" xr:uid="{00000000-0005-0000-0000-0000CF990000}"/>
    <cellStyle name="Percent 28 14" xfId="36935" xr:uid="{00000000-0005-0000-0000-0000D0990000}"/>
    <cellStyle name="Percent 28 15" xfId="36936" xr:uid="{00000000-0005-0000-0000-0000D1990000}"/>
    <cellStyle name="Percent 28 16" xfId="36937" xr:uid="{00000000-0005-0000-0000-0000D2990000}"/>
    <cellStyle name="Percent 28 16 2" xfId="43210" xr:uid="{00000000-0005-0000-0000-0000D3990000}"/>
    <cellStyle name="Percent 28 17" xfId="36938" xr:uid="{00000000-0005-0000-0000-0000D4990000}"/>
    <cellStyle name="Percent 28 17 2" xfId="43211" xr:uid="{00000000-0005-0000-0000-0000D5990000}"/>
    <cellStyle name="Percent 28 18" xfId="36939" xr:uid="{00000000-0005-0000-0000-0000D6990000}"/>
    <cellStyle name="Percent 28 2" xfId="7228" xr:uid="{00000000-0005-0000-0000-0000D7990000}"/>
    <cellStyle name="Percent 28 2 2" xfId="36940" xr:uid="{00000000-0005-0000-0000-0000D8990000}"/>
    <cellStyle name="Percent 28 2 2 2" xfId="43212" xr:uid="{00000000-0005-0000-0000-0000D9990000}"/>
    <cellStyle name="Percent 28 2 3" xfId="36941" xr:uid="{00000000-0005-0000-0000-0000DA990000}"/>
    <cellStyle name="Percent 28 2 3 2" xfId="43213" xr:uid="{00000000-0005-0000-0000-0000DB990000}"/>
    <cellStyle name="Percent 28 3" xfId="7229" xr:uid="{00000000-0005-0000-0000-0000DC990000}"/>
    <cellStyle name="Percent 28 3 2" xfId="36942" xr:uid="{00000000-0005-0000-0000-0000DD990000}"/>
    <cellStyle name="Percent 28 3 2 2" xfId="43214" xr:uid="{00000000-0005-0000-0000-0000DE990000}"/>
    <cellStyle name="Percent 28 3 3" xfId="36943" xr:uid="{00000000-0005-0000-0000-0000DF990000}"/>
    <cellStyle name="Percent 28 3 3 2" xfId="43215" xr:uid="{00000000-0005-0000-0000-0000E0990000}"/>
    <cellStyle name="Percent 28 4" xfId="36944" xr:uid="{00000000-0005-0000-0000-0000E1990000}"/>
    <cellStyle name="Percent 28 4 2" xfId="36945" xr:uid="{00000000-0005-0000-0000-0000E2990000}"/>
    <cellStyle name="Percent 28 4 2 2" xfId="43216" xr:uid="{00000000-0005-0000-0000-0000E3990000}"/>
    <cellStyle name="Percent 28 4 3" xfId="36946" xr:uid="{00000000-0005-0000-0000-0000E4990000}"/>
    <cellStyle name="Percent 28 4 3 2" xfId="43217" xr:uid="{00000000-0005-0000-0000-0000E5990000}"/>
    <cellStyle name="Percent 28 5" xfId="36947" xr:uid="{00000000-0005-0000-0000-0000E6990000}"/>
    <cellStyle name="Percent 28 5 2" xfId="36948" xr:uid="{00000000-0005-0000-0000-0000E7990000}"/>
    <cellStyle name="Percent 28 5 2 2" xfId="43218" xr:uid="{00000000-0005-0000-0000-0000E8990000}"/>
    <cellStyle name="Percent 28 5 3" xfId="36949" xr:uid="{00000000-0005-0000-0000-0000E9990000}"/>
    <cellStyle name="Percent 28 5 3 2" xfId="43219" xr:uid="{00000000-0005-0000-0000-0000EA990000}"/>
    <cellStyle name="Percent 28 6" xfId="36950" xr:uid="{00000000-0005-0000-0000-0000EB990000}"/>
    <cellStyle name="Percent 28 7" xfId="36951" xr:uid="{00000000-0005-0000-0000-0000EC990000}"/>
    <cellStyle name="Percent 28 8" xfId="36952" xr:uid="{00000000-0005-0000-0000-0000ED990000}"/>
    <cellStyle name="Percent 28 9" xfId="36953" xr:uid="{00000000-0005-0000-0000-0000EE990000}"/>
    <cellStyle name="Percent 29" xfId="7230" xr:uid="{00000000-0005-0000-0000-0000EF990000}"/>
    <cellStyle name="Percent 29 10" xfId="36954" xr:uid="{00000000-0005-0000-0000-0000F0990000}"/>
    <cellStyle name="Percent 29 11" xfId="36955" xr:uid="{00000000-0005-0000-0000-0000F1990000}"/>
    <cellStyle name="Percent 29 12" xfId="36956" xr:uid="{00000000-0005-0000-0000-0000F2990000}"/>
    <cellStyle name="Percent 29 13" xfId="36957" xr:uid="{00000000-0005-0000-0000-0000F3990000}"/>
    <cellStyle name="Percent 29 14" xfId="36958" xr:uid="{00000000-0005-0000-0000-0000F4990000}"/>
    <cellStyle name="Percent 29 15" xfId="36959" xr:uid="{00000000-0005-0000-0000-0000F5990000}"/>
    <cellStyle name="Percent 29 16" xfId="36960" xr:uid="{00000000-0005-0000-0000-0000F6990000}"/>
    <cellStyle name="Percent 29 16 2" xfId="43220" xr:uid="{00000000-0005-0000-0000-0000F7990000}"/>
    <cellStyle name="Percent 29 17" xfId="36961" xr:uid="{00000000-0005-0000-0000-0000F8990000}"/>
    <cellStyle name="Percent 29 17 2" xfId="43221" xr:uid="{00000000-0005-0000-0000-0000F9990000}"/>
    <cellStyle name="Percent 29 18" xfId="36962" xr:uid="{00000000-0005-0000-0000-0000FA990000}"/>
    <cellStyle name="Percent 29 2" xfId="7231" xr:uid="{00000000-0005-0000-0000-0000FB990000}"/>
    <cellStyle name="Percent 29 2 2" xfId="36963" xr:uid="{00000000-0005-0000-0000-0000FC990000}"/>
    <cellStyle name="Percent 29 2 2 2" xfId="43222" xr:uid="{00000000-0005-0000-0000-0000FD990000}"/>
    <cellStyle name="Percent 29 2 3" xfId="36964" xr:uid="{00000000-0005-0000-0000-0000FE990000}"/>
    <cellStyle name="Percent 29 2 3 2" xfId="43223" xr:uid="{00000000-0005-0000-0000-0000FF990000}"/>
    <cellStyle name="Percent 29 3" xfId="7232" xr:uid="{00000000-0005-0000-0000-0000009A0000}"/>
    <cellStyle name="Percent 29 3 2" xfId="36965" xr:uid="{00000000-0005-0000-0000-0000019A0000}"/>
    <cellStyle name="Percent 29 3 2 2" xfId="43224" xr:uid="{00000000-0005-0000-0000-0000029A0000}"/>
    <cellStyle name="Percent 29 3 3" xfId="36966" xr:uid="{00000000-0005-0000-0000-0000039A0000}"/>
    <cellStyle name="Percent 29 3 3 2" xfId="43225" xr:uid="{00000000-0005-0000-0000-0000049A0000}"/>
    <cellStyle name="Percent 29 4" xfId="36967" xr:uid="{00000000-0005-0000-0000-0000059A0000}"/>
    <cellStyle name="Percent 29 4 2" xfId="36968" xr:uid="{00000000-0005-0000-0000-0000069A0000}"/>
    <cellStyle name="Percent 29 4 2 2" xfId="43226" xr:uid="{00000000-0005-0000-0000-0000079A0000}"/>
    <cellStyle name="Percent 29 4 3" xfId="36969" xr:uid="{00000000-0005-0000-0000-0000089A0000}"/>
    <cellStyle name="Percent 29 4 3 2" xfId="43227" xr:uid="{00000000-0005-0000-0000-0000099A0000}"/>
    <cellStyle name="Percent 29 5" xfId="36970" xr:uid="{00000000-0005-0000-0000-00000A9A0000}"/>
    <cellStyle name="Percent 29 5 2" xfId="36971" xr:uid="{00000000-0005-0000-0000-00000B9A0000}"/>
    <cellStyle name="Percent 29 5 2 2" xfId="43228" xr:uid="{00000000-0005-0000-0000-00000C9A0000}"/>
    <cellStyle name="Percent 29 5 3" xfId="36972" xr:uid="{00000000-0005-0000-0000-00000D9A0000}"/>
    <cellStyle name="Percent 29 5 3 2" xfId="43229" xr:uid="{00000000-0005-0000-0000-00000E9A0000}"/>
    <cellStyle name="Percent 29 6" xfId="36973" xr:uid="{00000000-0005-0000-0000-00000F9A0000}"/>
    <cellStyle name="Percent 29 7" xfId="36974" xr:uid="{00000000-0005-0000-0000-0000109A0000}"/>
    <cellStyle name="Percent 29 8" xfId="36975" xr:uid="{00000000-0005-0000-0000-0000119A0000}"/>
    <cellStyle name="Percent 29 9" xfId="36976" xr:uid="{00000000-0005-0000-0000-0000129A0000}"/>
    <cellStyle name="Percent 3" xfId="44" xr:uid="{00000000-0005-0000-0000-0000139A0000}"/>
    <cellStyle name="Percent 3 10" xfId="43230" xr:uid="{00000000-0005-0000-0000-0000149A0000}"/>
    <cellStyle name="Percent 3 11" xfId="36977" xr:uid="{00000000-0005-0000-0000-0000159A0000}"/>
    <cellStyle name="Percent 3 12" xfId="7233" xr:uid="{00000000-0005-0000-0000-0000169A0000}"/>
    <cellStyle name="Percent 3 2" xfId="7234" xr:uid="{00000000-0005-0000-0000-0000179A0000}"/>
    <cellStyle name="Percent 3 2 10" xfId="36978" xr:uid="{00000000-0005-0000-0000-0000189A0000}"/>
    <cellStyle name="Percent 3 2 11" xfId="36979" xr:uid="{00000000-0005-0000-0000-0000199A0000}"/>
    <cellStyle name="Percent 3 2 12" xfId="36980" xr:uid="{00000000-0005-0000-0000-00001A9A0000}"/>
    <cellStyle name="Percent 3 2 13" xfId="36981" xr:uid="{00000000-0005-0000-0000-00001B9A0000}"/>
    <cellStyle name="Percent 3 2 14" xfId="36982" xr:uid="{00000000-0005-0000-0000-00001C9A0000}"/>
    <cellStyle name="Percent 3 2 15" xfId="36983" xr:uid="{00000000-0005-0000-0000-00001D9A0000}"/>
    <cellStyle name="Percent 3 2 16" xfId="36984" xr:uid="{00000000-0005-0000-0000-00001E9A0000}"/>
    <cellStyle name="Percent 3 2 17" xfId="36985" xr:uid="{00000000-0005-0000-0000-00001F9A0000}"/>
    <cellStyle name="Percent 3 2 17 2" xfId="43231" xr:uid="{00000000-0005-0000-0000-0000209A0000}"/>
    <cellStyle name="Percent 3 2 18" xfId="36986" xr:uid="{00000000-0005-0000-0000-0000219A0000}"/>
    <cellStyle name="Percent 3 2 18 2" xfId="43232" xr:uid="{00000000-0005-0000-0000-0000229A0000}"/>
    <cellStyle name="Percent 3 2 19" xfId="36987" xr:uid="{00000000-0005-0000-0000-0000239A0000}"/>
    <cellStyle name="Percent 3 2 19 2" xfId="43233" xr:uid="{00000000-0005-0000-0000-0000249A0000}"/>
    <cellStyle name="Percent 3 2 2" xfId="14213" xr:uid="{00000000-0005-0000-0000-0000259A0000}"/>
    <cellStyle name="Percent 3 2 2 10" xfId="36989" xr:uid="{00000000-0005-0000-0000-0000269A0000}"/>
    <cellStyle name="Percent 3 2 2 11" xfId="36990" xr:uid="{00000000-0005-0000-0000-0000279A0000}"/>
    <cellStyle name="Percent 3 2 2 12" xfId="36991" xr:uid="{00000000-0005-0000-0000-0000289A0000}"/>
    <cellStyle name="Percent 3 2 2 13" xfId="36992" xr:uid="{00000000-0005-0000-0000-0000299A0000}"/>
    <cellStyle name="Percent 3 2 2 14" xfId="36993" xr:uid="{00000000-0005-0000-0000-00002A9A0000}"/>
    <cellStyle name="Percent 3 2 2 15" xfId="36994" xr:uid="{00000000-0005-0000-0000-00002B9A0000}"/>
    <cellStyle name="Percent 3 2 2 16" xfId="36995" xr:uid="{00000000-0005-0000-0000-00002C9A0000}"/>
    <cellStyle name="Percent 3 2 2 16 2" xfId="43234" xr:uid="{00000000-0005-0000-0000-00002D9A0000}"/>
    <cellStyle name="Percent 3 2 2 17" xfId="36996" xr:uid="{00000000-0005-0000-0000-00002E9A0000}"/>
    <cellStyle name="Percent 3 2 2 17 2" xfId="43235" xr:uid="{00000000-0005-0000-0000-00002F9A0000}"/>
    <cellStyle name="Percent 3 2 2 18" xfId="36988" xr:uid="{00000000-0005-0000-0000-0000309A0000}"/>
    <cellStyle name="Percent 3 2 2 2" xfId="36997" xr:uid="{00000000-0005-0000-0000-0000319A0000}"/>
    <cellStyle name="Percent 3 2 2 2 2" xfId="36998" xr:uid="{00000000-0005-0000-0000-0000329A0000}"/>
    <cellStyle name="Percent 3 2 2 2 2 2" xfId="43236" xr:uid="{00000000-0005-0000-0000-0000339A0000}"/>
    <cellStyle name="Percent 3 2 2 2 3" xfId="36999" xr:uid="{00000000-0005-0000-0000-0000349A0000}"/>
    <cellStyle name="Percent 3 2 2 2 3 2" xfId="43237" xr:uid="{00000000-0005-0000-0000-0000359A0000}"/>
    <cellStyle name="Percent 3 2 2 3" xfId="37000" xr:uid="{00000000-0005-0000-0000-0000369A0000}"/>
    <cellStyle name="Percent 3 2 2 4" xfId="37001" xr:uid="{00000000-0005-0000-0000-0000379A0000}"/>
    <cellStyle name="Percent 3 2 2 5" xfId="37002" xr:uid="{00000000-0005-0000-0000-0000389A0000}"/>
    <cellStyle name="Percent 3 2 2 6" xfId="37003" xr:uid="{00000000-0005-0000-0000-0000399A0000}"/>
    <cellStyle name="Percent 3 2 2 7" xfId="37004" xr:uid="{00000000-0005-0000-0000-00003A9A0000}"/>
    <cellStyle name="Percent 3 2 2 8" xfId="37005" xr:uid="{00000000-0005-0000-0000-00003B9A0000}"/>
    <cellStyle name="Percent 3 2 2 9" xfId="37006" xr:uid="{00000000-0005-0000-0000-00003C9A0000}"/>
    <cellStyle name="Percent 3 2 3" xfId="37007" xr:uid="{00000000-0005-0000-0000-00003D9A0000}"/>
    <cellStyle name="Percent 3 2 3 2" xfId="37008" xr:uid="{00000000-0005-0000-0000-00003E9A0000}"/>
    <cellStyle name="Percent 3 2 3 2 2" xfId="43238" xr:uid="{00000000-0005-0000-0000-00003F9A0000}"/>
    <cellStyle name="Percent 3 2 3 3" xfId="37009" xr:uid="{00000000-0005-0000-0000-0000409A0000}"/>
    <cellStyle name="Percent 3 2 3 3 2" xfId="43239" xr:uid="{00000000-0005-0000-0000-0000419A0000}"/>
    <cellStyle name="Percent 3 2 4" xfId="37010" xr:uid="{00000000-0005-0000-0000-0000429A0000}"/>
    <cellStyle name="Percent 3 2 4 2" xfId="37011" xr:uid="{00000000-0005-0000-0000-0000439A0000}"/>
    <cellStyle name="Percent 3 2 4 2 2" xfId="43240" xr:uid="{00000000-0005-0000-0000-0000449A0000}"/>
    <cellStyle name="Percent 3 2 4 3" xfId="37012" xr:uid="{00000000-0005-0000-0000-0000459A0000}"/>
    <cellStyle name="Percent 3 2 4 3 2" xfId="43241" xr:uid="{00000000-0005-0000-0000-0000469A0000}"/>
    <cellStyle name="Percent 3 2 5" xfId="37013" xr:uid="{00000000-0005-0000-0000-0000479A0000}"/>
    <cellStyle name="Percent 3 2 5 2" xfId="37014" xr:uid="{00000000-0005-0000-0000-0000489A0000}"/>
    <cellStyle name="Percent 3 2 5 2 2" xfId="43242" xr:uid="{00000000-0005-0000-0000-0000499A0000}"/>
    <cellStyle name="Percent 3 2 5 3" xfId="37015" xr:uid="{00000000-0005-0000-0000-00004A9A0000}"/>
    <cellStyle name="Percent 3 2 5 3 2" xfId="43243" xr:uid="{00000000-0005-0000-0000-00004B9A0000}"/>
    <cellStyle name="Percent 3 2 6" xfId="37016" xr:uid="{00000000-0005-0000-0000-00004C9A0000}"/>
    <cellStyle name="Percent 3 2 7" xfId="37017" xr:uid="{00000000-0005-0000-0000-00004D9A0000}"/>
    <cellStyle name="Percent 3 2 8" xfId="37018" xr:uid="{00000000-0005-0000-0000-00004E9A0000}"/>
    <cellStyle name="Percent 3 2 9" xfId="37019" xr:uid="{00000000-0005-0000-0000-00004F9A0000}"/>
    <cellStyle name="Percent 3 3" xfId="7235" xr:uid="{00000000-0005-0000-0000-0000509A0000}"/>
    <cellStyle name="Percent 3 3 2" xfId="14214" xr:uid="{00000000-0005-0000-0000-0000519A0000}"/>
    <cellStyle name="Percent 3 3 2 2" xfId="43245" xr:uid="{00000000-0005-0000-0000-0000529A0000}"/>
    <cellStyle name="Percent 3 3 2 3" xfId="37021" xr:uid="{00000000-0005-0000-0000-0000539A0000}"/>
    <cellStyle name="Percent 3 3 3" xfId="37022" xr:uid="{00000000-0005-0000-0000-0000549A0000}"/>
    <cellStyle name="Percent 3 3 3 2" xfId="43246" xr:uid="{00000000-0005-0000-0000-0000559A0000}"/>
    <cellStyle name="Percent 3 3 4" xfId="43244" xr:uid="{00000000-0005-0000-0000-0000569A0000}"/>
    <cellStyle name="Percent 3 3 5" xfId="37020" xr:uid="{00000000-0005-0000-0000-0000579A0000}"/>
    <cellStyle name="Percent 3 4" xfId="7236" xr:uid="{00000000-0005-0000-0000-0000589A0000}"/>
    <cellStyle name="Percent 3 4 2" xfId="14215" xr:uid="{00000000-0005-0000-0000-0000599A0000}"/>
    <cellStyle name="Percent 3 4 2 2" xfId="43247" xr:uid="{00000000-0005-0000-0000-00005A9A0000}"/>
    <cellStyle name="Percent 3 4 3" xfId="37023" xr:uid="{00000000-0005-0000-0000-00005B9A0000}"/>
    <cellStyle name="Percent 3 5" xfId="7237" xr:uid="{00000000-0005-0000-0000-00005C9A0000}"/>
    <cellStyle name="Percent 3 5 2" xfId="14216" xr:uid="{00000000-0005-0000-0000-00005D9A0000}"/>
    <cellStyle name="Percent 3 5 2 2" xfId="43248" xr:uid="{00000000-0005-0000-0000-00005E9A0000}"/>
    <cellStyle name="Percent 3 5 3" xfId="37024" xr:uid="{00000000-0005-0000-0000-00005F9A0000}"/>
    <cellStyle name="Percent 3 6" xfId="7238" xr:uid="{00000000-0005-0000-0000-0000609A0000}"/>
    <cellStyle name="Percent 3 6 2" xfId="43249" xr:uid="{00000000-0005-0000-0000-0000619A0000}"/>
    <cellStyle name="Percent 3 6 3" xfId="37025" xr:uid="{00000000-0005-0000-0000-0000629A0000}"/>
    <cellStyle name="Percent 3 7" xfId="37026" xr:uid="{00000000-0005-0000-0000-0000639A0000}"/>
    <cellStyle name="Percent 3 7 2" xfId="43250" xr:uid="{00000000-0005-0000-0000-0000649A0000}"/>
    <cellStyle name="Percent 3 8" xfId="37027" xr:uid="{00000000-0005-0000-0000-0000659A0000}"/>
    <cellStyle name="Percent 3 8 2" xfId="43251" xr:uid="{00000000-0005-0000-0000-0000669A0000}"/>
    <cellStyle name="Percent 3 9" xfId="37028" xr:uid="{00000000-0005-0000-0000-0000679A0000}"/>
    <cellStyle name="Percent 3 9 2" xfId="43252" xr:uid="{00000000-0005-0000-0000-0000689A0000}"/>
    <cellStyle name="Percent 30" xfId="7239" xr:uid="{00000000-0005-0000-0000-0000699A0000}"/>
    <cellStyle name="Percent 30 10" xfId="37029" xr:uid="{00000000-0005-0000-0000-00006A9A0000}"/>
    <cellStyle name="Percent 30 11" xfId="37030" xr:uid="{00000000-0005-0000-0000-00006B9A0000}"/>
    <cellStyle name="Percent 30 12" xfId="37031" xr:uid="{00000000-0005-0000-0000-00006C9A0000}"/>
    <cellStyle name="Percent 30 13" xfId="37032" xr:uid="{00000000-0005-0000-0000-00006D9A0000}"/>
    <cellStyle name="Percent 30 14" xfId="37033" xr:uid="{00000000-0005-0000-0000-00006E9A0000}"/>
    <cellStyle name="Percent 30 15" xfId="37034" xr:uid="{00000000-0005-0000-0000-00006F9A0000}"/>
    <cellStyle name="Percent 30 16" xfId="37035" xr:uid="{00000000-0005-0000-0000-0000709A0000}"/>
    <cellStyle name="Percent 30 16 2" xfId="43253" xr:uid="{00000000-0005-0000-0000-0000719A0000}"/>
    <cellStyle name="Percent 30 17" xfId="37036" xr:uid="{00000000-0005-0000-0000-0000729A0000}"/>
    <cellStyle name="Percent 30 17 2" xfId="43254" xr:uid="{00000000-0005-0000-0000-0000739A0000}"/>
    <cellStyle name="Percent 30 18" xfId="37037" xr:uid="{00000000-0005-0000-0000-0000749A0000}"/>
    <cellStyle name="Percent 30 2" xfId="7240" xr:uid="{00000000-0005-0000-0000-0000759A0000}"/>
    <cellStyle name="Percent 30 2 2" xfId="37038" xr:uid="{00000000-0005-0000-0000-0000769A0000}"/>
    <cellStyle name="Percent 30 2 2 2" xfId="43255" xr:uid="{00000000-0005-0000-0000-0000779A0000}"/>
    <cellStyle name="Percent 30 2 3" xfId="37039" xr:uid="{00000000-0005-0000-0000-0000789A0000}"/>
    <cellStyle name="Percent 30 2 3 2" xfId="43256" xr:uid="{00000000-0005-0000-0000-0000799A0000}"/>
    <cellStyle name="Percent 30 3" xfId="7241" xr:uid="{00000000-0005-0000-0000-00007A9A0000}"/>
    <cellStyle name="Percent 30 3 2" xfId="37040" xr:uid="{00000000-0005-0000-0000-00007B9A0000}"/>
    <cellStyle name="Percent 30 3 2 2" xfId="43257" xr:uid="{00000000-0005-0000-0000-00007C9A0000}"/>
    <cellStyle name="Percent 30 3 3" xfId="37041" xr:uid="{00000000-0005-0000-0000-00007D9A0000}"/>
    <cellStyle name="Percent 30 3 3 2" xfId="43258" xr:uid="{00000000-0005-0000-0000-00007E9A0000}"/>
    <cellStyle name="Percent 30 4" xfId="37042" xr:uid="{00000000-0005-0000-0000-00007F9A0000}"/>
    <cellStyle name="Percent 30 4 2" xfId="37043" xr:uid="{00000000-0005-0000-0000-0000809A0000}"/>
    <cellStyle name="Percent 30 4 2 2" xfId="43259" xr:uid="{00000000-0005-0000-0000-0000819A0000}"/>
    <cellStyle name="Percent 30 4 3" xfId="37044" xr:uid="{00000000-0005-0000-0000-0000829A0000}"/>
    <cellStyle name="Percent 30 4 3 2" xfId="43260" xr:uid="{00000000-0005-0000-0000-0000839A0000}"/>
    <cellStyle name="Percent 30 5" xfId="37045" xr:uid="{00000000-0005-0000-0000-0000849A0000}"/>
    <cellStyle name="Percent 30 6" xfId="37046" xr:uid="{00000000-0005-0000-0000-0000859A0000}"/>
    <cellStyle name="Percent 30 7" xfId="37047" xr:uid="{00000000-0005-0000-0000-0000869A0000}"/>
    <cellStyle name="Percent 30 8" xfId="37048" xr:uid="{00000000-0005-0000-0000-0000879A0000}"/>
    <cellStyle name="Percent 30 9" xfId="37049" xr:uid="{00000000-0005-0000-0000-0000889A0000}"/>
    <cellStyle name="Percent 31" xfId="7242" xr:uid="{00000000-0005-0000-0000-0000899A0000}"/>
    <cellStyle name="Percent 31 10" xfId="37050" xr:uid="{00000000-0005-0000-0000-00008A9A0000}"/>
    <cellStyle name="Percent 31 11" xfId="37051" xr:uid="{00000000-0005-0000-0000-00008B9A0000}"/>
    <cellStyle name="Percent 31 12" xfId="37052" xr:uid="{00000000-0005-0000-0000-00008C9A0000}"/>
    <cellStyle name="Percent 31 13" xfId="37053" xr:uid="{00000000-0005-0000-0000-00008D9A0000}"/>
    <cellStyle name="Percent 31 14" xfId="37054" xr:uid="{00000000-0005-0000-0000-00008E9A0000}"/>
    <cellStyle name="Percent 31 15" xfId="37055" xr:uid="{00000000-0005-0000-0000-00008F9A0000}"/>
    <cellStyle name="Percent 31 16" xfId="37056" xr:uid="{00000000-0005-0000-0000-0000909A0000}"/>
    <cellStyle name="Percent 31 16 2" xfId="43261" xr:uid="{00000000-0005-0000-0000-0000919A0000}"/>
    <cellStyle name="Percent 31 17" xfId="37057" xr:uid="{00000000-0005-0000-0000-0000929A0000}"/>
    <cellStyle name="Percent 31 17 2" xfId="43262" xr:uid="{00000000-0005-0000-0000-0000939A0000}"/>
    <cellStyle name="Percent 31 18" xfId="37058" xr:uid="{00000000-0005-0000-0000-0000949A0000}"/>
    <cellStyle name="Percent 31 2" xfId="7243" xr:uid="{00000000-0005-0000-0000-0000959A0000}"/>
    <cellStyle name="Percent 31 2 2" xfId="37059" xr:uid="{00000000-0005-0000-0000-0000969A0000}"/>
    <cellStyle name="Percent 31 2 2 2" xfId="43263" xr:uid="{00000000-0005-0000-0000-0000979A0000}"/>
    <cellStyle name="Percent 31 2 3" xfId="37060" xr:uid="{00000000-0005-0000-0000-0000989A0000}"/>
    <cellStyle name="Percent 31 2 3 2" xfId="43264" xr:uid="{00000000-0005-0000-0000-0000999A0000}"/>
    <cellStyle name="Percent 31 3" xfId="7244" xr:uid="{00000000-0005-0000-0000-00009A9A0000}"/>
    <cellStyle name="Percent 31 3 2" xfId="37061" xr:uid="{00000000-0005-0000-0000-00009B9A0000}"/>
    <cellStyle name="Percent 31 3 2 2" xfId="43265" xr:uid="{00000000-0005-0000-0000-00009C9A0000}"/>
    <cellStyle name="Percent 31 3 3" xfId="37062" xr:uid="{00000000-0005-0000-0000-00009D9A0000}"/>
    <cellStyle name="Percent 31 3 3 2" xfId="43266" xr:uid="{00000000-0005-0000-0000-00009E9A0000}"/>
    <cellStyle name="Percent 31 4" xfId="37063" xr:uid="{00000000-0005-0000-0000-00009F9A0000}"/>
    <cellStyle name="Percent 31 4 2" xfId="37064" xr:uid="{00000000-0005-0000-0000-0000A09A0000}"/>
    <cellStyle name="Percent 31 4 2 2" xfId="43267" xr:uid="{00000000-0005-0000-0000-0000A19A0000}"/>
    <cellStyle name="Percent 31 4 3" xfId="37065" xr:uid="{00000000-0005-0000-0000-0000A29A0000}"/>
    <cellStyle name="Percent 31 4 3 2" xfId="43268" xr:uid="{00000000-0005-0000-0000-0000A39A0000}"/>
    <cellStyle name="Percent 31 5" xfId="37066" xr:uid="{00000000-0005-0000-0000-0000A49A0000}"/>
    <cellStyle name="Percent 31 6" xfId="37067" xr:uid="{00000000-0005-0000-0000-0000A59A0000}"/>
    <cellStyle name="Percent 31 7" xfId="37068" xr:uid="{00000000-0005-0000-0000-0000A69A0000}"/>
    <cellStyle name="Percent 31 8" xfId="37069" xr:uid="{00000000-0005-0000-0000-0000A79A0000}"/>
    <cellStyle name="Percent 31 9" xfId="37070" xr:uid="{00000000-0005-0000-0000-0000A89A0000}"/>
    <cellStyle name="Percent 32" xfId="7245" xr:uid="{00000000-0005-0000-0000-0000A99A0000}"/>
    <cellStyle name="Percent 32 10" xfId="37071" xr:uid="{00000000-0005-0000-0000-0000AA9A0000}"/>
    <cellStyle name="Percent 32 11" xfId="37072" xr:uid="{00000000-0005-0000-0000-0000AB9A0000}"/>
    <cellStyle name="Percent 32 12" xfId="37073" xr:uid="{00000000-0005-0000-0000-0000AC9A0000}"/>
    <cellStyle name="Percent 32 13" xfId="37074" xr:uid="{00000000-0005-0000-0000-0000AD9A0000}"/>
    <cellStyle name="Percent 32 14" xfId="37075" xr:uid="{00000000-0005-0000-0000-0000AE9A0000}"/>
    <cellStyle name="Percent 32 15" xfId="37076" xr:uid="{00000000-0005-0000-0000-0000AF9A0000}"/>
    <cellStyle name="Percent 32 16" xfId="37077" xr:uid="{00000000-0005-0000-0000-0000B09A0000}"/>
    <cellStyle name="Percent 32 16 2" xfId="43269" xr:uid="{00000000-0005-0000-0000-0000B19A0000}"/>
    <cellStyle name="Percent 32 17" xfId="37078" xr:uid="{00000000-0005-0000-0000-0000B29A0000}"/>
    <cellStyle name="Percent 32 17 2" xfId="43270" xr:uid="{00000000-0005-0000-0000-0000B39A0000}"/>
    <cellStyle name="Percent 32 18" xfId="37079" xr:uid="{00000000-0005-0000-0000-0000B49A0000}"/>
    <cellStyle name="Percent 32 2" xfId="7246" xr:uid="{00000000-0005-0000-0000-0000B59A0000}"/>
    <cellStyle name="Percent 32 2 2" xfId="37080" xr:uid="{00000000-0005-0000-0000-0000B69A0000}"/>
    <cellStyle name="Percent 32 2 2 2" xfId="43271" xr:uid="{00000000-0005-0000-0000-0000B79A0000}"/>
    <cellStyle name="Percent 32 2 3" xfId="37081" xr:uid="{00000000-0005-0000-0000-0000B89A0000}"/>
    <cellStyle name="Percent 32 2 3 2" xfId="43272" xr:uid="{00000000-0005-0000-0000-0000B99A0000}"/>
    <cellStyle name="Percent 32 2 4" xfId="37082" xr:uid="{00000000-0005-0000-0000-0000BA9A0000}"/>
    <cellStyle name="Percent 32 3" xfId="7247" xr:uid="{00000000-0005-0000-0000-0000BB9A0000}"/>
    <cellStyle name="Percent 32 3 2" xfId="37083" xr:uid="{00000000-0005-0000-0000-0000BC9A0000}"/>
    <cellStyle name="Percent 32 3 2 2" xfId="43273" xr:uid="{00000000-0005-0000-0000-0000BD9A0000}"/>
    <cellStyle name="Percent 32 3 3" xfId="37084" xr:uid="{00000000-0005-0000-0000-0000BE9A0000}"/>
    <cellStyle name="Percent 32 3 3 2" xfId="43274" xr:uid="{00000000-0005-0000-0000-0000BF9A0000}"/>
    <cellStyle name="Percent 32 4" xfId="37085" xr:uid="{00000000-0005-0000-0000-0000C09A0000}"/>
    <cellStyle name="Percent 32 4 2" xfId="37086" xr:uid="{00000000-0005-0000-0000-0000C19A0000}"/>
    <cellStyle name="Percent 32 4 2 2" xfId="43275" xr:uid="{00000000-0005-0000-0000-0000C29A0000}"/>
    <cellStyle name="Percent 32 4 3" xfId="37087" xr:uid="{00000000-0005-0000-0000-0000C39A0000}"/>
    <cellStyle name="Percent 32 4 3 2" xfId="43276" xr:uid="{00000000-0005-0000-0000-0000C49A0000}"/>
    <cellStyle name="Percent 32 5" xfId="37088" xr:uid="{00000000-0005-0000-0000-0000C59A0000}"/>
    <cellStyle name="Percent 32 6" xfId="37089" xr:uid="{00000000-0005-0000-0000-0000C69A0000}"/>
    <cellStyle name="Percent 32 7" xfId="37090" xr:uid="{00000000-0005-0000-0000-0000C79A0000}"/>
    <cellStyle name="Percent 32 8" xfId="37091" xr:uid="{00000000-0005-0000-0000-0000C89A0000}"/>
    <cellStyle name="Percent 32 9" xfId="37092" xr:uid="{00000000-0005-0000-0000-0000C99A0000}"/>
    <cellStyle name="Percent 33" xfId="7248" xr:uid="{00000000-0005-0000-0000-0000CA9A0000}"/>
    <cellStyle name="Percent 33 10" xfId="37093" xr:uid="{00000000-0005-0000-0000-0000CB9A0000}"/>
    <cellStyle name="Percent 33 11" xfId="37094" xr:uid="{00000000-0005-0000-0000-0000CC9A0000}"/>
    <cellStyle name="Percent 33 12" xfId="37095" xr:uid="{00000000-0005-0000-0000-0000CD9A0000}"/>
    <cellStyle name="Percent 33 13" xfId="37096" xr:uid="{00000000-0005-0000-0000-0000CE9A0000}"/>
    <cellStyle name="Percent 33 14" xfId="37097" xr:uid="{00000000-0005-0000-0000-0000CF9A0000}"/>
    <cellStyle name="Percent 33 15" xfId="37098" xr:uid="{00000000-0005-0000-0000-0000D09A0000}"/>
    <cellStyle name="Percent 33 16" xfId="37099" xr:uid="{00000000-0005-0000-0000-0000D19A0000}"/>
    <cellStyle name="Percent 33 16 2" xfId="43277" xr:uid="{00000000-0005-0000-0000-0000D29A0000}"/>
    <cellStyle name="Percent 33 17" xfId="37100" xr:uid="{00000000-0005-0000-0000-0000D39A0000}"/>
    <cellStyle name="Percent 33 17 2" xfId="43278" xr:uid="{00000000-0005-0000-0000-0000D49A0000}"/>
    <cellStyle name="Percent 33 18" xfId="37101" xr:uid="{00000000-0005-0000-0000-0000D59A0000}"/>
    <cellStyle name="Percent 33 2" xfId="7249" xr:uid="{00000000-0005-0000-0000-0000D69A0000}"/>
    <cellStyle name="Percent 33 2 2" xfId="37102" xr:uid="{00000000-0005-0000-0000-0000D79A0000}"/>
    <cellStyle name="Percent 33 2 2 2" xfId="43279" xr:uid="{00000000-0005-0000-0000-0000D89A0000}"/>
    <cellStyle name="Percent 33 2 3" xfId="37103" xr:uid="{00000000-0005-0000-0000-0000D99A0000}"/>
    <cellStyle name="Percent 33 2 3 2" xfId="43280" xr:uid="{00000000-0005-0000-0000-0000DA9A0000}"/>
    <cellStyle name="Percent 33 3" xfId="7250" xr:uid="{00000000-0005-0000-0000-0000DB9A0000}"/>
    <cellStyle name="Percent 33 3 2" xfId="37104" xr:uid="{00000000-0005-0000-0000-0000DC9A0000}"/>
    <cellStyle name="Percent 33 3 2 2" xfId="43281" xr:uid="{00000000-0005-0000-0000-0000DD9A0000}"/>
    <cellStyle name="Percent 33 3 3" xfId="37105" xr:uid="{00000000-0005-0000-0000-0000DE9A0000}"/>
    <cellStyle name="Percent 33 3 3 2" xfId="43282" xr:uid="{00000000-0005-0000-0000-0000DF9A0000}"/>
    <cellStyle name="Percent 33 4" xfId="37106" xr:uid="{00000000-0005-0000-0000-0000E09A0000}"/>
    <cellStyle name="Percent 33 4 2" xfId="37107" xr:uid="{00000000-0005-0000-0000-0000E19A0000}"/>
    <cellStyle name="Percent 33 4 2 2" xfId="43283" xr:uid="{00000000-0005-0000-0000-0000E29A0000}"/>
    <cellStyle name="Percent 33 4 3" xfId="37108" xr:uid="{00000000-0005-0000-0000-0000E39A0000}"/>
    <cellStyle name="Percent 33 4 3 2" xfId="43284" xr:uid="{00000000-0005-0000-0000-0000E49A0000}"/>
    <cellStyle name="Percent 33 5" xfId="37109" xr:uid="{00000000-0005-0000-0000-0000E59A0000}"/>
    <cellStyle name="Percent 33 6" xfId="37110" xr:uid="{00000000-0005-0000-0000-0000E69A0000}"/>
    <cellStyle name="Percent 33 7" xfId="37111" xr:uid="{00000000-0005-0000-0000-0000E79A0000}"/>
    <cellStyle name="Percent 33 8" xfId="37112" xr:uid="{00000000-0005-0000-0000-0000E89A0000}"/>
    <cellStyle name="Percent 33 9" xfId="37113" xr:uid="{00000000-0005-0000-0000-0000E99A0000}"/>
    <cellStyle name="Percent 34" xfId="7251" xr:uid="{00000000-0005-0000-0000-0000EA9A0000}"/>
    <cellStyle name="Percent 34 10" xfId="37114" xr:uid="{00000000-0005-0000-0000-0000EB9A0000}"/>
    <cellStyle name="Percent 34 11" xfId="37115" xr:uid="{00000000-0005-0000-0000-0000EC9A0000}"/>
    <cellStyle name="Percent 34 12" xfId="37116" xr:uid="{00000000-0005-0000-0000-0000ED9A0000}"/>
    <cellStyle name="Percent 34 13" xfId="37117" xr:uid="{00000000-0005-0000-0000-0000EE9A0000}"/>
    <cellStyle name="Percent 34 14" xfId="37118" xr:uid="{00000000-0005-0000-0000-0000EF9A0000}"/>
    <cellStyle name="Percent 34 15" xfId="37119" xr:uid="{00000000-0005-0000-0000-0000F09A0000}"/>
    <cellStyle name="Percent 34 16" xfId="37120" xr:uid="{00000000-0005-0000-0000-0000F19A0000}"/>
    <cellStyle name="Percent 34 16 2" xfId="43285" xr:uid="{00000000-0005-0000-0000-0000F29A0000}"/>
    <cellStyle name="Percent 34 17" xfId="37121" xr:uid="{00000000-0005-0000-0000-0000F39A0000}"/>
    <cellStyle name="Percent 34 17 2" xfId="43286" xr:uid="{00000000-0005-0000-0000-0000F49A0000}"/>
    <cellStyle name="Percent 34 18" xfId="37122" xr:uid="{00000000-0005-0000-0000-0000F59A0000}"/>
    <cellStyle name="Percent 34 2" xfId="7252" xr:uid="{00000000-0005-0000-0000-0000F69A0000}"/>
    <cellStyle name="Percent 34 2 2" xfId="37123" xr:uid="{00000000-0005-0000-0000-0000F79A0000}"/>
    <cellStyle name="Percent 34 2 2 2" xfId="43287" xr:uid="{00000000-0005-0000-0000-0000F89A0000}"/>
    <cellStyle name="Percent 34 2 3" xfId="37124" xr:uid="{00000000-0005-0000-0000-0000F99A0000}"/>
    <cellStyle name="Percent 34 2 3 2" xfId="43288" xr:uid="{00000000-0005-0000-0000-0000FA9A0000}"/>
    <cellStyle name="Percent 34 3" xfId="7253" xr:uid="{00000000-0005-0000-0000-0000FB9A0000}"/>
    <cellStyle name="Percent 34 3 2" xfId="37125" xr:uid="{00000000-0005-0000-0000-0000FC9A0000}"/>
    <cellStyle name="Percent 34 3 2 2" xfId="43289" xr:uid="{00000000-0005-0000-0000-0000FD9A0000}"/>
    <cellStyle name="Percent 34 3 3" xfId="37126" xr:uid="{00000000-0005-0000-0000-0000FE9A0000}"/>
    <cellStyle name="Percent 34 3 3 2" xfId="43290" xr:uid="{00000000-0005-0000-0000-0000FF9A0000}"/>
    <cellStyle name="Percent 34 4" xfId="37127" xr:uid="{00000000-0005-0000-0000-0000009B0000}"/>
    <cellStyle name="Percent 34 4 2" xfId="37128" xr:uid="{00000000-0005-0000-0000-0000019B0000}"/>
    <cellStyle name="Percent 34 4 2 2" xfId="43291" xr:uid="{00000000-0005-0000-0000-0000029B0000}"/>
    <cellStyle name="Percent 34 4 3" xfId="37129" xr:uid="{00000000-0005-0000-0000-0000039B0000}"/>
    <cellStyle name="Percent 34 4 3 2" xfId="43292" xr:uid="{00000000-0005-0000-0000-0000049B0000}"/>
    <cellStyle name="Percent 34 5" xfId="37130" xr:uid="{00000000-0005-0000-0000-0000059B0000}"/>
    <cellStyle name="Percent 34 6" xfId="37131" xr:uid="{00000000-0005-0000-0000-0000069B0000}"/>
    <cellStyle name="Percent 34 7" xfId="37132" xr:uid="{00000000-0005-0000-0000-0000079B0000}"/>
    <cellStyle name="Percent 34 8" xfId="37133" xr:uid="{00000000-0005-0000-0000-0000089B0000}"/>
    <cellStyle name="Percent 34 9" xfId="37134" xr:uid="{00000000-0005-0000-0000-0000099B0000}"/>
    <cellStyle name="Percent 35" xfId="7254" xr:uid="{00000000-0005-0000-0000-00000A9B0000}"/>
    <cellStyle name="Percent 35 10" xfId="37135" xr:uid="{00000000-0005-0000-0000-00000B9B0000}"/>
    <cellStyle name="Percent 35 11" xfId="37136" xr:uid="{00000000-0005-0000-0000-00000C9B0000}"/>
    <cellStyle name="Percent 35 12" xfId="37137" xr:uid="{00000000-0005-0000-0000-00000D9B0000}"/>
    <cellStyle name="Percent 35 13" xfId="37138" xr:uid="{00000000-0005-0000-0000-00000E9B0000}"/>
    <cellStyle name="Percent 35 14" xfId="37139" xr:uid="{00000000-0005-0000-0000-00000F9B0000}"/>
    <cellStyle name="Percent 35 15" xfId="37140" xr:uid="{00000000-0005-0000-0000-0000109B0000}"/>
    <cellStyle name="Percent 35 16" xfId="37141" xr:uid="{00000000-0005-0000-0000-0000119B0000}"/>
    <cellStyle name="Percent 35 16 2" xfId="43293" xr:uid="{00000000-0005-0000-0000-0000129B0000}"/>
    <cellStyle name="Percent 35 17" xfId="37142" xr:uid="{00000000-0005-0000-0000-0000139B0000}"/>
    <cellStyle name="Percent 35 17 2" xfId="43294" xr:uid="{00000000-0005-0000-0000-0000149B0000}"/>
    <cellStyle name="Percent 35 18" xfId="37143" xr:uid="{00000000-0005-0000-0000-0000159B0000}"/>
    <cellStyle name="Percent 35 2" xfId="7255" xr:uid="{00000000-0005-0000-0000-0000169B0000}"/>
    <cellStyle name="Percent 35 2 2" xfId="37144" xr:uid="{00000000-0005-0000-0000-0000179B0000}"/>
    <cellStyle name="Percent 35 2 2 2" xfId="43295" xr:uid="{00000000-0005-0000-0000-0000189B0000}"/>
    <cellStyle name="Percent 35 2 3" xfId="37145" xr:uid="{00000000-0005-0000-0000-0000199B0000}"/>
    <cellStyle name="Percent 35 2 3 2" xfId="43296" xr:uid="{00000000-0005-0000-0000-00001A9B0000}"/>
    <cellStyle name="Percent 35 3" xfId="7256" xr:uid="{00000000-0005-0000-0000-00001B9B0000}"/>
    <cellStyle name="Percent 35 3 2" xfId="37146" xr:uid="{00000000-0005-0000-0000-00001C9B0000}"/>
    <cellStyle name="Percent 35 3 2 2" xfId="43297" xr:uid="{00000000-0005-0000-0000-00001D9B0000}"/>
    <cellStyle name="Percent 35 3 3" xfId="37147" xr:uid="{00000000-0005-0000-0000-00001E9B0000}"/>
    <cellStyle name="Percent 35 3 3 2" xfId="43298" xr:uid="{00000000-0005-0000-0000-00001F9B0000}"/>
    <cellStyle name="Percent 35 4" xfId="37148" xr:uid="{00000000-0005-0000-0000-0000209B0000}"/>
    <cellStyle name="Percent 35 4 2" xfId="37149" xr:uid="{00000000-0005-0000-0000-0000219B0000}"/>
    <cellStyle name="Percent 35 4 2 2" xfId="43299" xr:uid="{00000000-0005-0000-0000-0000229B0000}"/>
    <cellStyle name="Percent 35 4 3" xfId="37150" xr:uid="{00000000-0005-0000-0000-0000239B0000}"/>
    <cellStyle name="Percent 35 4 3 2" xfId="43300" xr:uid="{00000000-0005-0000-0000-0000249B0000}"/>
    <cellStyle name="Percent 35 5" xfId="37151" xr:uid="{00000000-0005-0000-0000-0000259B0000}"/>
    <cellStyle name="Percent 35 6" xfId="37152" xr:uid="{00000000-0005-0000-0000-0000269B0000}"/>
    <cellStyle name="Percent 35 7" xfId="37153" xr:uid="{00000000-0005-0000-0000-0000279B0000}"/>
    <cellStyle name="Percent 35 8" xfId="37154" xr:uid="{00000000-0005-0000-0000-0000289B0000}"/>
    <cellStyle name="Percent 35 9" xfId="37155" xr:uid="{00000000-0005-0000-0000-0000299B0000}"/>
    <cellStyle name="Percent 36" xfId="7257" xr:uid="{00000000-0005-0000-0000-00002A9B0000}"/>
    <cellStyle name="Percent 36 10" xfId="37156" xr:uid="{00000000-0005-0000-0000-00002B9B0000}"/>
    <cellStyle name="Percent 36 11" xfId="37157" xr:uid="{00000000-0005-0000-0000-00002C9B0000}"/>
    <cellStyle name="Percent 36 12" xfId="37158" xr:uid="{00000000-0005-0000-0000-00002D9B0000}"/>
    <cellStyle name="Percent 36 13" xfId="37159" xr:uid="{00000000-0005-0000-0000-00002E9B0000}"/>
    <cellStyle name="Percent 36 14" xfId="37160" xr:uid="{00000000-0005-0000-0000-00002F9B0000}"/>
    <cellStyle name="Percent 36 15" xfId="37161" xr:uid="{00000000-0005-0000-0000-0000309B0000}"/>
    <cellStyle name="Percent 36 16" xfId="37162" xr:uid="{00000000-0005-0000-0000-0000319B0000}"/>
    <cellStyle name="Percent 36 16 2" xfId="43301" xr:uid="{00000000-0005-0000-0000-0000329B0000}"/>
    <cellStyle name="Percent 36 17" xfId="37163" xr:uid="{00000000-0005-0000-0000-0000339B0000}"/>
    <cellStyle name="Percent 36 17 2" xfId="43302" xr:uid="{00000000-0005-0000-0000-0000349B0000}"/>
    <cellStyle name="Percent 36 18" xfId="37164" xr:uid="{00000000-0005-0000-0000-0000359B0000}"/>
    <cellStyle name="Percent 36 2" xfId="7258" xr:uid="{00000000-0005-0000-0000-0000369B0000}"/>
    <cellStyle name="Percent 36 2 2" xfId="37165" xr:uid="{00000000-0005-0000-0000-0000379B0000}"/>
    <cellStyle name="Percent 36 2 2 2" xfId="43303" xr:uid="{00000000-0005-0000-0000-0000389B0000}"/>
    <cellStyle name="Percent 36 2 3" xfId="37166" xr:uid="{00000000-0005-0000-0000-0000399B0000}"/>
    <cellStyle name="Percent 36 2 3 2" xfId="43304" xr:uid="{00000000-0005-0000-0000-00003A9B0000}"/>
    <cellStyle name="Percent 36 3" xfId="7259" xr:uid="{00000000-0005-0000-0000-00003B9B0000}"/>
    <cellStyle name="Percent 36 3 2" xfId="37167" xr:uid="{00000000-0005-0000-0000-00003C9B0000}"/>
    <cellStyle name="Percent 36 3 2 2" xfId="43305" xr:uid="{00000000-0005-0000-0000-00003D9B0000}"/>
    <cellStyle name="Percent 36 3 3" xfId="37168" xr:uid="{00000000-0005-0000-0000-00003E9B0000}"/>
    <cellStyle name="Percent 36 3 3 2" xfId="43306" xr:uid="{00000000-0005-0000-0000-00003F9B0000}"/>
    <cellStyle name="Percent 36 4" xfId="37169" xr:uid="{00000000-0005-0000-0000-0000409B0000}"/>
    <cellStyle name="Percent 36 4 2" xfId="37170" xr:uid="{00000000-0005-0000-0000-0000419B0000}"/>
    <cellStyle name="Percent 36 4 2 2" xfId="43307" xr:uid="{00000000-0005-0000-0000-0000429B0000}"/>
    <cellStyle name="Percent 36 4 3" xfId="37171" xr:uid="{00000000-0005-0000-0000-0000439B0000}"/>
    <cellStyle name="Percent 36 4 3 2" xfId="43308" xr:uid="{00000000-0005-0000-0000-0000449B0000}"/>
    <cellStyle name="Percent 36 5" xfId="37172" xr:uid="{00000000-0005-0000-0000-0000459B0000}"/>
    <cellStyle name="Percent 36 6" xfId="37173" xr:uid="{00000000-0005-0000-0000-0000469B0000}"/>
    <cellStyle name="Percent 36 7" xfId="37174" xr:uid="{00000000-0005-0000-0000-0000479B0000}"/>
    <cellStyle name="Percent 36 8" xfId="37175" xr:uid="{00000000-0005-0000-0000-0000489B0000}"/>
    <cellStyle name="Percent 36 9" xfId="37176" xr:uid="{00000000-0005-0000-0000-0000499B0000}"/>
    <cellStyle name="Percent 37" xfId="7260" xr:uid="{00000000-0005-0000-0000-00004A9B0000}"/>
    <cellStyle name="Percent 37 10" xfId="37177" xr:uid="{00000000-0005-0000-0000-00004B9B0000}"/>
    <cellStyle name="Percent 37 11" xfId="37178" xr:uid="{00000000-0005-0000-0000-00004C9B0000}"/>
    <cellStyle name="Percent 37 12" xfId="37179" xr:uid="{00000000-0005-0000-0000-00004D9B0000}"/>
    <cellStyle name="Percent 37 13" xfId="37180" xr:uid="{00000000-0005-0000-0000-00004E9B0000}"/>
    <cellStyle name="Percent 37 14" xfId="37181" xr:uid="{00000000-0005-0000-0000-00004F9B0000}"/>
    <cellStyle name="Percent 37 15" xfId="37182" xr:uid="{00000000-0005-0000-0000-0000509B0000}"/>
    <cellStyle name="Percent 37 16" xfId="37183" xr:uid="{00000000-0005-0000-0000-0000519B0000}"/>
    <cellStyle name="Percent 37 16 2" xfId="43309" xr:uid="{00000000-0005-0000-0000-0000529B0000}"/>
    <cellStyle name="Percent 37 17" xfId="37184" xr:uid="{00000000-0005-0000-0000-0000539B0000}"/>
    <cellStyle name="Percent 37 17 2" xfId="43310" xr:uid="{00000000-0005-0000-0000-0000549B0000}"/>
    <cellStyle name="Percent 37 18" xfId="37185" xr:uid="{00000000-0005-0000-0000-0000559B0000}"/>
    <cellStyle name="Percent 37 2" xfId="7261" xr:uid="{00000000-0005-0000-0000-0000569B0000}"/>
    <cellStyle name="Percent 37 2 2" xfId="37186" xr:uid="{00000000-0005-0000-0000-0000579B0000}"/>
    <cellStyle name="Percent 37 2 2 2" xfId="43311" xr:uid="{00000000-0005-0000-0000-0000589B0000}"/>
    <cellStyle name="Percent 37 2 3" xfId="37187" xr:uid="{00000000-0005-0000-0000-0000599B0000}"/>
    <cellStyle name="Percent 37 2 3 2" xfId="43312" xr:uid="{00000000-0005-0000-0000-00005A9B0000}"/>
    <cellStyle name="Percent 37 2 4" xfId="37188" xr:uid="{00000000-0005-0000-0000-00005B9B0000}"/>
    <cellStyle name="Percent 37 3" xfId="7262" xr:uid="{00000000-0005-0000-0000-00005C9B0000}"/>
    <cellStyle name="Percent 37 3 2" xfId="37189" xr:uid="{00000000-0005-0000-0000-00005D9B0000}"/>
    <cellStyle name="Percent 37 3 2 2" xfId="43313" xr:uid="{00000000-0005-0000-0000-00005E9B0000}"/>
    <cellStyle name="Percent 37 3 3" xfId="37190" xr:uid="{00000000-0005-0000-0000-00005F9B0000}"/>
    <cellStyle name="Percent 37 3 3 2" xfId="43314" xr:uid="{00000000-0005-0000-0000-0000609B0000}"/>
    <cellStyle name="Percent 37 3 4" xfId="37191" xr:uid="{00000000-0005-0000-0000-0000619B0000}"/>
    <cellStyle name="Percent 37 4" xfId="37192" xr:uid="{00000000-0005-0000-0000-0000629B0000}"/>
    <cellStyle name="Percent 37 4 2" xfId="37193" xr:uid="{00000000-0005-0000-0000-0000639B0000}"/>
    <cellStyle name="Percent 37 4 2 2" xfId="43315" xr:uid="{00000000-0005-0000-0000-0000649B0000}"/>
    <cellStyle name="Percent 37 4 3" xfId="37194" xr:uid="{00000000-0005-0000-0000-0000659B0000}"/>
    <cellStyle name="Percent 37 4 3 2" xfId="43316" xr:uid="{00000000-0005-0000-0000-0000669B0000}"/>
    <cellStyle name="Percent 37 4 4" xfId="37195" xr:uid="{00000000-0005-0000-0000-0000679B0000}"/>
    <cellStyle name="Percent 37 5" xfId="37196" xr:uid="{00000000-0005-0000-0000-0000689B0000}"/>
    <cellStyle name="Percent 37 6" xfId="37197" xr:uid="{00000000-0005-0000-0000-0000699B0000}"/>
    <cellStyle name="Percent 37 7" xfId="37198" xr:uid="{00000000-0005-0000-0000-00006A9B0000}"/>
    <cellStyle name="Percent 37 8" xfId="37199" xr:uid="{00000000-0005-0000-0000-00006B9B0000}"/>
    <cellStyle name="Percent 37 9" xfId="37200" xr:uid="{00000000-0005-0000-0000-00006C9B0000}"/>
    <cellStyle name="Percent 38" xfId="7263" xr:uid="{00000000-0005-0000-0000-00006D9B0000}"/>
    <cellStyle name="Percent 38 10" xfId="37201" xr:uid="{00000000-0005-0000-0000-00006E9B0000}"/>
    <cellStyle name="Percent 38 11" xfId="37202" xr:uid="{00000000-0005-0000-0000-00006F9B0000}"/>
    <cellStyle name="Percent 38 12" xfId="37203" xr:uid="{00000000-0005-0000-0000-0000709B0000}"/>
    <cellStyle name="Percent 38 13" xfId="37204" xr:uid="{00000000-0005-0000-0000-0000719B0000}"/>
    <cellStyle name="Percent 38 14" xfId="37205" xr:uid="{00000000-0005-0000-0000-0000729B0000}"/>
    <cellStyle name="Percent 38 15" xfId="37206" xr:uid="{00000000-0005-0000-0000-0000739B0000}"/>
    <cellStyle name="Percent 38 16" xfId="37207" xr:uid="{00000000-0005-0000-0000-0000749B0000}"/>
    <cellStyle name="Percent 38 16 2" xfId="43317" xr:uid="{00000000-0005-0000-0000-0000759B0000}"/>
    <cellStyle name="Percent 38 17" xfId="37208" xr:uid="{00000000-0005-0000-0000-0000769B0000}"/>
    <cellStyle name="Percent 38 17 2" xfId="43318" xr:uid="{00000000-0005-0000-0000-0000779B0000}"/>
    <cellStyle name="Percent 38 18" xfId="37209" xr:uid="{00000000-0005-0000-0000-0000789B0000}"/>
    <cellStyle name="Percent 38 2" xfId="7264" xr:uid="{00000000-0005-0000-0000-0000799B0000}"/>
    <cellStyle name="Percent 38 2 2" xfId="37210" xr:uid="{00000000-0005-0000-0000-00007A9B0000}"/>
    <cellStyle name="Percent 38 2 2 2" xfId="43319" xr:uid="{00000000-0005-0000-0000-00007B9B0000}"/>
    <cellStyle name="Percent 38 2 3" xfId="37211" xr:uid="{00000000-0005-0000-0000-00007C9B0000}"/>
    <cellStyle name="Percent 38 2 3 2" xfId="43320" xr:uid="{00000000-0005-0000-0000-00007D9B0000}"/>
    <cellStyle name="Percent 38 2 4" xfId="37212" xr:uid="{00000000-0005-0000-0000-00007E9B0000}"/>
    <cellStyle name="Percent 38 3" xfId="7265" xr:uid="{00000000-0005-0000-0000-00007F9B0000}"/>
    <cellStyle name="Percent 38 3 2" xfId="37213" xr:uid="{00000000-0005-0000-0000-0000809B0000}"/>
    <cellStyle name="Percent 38 3 2 2" xfId="43321" xr:uid="{00000000-0005-0000-0000-0000819B0000}"/>
    <cellStyle name="Percent 38 3 3" xfId="37214" xr:uid="{00000000-0005-0000-0000-0000829B0000}"/>
    <cellStyle name="Percent 38 3 3 2" xfId="43322" xr:uid="{00000000-0005-0000-0000-0000839B0000}"/>
    <cellStyle name="Percent 38 3 4" xfId="37215" xr:uid="{00000000-0005-0000-0000-0000849B0000}"/>
    <cellStyle name="Percent 38 4" xfId="37216" xr:uid="{00000000-0005-0000-0000-0000859B0000}"/>
    <cellStyle name="Percent 38 4 2" xfId="37217" xr:uid="{00000000-0005-0000-0000-0000869B0000}"/>
    <cellStyle name="Percent 38 4 2 2" xfId="43323" xr:uid="{00000000-0005-0000-0000-0000879B0000}"/>
    <cellStyle name="Percent 38 4 3" xfId="37218" xr:uid="{00000000-0005-0000-0000-0000889B0000}"/>
    <cellStyle name="Percent 38 4 3 2" xfId="43324" xr:uid="{00000000-0005-0000-0000-0000899B0000}"/>
    <cellStyle name="Percent 38 4 4" xfId="37219" xr:uid="{00000000-0005-0000-0000-00008A9B0000}"/>
    <cellStyle name="Percent 38 5" xfId="37220" xr:uid="{00000000-0005-0000-0000-00008B9B0000}"/>
    <cellStyle name="Percent 38 6" xfId="37221" xr:uid="{00000000-0005-0000-0000-00008C9B0000}"/>
    <cellStyle name="Percent 38 7" xfId="37222" xr:uid="{00000000-0005-0000-0000-00008D9B0000}"/>
    <cellStyle name="Percent 38 8" xfId="37223" xr:uid="{00000000-0005-0000-0000-00008E9B0000}"/>
    <cellStyle name="Percent 38 9" xfId="37224" xr:uid="{00000000-0005-0000-0000-00008F9B0000}"/>
    <cellStyle name="Percent 39" xfId="7266" xr:uid="{00000000-0005-0000-0000-0000909B0000}"/>
    <cellStyle name="Percent 39 10" xfId="37226" xr:uid="{00000000-0005-0000-0000-0000919B0000}"/>
    <cellStyle name="Percent 39 11" xfId="37227" xr:uid="{00000000-0005-0000-0000-0000929B0000}"/>
    <cellStyle name="Percent 39 12" xfId="37228" xr:uid="{00000000-0005-0000-0000-0000939B0000}"/>
    <cellStyle name="Percent 39 13" xfId="37229" xr:uid="{00000000-0005-0000-0000-0000949B0000}"/>
    <cellStyle name="Percent 39 14" xfId="37230" xr:uid="{00000000-0005-0000-0000-0000959B0000}"/>
    <cellStyle name="Percent 39 15" xfId="37231" xr:uid="{00000000-0005-0000-0000-0000969B0000}"/>
    <cellStyle name="Percent 39 16" xfId="37232" xr:uid="{00000000-0005-0000-0000-0000979B0000}"/>
    <cellStyle name="Percent 39 16 2" xfId="43325" xr:uid="{00000000-0005-0000-0000-0000989B0000}"/>
    <cellStyle name="Percent 39 17" xfId="37233" xr:uid="{00000000-0005-0000-0000-0000999B0000}"/>
    <cellStyle name="Percent 39 17 2" xfId="43326" xr:uid="{00000000-0005-0000-0000-00009A9B0000}"/>
    <cellStyle name="Percent 39 18" xfId="37234" xr:uid="{00000000-0005-0000-0000-00009B9B0000}"/>
    <cellStyle name="Percent 39 19" xfId="37225" xr:uid="{00000000-0005-0000-0000-00009C9B0000}"/>
    <cellStyle name="Percent 39 2" xfId="7267" xr:uid="{00000000-0005-0000-0000-00009D9B0000}"/>
    <cellStyle name="Percent 39 2 2" xfId="7268" xr:uid="{00000000-0005-0000-0000-00009E9B0000}"/>
    <cellStyle name="Percent 39 2 2 2" xfId="14217" xr:uid="{00000000-0005-0000-0000-00009F9B0000}"/>
    <cellStyle name="Percent 39 2 2 2 2" xfId="43327" xr:uid="{00000000-0005-0000-0000-0000A09B0000}"/>
    <cellStyle name="Percent 39 2 2 3" xfId="37236" xr:uid="{00000000-0005-0000-0000-0000A19B0000}"/>
    <cellStyle name="Percent 39 2 3" xfId="14218" xr:uid="{00000000-0005-0000-0000-0000A29B0000}"/>
    <cellStyle name="Percent 39 2 3 2" xfId="43328" xr:uid="{00000000-0005-0000-0000-0000A39B0000}"/>
    <cellStyle name="Percent 39 2 3 3" xfId="37237" xr:uid="{00000000-0005-0000-0000-0000A49B0000}"/>
    <cellStyle name="Percent 39 2 4" xfId="37238" xr:uid="{00000000-0005-0000-0000-0000A59B0000}"/>
    <cellStyle name="Percent 39 2 5" xfId="37235" xr:uid="{00000000-0005-0000-0000-0000A69B0000}"/>
    <cellStyle name="Percent 39 3" xfId="7269" xr:uid="{00000000-0005-0000-0000-0000A79B0000}"/>
    <cellStyle name="Percent 39 3 2" xfId="7270" xr:uid="{00000000-0005-0000-0000-0000A89B0000}"/>
    <cellStyle name="Percent 39 3 2 2" xfId="14219" xr:uid="{00000000-0005-0000-0000-0000A99B0000}"/>
    <cellStyle name="Percent 39 3 2 2 2" xfId="43329" xr:uid="{00000000-0005-0000-0000-0000AA9B0000}"/>
    <cellStyle name="Percent 39 3 2 3" xfId="37240" xr:uid="{00000000-0005-0000-0000-0000AB9B0000}"/>
    <cellStyle name="Percent 39 3 3" xfId="14220" xr:uid="{00000000-0005-0000-0000-0000AC9B0000}"/>
    <cellStyle name="Percent 39 3 3 2" xfId="43330" xr:uid="{00000000-0005-0000-0000-0000AD9B0000}"/>
    <cellStyle name="Percent 39 3 3 3" xfId="37241" xr:uid="{00000000-0005-0000-0000-0000AE9B0000}"/>
    <cellStyle name="Percent 39 3 4" xfId="37242" xr:uid="{00000000-0005-0000-0000-0000AF9B0000}"/>
    <cellStyle name="Percent 39 3 5" xfId="37239" xr:uid="{00000000-0005-0000-0000-0000B09B0000}"/>
    <cellStyle name="Percent 39 4" xfId="7271" xr:uid="{00000000-0005-0000-0000-0000B19B0000}"/>
    <cellStyle name="Percent 39 4 2" xfId="7272" xr:uid="{00000000-0005-0000-0000-0000B29B0000}"/>
    <cellStyle name="Percent 39 4 2 2" xfId="14221" xr:uid="{00000000-0005-0000-0000-0000B39B0000}"/>
    <cellStyle name="Percent 39 4 2 2 2" xfId="43331" xr:uid="{00000000-0005-0000-0000-0000B49B0000}"/>
    <cellStyle name="Percent 39 4 2 3" xfId="37244" xr:uid="{00000000-0005-0000-0000-0000B59B0000}"/>
    <cellStyle name="Percent 39 4 3" xfId="14222" xr:uid="{00000000-0005-0000-0000-0000B69B0000}"/>
    <cellStyle name="Percent 39 4 3 2" xfId="43332" xr:uid="{00000000-0005-0000-0000-0000B79B0000}"/>
    <cellStyle name="Percent 39 4 3 3" xfId="37245" xr:uid="{00000000-0005-0000-0000-0000B89B0000}"/>
    <cellStyle name="Percent 39 4 4" xfId="37243" xr:uid="{00000000-0005-0000-0000-0000B99B0000}"/>
    <cellStyle name="Percent 39 5" xfId="7273" xr:uid="{00000000-0005-0000-0000-0000BA9B0000}"/>
    <cellStyle name="Percent 39 5 2" xfId="7274" xr:uid="{00000000-0005-0000-0000-0000BB9B0000}"/>
    <cellStyle name="Percent 39 5 2 2" xfId="14223" xr:uid="{00000000-0005-0000-0000-0000BC9B0000}"/>
    <cellStyle name="Percent 39 5 3" xfId="14224" xr:uid="{00000000-0005-0000-0000-0000BD9B0000}"/>
    <cellStyle name="Percent 39 5 4" xfId="37246" xr:uid="{00000000-0005-0000-0000-0000BE9B0000}"/>
    <cellStyle name="Percent 39 6" xfId="7275" xr:uid="{00000000-0005-0000-0000-0000BF9B0000}"/>
    <cellStyle name="Percent 39 6 2" xfId="7276" xr:uid="{00000000-0005-0000-0000-0000C09B0000}"/>
    <cellStyle name="Percent 39 6 2 2" xfId="14225" xr:uid="{00000000-0005-0000-0000-0000C19B0000}"/>
    <cellStyle name="Percent 39 6 3" xfId="14226" xr:uid="{00000000-0005-0000-0000-0000C29B0000}"/>
    <cellStyle name="Percent 39 6 4" xfId="37247" xr:uid="{00000000-0005-0000-0000-0000C39B0000}"/>
    <cellStyle name="Percent 39 7" xfId="7277" xr:uid="{00000000-0005-0000-0000-0000C49B0000}"/>
    <cellStyle name="Percent 39 7 2" xfId="7278" xr:uid="{00000000-0005-0000-0000-0000C59B0000}"/>
    <cellStyle name="Percent 39 7 2 2" xfId="14227" xr:uid="{00000000-0005-0000-0000-0000C69B0000}"/>
    <cellStyle name="Percent 39 7 3" xfId="14228" xr:uid="{00000000-0005-0000-0000-0000C79B0000}"/>
    <cellStyle name="Percent 39 7 4" xfId="37248" xr:uid="{00000000-0005-0000-0000-0000C89B0000}"/>
    <cellStyle name="Percent 39 8" xfId="7279" xr:uid="{00000000-0005-0000-0000-0000C99B0000}"/>
    <cellStyle name="Percent 39 8 2" xfId="14229" xr:uid="{00000000-0005-0000-0000-0000CA9B0000}"/>
    <cellStyle name="Percent 39 8 3" xfId="37249" xr:uid="{00000000-0005-0000-0000-0000CB9B0000}"/>
    <cellStyle name="Percent 39 9" xfId="14230" xr:uid="{00000000-0005-0000-0000-0000CC9B0000}"/>
    <cellStyle name="Percent 39 9 2" xfId="37250" xr:uid="{00000000-0005-0000-0000-0000CD9B0000}"/>
    <cellStyle name="Percent 4" xfId="47" xr:uid="{00000000-0005-0000-0000-0000CE9B0000}"/>
    <cellStyle name="Percent 4 10" xfId="44421" xr:uid="{3752C55B-8345-4CD9-8613-BC4BFE369A4B}"/>
    <cellStyle name="Percent 4 2" xfId="7281" xr:uid="{00000000-0005-0000-0000-0000CF9B0000}"/>
    <cellStyle name="Percent 4 2 2" xfId="14231" xr:uid="{00000000-0005-0000-0000-0000D09B0000}"/>
    <cellStyle name="Percent 4 2 2 2" xfId="37253" xr:uid="{00000000-0005-0000-0000-0000D19B0000}"/>
    <cellStyle name="Percent 4 2 2 2 2" xfId="37254" xr:uid="{00000000-0005-0000-0000-0000D29B0000}"/>
    <cellStyle name="Percent 4 2 2 2 2 2" xfId="37255" xr:uid="{00000000-0005-0000-0000-0000D39B0000}"/>
    <cellStyle name="Percent 4 2 2 2 2 2 2" xfId="43337" xr:uid="{00000000-0005-0000-0000-0000D49B0000}"/>
    <cellStyle name="Percent 4 2 2 2 2 3" xfId="43336" xr:uid="{00000000-0005-0000-0000-0000D59B0000}"/>
    <cellStyle name="Percent 4 2 2 2 3" xfId="37256" xr:uid="{00000000-0005-0000-0000-0000D69B0000}"/>
    <cellStyle name="Percent 4 2 2 2 3 2" xfId="43338" xr:uid="{00000000-0005-0000-0000-0000D79B0000}"/>
    <cellStyle name="Percent 4 2 2 2 4" xfId="43335" xr:uid="{00000000-0005-0000-0000-0000D89B0000}"/>
    <cellStyle name="Percent 4 2 2 3" xfId="37257" xr:uid="{00000000-0005-0000-0000-0000D99B0000}"/>
    <cellStyle name="Percent 4 2 2 3 2" xfId="37258" xr:uid="{00000000-0005-0000-0000-0000DA9B0000}"/>
    <cellStyle name="Percent 4 2 2 3 2 2" xfId="43340" xr:uid="{00000000-0005-0000-0000-0000DB9B0000}"/>
    <cellStyle name="Percent 4 2 2 3 3" xfId="43339" xr:uid="{00000000-0005-0000-0000-0000DC9B0000}"/>
    <cellStyle name="Percent 4 2 2 4" xfId="37259" xr:uid="{00000000-0005-0000-0000-0000DD9B0000}"/>
    <cellStyle name="Percent 4 2 2 4 2" xfId="43341" xr:uid="{00000000-0005-0000-0000-0000DE9B0000}"/>
    <cellStyle name="Percent 4 2 2 5" xfId="43334" xr:uid="{00000000-0005-0000-0000-0000DF9B0000}"/>
    <cellStyle name="Percent 4 2 2 6" xfId="37252" xr:uid="{00000000-0005-0000-0000-0000E09B0000}"/>
    <cellStyle name="Percent 4 2 3" xfId="37260" xr:uid="{00000000-0005-0000-0000-0000E19B0000}"/>
    <cellStyle name="Percent 4 2 3 2" xfId="43342" xr:uid="{00000000-0005-0000-0000-0000E29B0000}"/>
    <cellStyle name="Percent 4 2 4" xfId="37261" xr:uid="{00000000-0005-0000-0000-0000E39B0000}"/>
    <cellStyle name="Percent 4 2 4 2" xfId="43343" xr:uid="{00000000-0005-0000-0000-0000E49B0000}"/>
    <cellStyle name="Percent 4 2 5" xfId="43333" xr:uid="{00000000-0005-0000-0000-0000E59B0000}"/>
    <cellStyle name="Percent 4 2 6" xfId="37251" xr:uid="{00000000-0005-0000-0000-0000E69B0000}"/>
    <cellStyle name="Percent 4 3" xfId="7282" xr:uid="{00000000-0005-0000-0000-0000E79B0000}"/>
    <cellStyle name="Percent 4 3 2" xfId="14232" xr:uid="{00000000-0005-0000-0000-0000E89B0000}"/>
    <cellStyle name="Percent 4 3 2 2" xfId="43344" xr:uid="{00000000-0005-0000-0000-0000E99B0000}"/>
    <cellStyle name="Percent 4 3 3" xfId="37262" xr:uid="{00000000-0005-0000-0000-0000EA9B0000}"/>
    <cellStyle name="Percent 4 4" xfId="7283" xr:uid="{00000000-0005-0000-0000-0000EB9B0000}"/>
    <cellStyle name="Percent 4 4 2" xfId="14233" xr:uid="{00000000-0005-0000-0000-0000EC9B0000}"/>
    <cellStyle name="Percent 4 4 2 2" xfId="37265" xr:uid="{00000000-0005-0000-0000-0000ED9B0000}"/>
    <cellStyle name="Percent 4 4 2 2 2" xfId="37266" xr:uid="{00000000-0005-0000-0000-0000EE9B0000}"/>
    <cellStyle name="Percent 4 4 2 2 2 2" xfId="43348" xr:uid="{00000000-0005-0000-0000-0000EF9B0000}"/>
    <cellStyle name="Percent 4 4 2 2 3" xfId="43347" xr:uid="{00000000-0005-0000-0000-0000F09B0000}"/>
    <cellStyle name="Percent 4 4 2 3" xfId="37267" xr:uid="{00000000-0005-0000-0000-0000F19B0000}"/>
    <cellStyle name="Percent 4 4 2 3 2" xfId="43349" xr:uid="{00000000-0005-0000-0000-0000F29B0000}"/>
    <cellStyle name="Percent 4 4 2 4" xfId="43346" xr:uid="{00000000-0005-0000-0000-0000F39B0000}"/>
    <cellStyle name="Percent 4 4 2 5" xfId="37264" xr:uid="{00000000-0005-0000-0000-0000F49B0000}"/>
    <cellStyle name="Percent 4 4 3" xfId="37268" xr:uid="{00000000-0005-0000-0000-0000F59B0000}"/>
    <cellStyle name="Percent 4 4 3 2" xfId="37269" xr:uid="{00000000-0005-0000-0000-0000F69B0000}"/>
    <cellStyle name="Percent 4 4 3 2 2" xfId="43351" xr:uid="{00000000-0005-0000-0000-0000F79B0000}"/>
    <cellStyle name="Percent 4 4 3 3" xfId="43350" xr:uid="{00000000-0005-0000-0000-0000F89B0000}"/>
    <cellStyle name="Percent 4 4 4" xfId="37270" xr:uid="{00000000-0005-0000-0000-0000F99B0000}"/>
    <cellStyle name="Percent 4 4 4 2" xfId="43352" xr:uid="{00000000-0005-0000-0000-0000FA9B0000}"/>
    <cellStyle name="Percent 4 4 5" xfId="43345" xr:uid="{00000000-0005-0000-0000-0000FB9B0000}"/>
    <cellStyle name="Percent 4 4 6" xfId="37263" xr:uid="{00000000-0005-0000-0000-0000FC9B0000}"/>
    <cellStyle name="Percent 4 5" xfId="7284" xr:uid="{00000000-0005-0000-0000-0000FD9B0000}"/>
    <cellStyle name="Percent 4 5 2" xfId="14234" xr:uid="{00000000-0005-0000-0000-0000FE9B0000}"/>
    <cellStyle name="Percent 4 5 2 2" xfId="43353" xr:uid="{00000000-0005-0000-0000-0000FF9B0000}"/>
    <cellStyle name="Percent 4 5 3" xfId="37271" xr:uid="{00000000-0005-0000-0000-0000009C0000}"/>
    <cellStyle name="Percent 4 6" xfId="7285" xr:uid="{00000000-0005-0000-0000-0000019C0000}"/>
    <cellStyle name="Percent 4 6 2" xfId="43354" xr:uid="{00000000-0005-0000-0000-0000029C0000}"/>
    <cellStyle name="Percent 4 6 3" xfId="37272" xr:uid="{00000000-0005-0000-0000-0000039C0000}"/>
    <cellStyle name="Percent 4 7" xfId="7286" xr:uid="{00000000-0005-0000-0000-0000049C0000}"/>
    <cellStyle name="Percent 4 7 2" xfId="43355" xr:uid="{00000000-0005-0000-0000-0000059C0000}"/>
    <cellStyle name="Percent 4 7 3" xfId="37273" xr:uid="{00000000-0005-0000-0000-0000069C0000}"/>
    <cellStyle name="Percent 4 8" xfId="37274" xr:uid="{00000000-0005-0000-0000-0000079C0000}"/>
    <cellStyle name="Percent 4 8 2" xfId="43356" xr:uid="{00000000-0005-0000-0000-0000089C0000}"/>
    <cellStyle name="Percent 4 9" xfId="7280" xr:uid="{00000000-0005-0000-0000-0000099C0000}"/>
    <cellStyle name="Percent 40" xfId="7287" xr:uid="{00000000-0005-0000-0000-00000A9C0000}"/>
    <cellStyle name="Percent 40 10" xfId="37276" xr:uid="{00000000-0005-0000-0000-00000B9C0000}"/>
    <cellStyle name="Percent 40 11" xfId="37277" xr:uid="{00000000-0005-0000-0000-00000C9C0000}"/>
    <cellStyle name="Percent 40 12" xfId="37278" xr:uid="{00000000-0005-0000-0000-00000D9C0000}"/>
    <cellStyle name="Percent 40 13" xfId="37279" xr:uid="{00000000-0005-0000-0000-00000E9C0000}"/>
    <cellStyle name="Percent 40 14" xfId="37280" xr:uid="{00000000-0005-0000-0000-00000F9C0000}"/>
    <cellStyle name="Percent 40 15" xfId="37281" xr:uid="{00000000-0005-0000-0000-0000109C0000}"/>
    <cellStyle name="Percent 40 16" xfId="37282" xr:uid="{00000000-0005-0000-0000-0000119C0000}"/>
    <cellStyle name="Percent 40 16 2" xfId="43357" xr:uid="{00000000-0005-0000-0000-0000129C0000}"/>
    <cellStyle name="Percent 40 17" xfId="37283" xr:uid="{00000000-0005-0000-0000-0000139C0000}"/>
    <cellStyle name="Percent 40 17 2" xfId="43358" xr:uid="{00000000-0005-0000-0000-0000149C0000}"/>
    <cellStyle name="Percent 40 18" xfId="37284" xr:uid="{00000000-0005-0000-0000-0000159C0000}"/>
    <cellStyle name="Percent 40 19" xfId="37275" xr:uid="{00000000-0005-0000-0000-0000169C0000}"/>
    <cellStyle name="Percent 40 2" xfId="7288" xr:uid="{00000000-0005-0000-0000-0000179C0000}"/>
    <cellStyle name="Percent 40 2 2" xfId="7289" xr:uid="{00000000-0005-0000-0000-0000189C0000}"/>
    <cellStyle name="Percent 40 2 2 2" xfId="14235" xr:uid="{00000000-0005-0000-0000-0000199C0000}"/>
    <cellStyle name="Percent 40 2 2 2 2" xfId="43359" xr:uid="{00000000-0005-0000-0000-00001A9C0000}"/>
    <cellStyle name="Percent 40 2 2 3" xfId="37286" xr:uid="{00000000-0005-0000-0000-00001B9C0000}"/>
    <cellStyle name="Percent 40 2 3" xfId="14236" xr:uid="{00000000-0005-0000-0000-00001C9C0000}"/>
    <cellStyle name="Percent 40 2 3 2" xfId="43360" xr:uid="{00000000-0005-0000-0000-00001D9C0000}"/>
    <cellStyle name="Percent 40 2 3 3" xfId="37287" xr:uid="{00000000-0005-0000-0000-00001E9C0000}"/>
    <cellStyle name="Percent 40 2 4" xfId="37288" xr:uid="{00000000-0005-0000-0000-00001F9C0000}"/>
    <cellStyle name="Percent 40 2 5" xfId="37285" xr:uid="{00000000-0005-0000-0000-0000209C0000}"/>
    <cellStyle name="Percent 40 3" xfId="7290" xr:uid="{00000000-0005-0000-0000-0000219C0000}"/>
    <cellStyle name="Percent 40 3 2" xfId="7291" xr:uid="{00000000-0005-0000-0000-0000229C0000}"/>
    <cellStyle name="Percent 40 3 2 2" xfId="14237" xr:uid="{00000000-0005-0000-0000-0000239C0000}"/>
    <cellStyle name="Percent 40 3 2 2 2" xfId="43361" xr:uid="{00000000-0005-0000-0000-0000249C0000}"/>
    <cellStyle name="Percent 40 3 2 3" xfId="37290" xr:uid="{00000000-0005-0000-0000-0000259C0000}"/>
    <cellStyle name="Percent 40 3 3" xfId="14238" xr:uid="{00000000-0005-0000-0000-0000269C0000}"/>
    <cellStyle name="Percent 40 3 3 2" xfId="43362" xr:uid="{00000000-0005-0000-0000-0000279C0000}"/>
    <cellStyle name="Percent 40 3 3 3" xfId="37291" xr:uid="{00000000-0005-0000-0000-0000289C0000}"/>
    <cellStyle name="Percent 40 3 4" xfId="37292" xr:uid="{00000000-0005-0000-0000-0000299C0000}"/>
    <cellStyle name="Percent 40 3 5" xfId="37289" xr:uid="{00000000-0005-0000-0000-00002A9C0000}"/>
    <cellStyle name="Percent 40 4" xfId="7292" xr:uid="{00000000-0005-0000-0000-00002B9C0000}"/>
    <cellStyle name="Percent 40 4 2" xfId="7293" xr:uid="{00000000-0005-0000-0000-00002C9C0000}"/>
    <cellStyle name="Percent 40 4 2 2" xfId="14239" xr:uid="{00000000-0005-0000-0000-00002D9C0000}"/>
    <cellStyle name="Percent 40 4 2 2 2" xfId="43363" xr:uid="{00000000-0005-0000-0000-00002E9C0000}"/>
    <cellStyle name="Percent 40 4 2 3" xfId="37294" xr:uid="{00000000-0005-0000-0000-00002F9C0000}"/>
    <cellStyle name="Percent 40 4 3" xfId="14240" xr:uid="{00000000-0005-0000-0000-0000309C0000}"/>
    <cellStyle name="Percent 40 4 3 2" xfId="43364" xr:uid="{00000000-0005-0000-0000-0000319C0000}"/>
    <cellStyle name="Percent 40 4 3 3" xfId="37295" xr:uid="{00000000-0005-0000-0000-0000329C0000}"/>
    <cellStyle name="Percent 40 4 4" xfId="37296" xr:uid="{00000000-0005-0000-0000-0000339C0000}"/>
    <cellStyle name="Percent 40 4 5" xfId="37293" xr:uid="{00000000-0005-0000-0000-0000349C0000}"/>
    <cellStyle name="Percent 40 5" xfId="7294" xr:uid="{00000000-0005-0000-0000-0000359C0000}"/>
    <cellStyle name="Percent 40 5 2" xfId="7295" xr:uid="{00000000-0005-0000-0000-0000369C0000}"/>
    <cellStyle name="Percent 40 5 2 2" xfId="14241" xr:uid="{00000000-0005-0000-0000-0000379C0000}"/>
    <cellStyle name="Percent 40 5 3" xfId="14242" xr:uid="{00000000-0005-0000-0000-0000389C0000}"/>
    <cellStyle name="Percent 40 5 4" xfId="37297" xr:uid="{00000000-0005-0000-0000-0000399C0000}"/>
    <cellStyle name="Percent 40 6" xfId="7296" xr:uid="{00000000-0005-0000-0000-00003A9C0000}"/>
    <cellStyle name="Percent 40 6 2" xfId="7297" xr:uid="{00000000-0005-0000-0000-00003B9C0000}"/>
    <cellStyle name="Percent 40 6 2 2" xfId="14243" xr:uid="{00000000-0005-0000-0000-00003C9C0000}"/>
    <cellStyle name="Percent 40 6 3" xfId="14244" xr:uid="{00000000-0005-0000-0000-00003D9C0000}"/>
    <cellStyle name="Percent 40 6 4" xfId="37298" xr:uid="{00000000-0005-0000-0000-00003E9C0000}"/>
    <cellStyle name="Percent 40 7" xfId="7298" xr:uid="{00000000-0005-0000-0000-00003F9C0000}"/>
    <cellStyle name="Percent 40 7 2" xfId="7299" xr:uid="{00000000-0005-0000-0000-0000409C0000}"/>
    <cellStyle name="Percent 40 7 2 2" xfId="14245" xr:uid="{00000000-0005-0000-0000-0000419C0000}"/>
    <cellStyle name="Percent 40 7 3" xfId="14246" xr:uid="{00000000-0005-0000-0000-0000429C0000}"/>
    <cellStyle name="Percent 40 7 4" xfId="37299" xr:uid="{00000000-0005-0000-0000-0000439C0000}"/>
    <cellStyle name="Percent 40 8" xfId="7300" xr:uid="{00000000-0005-0000-0000-0000449C0000}"/>
    <cellStyle name="Percent 40 8 2" xfId="14247" xr:uid="{00000000-0005-0000-0000-0000459C0000}"/>
    <cellStyle name="Percent 40 8 3" xfId="37300" xr:uid="{00000000-0005-0000-0000-0000469C0000}"/>
    <cellStyle name="Percent 40 9" xfId="14248" xr:uid="{00000000-0005-0000-0000-0000479C0000}"/>
    <cellStyle name="Percent 40 9 2" xfId="37301" xr:uid="{00000000-0005-0000-0000-0000489C0000}"/>
    <cellStyle name="Percent 41" xfId="7301" xr:uid="{00000000-0005-0000-0000-0000499C0000}"/>
    <cellStyle name="Percent 41 10" xfId="37303" xr:uid="{00000000-0005-0000-0000-00004A9C0000}"/>
    <cellStyle name="Percent 41 11" xfId="37304" xr:uid="{00000000-0005-0000-0000-00004B9C0000}"/>
    <cellStyle name="Percent 41 12" xfId="37305" xr:uid="{00000000-0005-0000-0000-00004C9C0000}"/>
    <cellStyle name="Percent 41 13" xfId="37306" xr:uid="{00000000-0005-0000-0000-00004D9C0000}"/>
    <cellStyle name="Percent 41 14" xfId="37307" xr:uid="{00000000-0005-0000-0000-00004E9C0000}"/>
    <cellStyle name="Percent 41 15" xfId="37308" xr:uid="{00000000-0005-0000-0000-00004F9C0000}"/>
    <cellStyle name="Percent 41 16" xfId="37309" xr:uid="{00000000-0005-0000-0000-0000509C0000}"/>
    <cellStyle name="Percent 41 16 2" xfId="43365" xr:uid="{00000000-0005-0000-0000-0000519C0000}"/>
    <cellStyle name="Percent 41 17" xfId="37310" xr:uid="{00000000-0005-0000-0000-0000529C0000}"/>
    <cellStyle name="Percent 41 17 2" xfId="43366" xr:uid="{00000000-0005-0000-0000-0000539C0000}"/>
    <cellStyle name="Percent 41 18" xfId="37311" xr:uid="{00000000-0005-0000-0000-0000549C0000}"/>
    <cellStyle name="Percent 41 19" xfId="37302" xr:uid="{00000000-0005-0000-0000-0000559C0000}"/>
    <cellStyle name="Percent 41 2" xfId="7302" xr:uid="{00000000-0005-0000-0000-0000569C0000}"/>
    <cellStyle name="Percent 41 2 2" xfId="14249" xr:uid="{00000000-0005-0000-0000-0000579C0000}"/>
    <cellStyle name="Percent 41 2 2 2" xfId="43367" xr:uid="{00000000-0005-0000-0000-0000589C0000}"/>
    <cellStyle name="Percent 41 2 2 3" xfId="37313" xr:uid="{00000000-0005-0000-0000-0000599C0000}"/>
    <cellStyle name="Percent 41 2 3" xfId="37314" xr:uid="{00000000-0005-0000-0000-00005A9C0000}"/>
    <cellStyle name="Percent 41 2 3 2" xfId="43368" xr:uid="{00000000-0005-0000-0000-00005B9C0000}"/>
    <cellStyle name="Percent 41 2 4" xfId="37312" xr:uid="{00000000-0005-0000-0000-00005C9C0000}"/>
    <cellStyle name="Percent 41 3" xfId="14250" xr:uid="{00000000-0005-0000-0000-00005D9C0000}"/>
    <cellStyle name="Percent 41 3 2" xfId="37316" xr:uid="{00000000-0005-0000-0000-00005E9C0000}"/>
    <cellStyle name="Percent 41 3 2 2" xfId="43369" xr:uid="{00000000-0005-0000-0000-00005F9C0000}"/>
    <cellStyle name="Percent 41 3 3" xfId="37317" xr:uid="{00000000-0005-0000-0000-0000609C0000}"/>
    <cellStyle name="Percent 41 3 3 2" xfId="43370" xr:uid="{00000000-0005-0000-0000-0000619C0000}"/>
    <cellStyle name="Percent 41 3 4" xfId="37315" xr:uid="{00000000-0005-0000-0000-0000629C0000}"/>
    <cellStyle name="Percent 41 4" xfId="37318" xr:uid="{00000000-0005-0000-0000-0000639C0000}"/>
    <cellStyle name="Percent 41 4 2" xfId="37319" xr:uid="{00000000-0005-0000-0000-0000649C0000}"/>
    <cellStyle name="Percent 41 4 2 2" xfId="43371" xr:uid="{00000000-0005-0000-0000-0000659C0000}"/>
    <cellStyle name="Percent 41 4 3" xfId="37320" xr:uid="{00000000-0005-0000-0000-0000669C0000}"/>
    <cellStyle name="Percent 41 4 3 2" xfId="43372" xr:uid="{00000000-0005-0000-0000-0000679C0000}"/>
    <cellStyle name="Percent 41 5" xfId="37321" xr:uid="{00000000-0005-0000-0000-0000689C0000}"/>
    <cellStyle name="Percent 41 6" xfId="37322" xr:uid="{00000000-0005-0000-0000-0000699C0000}"/>
    <cellStyle name="Percent 41 7" xfId="37323" xr:uid="{00000000-0005-0000-0000-00006A9C0000}"/>
    <cellStyle name="Percent 41 8" xfId="37324" xr:uid="{00000000-0005-0000-0000-00006B9C0000}"/>
    <cellStyle name="Percent 41 9" xfId="37325" xr:uid="{00000000-0005-0000-0000-00006C9C0000}"/>
    <cellStyle name="Percent 42" xfId="7303" xr:uid="{00000000-0005-0000-0000-00006D9C0000}"/>
    <cellStyle name="Percent 42 10" xfId="37327" xr:uid="{00000000-0005-0000-0000-00006E9C0000}"/>
    <cellStyle name="Percent 42 11" xfId="37328" xr:uid="{00000000-0005-0000-0000-00006F9C0000}"/>
    <cellStyle name="Percent 42 12" xfId="37329" xr:uid="{00000000-0005-0000-0000-0000709C0000}"/>
    <cellStyle name="Percent 42 13" xfId="37330" xr:uid="{00000000-0005-0000-0000-0000719C0000}"/>
    <cellStyle name="Percent 42 14" xfId="37331" xr:uid="{00000000-0005-0000-0000-0000729C0000}"/>
    <cellStyle name="Percent 42 15" xfId="37332" xr:uid="{00000000-0005-0000-0000-0000739C0000}"/>
    <cellStyle name="Percent 42 16" xfId="37333" xr:uid="{00000000-0005-0000-0000-0000749C0000}"/>
    <cellStyle name="Percent 42 16 2" xfId="43373" xr:uid="{00000000-0005-0000-0000-0000759C0000}"/>
    <cellStyle name="Percent 42 17" xfId="37334" xr:uid="{00000000-0005-0000-0000-0000769C0000}"/>
    <cellStyle name="Percent 42 17 2" xfId="43374" xr:uid="{00000000-0005-0000-0000-0000779C0000}"/>
    <cellStyle name="Percent 42 18" xfId="37335" xr:uid="{00000000-0005-0000-0000-0000789C0000}"/>
    <cellStyle name="Percent 42 19" xfId="37326" xr:uid="{00000000-0005-0000-0000-0000799C0000}"/>
    <cellStyle name="Percent 42 2" xfId="7304" xr:uid="{00000000-0005-0000-0000-00007A9C0000}"/>
    <cellStyle name="Percent 42 2 2" xfId="7305" xr:uid="{00000000-0005-0000-0000-00007B9C0000}"/>
    <cellStyle name="Percent 42 2 2 2" xfId="14251" xr:uid="{00000000-0005-0000-0000-00007C9C0000}"/>
    <cellStyle name="Percent 42 2 2 2 2" xfId="43375" xr:uid="{00000000-0005-0000-0000-00007D9C0000}"/>
    <cellStyle name="Percent 42 2 2 3" xfId="37337" xr:uid="{00000000-0005-0000-0000-00007E9C0000}"/>
    <cellStyle name="Percent 42 2 3" xfId="14252" xr:uid="{00000000-0005-0000-0000-00007F9C0000}"/>
    <cellStyle name="Percent 42 2 3 2" xfId="43376" xr:uid="{00000000-0005-0000-0000-0000809C0000}"/>
    <cellStyle name="Percent 42 2 3 3" xfId="37338" xr:uid="{00000000-0005-0000-0000-0000819C0000}"/>
    <cellStyle name="Percent 42 2 4" xfId="37336" xr:uid="{00000000-0005-0000-0000-0000829C0000}"/>
    <cellStyle name="Percent 42 3" xfId="7306" xr:uid="{00000000-0005-0000-0000-0000839C0000}"/>
    <cellStyle name="Percent 42 3 2" xfId="7307" xr:uid="{00000000-0005-0000-0000-0000849C0000}"/>
    <cellStyle name="Percent 42 3 2 2" xfId="14253" xr:uid="{00000000-0005-0000-0000-0000859C0000}"/>
    <cellStyle name="Percent 42 3 2 2 2" xfId="43377" xr:uid="{00000000-0005-0000-0000-0000869C0000}"/>
    <cellStyle name="Percent 42 3 2 3" xfId="37340" xr:uid="{00000000-0005-0000-0000-0000879C0000}"/>
    <cellStyle name="Percent 42 3 3" xfId="14254" xr:uid="{00000000-0005-0000-0000-0000889C0000}"/>
    <cellStyle name="Percent 42 3 3 2" xfId="43378" xr:uid="{00000000-0005-0000-0000-0000899C0000}"/>
    <cellStyle name="Percent 42 3 3 3" xfId="37341" xr:uid="{00000000-0005-0000-0000-00008A9C0000}"/>
    <cellStyle name="Percent 42 3 4" xfId="37339" xr:uid="{00000000-0005-0000-0000-00008B9C0000}"/>
    <cellStyle name="Percent 42 4" xfId="7308" xr:uid="{00000000-0005-0000-0000-00008C9C0000}"/>
    <cellStyle name="Percent 42 4 2" xfId="7309" xr:uid="{00000000-0005-0000-0000-00008D9C0000}"/>
    <cellStyle name="Percent 42 4 2 2" xfId="14255" xr:uid="{00000000-0005-0000-0000-00008E9C0000}"/>
    <cellStyle name="Percent 42 4 2 2 2" xfId="43379" xr:uid="{00000000-0005-0000-0000-00008F9C0000}"/>
    <cellStyle name="Percent 42 4 2 3" xfId="37343" xr:uid="{00000000-0005-0000-0000-0000909C0000}"/>
    <cellStyle name="Percent 42 4 3" xfId="14256" xr:uid="{00000000-0005-0000-0000-0000919C0000}"/>
    <cellStyle name="Percent 42 4 3 2" xfId="43380" xr:uid="{00000000-0005-0000-0000-0000929C0000}"/>
    <cellStyle name="Percent 42 4 3 3" xfId="37344" xr:uid="{00000000-0005-0000-0000-0000939C0000}"/>
    <cellStyle name="Percent 42 4 4" xfId="37342" xr:uid="{00000000-0005-0000-0000-0000949C0000}"/>
    <cellStyle name="Percent 42 5" xfId="7310" xr:uid="{00000000-0005-0000-0000-0000959C0000}"/>
    <cellStyle name="Percent 42 5 2" xfId="7311" xr:uid="{00000000-0005-0000-0000-0000969C0000}"/>
    <cellStyle name="Percent 42 5 2 2" xfId="14257" xr:uid="{00000000-0005-0000-0000-0000979C0000}"/>
    <cellStyle name="Percent 42 5 3" xfId="14258" xr:uid="{00000000-0005-0000-0000-0000989C0000}"/>
    <cellStyle name="Percent 42 5 4" xfId="37345" xr:uid="{00000000-0005-0000-0000-0000999C0000}"/>
    <cellStyle name="Percent 42 6" xfId="7312" xr:uid="{00000000-0005-0000-0000-00009A9C0000}"/>
    <cellStyle name="Percent 42 6 2" xfId="7313" xr:uid="{00000000-0005-0000-0000-00009B9C0000}"/>
    <cellStyle name="Percent 42 6 2 2" xfId="14259" xr:uid="{00000000-0005-0000-0000-00009C9C0000}"/>
    <cellStyle name="Percent 42 6 3" xfId="14260" xr:uid="{00000000-0005-0000-0000-00009D9C0000}"/>
    <cellStyle name="Percent 42 6 4" xfId="37346" xr:uid="{00000000-0005-0000-0000-00009E9C0000}"/>
    <cellStyle name="Percent 42 7" xfId="7314" xr:uid="{00000000-0005-0000-0000-00009F9C0000}"/>
    <cellStyle name="Percent 42 7 2" xfId="7315" xr:uid="{00000000-0005-0000-0000-0000A09C0000}"/>
    <cellStyle name="Percent 42 7 2 2" xfId="14261" xr:uid="{00000000-0005-0000-0000-0000A19C0000}"/>
    <cellStyle name="Percent 42 7 3" xfId="14262" xr:uid="{00000000-0005-0000-0000-0000A29C0000}"/>
    <cellStyle name="Percent 42 7 4" xfId="37347" xr:uid="{00000000-0005-0000-0000-0000A39C0000}"/>
    <cellStyle name="Percent 42 8" xfId="7316" xr:uid="{00000000-0005-0000-0000-0000A49C0000}"/>
    <cellStyle name="Percent 42 8 2" xfId="14263" xr:uid="{00000000-0005-0000-0000-0000A59C0000}"/>
    <cellStyle name="Percent 42 8 3" xfId="37348" xr:uid="{00000000-0005-0000-0000-0000A69C0000}"/>
    <cellStyle name="Percent 42 9" xfId="14264" xr:uid="{00000000-0005-0000-0000-0000A79C0000}"/>
    <cellStyle name="Percent 42 9 2" xfId="37349" xr:uid="{00000000-0005-0000-0000-0000A89C0000}"/>
    <cellStyle name="Percent 43" xfId="7317" xr:uid="{00000000-0005-0000-0000-0000A99C0000}"/>
    <cellStyle name="Percent 43 10" xfId="7318" xr:uid="{00000000-0005-0000-0000-0000AA9C0000}"/>
    <cellStyle name="Percent 43 10 2" xfId="14265" xr:uid="{00000000-0005-0000-0000-0000AB9C0000}"/>
    <cellStyle name="Percent 43 11" xfId="14266" xr:uid="{00000000-0005-0000-0000-0000AC9C0000}"/>
    <cellStyle name="Percent 43 2" xfId="7319" xr:uid="{00000000-0005-0000-0000-0000AD9C0000}"/>
    <cellStyle name="Percent 43 2 2" xfId="14267" xr:uid="{00000000-0005-0000-0000-0000AE9C0000}"/>
    <cellStyle name="Percent 43 2 2 2" xfId="43382" xr:uid="{00000000-0005-0000-0000-0000AF9C0000}"/>
    <cellStyle name="Percent 43 2 3" xfId="37350" xr:uid="{00000000-0005-0000-0000-0000B09C0000}"/>
    <cellStyle name="Percent 43 3" xfId="7320" xr:uid="{00000000-0005-0000-0000-0000B19C0000}"/>
    <cellStyle name="Percent 43 3 2" xfId="14268" xr:uid="{00000000-0005-0000-0000-0000B29C0000}"/>
    <cellStyle name="Percent 43 3 2 2" xfId="43383" xr:uid="{00000000-0005-0000-0000-0000B39C0000}"/>
    <cellStyle name="Percent 43 3 3" xfId="37351" xr:uid="{00000000-0005-0000-0000-0000B49C0000}"/>
    <cellStyle name="Percent 43 4" xfId="7321" xr:uid="{00000000-0005-0000-0000-0000B59C0000}"/>
    <cellStyle name="Percent 43 4 2" xfId="14269" xr:uid="{00000000-0005-0000-0000-0000B69C0000}"/>
    <cellStyle name="Percent 43 4 2 2" xfId="43384" xr:uid="{00000000-0005-0000-0000-0000B79C0000}"/>
    <cellStyle name="Percent 43 4 3" xfId="37352" xr:uid="{00000000-0005-0000-0000-0000B89C0000}"/>
    <cellStyle name="Percent 43 5" xfId="7322" xr:uid="{00000000-0005-0000-0000-0000B99C0000}"/>
    <cellStyle name="Percent 43 5 2" xfId="14270" xr:uid="{00000000-0005-0000-0000-0000BA9C0000}"/>
    <cellStyle name="Percent 43 5 2 2" xfId="43385" xr:uid="{00000000-0005-0000-0000-0000BB9C0000}"/>
    <cellStyle name="Percent 43 5 3" xfId="37353" xr:uid="{00000000-0005-0000-0000-0000BC9C0000}"/>
    <cellStyle name="Percent 43 6" xfId="7323" xr:uid="{00000000-0005-0000-0000-0000BD9C0000}"/>
    <cellStyle name="Percent 43 6 2" xfId="14271" xr:uid="{00000000-0005-0000-0000-0000BE9C0000}"/>
    <cellStyle name="Percent 43 6 2 2" xfId="43386" xr:uid="{00000000-0005-0000-0000-0000BF9C0000}"/>
    <cellStyle name="Percent 43 6 3" xfId="37354" xr:uid="{00000000-0005-0000-0000-0000C09C0000}"/>
    <cellStyle name="Percent 43 7" xfId="7324" xr:uid="{00000000-0005-0000-0000-0000C19C0000}"/>
    <cellStyle name="Percent 43 7 2" xfId="14272" xr:uid="{00000000-0005-0000-0000-0000C29C0000}"/>
    <cellStyle name="Percent 43 8" xfId="7325" xr:uid="{00000000-0005-0000-0000-0000C39C0000}"/>
    <cellStyle name="Percent 43 8 2" xfId="14273" xr:uid="{00000000-0005-0000-0000-0000C49C0000}"/>
    <cellStyle name="Percent 43 9" xfId="7326" xr:uid="{00000000-0005-0000-0000-0000C59C0000}"/>
    <cellStyle name="Percent 43 9 2" xfId="14274" xr:uid="{00000000-0005-0000-0000-0000C69C0000}"/>
    <cellStyle name="Percent 44" xfId="7327" xr:uid="{00000000-0005-0000-0000-0000C79C0000}"/>
    <cellStyle name="Percent 44 10" xfId="7328" xr:uid="{00000000-0005-0000-0000-0000C89C0000}"/>
    <cellStyle name="Percent 44 10 2" xfId="14275" xr:uid="{00000000-0005-0000-0000-0000C99C0000}"/>
    <cellStyle name="Percent 44 11" xfId="14276" xr:uid="{00000000-0005-0000-0000-0000CA9C0000}"/>
    <cellStyle name="Percent 44 2" xfId="7329" xr:uid="{00000000-0005-0000-0000-0000CB9C0000}"/>
    <cellStyle name="Percent 44 2 2" xfId="14277" xr:uid="{00000000-0005-0000-0000-0000CC9C0000}"/>
    <cellStyle name="Percent 44 2 2 2" xfId="43387" xr:uid="{00000000-0005-0000-0000-0000CD9C0000}"/>
    <cellStyle name="Percent 44 2 3" xfId="37355" xr:uid="{00000000-0005-0000-0000-0000CE9C0000}"/>
    <cellStyle name="Percent 44 3" xfId="7330" xr:uid="{00000000-0005-0000-0000-0000CF9C0000}"/>
    <cellStyle name="Percent 44 3 2" xfId="14278" xr:uid="{00000000-0005-0000-0000-0000D09C0000}"/>
    <cellStyle name="Percent 44 3 2 2" xfId="43388" xr:uid="{00000000-0005-0000-0000-0000D19C0000}"/>
    <cellStyle name="Percent 44 3 3" xfId="37356" xr:uid="{00000000-0005-0000-0000-0000D29C0000}"/>
    <cellStyle name="Percent 44 4" xfId="7331" xr:uid="{00000000-0005-0000-0000-0000D39C0000}"/>
    <cellStyle name="Percent 44 4 2" xfId="14279" xr:uid="{00000000-0005-0000-0000-0000D49C0000}"/>
    <cellStyle name="Percent 44 4 2 2" xfId="43389" xr:uid="{00000000-0005-0000-0000-0000D59C0000}"/>
    <cellStyle name="Percent 44 4 3" xfId="37357" xr:uid="{00000000-0005-0000-0000-0000D69C0000}"/>
    <cellStyle name="Percent 44 5" xfId="7332" xr:uid="{00000000-0005-0000-0000-0000D79C0000}"/>
    <cellStyle name="Percent 44 5 2" xfId="14280" xr:uid="{00000000-0005-0000-0000-0000D89C0000}"/>
    <cellStyle name="Percent 44 5 2 2" xfId="43390" xr:uid="{00000000-0005-0000-0000-0000D99C0000}"/>
    <cellStyle name="Percent 44 5 3" xfId="37358" xr:uid="{00000000-0005-0000-0000-0000DA9C0000}"/>
    <cellStyle name="Percent 44 6" xfId="7333" xr:uid="{00000000-0005-0000-0000-0000DB9C0000}"/>
    <cellStyle name="Percent 44 6 2" xfId="14281" xr:uid="{00000000-0005-0000-0000-0000DC9C0000}"/>
    <cellStyle name="Percent 44 6 2 2" xfId="43391" xr:uid="{00000000-0005-0000-0000-0000DD9C0000}"/>
    <cellStyle name="Percent 44 6 3" xfId="37359" xr:uid="{00000000-0005-0000-0000-0000DE9C0000}"/>
    <cellStyle name="Percent 44 7" xfId="7334" xr:uid="{00000000-0005-0000-0000-0000DF9C0000}"/>
    <cellStyle name="Percent 44 7 2" xfId="14282" xr:uid="{00000000-0005-0000-0000-0000E09C0000}"/>
    <cellStyle name="Percent 44 8" xfId="7335" xr:uid="{00000000-0005-0000-0000-0000E19C0000}"/>
    <cellStyle name="Percent 44 8 2" xfId="14283" xr:uid="{00000000-0005-0000-0000-0000E29C0000}"/>
    <cellStyle name="Percent 44 9" xfId="7336" xr:uid="{00000000-0005-0000-0000-0000E39C0000}"/>
    <cellStyle name="Percent 44 9 2" xfId="14284" xr:uid="{00000000-0005-0000-0000-0000E49C0000}"/>
    <cellStyle name="Percent 45" xfId="7337" xr:uid="{00000000-0005-0000-0000-0000E59C0000}"/>
    <cellStyle name="Percent 45 10" xfId="7338" xr:uid="{00000000-0005-0000-0000-0000E69C0000}"/>
    <cellStyle name="Percent 45 10 2" xfId="14285" xr:uid="{00000000-0005-0000-0000-0000E79C0000}"/>
    <cellStyle name="Percent 45 11" xfId="14286" xr:uid="{00000000-0005-0000-0000-0000E89C0000}"/>
    <cellStyle name="Percent 45 2" xfId="7339" xr:uid="{00000000-0005-0000-0000-0000E99C0000}"/>
    <cellStyle name="Percent 45 2 2" xfId="14287" xr:uid="{00000000-0005-0000-0000-0000EA9C0000}"/>
    <cellStyle name="Percent 45 2 2 2" xfId="43392" xr:uid="{00000000-0005-0000-0000-0000EB9C0000}"/>
    <cellStyle name="Percent 45 2 3" xfId="37360" xr:uid="{00000000-0005-0000-0000-0000EC9C0000}"/>
    <cellStyle name="Percent 45 3" xfId="7340" xr:uid="{00000000-0005-0000-0000-0000ED9C0000}"/>
    <cellStyle name="Percent 45 3 2" xfId="14288" xr:uid="{00000000-0005-0000-0000-0000EE9C0000}"/>
    <cellStyle name="Percent 45 3 2 2" xfId="43393" xr:uid="{00000000-0005-0000-0000-0000EF9C0000}"/>
    <cellStyle name="Percent 45 3 3" xfId="37361" xr:uid="{00000000-0005-0000-0000-0000F09C0000}"/>
    <cellStyle name="Percent 45 4" xfId="7341" xr:uid="{00000000-0005-0000-0000-0000F19C0000}"/>
    <cellStyle name="Percent 45 4 2" xfId="14289" xr:uid="{00000000-0005-0000-0000-0000F29C0000}"/>
    <cellStyle name="Percent 45 4 2 2" xfId="43394" xr:uid="{00000000-0005-0000-0000-0000F39C0000}"/>
    <cellStyle name="Percent 45 4 3" xfId="37362" xr:uid="{00000000-0005-0000-0000-0000F49C0000}"/>
    <cellStyle name="Percent 45 5" xfId="7342" xr:uid="{00000000-0005-0000-0000-0000F59C0000}"/>
    <cellStyle name="Percent 45 5 2" xfId="14290" xr:uid="{00000000-0005-0000-0000-0000F69C0000}"/>
    <cellStyle name="Percent 45 5 2 2" xfId="43395" xr:uid="{00000000-0005-0000-0000-0000F79C0000}"/>
    <cellStyle name="Percent 45 5 3" xfId="37363" xr:uid="{00000000-0005-0000-0000-0000F89C0000}"/>
    <cellStyle name="Percent 45 6" xfId="7343" xr:uid="{00000000-0005-0000-0000-0000F99C0000}"/>
    <cellStyle name="Percent 45 6 2" xfId="14291" xr:uid="{00000000-0005-0000-0000-0000FA9C0000}"/>
    <cellStyle name="Percent 45 6 2 2" xfId="43396" xr:uid="{00000000-0005-0000-0000-0000FB9C0000}"/>
    <cellStyle name="Percent 45 6 3" xfId="37364" xr:uid="{00000000-0005-0000-0000-0000FC9C0000}"/>
    <cellStyle name="Percent 45 7" xfId="7344" xr:uid="{00000000-0005-0000-0000-0000FD9C0000}"/>
    <cellStyle name="Percent 45 7 2" xfId="14292" xr:uid="{00000000-0005-0000-0000-0000FE9C0000}"/>
    <cellStyle name="Percent 45 8" xfId="7345" xr:uid="{00000000-0005-0000-0000-0000FF9C0000}"/>
    <cellStyle name="Percent 45 8 2" xfId="14293" xr:uid="{00000000-0005-0000-0000-0000009D0000}"/>
    <cellStyle name="Percent 45 9" xfId="7346" xr:uid="{00000000-0005-0000-0000-0000019D0000}"/>
    <cellStyle name="Percent 45 9 2" xfId="14294" xr:uid="{00000000-0005-0000-0000-0000029D0000}"/>
    <cellStyle name="Percent 46" xfId="7347" xr:uid="{00000000-0005-0000-0000-0000039D0000}"/>
    <cellStyle name="Percent 46 10" xfId="7348" xr:uid="{00000000-0005-0000-0000-0000049D0000}"/>
    <cellStyle name="Percent 46 10 2" xfId="14295" xr:uid="{00000000-0005-0000-0000-0000059D0000}"/>
    <cellStyle name="Percent 46 11" xfId="14296" xr:uid="{00000000-0005-0000-0000-0000069D0000}"/>
    <cellStyle name="Percent 46 2" xfId="7349" xr:uid="{00000000-0005-0000-0000-0000079D0000}"/>
    <cellStyle name="Percent 46 2 2" xfId="14297" xr:uid="{00000000-0005-0000-0000-0000089D0000}"/>
    <cellStyle name="Percent 46 2 2 2" xfId="43397" xr:uid="{00000000-0005-0000-0000-0000099D0000}"/>
    <cellStyle name="Percent 46 2 3" xfId="37365" xr:uid="{00000000-0005-0000-0000-00000A9D0000}"/>
    <cellStyle name="Percent 46 3" xfId="7350" xr:uid="{00000000-0005-0000-0000-00000B9D0000}"/>
    <cellStyle name="Percent 46 3 2" xfId="14298" xr:uid="{00000000-0005-0000-0000-00000C9D0000}"/>
    <cellStyle name="Percent 46 3 2 2" xfId="43398" xr:uid="{00000000-0005-0000-0000-00000D9D0000}"/>
    <cellStyle name="Percent 46 3 3" xfId="37366" xr:uid="{00000000-0005-0000-0000-00000E9D0000}"/>
    <cellStyle name="Percent 46 4" xfId="7351" xr:uid="{00000000-0005-0000-0000-00000F9D0000}"/>
    <cellStyle name="Percent 46 4 2" xfId="14299" xr:uid="{00000000-0005-0000-0000-0000109D0000}"/>
    <cellStyle name="Percent 46 4 2 2" xfId="43399" xr:uid="{00000000-0005-0000-0000-0000119D0000}"/>
    <cellStyle name="Percent 46 4 3" xfId="37367" xr:uid="{00000000-0005-0000-0000-0000129D0000}"/>
    <cellStyle name="Percent 46 5" xfId="7352" xr:uid="{00000000-0005-0000-0000-0000139D0000}"/>
    <cellStyle name="Percent 46 5 2" xfId="14300" xr:uid="{00000000-0005-0000-0000-0000149D0000}"/>
    <cellStyle name="Percent 46 5 2 2" xfId="43400" xr:uid="{00000000-0005-0000-0000-0000159D0000}"/>
    <cellStyle name="Percent 46 5 3" xfId="37368" xr:uid="{00000000-0005-0000-0000-0000169D0000}"/>
    <cellStyle name="Percent 46 6" xfId="7353" xr:uid="{00000000-0005-0000-0000-0000179D0000}"/>
    <cellStyle name="Percent 46 6 2" xfId="14301" xr:uid="{00000000-0005-0000-0000-0000189D0000}"/>
    <cellStyle name="Percent 46 6 2 2" xfId="43401" xr:uid="{00000000-0005-0000-0000-0000199D0000}"/>
    <cellStyle name="Percent 46 6 3" xfId="37369" xr:uid="{00000000-0005-0000-0000-00001A9D0000}"/>
    <cellStyle name="Percent 46 7" xfId="7354" xr:uid="{00000000-0005-0000-0000-00001B9D0000}"/>
    <cellStyle name="Percent 46 7 2" xfId="14302" xr:uid="{00000000-0005-0000-0000-00001C9D0000}"/>
    <cellStyle name="Percent 46 8" xfId="7355" xr:uid="{00000000-0005-0000-0000-00001D9D0000}"/>
    <cellStyle name="Percent 46 8 2" xfId="14303" xr:uid="{00000000-0005-0000-0000-00001E9D0000}"/>
    <cellStyle name="Percent 46 9" xfId="7356" xr:uid="{00000000-0005-0000-0000-00001F9D0000}"/>
    <cellStyle name="Percent 46 9 2" xfId="14304" xr:uid="{00000000-0005-0000-0000-0000209D0000}"/>
    <cellStyle name="Percent 47" xfId="7357" xr:uid="{00000000-0005-0000-0000-0000219D0000}"/>
    <cellStyle name="Percent 47 10" xfId="7358" xr:uid="{00000000-0005-0000-0000-0000229D0000}"/>
    <cellStyle name="Percent 47 10 2" xfId="14305" xr:uid="{00000000-0005-0000-0000-0000239D0000}"/>
    <cellStyle name="Percent 47 11" xfId="14306" xr:uid="{00000000-0005-0000-0000-0000249D0000}"/>
    <cellStyle name="Percent 47 2" xfId="7359" xr:uid="{00000000-0005-0000-0000-0000259D0000}"/>
    <cellStyle name="Percent 47 2 2" xfId="14307" xr:uid="{00000000-0005-0000-0000-0000269D0000}"/>
    <cellStyle name="Percent 47 2 2 2" xfId="43402" xr:uid="{00000000-0005-0000-0000-0000279D0000}"/>
    <cellStyle name="Percent 47 2 2 3" xfId="37370" xr:uid="{00000000-0005-0000-0000-0000289D0000}"/>
    <cellStyle name="Percent 47 2 3" xfId="37371" xr:uid="{00000000-0005-0000-0000-0000299D0000}"/>
    <cellStyle name="Percent 47 2 3 2" xfId="43403" xr:uid="{00000000-0005-0000-0000-00002A9D0000}"/>
    <cellStyle name="Percent 47 3" xfId="7360" xr:uid="{00000000-0005-0000-0000-00002B9D0000}"/>
    <cellStyle name="Percent 47 3 2" xfId="14308" xr:uid="{00000000-0005-0000-0000-00002C9D0000}"/>
    <cellStyle name="Percent 47 3 2 2" xfId="43404" xr:uid="{00000000-0005-0000-0000-00002D9D0000}"/>
    <cellStyle name="Percent 47 3 3" xfId="37372" xr:uid="{00000000-0005-0000-0000-00002E9D0000}"/>
    <cellStyle name="Percent 47 4" xfId="7361" xr:uid="{00000000-0005-0000-0000-00002F9D0000}"/>
    <cellStyle name="Percent 47 4 2" xfId="14309" xr:uid="{00000000-0005-0000-0000-0000309D0000}"/>
    <cellStyle name="Percent 47 4 2 2" xfId="43405" xr:uid="{00000000-0005-0000-0000-0000319D0000}"/>
    <cellStyle name="Percent 47 4 3" xfId="37373" xr:uid="{00000000-0005-0000-0000-0000329D0000}"/>
    <cellStyle name="Percent 47 5" xfId="7362" xr:uid="{00000000-0005-0000-0000-0000339D0000}"/>
    <cellStyle name="Percent 47 5 2" xfId="14310" xr:uid="{00000000-0005-0000-0000-0000349D0000}"/>
    <cellStyle name="Percent 47 5 2 2" xfId="43406" xr:uid="{00000000-0005-0000-0000-0000359D0000}"/>
    <cellStyle name="Percent 47 5 3" xfId="37374" xr:uid="{00000000-0005-0000-0000-0000369D0000}"/>
    <cellStyle name="Percent 47 6" xfId="7363" xr:uid="{00000000-0005-0000-0000-0000379D0000}"/>
    <cellStyle name="Percent 47 6 2" xfId="14311" xr:uid="{00000000-0005-0000-0000-0000389D0000}"/>
    <cellStyle name="Percent 47 6 2 2" xfId="43407" xr:uid="{00000000-0005-0000-0000-0000399D0000}"/>
    <cellStyle name="Percent 47 6 3" xfId="37375" xr:uid="{00000000-0005-0000-0000-00003A9D0000}"/>
    <cellStyle name="Percent 47 7" xfId="7364" xr:uid="{00000000-0005-0000-0000-00003B9D0000}"/>
    <cellStyle name="Percent 47 7 2" xfId="14312" xr:uid="{00000000-0005-0000-0000-00003C9D0000}"/>
    <cellStyle name="Percent 47 8" xfId="7365" xr:uid="{00000000-0005-0000-0000-00003D9D0000}"/>
    <cellStyle name="Percent 47 8 2" xfId="14313" xr:uid="{00000000-0005-0000-0000-00003E9D0000}"/>
    <cellStyle name="Percent 47 9" xfId="7366" xr:uid="{00000000-0005-0000-0000-00003F9D0000}"/>
    <cellStyle name="Percent 47 9 2" xfId="14314" xr:uid="{00000000-0005-0000-0000-0000409D0000}"/>
    <cellStyle name="Percent 48" xfId="7367" xr:uid="{00000000-0005-0000-0000-0000419D0000}"/>
    <cellStyle name="Percent 48 10" xfId="7368" xr:uid="{00000000-0005-0000-0000-0000429D0000}"/>
    <cellStyle name="Percent 48 10 2" xfId="14315" xr:uid="{00000000-0005-0000-0000-0000439D0000}"/>
    <cellStyle name="Percent 48 11" xfId="14316" xr:uid="{00000000-0005-0000-0000-0000449D0000}"/>
    <cellStyle name="Percent 48 2" xfId="7369" xr:uid="{00000000-0005-0000-0000-0000459D0000}"/>
    <cellStyle name="Percent 48 2 2" xfId="14317" xr:uid="{00000000-0005-0000-0000-0000469D0000}"/>
    <cellStyle name="Percent 48 2 2 2" xfId="43408" xr:uid="{00000000-0005-0000-0000-0000479D0000}"/>
    <cellStyle name="Percent 48 2 2 3" xfId="37376" xr:uid="{00000000-0005-0000-0000-0000489D0000}"/>
    <cellStyle name="Percent 48 2 3" xfId="37377" xr:uid="{00000000-0005-0000-0000-0000499D0000}"/>
    <cellStyle name="Percent 48 2 3 2" xfId="43409" xr:uid="{00000000-0005-0000-0000-00004A9D0000}"/>
    <cellStyle name="Percent 48 3" xfId="7370" xr:uid="{00000000-0005-0000-0000-00004B9D0000}"/>
    <cellStyle name="Percent 48 3 2" xfId="14318" xr:uid="{00000000-0005-0000-0000-00004C9D0000}"/>
    <cellStyle name="Percent 48 3 2 2" xfId="43410" xr:uid="{00000000-0005-0000-0000-00004D9D0000}"/>
    <cellStyle name="Percent 48 3 3" xfId="37378" xr:uid="{00000000-0005-0000-0000-00004E9D0000}"/>
    <cellStyle name="Percent 48 4" xfId="7371" xr:uid="{00000000-0005-0000-0000-00004F9D0000}"/>
    <cellStyle name="Percent 48 4 2" xfId="14319" xr:uid="{00000000-0005-0000-0000-0000509D0000}"/>
    <cellStyle name="Percent 48 4 2 2" xfId="43411" xr:uid="{00000000-0005-0000-0000-0000519D0000}"/>
    <cellStyle name="Percent 48 4 3" xfId="37379" xr:uid="{00000000-0005-0000-0000-0000529D0000}"/>
    <cellStyle name="Percent 48 5" xfId="7372" xr:uid="{00000000-0005-0000-0000-0000539D0000}"/>
    <cellStyle name="Percent 48 5 2" xfId="14320" xr:uid="{00000000-0005-0000-0000-0000549D0000}"/>
    <cellStyle name="Percent 48 5 2 2" xfId="43412" xr:uid="{00000000-0005-0000-0000-0000559D0000}"/>
    <cellStyle name="Percent 48 5 3" xfId="37380" xr:uid="{00000000-0005-0000-0000-0000569D0000}"/>
    <cellStyle name="Percent 48 6" xfId="7373" xr:uid="{00000000-0005-0000-0000-0000579D0000}"/>
    <cellStyle name="Percent 48 6 2" xfId="14321" xr:uid="{00000000-0005-0000-0000-0000589D0000}"/>
    <cellStyle name="Percent 48 6 2 2" xfId="43413" xr:uid="{00000000-0005-0000-0000-0000599D0000}"/>
    <cellStyle name="Percent 48 6 3" xfId="37381" xr:uid="{00000000-0005-0000-0000-00005A9D0000}"/>
    <cellStyle name="Percent 48 7" xfId="7374" xr:uid="{00000000-0005-0000-0000-00005B9D0000}"/>
    <cellStyle name="Percent 48 7 2" xfId="14322" xr:uid="{00000000-0005-0000-0000-00005C9D0000}"/>
    <cellStyle name="Percent 48 8" xfId="7375" xr:uid="{00000000-0005-0000-0000-00005D9D0000}"/>
    <cellStyle name="Percent 48 8 2" xfId="14323" xr:uid="{00000000-0005-0000-0000-00005E9D0000}"/>
    <cellStyle name="Percent 48 9" xfId="7376" xr:uid="{00000000-0005-0000-0000-00005F9D0000}"/>
    <cellStyle name="Percent 48 9 2" xfId="14324" xr:uid="{00000000-0005-0000-0000-0000609D0000}"/>
    <cellStyle name="Percent 49" xfId="7377" xr:uid="{00000000-0005-0000-0000-0000619D0000}"/>
    <cellStyle name="Percent 49 2" xfId="7378" xr:uid="{00000000-0005-0000-0000-0000629D0000}"/>
    <cellStyle name="Percent 49 2 2" xfId="7379" xr:uid="{00000000-0005-0000-0000-0000639D0000}"/>
    <cellStyle name="Percent 49 2 2 2" xfId="7380" xr:uid="{00000000-0005-0000-0000-0000649D0000}"/>
    <cellStyle name="Percent 49 2 2 2 2" xfId="7381" xr:uid="{00000000-0005-0000-0000-0000659D0000}"/>
    <cellStyle name="Percent 49 2 2 2 2 2" xfId="7382" xr:uid="{00000000-0005-0000-0000-0000669D0000}"/>
    <cellStyle name="Percent 49 2 2 2 2 2 2" xfId="19016" xr:uid="{00000000-0005-0000-0000-0000679D0000}"/>
    <cellStyle name="Percent 49 2 2 2 2 3" xfId="18498" xr:uid="{00000000-0005-0000-0000-0000689D0000}"/>
    <cellStyle name="Percent 49 2 2 2 3" xfId="7383" xr:uid="{00000000-0005-0000-0000-0000699D0000}"/>
    <cellStyle name="Percent 49 2 2 2 3 2" xfId="18734" xr:uid="{00000000-0005-0000-0000-00006A9D0000}"/>
    <cellStyle name="Percent 49 2 2 2 4" xfId="18207" xr:uid="{00000000-0005-0000-0000-00006B9D0000}"/>
    <cellStyle name="Percent 49 2 2 3" xfId="7384" xr:uid="{00000000-0005-0000-0000-00006C9D0000}"/>
    <cellStyle name="Percent 49 2 2 3 2" xfId="7385" xr:uid="{00000000-0005-0000-0000-00006D9D0000}"/>
    <cellStyle name="Percent 49 2 2 3 2 2" xfId="18896" xr:uid="{00000000-0005-0000-0000-00006E9D0000}"/>
    <cellStyle name="Percent 49 2 2 3 3" xfId="18377" xr:uid="{00000000-0005-0000-0000-00006F9D0000}"/>
    <cellStyle name="Percent 49 2 2 4" xfId="7386" xr:uid="{00000000-0005-0000-0000-0000709D0000}"/>
    <cellStyle name="Percent 49 2 2 4 2" xfId="18617" xr:uid="{00000000-0005-0000-0000-0000719D0000}"/>
    <cellStyle name="Percent 49 2 2 5" xfId="18063" xr:uid="{00000000-0005-0000-0000-0000729D0000}"/>
    <cellStyle name="Percent 49 2 2 6" xfId="43414" xr:uid="{00000000-0005-0000-0000-0000739D0000}"/>
    <cellStyle name="Percent 49 2 3" xfId="7387" xr:uid="{00000000-0005-0000-0000-0000749D0000}"/>
    <cellStyle name="Percent 49 2 3 2" xfId="7388" xr:uid="{00000000-0005-0000-0000-0000759D0000}"/>
    <cellStyle name="Percent 49 2 3 2 2" xfId="7389" xr:uid="{00000000-0005-0000-0000-0000769D0000}"/>
    <cellStyle name="Percent 49 2 3 2 2 2" xfId="18930" xr:uid="{00000000-0005-0000-0000-0000779D0000}"/>
    <cellStyle name="Percent 49 2 3 2 3" xfId="18412" xr:uid="{00000000-0005-0000-0000-0000789D0000}"/>
    <cellStyle name="Percent 49 2 3 3" xfId="7390" xr:uid="{00000000-0005-0000-0000-0000799D0000}"/>
    <cellStyle name="Percent 49 2 3 3 2" xfId="18648" xr:uid="{00000000-0005-0000-0000-00007A9D0000}"/>
    <cellStyle name="Percent 49 2 3 4" xfId="18121" xr:uid="{00000000-0005-0000-0000-00007B9D0000}"/>
    <cellStyle name="Percent 49 2 4" xfId="7391" xr:uid="{00000000-0005-0000-0000-00007C9D0000}"/>
    <cellStyle name="Percent 49 2 4 2" xfId="7392" xr:uid="{00000000-0005-0000-0000-00007D9D0000}"/>
    <cellStyle name="Percent 49 2 4 2 2" xfId="18810" xr:uid="{00000000-0005-0000-0000-00007E9D0000}"/>
    <cellStyle name="Percent 49 2 4 3" xfId="18283" xr:uid="{00000000-0005-0000-0000-00007F9D0000}"/>
    <cellStyle name="Percent 49 2 5" xfId="7393" xr:uid="{00000000-0005-0000-0000-0000809D0000}"/>
    <cellStyle name="Percent 49 2 5 2" xfId="18531" xr:uid="{00000000-0005-0000-0000-0000819D0000}"/>
    <cellStyle name="Percent 49 2 6" xfId="17967" xr:uid="{00000000-0005-0000-0000-0000829D0000}"/>
    <cellStyle name="Percent 49 2 7" xfId="37382" xr:uid="{00000000-0005-0000-0000-0000839D0000}"/>
    <cellStyle name="Percent 49 3" xfId="7394" xr:uid="{00000000-0005-0000-0000-0000849D0000}"/>
    <cellStyle name="Percent 49 3 2" xfId="7395" xr:uid="{00000000-0005-0000-0000-0000859D0000}"/>
    <cellStyle name="Percent 49 3 2 2" xfId="14325" xr:uid="{00000000-0005-0000-0000-0000869D0000}"/>
    <cellStyle name="Percent 49 3 2 3" xfId="43415" xr:uid="{00000000-0005-0000-0000-0000879D0000}"/>
    <cellStyle name="Percent 49 3 3" xfId="7396" xr:uid="{00000000-0005-0000-0000-0000889D0000}"/>
    <cellStyle name="Percent 49 3 4" xfId="7397" xr:uid="{00000000-0005-0000-0000-0000899D0000}"/>
    <cellStyle name="Percent 49 3 4 2" xfId="7398" xr:uid="{00000000-0005-0000-0000-00008A9D0000}"/>
    <cellStyle name="Percent 49 3 5" xfId="37383" xr:uid="{00000000-0005-0000-0000-00008B9D0000}"/>
    <cellStyle name="Percent 49 4" xfId="7399" xr:uid="{00000000-0005-0000-0000-00008C9D0000}"/>
    <cellStyle name="Percent 49 4 2" xfId="7400" xr:uid="{00000000-0005-0000-0000-00008D9D0000}"/>
    <cellStyle name="Percent 49 4 2 2" xfId="7401" xr:uid="{00000000-0005-0000-0000-00008E9D0000}"/>
    <cellStyle name="Percent 49 4 2 2 2" xfId="7402" xr:uid="{00000000-0005-0000-0000-00008F9D0000}"/>
    <cellStyle name="Percent 49 4 2 2 2 2" xfId="18969" xr:uid="{00000000-0005-0000-0000-0000909D0000}"/>
    <cellStyle name="Percent 49 4 2 2 3" xfId="18451" xr:uid="{00000000-0005-0000-0000-0000919D0000}"/>
    <cellStyle name="Percent 49 4 2 3" xfId="7403" xr:uid="{00000000-0005-0000-0000-0000929D0000}"/>
    <cellStyle name="Percent 49 4 2 3 2" xfId="18687" xr:uid="{00000000-0005-0000-0000-0000939D0000}"/>
    <cellStyle name="Percent 49 4 2 4" xfId="18160" xr:uid="{00000000-0005-0000-0000-0000949D0000}"/>
    <cellStyle name="Percent 49 4 2 5" xfId="43416" xr:uid="{00000000-0005-0000-0000-0000959D0000}"/>
    <cellStyle name="Percent 49 4 3" xfId="7404" xr:uid="{00000000-0005-0000-0000-0000969D0000}"/>
    <cellStyle name="Percent 49 4 3 2" xfId="7405" xr:uid="{00000000-0005-0000-0000-0000979D0000}"/>
    <cellStyle name="Percent 49 4 3 2 2" xfId="18848" xr:uid="{00000000-0005-0000-0000-0000989D0000}"/>
    <cellStyle name="Percent 49 4 3 3" xfId="18327" xr:uid="{00000000-0005-0000-0000-0000999D0000}"/>
    <cellStyle name="Percent 49 4 4" xfId="7406" xr:uid="{00000000-0005-0000-0000-00009A9D0000}"/>
    <cellStyle name="Percent 49 4 4 2" xfId="18570" xr:uid="{00000000-0005-0000-0000-00009B9D0000}"/>
    <cellStyle name="Percent 49 4 5" xfId="18011" xr:uid="{00000000-0005-0000-0000-00009C9D0000}"/>
    <cellStyle name="Percent 49 4 6" xfId="37384" xr:uid="{00000000-0005-0000-0000-00009D9D0000}"/>
    <cellStyle name="Percent 49 5" xfId="7407" xr:uid="{00000000-0005-0000-0000-00009E9D0000}"/>
    <cellStyle name="Percent 49 5 2" xfId="14326" xr:uid="{00000000-0005-0000-0000-00009F9D0000}"/>
    <cellStyle name="Percent 49 5 2 2" xfId="43417" xr:uid="{00000000-0005-0000-0000-0000A09D0000}"/>
    <cellStyle name="Percent 49 5 3" xfId="37385" xr:uid="{00000000-0005-0000-0000-0000A19D0000}"/>
    <cellStyle name="Percent 49 6" xfId="7408" xr:uid="{00000000-0005-0000-0000-0000A29D0000}"/>
    <cellStyle name="Percent 49 6 2" xfId="7409" xr:uid="{00000000-0005-0000-0000-0000A39D0000}"/>
    <cellStyle name="Percent 49 6 2 2" xfId="7410" xr:uid="{00000000-0005-0000-0000-0000A49D0000}"/>
    <cellStyle name="Percent 49 6 2 2 2" xfId="18912" xr:uid="{00000000-0005-0000-0000-0000A59D0000}"/>
    <cellStyle name="Percent 49 6 2 3" xfId="18394" xr:uid="{00000000-0005-0000-0000-0000A69D0000}"/>
    <cellStyle name="Percent 49 6 2 4" xfId="43418" xr:uid="{00000000-0005-0000-0000-0000A79D0000}"/>
    <cellStyle name="Percent 49 6 3" xfId="7411" xr:uid="{00000000-0005-0000-0000-0000A89D0000}"/>
    <cellStyle name="Percent 49 6 3 2" xfId="18630" xr:uid="{00000000-0005-0000-0000-0000A99D0000}"/>
    <cellStyle name="Percent 49 6 4" xfId="18103" xr:uid="{00000000-0005-0000-0000-0000AA9D0000}"/>
    <cellStyle name="Percent 49 6 5" xfId="37386" xr:uid="{00000000-0005-0000-0000-0000AB9D0000}"/>
    <cellStyle name="Percent 49 7" xfId="7412" xr:uid="{00000000-0005-0000-0000-0000AC9D0000}"/>
    <cellStyle name="Percent 49 7 2" xfId="7413" xr:uid="{00000000-0005-0000-0000-0000AD9D0000}"/>
    <cellStyle name="Percent 49 7 2 2" xfId="18772" xr:uid="{00000000-0005-0000-0000-0000AE9D0000}"/>
    <cellStyle name="Percent 49 7 3" xfId="18245" xr:uid="{00000000-0005-0000-0000-0000AF9D0000}"/>
    <cellStyle name="Percent 49 8" xfId="7414" xr:uid="{00000000-0005-0000-0000-0000B09D0000}"/>
    <cellStyle name="Percent 49 8 2" xfId="18513" xr:uid="{00000000-0005-0000-0000-0000B19D0000}"/>
    <cellStyle name="Percent 49 9" xfId="17387" xr:uid="{00000000-0005-0000-0000-0000B29D0000}"/>
    <cellStyle name="Percent 5" xfId="7415" xr:uid="{00000000-0005-0000-0000-0000B39D0000}"/>
    <cellStyle name="Percent 5 10" xfId="37387" xr:uid="{00000000-0005-0000-0000-0000B49D0000}"/>
    <cellStyle name="Percent 5 10 2" xfId="43419" xr:uid="{00000000-0005-0000-0000-0000B59D0000}"/>
    <cellStyle name="Percent 5 11" xfId="37388" xr:uid="{00000000-0005-0000-0000-0000B69D0000}"/>
    <cellStyle name="Percent 5 11 2" xfId="43420" xr:uid="{00000000-0005-0000-0000-0000B79D0000}"/>
    <cellStyle name="Percent 5 2" xfId="7416" xr:uid="{00000000-0005-0000-0000-0000B89D0000}"/>
    <cellStyle name="Percent 5 2 2" xfId="14327" xr:uid="{00000000-0005-0000-0000-0000B99D0000}"/>
    <cellStyle name="Percent 5 2 2 2" xfId="43422" xr:uid="{00000000-0005-0000-0000-0000BA9D0000}"/>
    <cellStyle name="Percent 5 2 2 3" xfId="37390" xr:uid="{00000000-0005-0000-0000-0000BB9D0000}"/>
    <cellStyle name="Percent 5 2 3" xfId="37391" xr:uid="{00000000-0005-0000-0000-0000BC9D0000}"/>
    <cellStyle name="Percent 5 2 3 2" xfId="43423" xr:uid="{00000000-0005-0000-0000-0000BD9D0000}"/>
    <cellStyle name="Percent 5 2 4" xfId="43421" xr:uid="{00000000-0005-0000-0000-0000BE9D0000}"/>
    <cellStyle name="Percent 5 2 5" xfId="37389" xr:uid="{00000000-0005-0000-0000-0000BF9D0000}"/>
    <cellStyle name="Percent 5 3" xfId="7417" xr:uid="{00000000-0005-0000-0000-0000C09D0000}"/>
    <cellStyle name="Percent 5 3 2" xfId="14328" xr:uid="{00000000-0005-0000-0000-0000C19D0000}"/>
    <cellStyle name="Percent 5 3 2 2" xfId="43425" xr:uid="{00000000-0005-0000-0000-0000C29D0000}"/>
    <cellStyle name="Percent 5 3 2 3" xfId="37393" xr:uid="{00000000-0005-0000-0000-0000C39D0000}"/>
    <cellStyle name="Percent 5 3 3" xfId="43424" xr:uid="{00000000-0005-0000-0000-0000C49D0000}"/>
    <cellStyle name="Percent 5 3 4" xfId="37392" xr:uid="{00000000-0005-0000-0000-0000C59D0000}"/>
    <cellStyle name="Percent 5 4" xfId="7418" xr:uid="{00000000-0005-0000-0000-0000C69D0000}"/>
    <cellStyle name="Percent 5 4 2" xfId="14329" xr:uid="{00000000-0005-0000-0000-0000C79D0000}"/>
    <cellStyle name="Percent 5 4 2 2" xfId="43427" xr:uid="{00000000-0005-0000-0000-0000C89D0000}"/>
    <cellStyle name="Percent 5 4 2 3" xfId="37395" xr:uid="{00000000-0005-0000-0000-0000C99D0000}"/>
    <cellStyle name="Percent 5 4 3" xfId="43426" xr:uid="{00000000-0005-0000-0000-0000CA9D0000}"/>
    <cellStyle name="Percent 5 4 4" xfId="37394" xr:uid="{00000000-0005-0000-0000-0000CB9D0000}"/>
    <cellStyle name="Percent 5 5" xfId="7419" xr:uid="{00000000-0005-0000-0000-0000CC9D0000}"/>
    <cellStyle name="Percent 5 5 2" xfId="14330" xr:uid="{00000000-0005-0000-0000-0000CD9D0000}"/>
    <cellStyle name="Percent 5 5 2 2" xfId="43428" xr:uid="{00000000-0005-0000-0000-0000CE9D0000}"/>
    <cellStyle name="Percent 5 5 3" xfId="37396" xr:uid="{00000000-0005-0000-0000-0000CF9D0000}"/>
    <cellStyle name="Percent 5 6" xfId="7420" xr:uid="{00000000-0005-0000-0000-0000D09D0000}"/>
    <cellStyle name="Percent 5 6 2" xfId="43429" xr:uid="{00000000-0005-0000-0000-0000D19D0000}"/>
    <cellStyle name="Percent 5 6 3" xfId="37397" xr:uid="{00000000-0005-0000-0000-0000D29D0000}"/>
    <cellStyle name="Percent 5 7" xfId="7421" xr:uid="{00000000-0005-0000-0000-0000D39D0000}"/>
    <cellStyle name="Percent 5 7 2" xfId="43430" xr:uid="{00000000-0005-0000-0000-0000D49D0000}"/>
    <cellStyle name="Percent 5 7 3" xfId="37398" xr:uid="{00000000-0005-0000-0000-0000D59D0000}"/>
    <cellStyle name="Percent 5 8" xfId="37399" xr:uid="{00000000-0005-0000-0000-0000D69D0000}"/>
    <cellStyle name="Percent 5 8 2" xfId="43431" xr:uid="{00000000-0005-0000-0000-0000D79D0000}"/>
    <cellStyle name="Percent 5 9" xfId="37400" xr:uid="{00000000-0005-0000-0000-0000D89D0000}"/>
    <cellStyle name="Percent 5 9 2" xfId="43432" xr:uid="{00000000-0005-0000-0000-0000D99D0000}"/>
    <cellStyle name="Percent 50" xfId="7422" xr:uid="{00000000-0005-0000-0000-0000DA9D0000}"/>
    <cellStyle name="Percent 50 2" xfId="7423" xr:uid="{00000000-0005-0000-0000-0000DB9D0000}"/>
    <cellStyle name="Percent 50 2 2" xfId="14331" xr:uid="{00000000-0005-0000-0000-0000DC9D0000}"/>
    <cellStyle name="Percent 50 2 2 2" xfId="43433" xr:uid="{00000000-0005-0000-0000-0000DD9D0000}"/>
    <cellStyle name="Percent 50 2 3" xfId="37401" xr:uid="{00000000-0005-0000-0000-0000DE9D0000}"/>
    <cellStyle name="Percent 50 3" xfId="7424" xr:uid="{00000000-0005-0000-0000-0000DF9D0000}"/>
    <cellStyle name="Percent 50 3 2" xfId="14332" xr:uid="{00000000-0005-0000-0000-0000E09D0000}"/>
    <cellStyle name="Percent 50 3 2 2" xfId="43434" xr:uid="{00000000-0005-0000-0000-0000E19D0000}"/>
    <cellStyle name="Percent 50 3 3" xfId="37402" xr:uid="{00000000-0005-0000-0000-0000E29D0000}"/>
    <cellStyle name="Percent 50 4" xfId="7425" xr:uid="{00000000-0005-0000-0000-0000E39D0000}"/>
    <cellStyle name="Percent 50 4 2" xfId="7426" xr:uid="{00000000-0005-0000-0000-0000E49D0000}"/>
    <cellStyle name="Percent 50 4 2 2" xfId="43435" xr:uid="{00000000-0005-0000-0000-0000E59D0000}"/>
    <cellStyle name="Percent 50 4 3" xfId="37403" xr:uid="{00000000-0005-0000-0000-0000E69D0000}"/>
    <cellStyle name="Percent 50 5" xfId="37404" xr:uid="{00000000-0005-0000-0000-0000E79D0000}"/>
    <cellStyle name="Percent 50 5 2" xfId="43436" xr:uid="{00000000-0005-0000-0000-0000E89D0000}"/>
    <cellStyle name="Percent 50 6" xfId="37405" xr:uid="{00000000-0005-0000-0000-0000E99D0000}"/>
    <cellStyle name="Percent 50 6 2" xfId="43437" xr:uid="{00000000-0005-0000-0000-0000EA9D0000}"/>
    <cellStyle name="Percent 51" xfId="7427" xr:uid="{00000000-0005-0000-0000-0000EB9D0000}"/>
    <cellStyle name="Percent 51 2" xfId="7428" xr:uid="{00000000-0005-0000-0000-0000EC9D0000}"/>
    <cellStyle name="Percent 51 2 2" xfId="14333" xr:uid="{00000000-0005-0000-0000-0000ED9D0000}"/>
    <cellStyle name="Percent 51 2 2 2" xfId="43438" xr:uid="{00000000-0005-0000-0000-0000EE9D0000}"/>
    <cellStyle name="Percent 51 2 3" xfId="37406" xr:uid="{00000000-0005-0000-0000-0000EF9D0000}"/>
    <cellStyle name="Percent 51 3" xfId="7429" xr:uid="{00000000-0005-0000-0000-0000F09D0000}"/>
    <cellStyle name="Percent 51 3 2" xfId="14334" xr:uid="{00000000-0005-0000-0000-0000F19D0000}"/>
    <cellStyle name="Percent 51 3 2 2" xfId="43439" xr:uid="{00000000-0005-0000-0000-0000F29D0000}"/>
    <cellStyle name="Percent 51 3 3" xfId="37407" xr:uid="{00000000-0005-0000-0000-0000F39D0000}"/>
    <cellStyle name="Percent 51 4" xfId="7430" xr:uid="{00000000-0005-0000-0000-0000F49D0000}"/>
    <cellStyle name="Percent 51 4 2" xfId="14335" xr:uid="{00000000-0005-0000-0000-0000F59D0000}"/>
    <cellStyle name="Percent 51 4 2 2" xfId="43440" xr:uid="{00000000-0005-0000-0000-0000F69D0000}"/>
    <cellStyle name="Percent 51 4 3" xfId="37408" xr:uid="{00000000-0005-0000-0000-0000F79D0000}"/>
    <cellStyle name="Percent 51 5" xfId="7431" xr:uid="{00000000-0005-0000-0000-0000F89D0000}"/>
    <cellStyle name="Percent 51 5 2" xfId="7432" xr:uid="{00000000-0005-0000-0000-0000F99D0000}"/>
    <cellStyle name="Percent 51 5 2 2" xfId="7433" xr:uid="{00000000-0005-0000-0000-0000FA9D0000}"/>
    <cellStyle name="Percent 51 5 2 2 2" xfId="7434" xr:uid="{00000000-0005-0000-0000-0000FB9D0000}"/>
    <cellStyle name="Percent 51 5 2 2 2 2" xfId="19002" xr:uid="{00000000-0005-0000-0000-0000FC9D0000}"/>
    <cellStyle name="Percent 51 5 2 2 3" xfId="18484" xr:uid="{00000000-0005-0000-0000-0000FD9D0000}"/>
    <cellStyle name="Percent 51 5 2 3" xfId="7435" xr:uid="{00000000-0005-0000-0000-0000FE9D0000}"/>
    <cellStyle name="Percent 51 5 2 3 2" xfId="18720" xr:uid="{00000000-0005-0000-0000-0000FF9D0000}"/>
    <cellStyle name="Percent 51 5 2 4" xfId="18193" xr:uid="{00000000-0005-0000-0000-0000009E0000}"/>
    <cellStyle name="Percent 51 5 2 5" xfId="43441" xr:uid="{00000000-0005-0000-0000-0000019E0000}"/>
    <cellStyle name="Percent 51 5 3" xfId="7436" xr:uid="{00000000-0005-0000-0000-0000029E0000}"/>
    <cellStyle name="Percent 51 5 3 2" xfId="7437" xr:uid="{00000000-0005-0000-0000-0000039E0000}"/>
    <cellStyle name="Percent 51 5 3 2 2" xfId="18882" xr:uid="{00000000-0005-0000-0000-0000049E0000}"/>
    <cellStyle name="Percent 51 5 3 3" xfId="18363" xr:uid="{00000000-0005-0000-0000-0000059E0000}"/>
    <cellStyle name="Percent 51 5 4" xfId="7438" xr:uid="{00000000-0005-0000-0000-0000069E0000}"/>
    <cellStyle name="Percent 51 5 4 2" xfId="18603" xr:uid="{00000000-0005-0000-0000-0000079E0000}"/>
    <cellStyle name="Percent 51 5 5" xfId="18049" xr:uid="{00000000-0005-0000-0000-0000089E0000}"/>
    <cellStyle name="Percent 51 5 6" xfId="37409" xr:uid="{00000000-0005-0000-0000-0000099E0000}"/>
    <cellStyle name="Percent 51 6" xfId="7439" xr:uid="{00000000-0005-0000-0000-00000A9E0000}"/>
    <cellStyle name="Percent 51 6 2" xfId="7440" xr:uid="{00000000-0005-0000-0000-00000B9E0000}"/>
    <cellStyle name="Percent 51 6 2 2" xfId="7441" xr:uid="{00000000-0005-0000-0000-00000C9E0000}"/>
    <cellStyle name="Percent 51 6 2 2 2" xfId="18915" xr:uid="{00000000-0005-0000-0000-00000D9E0000}"/>
    <cellStyle name="Percent 51 6 2 3" xfId="18397" xr:uid="{00000000-0005-0000-0000-00000E9E0000}"/>
    <cellStyle name="Percent 51 6 2 4" xfId="43442" xr:uid="{00000000-0005-0000-0000-00000F9E0000}"/>
    <cellStyle name="Percent 51 6 3" xfId="7442" xr:uid="{00000000-0005-0000-0000-0000109E0000}"/>
    <cellStyle name="Percent 51 6 3 2" xfId="18633" xr:uid="{00000000-0005-0000-0000-0000119E0000}"/>
    <cellStyle name="Percent 51 6 4" xfId="18106" xr:uid="{00000000-0005-0000-0000-0000129E0000}"/>
    <cellStyle name="Percent 51 6 5" xfId="37410" xr:uid="{00000000-0005-0000-0000-0000139E0000}"/>
    <cellStyle name="Percent 51 7" xfId="7443" xr:uid="{00000000-0005-0000-0000-0000149E0000}"/>
    <cellStyle name="Percent 51 7 2" xfId="7444" xr:uid="{00000000-0005-0000-0000-0000159E0000}"/>
    <cellStyle name="Percent 51 7 2 2" xfId="18795" xr:uid="{00000000-0005-0000-0000-0000169E0000}"/>
    <cellStyle name="Percent 51 7 3" xfId="18268" xr:uid="{00000000-0005-0000-0000-0000179E0000}"/>
    <cellStyle name="Percent 51 8" xfId="7445" xr:uid="{00000000-0005-0000-0000-0000189E0000}"/>
    <cellStyle name="Percent 51 8 2" xfId="18516" xr:uid="{00000000-0005-0000-0000-0000199E0000}"/>
    <cellStyle name="Percent 51 9" xfId="17601" xr:uid="{00000000-0005-0000-0000-00001A9E0000}"/>
    <cellStyle name="Percent 52" xfId="7446" xr:uid="{00000000-0005-0000-0000-00001B9E0000}"/>
    <cellStyle name="Percent 52 2" xfId="7447" xr:uid="{00000000-0005-0000-0000-00001C9E0000}"/>
    <cellStyle name="Percent 52 2 2" xfId="14336" xr:uid="{00000000-0005-0000-0000-00001D9E0000}"/>
    <cellStyle name="Percent 52 2 2 2" xfId="43443" xr:uid="{00000000-0005-0000-0000-00001E9E0000}"/>
    <cellStyle name="Percent 52 2 3" xfId="37411" xr:uid="{00000000-0005-0000-0000-00001F9E0000}"/>
    <cellStyle name="Percent 52 3" xfId="7448" xr:uid="{00000000-0005-0000-0000-0000209E0000}"/>
    <cellStyle name="Percent 52 3 2" xfId="14337" xr:uid="{00000000-0005-0000-0000-0000219E0000}"/>
    <cellStyle name="Percent 52 3 2 2" xfId="43444" xr:uid="{00000000-0005-0000-0000-0000229E0000}"/>
    <cellStyle name="Percent 52 3 3" xfId="37412" xr:uid="{00000000-0005-0000-0000-0000239E0000}"/>
    <cellStyle name="Percent 52 4" xfId="7449" xr:uid="{00000000-0005-0000-0000-0000249E0000}"/>
    <cellStyle name="Percent 52 4 2" xfId="14338" xr:uid="{00000000-0005-0000-0000-0000259E0000}"/>
    <cellStyle name="Percent 52 4 2 2" xfId="43445" xr:uid="{00000000-0005-0000-0000-0000269E0000}"/>
    <cellStyle name="Percent 52 4 3" xfId="37413" xr:uid="{00000000-0005-0000-0000-0000279E0000}"/>
    <cellStyle name="Percent 52 5" xfId="7450" xr:uid="{00000000-0005-0000-0000-0000289E0000}"/>
    <cellStyle name="Percent 52 5 2" xfId="14339" xr:uid="{00000000-0005-0000-0000-0000299E0000}"/>
    <cellStyle name="Percent 52 5 2 2" xfId="43446" xr:uid="{00000000-0005-0000-0000-00002A9E0000}"/>
    <cellStyle name="Percent 52 5 3" xfId="37414" xr:uid="{00000000-0005-0000-0000-00002B9E0000}"/>
    <cellStyle name="Percent 52 6" xfId="7451" xr:uid="{00000000-0005-0000-0000-00002C9E0000}"/>
    <cellStyle name="Percent 52 6 2" xfId="14340" xr:uid="{00000000-0005-0000-0000-00002D9E0000}"/>
    <cellStyle name="Percent 52 6 2 2" xfId="43447" xr:uid="{00000000-0005-0000-0000-00002E9E0000}"/>
    <cellStyle name="Percent 52 6 3" xfId="37415" xr:uid="{00000000-0005-0000-0000-00002F9E0000}"/>
    <cellStyle name="Percent 52 7" xfId="7452" xr:uid="{00000000-0005-0000-0000-0000309E0000}"/>
    <cellStyle name="Percent 52 7 2" xfId="14341" xr:uid="{00000000-0005-0000-0000-0000319E0000}"/>
    <cellStyle name="Percent 52 8" xfId="7453" xr:uid="{00000000-0005-0000-0000-0000329E0000}"/>
    <cellStyle name="Percent 52 8 2" xfId="14342" xr:uid="{00000000-0005-0000-0000-0000339E0000}"/>
    <cellStyle name="Percent 52 9" xfId="14343" xr:uid="{00000000-0005-0000-0000-0000349E0000}"/>
    <cellStyle name="Percent 53" xfId="7454" xr:uid="{00000000-0005-0000-0000-0000359E0000}"/>
    <cellStyle name="Percent 53 2" xfId="14344" xr:uid="{00000000-0005-0000-0000-0000369E0000}"/>
    <cellStyle name="Percent 53 2 2" xfId="43448" xr:uid="{00000000-0005-0000-0000-0000379E0000}"/>
    <cellStyle name="Percent 53 2 3" xfId="37416" xr:uid="{00000000-0005-0000-0000-0000389E0000}"/>
    <cellStyle name="Percent 53 3" xfId="37417" xr:uid="{00000000-0005-0000-0000-0000399E0000}"/>
    <cellStyle name="Percent 53 3 2" xfId="43449" xr:uid="{00000000-0005-0000-0000-00003A9E0000}"/>
    <cellStyle name="Percent 53 4" xfId="37418" xr:uid="{00000000-0005-0000-0000-00003B9E0000}"/>
    <cellStyle name="Percent 53 4 2" xfId="43450" xr:uid="{00000000-0005-0000-0000-00003C9E0000}"/>
    <cellStyle name="Percent 53 5" xfId="37419" xr:uid="{00000000-0005-0000-0000-00003D9E0000}"/>
    <cellStyle name="Percent 53 5 2" xfId="43451" xr:uid="{00000000-0005-0000-0000-00003E9E0000}"/>
    <cellStyle name="Percent 53 6" xfId="37420" xr:uid="{00000000-0005-0000-0000-00003F9E0000}"/>
    <cellStyle name="Percent 53 6 2" xfId="43452" xr:uid="{00000000-0005-0000-0000-0000409E0000}"/>
    <cellStyle name="Percent 54" xfId="7455" xr:uid="{00000000-0005-0000-0000-0000419E0000}"/>
    <cellStyle name="Percent 54 2" xfId="14345" xr:uid="{00000000-0005-0000-0000-0000429E0000}"/>
    <cellStyle name="Percent 54 2 2" xfId="43453" xr:uid="{00000000-0005-0000-0000-0000439E0000}"/>
    <cellStyle name="Percent 54 2 3" xfId="37421" xr:uid="{00000000-0005-0000-0000-0000449E0000}"/>
    <cellStyle name="Percent 54 3" xfId="37422" xr:uid="{00000000-0005-0000-0000-0000459E0000}"/>
    <cellStyle name="Percent 54 3 2" xfId="43454" xr:uid="{00000000-0005-0000-0000-0000469E0000}"/>
    <cellStyle name="Percent 54 4" xfId="37423" xr:uid="{00000000-0005-0000-0000-0000479E0000}"/>
    <cellStyle name="Percent 54 4 2" xfId="43455" xr:uid="{00000000-0005-0000-0000-0000489E0000}"/>
    <cellStyle name="Percent 54 5" xfId="37424" xr:uid="{00000000-0005-0000-0000-0000499E0000}"/>
    <cellStyle name="Percent 54 5 2" xfId="43456" xr:uid="{00000000-0005-0000-0000-00004A9E0000}"/>
    <cellStyle name="Percent 54 6" xfId="37425" xr:uid="{00000000-0005-0000-0000-00004B9E0000}"/>
    <cellStyle name="Percent 54 6 2" xfId="43457" xr:uid="{00000000-0005-0000-0000-00004C9E0000}"/>
    <cellStyle name="Percent 55" xfId="7456" xr:uid="{00000000-0005-0000-0000-00004D9E0000}"/>
    <cellStyle name="Percent 55 2" xfId="7457" xr:uid="{00000000-0005-0000-0000-00004E9E0000}"/>
    <cellStyle name="Percent 55 2 2" xfId="7458" xr:uid="{00000000-0005-0000-0000-00004F9E0000}"/>
    <cellStyle name="Percent 55 2 2 2" xfId="43458" xr:uid="{00000000-0005-0000-0000-0000509E0000}"/>
    <cellStyle name="Percent 55 2 3" xfId="7459" xr:uid="{00000000-0005-0000-0000-0000519E0000}"/>
    <cellStyle name="Percent 55 2 4" xfId="37426" xr:uid="{00000000-0005-0000-0000-0000529E0000}"/>
    <cellStyle name="Percent 55 3" xfId="7460" xr:uid="{00000000-0005-0000-0000-0000539E0000}"/>
    <cellStyle name="Percent 55 3 2" xfId="7461" xr:uid="{00000000-0005-0000-0000-0000549E0000}"/>
    <cellStyle name="Percent 55 3 2 2" xfId="43459" xr:uid="{00000000-0005-0000-0000-0000559E0000}"/>
    <cellStyle name="Percent 55 3 3" xfId="7462" xr:uid="{00000000-0005-0000-0000-0000569E0000}"/>
    <cellStyle name="Percent 55 3 4" xfId="37427" xr:uid="{00000000-0005-0000-0000-0000579E0000}"/>
    <cellStyle name="Percent 55 4" xfId="14346" xr:uid="{00000000-0005-0000-0000-0000589E0000}"/>
    <cellStyle name="Percent 55 4 2" xfId="43460" xr:uid="{00000000-0005-0000-0000-0000599E0000}"/>
    <cellStyle name="Percent 55 4 3" xfId="37428" xr:uid="{00000000-0005-0000-0000-00005A9E0000}"/>
    <cellStyle name="Percent 55 5" xfId="37429" xr:uid="{00000000-0005-0000-0000-00005B9E0000}"/>
    <cellStyle name="Percent 55 5 2" xfId="43461" xr:uid="{00000000-0005-0000-0000-00005C9E0000}"/>
    <cellStyle name="Percent 55 6" xfId="37430" xr:uid="{00000000-0005-0000-0000-00005D9E0000}"/>
    <cellStyle name="Percent 55 6 2" xfId="43462" xr:uid="{00000000-0005-0000-0000-00005E9E0000}"/>
    <cellStyle name="Percent 56" xfId="7463" xr:uid="{00000000-0005-0000-0000-00005F9E0000}"/>
    <cellStyle name="Percent 56 2" xfId="14347" xr:uid="{00000000-0005-0000-0000-0000609E0000}"/>
    <cellStyle name="Percent 56 2 2" xfId="43463" xr:uid="{00000000-0005-0000-0000-0000619E0000}"/>
    <cellStyle name="Percent 56 2 3" xfId="37431" xr:uid="{00000000-0005-0000-0000-0000629E0000}"/>
    <cellStyle name="Percent 56 3" xfId="37432" xr:uid="{00000000-0005-0000-0000-0000639E0000}"/>
    <cellStyle name="Percent 56 3 2" xfId="43464" xr:uid="{00000000-0005-0000-0000-0000649E0000}"/>
    <cellStyle name="Percent 56 4" xfId="37433" xr:uid="{00000000-0005-0000-0000-0000659E0000}"/>
    <cellStyle name="Percent 56 4 2" xfId="43465" xr:uid="{00000000-0005-0000-0000-0000669E0000}"/>
    <cellStyle name="Percent 56 5" xfId="37434" xr:uid="{00000000-0005-0000-0000-0000679E0000}"/>
    <cellStyle name="Percent 56 5 2" xfId="43466" xr:uid="{00000000-0005-0000-0000-0000689E0000}"/>
    <cellStyle name="Percent 56 6" xfId="37435" xr:uid="{00000000-0005-0000-0000-0000699E0000}"/>
    <cellStyle name="Percent 56 6 2" xfId="43467" xr:uid="{00000000-0005-0000-0000-00006A9E0000}"/>
    <cellStyle name="Percent 57" xfId="7464" xr:uid="{00000000-0005-0000-0000-00006B9E0000}"/>
    <cellStyle name="Percent 57 2" xfId="7465" xr:uid="{00000000-0005-0000-0000-00006C9E0000}"/>
    <cellStyle name="Percent 57 2 2" xfId="7466" xr:uid="{00000000-0005-0000-0000-00006D9E0000}"/>
    <cellStyle name="Percent 57 2 2 2" xfId="14348" xr:uid="{00000000-0005-0000-0000-00006E9E0000}"/>
    <cellStyle name="Percent 57 2 2 3" xfId="43468" xr:uid="{00000000-0005-0000-0000-00006F9E0000}"/>
    <cellStyle name="Percent 57 2 3" xfId="7467" xr:uid="{00000000-0005-0000-0000-0000709E0000}"/>
    <cellStyle name="Percent 57 2 3 2" xfId="14349" xr:uid="{00000000-0005-0000-0000-0000719E0000}"/>
    <cellStyle name="Percent 57 2 4" xfId="7468" xr:uid="{00000000-0005-0000-0000-0000729E0000}"/>
    <cellStyle name="Percent 57 2 5" xfId="7469" xr:uid="{00000000-0005-0000-0000-0000739E0000}"/>
    <cellStyle name="Percent 57 2 6" xfId="37436" xr:uid="{00000000-0005-0000-0000-0000749E0000}"/>
    <cellStyle name="Percent 57 3" xfId="7470" xr:uid="{00000000-0005-0000-0000-0000759E0000}"/>
    <cellStyle name="Percent 57 3 2" xfId="14350" xr:uid="{00000000-0005-0000-0000-0000769E0000}"/>
    <cellStyle name="Percent 57 3 2 2" xfId="43469" xr:uid="{00000000-0005-0000-0000-0000779E0000}"/>
    <cellStyle name="Percent 57 3 3" xfId="37437" xr:uid="{00000000-0005-0000-0000-0000789E0000}"/>
    <cellStyle name="Percent 57 4" xfId="7471" xr:uid="{00000000-0005-0000-0000-0000799E0000}"/>
    <cellStyle name="Percent 57 4 2" xfId="7472" xr:uid="{00000000-0005-0000-0000-00007A9E0000}"/>
    <cellStyle name="Percent 57 4 2 2" xfId="43470" xr:uid="{00000000-0005-0000-0000-00007B9E0000}"/>
    <cellStyle name="Percent 57 4 3" xfId="7473" xr:uid="{00000000-0005-0000-0000-00007C9E0000}"/>
    <cellStyle name="Percent 57 4 4" xfId="37438" xr:uid="{00000000-0005-0000-0000-00007D9E0000}"/>
    <cellStyle name="Percent 57 5" xfId="7474" xr:uid="{00000000-0005-0000-0000-00007E9E0000}"/>
    <cellStyle name="Percent 57 5 2" xfId="7475" xr:uid="{00000000-0005-0000-0000-00007F9E0000}"/>
    <cellStyle name="Percent 57 5 2 2" xfId="7476" xr:uid="{00000000-0005-0000-0000-0000809E0000}"/>
    <cellStyle name="Percent 57 5 2 2 2" xfId="18953" xr:uid="{00000000-0005-0000-0000-0000819E0000}"/>
    <cellStyle name="Percent 57 5 2 3" xfId="18435" xr:uid="{00000000-0005-0000-0000-0000829E0000}"/>
    <cellStyle name="Percent 57 5 2 4" xfId="43471" xr:uid="{00000000-0005-0000-0000-0000839E0000}"/>
    <cellStyle name="Percent 57 5 3" xfId="7477" xr:uid="{00000000-0005-0000-0000-0000849E0000}"/>
    <cellStyle name="Percent 57 5 3 2" xfId="18671" xr:uid="{00000000-0005-0000-0000-0000859E0000}"/>
    <cellStyle name="Percent 57 5 4" xfId="18144" xr:uid="{00000000-0005-0000-0000-0000869E0000}"/>
    <cellStyle name="Percent 57 5 5" xfId="37439" xr:uid="{00000000-0005-0000-0000-0000879E0000}"/>
    <cellStyle name="Percent 57 6" xfId="7478" xr:uid="{00000000-0005-0000-0000-0000889E0000}"/>
    <cellStyle name="Percent 57 6 2" xfId="7479" xr:uid="{00000000-0005-0000-0000-0000899E0000}"/>
    <cellStyle name="Percent 57 6 2 2" xfId="18832" xr:uid="{00000000-0005-0000-0000-00008A9E0000}"/>
    <cellStyle name="Percent 57 6 2 3" xfId="43472" xr:uid="{00000000-0005-0000-0000-00008B9E0000}"/>
    <cellStyle name="Percent 57 6 3" xfId="18311" xr:uid="{00000000-0005-0000-0000-00008C9E0000}"/>
    <cellStyle name="Percent 57 6 4" xfId="37440" xr:uid="{00000000-0005-0000-0000-00008D9E0000}"/>
    <cellStyle name="Percent 57 7" xfId="7480" xr:uid="{00000000-0005-0000-0000-00008E9E0000}"/>
    <cellStyle name="Percent 57 7 2" xfId="18554" xr:uid="{00000000-0005-0000-0000-00008F9E0000}"/>
    <cellStyle name="Percent 57 8" xfId="17992" xr:uid="{00000000-0005-0000-0000-0000909E0000}"/>
    <cellStyle name="Percent 58" xfId="7481" xr:uid="{00000000-0005-0000-0000-0000919E0000}"/>
    <cellStyle name="Percent 58 2" xfId="7482" xr:uid="{00000000-0005-0000-0000-0000929E0000}"/>
    <cellStyle name="Percent 58 2 2" xfId="7483" xr:uid="{00000000-0005-0000-0000-0000939E0000}"/>
    <cellStyle name="Percent 58 2 2 2" xfId="43473" xr:uid="{00000000-0005-0000-0000-0000949E0000}"/>
    <cellStyle name="Percent 58 2 2 3" xfId="37443" xr:uid="{00000000-0005-0000-0000-0000959E0000}"/>
    <cellStyle name="Percent 58 2 3" xfId="7484" xr:uid="{00000000-0005-0000-0000-0000969E0000}"/>
    <cellStyle name="Percent 58 2 3 2" xfId="43474" xr:uid="{00000000-0005-0000-0000-0000979E0000}"/>
    <cellStyle name="Percent 58 2 3 3" xfId="37444" xr:uid="{00000000-0005-0000-0000-0000989E0000}"/>
    <cellStyle name="Percent 58 2 4" xfId="37442" xr:uid="{00000000-0005-0000-0000-0000999E0000}"/>
    <cellStyle name="Percent 58 3" xfId="7485" xr:uid="{00000000-0005-0000-0000-00009A9E0000}"/>
    <cellStyle name="Percent 58 3 2" xfId="7486" xr:uid="{00000000-0005-0000-0000-00009B9E0000}"/>
    <cellStyle name="Percent 58 3 2 2" xfId="43475" xr:uid="{00000000-0005-0000-0000-00009C9E0000}"/>
    <cellStyle name="Percent 58 3 3" xfId="7487" xr:uid="{00000000-0005-0000-0000-00009D9E0000}"/>
    <cellStyle name="Percent 58 3 4" xfId="37445" xr:uid="{00000000-0005-0000-0000-00009E9E0000}"/>
    <cellStyle name="Percent 58 4" xfId="7488" xr:uid="{00000000-0005-0000-0000-00009F9E0000}"/>
    <cellStyle name="Percent 58 4 2" xfId="7489" xr:uid="{00000000-0005-0000-0000-0000A09E0000}"/>
    <cellStyle name="Percent 58 4 2 2" xfId="7490" xr:uid="{00000000-0005-0000-0000-0000A19E0000}"/>
    <cellStyle name="Percent 58 4 2 2 2" xfId="18984" xr:uid="{00000000-0005-0000-0000-0000A29E0000}"/>
    <cellStyle name="Percent 58 4 2 3" xfId="18466" xr:uid="{00000000-0005-0000-0000-0000A39E0000}"/>
    <cellStyle name="Percent 58 4 2 4" xfId="43476" xr:uid="{00000000-0005-0000-0000-0000A49E0000}"/>
    <cellStyle name="Percent 58 4 3" xfId="7491" xr:uid="{00000000-0005-0000-0000-0000A59E0000}"/>
    <cellStyle name="Percent 58 4 3 2" xfId="18702" xr:uid="{00000000-0005-0000-0000-0000A69E0000}"/>
    <cellStyle name="Percent 58 4 4" xfId="18175" xr:uid="{00000000-0005-0000-0000-0000A79E0000}"/>
    <cellStyle name="Percent 58 4 5" xfId="37446" xr:uid="{00000000-0005-0000-0000-0000A89E0000}"/>
    <cellStyle name="Percent 58 5" xfId="7492" xr:uid="{00000000-0005-0000-0000-0000A99E0000}"/>
    <cellStyle name="Percent 58 5 2" xfId="7493" xr:uid="{00000000-0005-0000-0000-0000AA9E0000}"/>
    <cellStyle name="Percent 58 5 2 2" xfId="18863" xr:uid="{00000000-0005-0000-0000-0000AB9E0000}"/>
    <cellStyle name="Percent 58 5 2 3" xfId="43477" xr:uid="{00000000-0005-0000-0000-0000AC9E0000}"/>
    <cellStyle name="Percent 58 5 3" xfId="18342" xr:uid="{00000000-0005-0000-0000-0000AD9E0000}"/>
    <cellStyle name="Percent 58 5 4" xfId="37447" xr:uid="{00000000-0005-0000-0000-0000AE9E0000}"/>
    <cellStyle name="Percent 58 6" xfId="7494" xr:uid="{00000000-0005-0000-0000-0000AF9E0000}"/>
    <cellStyle name="Percent 58 6 2" xfId="18585" xr:uid="{00000000-0005-0000-0000-0000B09E0000}"/>
    <cellStyle name="Percent 58 6 2 2" xfId="43478" xr:uid="{00000000-0005-0000-0000-0000B19E0000}"/>
    <cellStyle name="Percent 58 6 3" xfId="37448" xr:uid="{00000000-0005-0000-0000-0000B29E0000}"/>
    <cellStyle name="Percent 58 7" xfId="18027" xr:uid="{00000000-0005-0000-0000-0000B39E0000}"/>
    <cellStyle name="Percent 58 8" xfId="37441" xr:uid="{00000000-0005-0000-0000-0000B49E0000}"/>
    <cellStyle name="Percent 59" xfId="7495" xr:uid="{00000000-0005-0000-0000-0000B59E0000}"/>
    <cellStyle name="Percent 59 2" xfId="7496" xr:uid="{00000000-0005-0000-0000-0000B69E0000}"/>
    <cellStyle name="Percent 59 2 2" xfId="7497" xr:uid="{00000000-0005-0000-0000-0000B79E0000}"/>
    <cellStyle name="Percent 59 2 2 2" xfId="43479" xr:uid="{00000000-0005-0000-0000-0000B89E0000}"/>
    <cellStyle name="Percent 59 2 2 3" xfId="37451" xr:uid="{00000000-0005-0000-0000-0000B99E0000}"/>
    <cellStyle name="Percent 59 2 3" xfId="7498" xr:uid="{00000000-0005-0000-0000-0000BA9E0000}"/>
    <cellStyle name="Percent 59 2 3 2" xfId="43480" xr:uid="{00000000-0005-0000-0000-0000BB9E0000}"/>
    <cellStyle name="Percent 59 2 3 3" xfId="37452" xr:uid="{00000000-0005-0000-0000-0000BC9E0000}"/>
    <cellStyle name="Percent 59 2 4" xfId="37450" xr:uid="{00000000-0005-0000-0000-0000BD9E0000}"/>
    <cellStyle name="Percent 59 3" xfId="7499" xr:uid="{00000000-0005-0000-0000-0000BE9E0000}"/>
    <cellStyle name="Percent 59 3 2" xfId="7500" xr:uid="{00000000-0005-0000-0000-0000BF9E0000}"/>
    <cellStyle name="Percent 59 3 2 2" xfId="43481" xr:uid="{00000000-0005-0000-0000-0000C09E0000}"/>
    <cellStyle name="Percent 59 3 3" xfId="7501" xr:uid="{00000000-0005-0000-0000-0000C19E0000}"/>
    <cellStyle name="Percent 59 3 4" xfId="37453" xr:uid="{00000000-0005-0000-0000-0000C29E0000}"/>
    <cellStyle name="Percent 59 4" xfId="14351" xr:uid="{00000000-0005-0000-0000-0000C39E0000}"/>
    <cellStyle name="Percent 59 4 2" xfId="43482" xr:uid="{00000000-0005-0000-0000-0000C49E0000}"/>
    <cellStyle name="Percent 59 4 3" xfId="37454" xr:uid="{00000000-0005-0000-0000-0000C59E0000}"/>
    <cellStyle name="Percent 59 5" xfId="37455" xr:uid="{00000000-0005-0000-0000-0000C69E0000}"/>
    <cellStyle name="Percent 59 5 2" xfId="43483" xr:uid="{00000000-0005-0000-0000-0000C79E0000}"/>
    <cellStyle name="Percent 59 6" xfId="37456" xr:uid="{00000000-0005-0000-0000-0000C89E0000}"/>
    <cellStyle name="Percent 59 6 2" xfId="43484" xr:uid="{00000000-0005-0000-0000-0000C99E0000}"/>
    <cellStyle name="Percent 59 7" xfId="37449" xr:uid="{00000000-0005-0000-0000-0000CA9E0000}"/>
    <cellStyle name="Percent 6" xfId="7502" xr:uid="{00000000-0005-0000-0000-0000CB9E0000}"/>
    <cellStyle name="Percent 6 2" xfId="7503" xr:uid="{00000000-0005-0000-0000-0000CC9E0000}"/>
    <cellStyle name="Percent 6 2 2" xfId="14352" xr:uid="{00000000-0005-0000-0000-0000CD9E0000}"/>
    <cellStyle name="Percent 6 2 2 2" xfId="43486" xr:uid="{00000000-0005-0000-0000-0000CE9E0000}"/>
    <cellStyle name="Percent 6 2 2 3" xfId="37458" xr:uid="{00000000-0005-0000-0000-0000CF9E0000}"/>
    <cellStyle name="Percent 6 2 3" xfId="37459" xr:uid="{00000000-0005-0000-0000-0000D09E0000}"/>
    <cellStyle name="Percent 6 2 3 2" xfId="43487" xr:uid="{00000000-0005-0000-0000-0000D19E0000}"/>
    <cellStyle name="Percent 6 2 4" xfId="37460" xr:uid="{00000000-0005-0000-0000-0000D29E0000}"/>
    <cellStyle name="Percent 6 2 4 2" xfId="43488" xr:uid="{00000000-0005-0000-0000-0000D39E0000}"/>
    <cellStyle name="Percent 6 2 5" xfId="37461" xr:uid="{00000000-0005-0000-0000-0000D49E0000}"/>
    <cellStyle name="Percent 6 2 5 2" xfId="43489" xr:uid="{00000000-0005-0000-0000-0000D59E0000}"/>
    <cellStyle name="Percent 6 2 6" xfId="37462" xr:uid="{00000000-0005-0000-0000-0000D69E0000}"/>
    <cellStyle name="Percent 6 2 6 2" xfId="43490" xr:uid="{00000000-0005-0000-0000-0000D79E0000}"/>
    <cellStyle name="Percent 6 2 7" xfId="43485" xr:uid="{00000000-0005-0000-0000-0000D89E0000}"/>
    <cellStyle name="Percent 6 2 8" xfId="37457" xr:uid="{00000000-0005-0000-0000-0000D99E0000}"/>
    <cellStyle name="Percent 6 3" xfId="7504" xr:uid="{00000000-0005-0000-0000-0000DA9E0000}"/>
    <cellStyle name="Percent 6 3 2" xfId="14353" xr:uid="{00000000-0005-0000-0000-0000DB9E0000}"/>
    <cellStyle name="Percent 6 3 2 2" xfId="43491" xr:uid="{00000000-0005-0000-0000-0000DC9E0000}"/>
    <cellStyle name="Percent 6 3 3" xfId="37463" xr:uid="{00000000-0005-0000-0000-0000DD9E0000}"/>
    <cellStyle name="Percent 6 4" xfId="7505" xr:uid="{00000000-0005-0000-0000-0000DE9E0000}"/>
    <cellStyle name="Percent 6 4 2" xfId="14354" xr:uid="{00000000-0005-0000-0000-0000DF9E0000}"/>
    <cellStyle name="Percent 6 4 2 2" xfId="43492" xr:uid="{00000000-0005-0000-0000-0000E09E0000}"/>
    <cellStyle name="Percent 6 4 3" xfId="37464" xr:uid="{00000000-0005-0000-0000-0000E19E0000}"/>
    <cellStyle name="Percent 6 5" xfId="7506" xr:uid="{00000000-0005-0000-0000-0000E29E0000}"/>
    <cellStyle name="Percent 6 5 2" xfId="14355" xr:uid="{00000000-0005-0000-0000-0000E39E0000}"/>
    <cellStyle name="Percent 6 5 2 2" xfId="43493" xr:uid="{00000000-0005-0000-0000-0000E49E0000}"/>
    <cellStyle name="Percent 6 5 3" xfId="37465" xr:uid="{00000000-0005-0000-0000-0000E59E0000}"/>
    <cellStyle name="Percent 6 6" xfId="7507" xr:uid="{00000000-0005-0000-0000-0000E69E0000}"/>
    <cellStyle name="Percent 6 6 2" xfId="43494" xr:uid="{00000000-0005-0000-0000-0000E79E0000}"/>
    <cellStyle name="Percent 6 6 3" xfId="37466" xr:uid="{00000000-0005-0000-0000-0000E89E0000}"/>
    <cellStyle name="Percent 6 7" xfId="7508" xr:uid="{00000000-0005-0000-0000-0000E99E0000}"/>
    <cellStyle name="Percent 6 7 2" xfId="43495" xr:uid="{00000000-0005-0000-0000-0000EA9E0000}"/>
    <cellStyle name="Percent 6 7 3" xfId="37467" xr:uid="{00000000-0005-0000-0000-0000EB9E0000}"/>
    <cellStyle name="Percent 6 8" xfId="37468" xr:uid="{00000000-0005-0000-0000-0000EC9E0000}"/>
    <cellStyle name="Percent 6 8 2" xfId="43496" xr:uid="{00000000-0005-0000-0000-0000ED9E0000}"/>
    <cellStyle name="Percent 6 9" xfId="37469" xr:uid="{00000000-0005-0000-0000-0000EE9E0000}"/>
    <cellStyle name="Percent 6 9 2" xfId="43497" xr:uid="{00000000-0005-0000-0000-0000EF9E0000}"/>
    <cellStyle name="Percent 60" xfId="7509" xr:uid="{00000000-0005-0000-0000-0000F09E0000}"/>
    <cellStyle name="Percent 60 2" xfId="7510" xr:uid="{00000000-0005-0000-0000-0000F19E0000}"/>
    <cellStyle name="Percent 60 2 2" xfId="7511" xr:uid="{00000000-0005-0000-0000-0000F29E0000}"/>
    <cellStyle name="Percent 60 2 2 2" xfId="43498" xr:uid="{00000000-0005-0000-0000-0000F39E0000}"/>
    <cellStyle name="Percent 60 2 2 3" xfId="37472" xr:uid="{00000000-0005-0000-0000-0000F49E0000}"/>
    <cellStyle name="Percent 60 2 3" xfId="7512" xr:uid="{00000000-0005-0000-0000-0000F59E0000}"/>
    <cellStyle name="Percent 60 2 3 2" xfId="43499" xr:uid="{00000000-0005-0000-0000-0000F69E0000}"/>
    <cellStyle name="Percent 60 2 3 3" xfId="37473" xr:uid="{00000000-0005-0000-0000-0000F79E0000}"/>
    <cellStyle name="Percent 60 2 4" xfId="37471" xr:uid="{00000000-0005-0000-0000-0000F89E0000}"/>
    <cellStyle name="Percent 60 3" xfId="7513" xr:uid="{00000000-0005-0000-0000-0000F99E0000}"/>
    <cellStyle name="Percent 60 3 2" xfId="7514" xr:uid="{00000000-0005-0000-0000-0000FA9E0000}"/>
    <cellStyle name="Percent 60 3 2 2" xfId="43500" xr:uid="{00000000-0005-0000-0000-0000FB9E0000}"/>
    <cellStyle name="Percent 60 3 3" xfId="7515" xr:uid="{00000000-0005-0000-0000-0000FC9E0000}"/>
    <cellStyle name="Percent 60 3 4" xfId="37474" xr:uid="{00000000-0005-0000-0000-0000FD9E0000}"/>
    <cellStyle name="Percent 60 4" xfId="37475" xr:uid="{00000000-0005-0000-0000-0000FE9E0000}"/>
    <cellStyle name="Percent 60 4 2" xfId="43501" xr:uid="{00000000-0005-0000-0000-0000FF9E0000}"/>
    <cellStyle name="Percent 60 5" xfId="37476" xr:uid="{00000000-0005-0000-0000-0000009F0000}"/>
    <cellStyle name="Percent 60 5 2" xfId="43502" xr:uid="{00000000-0005-0000-0000-0000019F0000}"/>
    <cellStyle name="Percent 60 6" xfId="37477" xr:uid="{00000000-0005-0000-0000-0000029F0000}"/>
    <cellStyle name="Percent 60 6 2" xfId="43503" xr:uid="{00000000-0005-0000-0000-0000039F0000}"/>
    <cellStyle name="Percent 60 7" xfId="37470" xr:uid="{00000000-0005-0000-0000-0000049F0000}"/>
    <cellStyle name="Percent 61" xfId="7516" xr:uid="{00000000-0005-0000-0000-0000059F0000}"/>
    <cellStyle name="Percent 61 2" xfId="7517" xr:uid="{00000000-0005-0000-0000-0000069F0000}"/>
    <cellStyle name="Percent 61 2 2" xfId="14356" xr:uid="{00000000-0005-0000-0000-0000079F0000}"/>
    <cellStyle name="Percent 61 2 2 2" xfId="43504" xr:uid="{00000000-0005-0000-0000-0000089F0000}"/>
    <cellStyle name="Percent 61 2 2 3" xfId="37480" xr:uid="{00000000-0005-0000-0000-0000099F0000}"/>
    <cellStyle name="Percent 61 2 3" xfId="37481" xr:uid="{00000000-0005-0000-0000-00000A9F0000}"/>
    <cellStyle name="Percent 61 2 3 2" xfId="43505" xr:uid="{00000000-0005-0000-0000-00000B9F0000}"/>
    <cellStyle name="Percent 61 2 4" xfId="37479" xr:uid="{00000000-0005-0000-0000-00000C9F0000}"/>
    <cellStyle name="Percent 61 3" xfId="7518" xr:uid="{00000000-0005-0000-0000-00000D9F0000}"/>
    <cellStyle name="Percent 61 3 2" xfId="14357" xr:uid="{00000000-0005-0000-0000-00000E9F0000}"/>
    <cellStyle name="Percent 61 3 2 2" xfId="43506" xr:uid="{00000000-0005-0000-0000-00000F9F0000}"/>
    <cellStyle name="Percent 61 3 3" xfId="37482" xr:uid="{00000000-0005-0000-0000-0000109F0000}"/>
    <cellStyle name="Percent 61 4" xfId="37483" xr:uid="{00000000-0005-0000-0000-0000119F0000}"/>
    <cellStyle name="Percent 61 4 2" xfId="43507" xr:uid="{00000000-0005-0000-0000-0000129F0000}"/>
    <cellStyle name="Percent 61 5" xfId="37484" xr:uid="{00000000-0005-0000-0000-0000139F0000}"/>
    <cellStyle name="Percent 61 5 2" xfId="43508" xr:uid="{00000000-0005-0000-0000-0000149F0000}"/>
    <cellStyle name="Percent 61 6" xfId="37485" xr:uid="{00000000-0005-0000-0000-0000159F0000}"/>
    <cellStyle name="Percent 61 6 2" xfId="43509" xr:uid="{00000000-0005-0000-0000-0000169F0000}"/>
    <cellStyle name="Percent 61 7" xfId="37478" xr:uid="{00000000-0005-0000-0000-0000179F0000}"/>
    <cellStyle name="Percent 62" xfId="7519" xr:uid="{00000000-0005-0000-0000-0000189F0000}"/>
    <cellStyle name="Percent 62 2" xfId="14358" xr:uid="{00000000-0005-0000-0000-0000199F0000}"/>
    <cellStyle name="Percent 62 2 2" xfId="37488" xr:uid="{00000000-0005-0000-0000-00001A9F0000}"/>
    <cellStyle name="Percent 62 2 2 2" xfId="43510" xr:uid="{00000000-0005-0000-0000-00001B9F0000}"/>
    <cellStyle name="Percent 62 2 3" xfId="37489" xr:uid="{00000000-0005-0000-0000-00001C9F0000}"/>
    <cellStyle name="Percent 62 2 3 2" xfId="43511" xr:uid="{00000000-0005-0000-0000-00001D9F0000}"/>
    <cellStyle name="Percent 62 2 4" xfId="37487" xr:uid="{00000000-0005-0000-0000-00001E9F0000}"/>
    <cellStyle name="Percent 62 3" xfId="37490" xr:uid="{00000000-0005-0000-0000-00001F9F0000}"/>
    <cellStyle name="Percent 62 3 2" xfId="43512" xr:uid="{00000000-0005-0000-0000-0000209F0000}"/>
    <cellStyle name="Percent 62 4" xfId="37491" xr:uid="{00000000-0005-0000-0000-0000219F0000}"/>
    <cellStyle name="Percent 62 4 2" xfId="43513" xr:uid="{00000000-0005-0000-0000-0000229F0000}"/>
    <cellStyle name="Percent 62 5" xfId="37492" xr:uid="{00000000-0005-0000-0000-0000239F0000}"/>
    <cellStyle name="Percent 62 5 2" xfId="43514" xr:uid="{00000000-0005-0000-0000-0000249F0000}"/>
    <cellStyle name="Percent 62 6" xfId="37493" xr:uid="{00000000-0005-0000-0000-0000259F0000}"/>
    <cellStyle name="Percent 62 6 2" xfId="43515" xr:uid="{00000000-0005-0000-0000-0000269F0000}"/>
    <cellStyle name="Percent 62 7" xfId="37486" xr:uid="{00000000-0005-0000-0000-0000279F0000}"/>
    <cellStyle name="Percent 63" xfId="7520" xr:uid="{00000000-0005-0000-0000-0000289F0000}"/>
    <cellStyle name="Percent 63 2" xfId="37495" xr:uid="{00000000-0005-0000-0000-0000299F0000}"/>
    <cellStyle name="Percent 63 2 2" xfId="37496" xr:uid="{00000000-0005-0000-0000-00002A9F0000}"/>
    <cellStyle name="Percent 63 2 2 2" xfId="43516" xr:uid="{00000000-0005-0000-0000-00002B9F0000}"/>
    <cellStyle name="Percent 63 2 3" xfId="37497" xr:uid="{00000000-0005-0000-0000-00002C9F0000}"/>
    <cellStyle name="Percent 63 2 3 2" xfId="43517" xr:uid="{00000000-0005-0000-0000-00002D9F0000}"/>
    <cellStyle name="Percent 63 3" xfId="37498" xr:uid="{00000000-0005-0000-0000-00002E9F0000}"/>
    <cellStyle name="Percent 63 3 2" xfId="43518" xr:uid="{00000000-0005-0000-0000-00002F9F0000}"/>
    <cellStyle name="Percent 63 4" xfId="37499" xr:uid="{00000000-0005-0000-0000-0000309F0000}"/>
    <cellStyle name="Percent 63 4 2" xfId="43519" xr:uid="{00000000-0005-0000-0000-0000319F0000}"/>
    <cellStyle name="Percent 63 5" xfId="37500" xr:uid="{00000000-0005-0000-0000-0000329F0000}"/>
    <cellStyle name="Percent 63 5 2" xfId="43520" xr:uid="{00000000-0005-0000-0000-0000339F0000}"/>
    <cellStyle name="Percent 63 6" xfId="37501" xr:uid="{00000000-0005-0000-0000-0000349F0000}"/>
    <cellStyle name="Percent 63 6 2" xfId="43521" xr:uid="{00000000-0005-0000-0000-0000359F0000}"/>
    <cellStyle name="Percent 63 7" xfId="37494" xr:uid="{00000000-0005-0000-0000-0000369F0000}"/>
    <cellStyle name="Percent 64" xfId="7521" xr:uid="{00000000-0005-0000-0000-0000379F0000}"/>
    <cellStyle name="Percent 64 2" xfId="14359" xr:uid="{00000000-0005-0000-0000-0000389F0000}"/>
    <cellStyle name="Percent 64 2 2" xfId="37504" xr:uid="{00000000-0005-0000-0000-0000399F0000}"/>
    <cellStyle name="Percent 64 2 2 2" xfId="43522" xr:uid="{00000000-0005-0000-0000-00003A9F0000}"/>
    <cellStyle name="Percent 64 2 3" xfId="37505" xr:uid="{00000000-0005-0000-0000-00003B9F0000}"/>
    <cellStyle name="Percent 64 2 3 2" xfId="43523" xr:uid="{00000000-0005-0000-0000-00003C9F0000}"/>
    <cellStyle name="Percent 64 2 4" xfId="37503" xr:uid="{00000000-0005-0000-0000-00003D9F0000}"/>
    <cellStyle name="Percent 64 3" xfId="37506" xr:uid="{00000000-0005-0000-0000-00003E9F0000}"/>
    <cellStyle name="Percent 64 3 2" xfId="43524" xr:uid="{00000000-0005-0000-0000-00003F9F0000}"/>
    <cellStyle name="Percent 64 4" xfId="37507" xr:uid="{00000000-0005-0000-0000-0000409F0000}"/>
    <cellStyle name="Percent 64 4 2" xfId="43525" xr:uid="{00000000-0005-0000-0000-0000419F0000}"/>
    <cellStyle name="Percent 64 5" xfId="37508" xr:uid="{00000000-0005-0000-0000-0000429F0000}"/>
    <cellStyle name="Percent 64 5 2" xfId="43526" xr:uid="{00000000-0005-0000-0000-0000439F0000}"/>
    <cellStyle name="Percent 64 6" xfId="37509" xr:uid="{00000000-0005-0000-0000-0000449F0000}"/>
    <cellStyle name="Percent 64 6 2" xfId="43527" xr:uid="{00000000-0005-0000-0000-0000459F0000}"/>
    <cellStyle name="Percent 64 7" xfId="37502" xr:uid="{00000000-0005-0000-0000-0000469F0000}"/>
    <cellStyle name="Percent 65" xfId="7522" xr:uid="{00000000-0005-0000-0000-0000479F0000}"/>
    <cellStyle name="Percent 65 2" xfId="37511" xr:uid="{00000000-0005-0000-0000-0000489F0000}"/>
    <cellStyle name="Percent 65 2 2" xfId="37512" xr:uid="{00000000-0005-0000-0000-0000499F0000}"/>
    <cellStyle name="Percent 65 2 2 2" xfId="43528" xr:uid="{00000000-0005-0000-0000-00004A9F0000}"/>
    <cellStyle name="Percent 65 2 3" xfId="37513" xr:uid="{00000000-0005-0000-0000-00004B9F0000}"/>
    <cellStyle name="Percent 65 2 3 2" xfId="43529" xr:uid="{00000000-0005-0000-0000-00004C9F0000}"/>
    <cellStyle name="Percent 65 3" xfId="37514" xr:uid="{00000000-0005-0000-0000-00004D9F0000}"/>
    <cellStyle name="Percent 65 3 2" xfId="43530" xr:uid="{00000000-0005-0000-0000-00004E9F0000}"/>
    <cellStyle name="Percent 65 4" xfId="37515" xr:uid="{00000000-0005-0000-0000-00004F9F0000}"/>
    <cellStyle name="Percent 65 4 2" xfId="43531" xr:uid="{00000000-0005-0000-0000-0000509F0000}"/>
    <cellStyle name="Percent 65 5" xfId="37516" xr:uid="{00000000-0005-0000-0000-0000519F0000}"/>
    <cellStyle name="Percent 65 5 2" xfId="43532" xr:uid="{00000000-0005-0000-0000-0000529F0000}"/>
    <cellStyle name="Percent 65 6" xfId="37517" xr:uid="{00000000-0005-0000-0000-0000539F0000}"/>
    <cellStyle name="Percent 65 6 2" xfId="43533" xr:uid="{00000000-0005-0000-0000-0000549F0000}"/>
    <cellStyle name="Percent 65 7" xfId="37510" xr:uid="{00000000-0005-0000-0000-0000559F0000}"/>
    <cellStyle name="Percent 66" xfId="7523" xr:uid="{00000000-0005-0000-0000-0000569F0000}"/>
    <cellStyle name="Percent 66 2" xfId="7524" xr:uid="{00000000-0005-0000-0000-0000579F0000}"/>
    <cellStyle name="Percent 66 2 2" xfId="18741" xr:uid="{00000000-0005-0000-0000-0000589F0000}"/>
    <cellStyle name="Percent 66 2 2 2" xfId="43534" xr:uid="{00000000-0005-0000-0000-0000599F0000}"/>
    <cellStyle name="Percent 66 2 2 3" xfId="37520" xr:uid="{00000000-0005-0000-0000-00005A9F0000}"/>
    <cellStyle name="Percent 66 2 3" xfId="37521" xr:uid="{00000000-0005-0000-0000-00005B9F0000}"/>
    <cellStyle name="Percent 66 2 3 2" xfId="43535" xr:uid="{00000000-0005-0000-0000-00005C9F0000}"/>
    <cellStyle name="Percent 66 2 4" xfId="37519" xr:uid="{00000000-0005-0000-0000-00005D9F0000}"/>
    <cellStyle name="Percent 66 3" xfId="18214" xr:uid="{00000000-0005-0000-0000-00005E9F0000}"/>
    <cellStyle name="Percent 66 3 2" xfId="43536" xr:uid="{00000000-0005-0000-0000-00005F9F0000}"/>
    <cellStyle name="Percent 66 3 3" xfId="37522" xr:uid="{00000000-0005-0000-0000-0000609F0000}"/>
    <cellStyle name="Percent 66 4" xfId="37523" xr:uid="{00000000-0005-0000-0000-0000619F0000}"/>
    <cellStyle name="Percent 66 4 2" xfId="43537" xr:uid="{00000000-0005-0000-0000-0000629F0000}"/>
    <cellStyle name="Percent 66 5" xfId="37524" xr:uid="{00000000-0005-0000-0000-0000639F0000}"/>
    <cellStyle name="Percent 66 5 2" xfId="43538" xr:uid="{00000000-0005-0000-0000-0000649F0000}"/>
    <cellStyle name="Percent 66 6" xfId="37525" xr:uid="{00000000-0005-0000-0000-0000659F0000}"/>
    <cellStyle name="Percent 66 6 2" xfId="43539" xr:uid="{00000000-0005-0000-0000-0000669F0000}"/>
    <cellStyle name="Percent 66 7" xfId="37518" xr:uid="{00000000-0005-0000-0000-0000679F0000}"/>
    <cellStyle name="Percent 67" xfId="7525" xr:uid="{00000000-0005-0000-0000-0000689F0000}"/>
    <cellStyle name="Percent 67 2" xfId="7526" xr:uid="{00000000-0005-0000-0000-0000699F0000}"/>
    <cellStyle name="Percent 67 2 2" xfId="18767" xr:uid="{00000000-0005-0000-0000-00006A9F0000}"/>
    <cellStyle name="Percent 67 2 2 2" xfId="43540" xr:uid="{00000000-0005-0000-0000-00006B9F0000}"/>
    <cellStyle name="Percent 67 2 2 3" xfId="37528" xr:uid="{00000000-0005-0000-0000-00006C9F0000}"/>
    <cellStyle name="Percent 67 2 3" xfId="37529" xr:uid="{00000000-0005-0000-0000-00006D9F0000}"/>
    <cellStyle name="Percent 67 2 3 2" xfId="43541" xr:uid="{00000000-0005-0000-0000-00006E9F0000}"/>
    <cellStyle name="Percent 67 2 4" xfId="37527" xr:uid="{00000000-0005-0000-0000-00006F9F0000}"/>
    <cellStyle name="Percent 67 3" xfId="18240" xr:uid="{00000000-0005-0000-0000-0000709F0000}"/>
    <cellStyle name="Percent 67 3 2" xfId="43542" xr:uid="{00000000-0005-0000-0000-0000719F0000}"/>
    <cellStyle name="Percent 67 3 3" xfId="37530" xr:uid="{00000000-0005-0000-0000-0000729F0000}"/>
    <cellStyle name="Percent 67 4" xfId="37531" xr:uid="{00000000-0005-0000-0000-0000739F0000}"/>
    <cellStyle name="Percent 67 4 2" xfId="43543" xr:uid="{00000000-0005-0000-0000-0000749F0000}"/>
    <cellStyle name="Percent 67 5" xfId="37532" xr:uid="{00000000-0005-0000-0000-0000759F0000}"/>
    <cellStyle name="Percent 67 5 2" xfId="43544" xr:uid="{00000000-0005-0000-0000-0000769F0000}"/>
    <cellStyle name="Percent 67 6" xfId="37533" xr:uid="{00000000-0005-0000-0000-0000779F0000}"/>
    <cellStyle name="Percent 67 6 2" xfId="43545" xr:uid="{00000000-0005-0000-0000-0000789F0000}"/>
    <cellStyle name="Percent 67 7" xfId="37526" xr:uid="{00000000-0005-0000-0000-0000799F0000}"/>
    <cellStyle name="Percent 68" xfId="7527" xr:uid="{00000000-0005-0000-0000-00007A9F0000}"/>
    <cellStyle name="Percent 68 2" xfId="14360" xr:uid="{00000000-0005-0000-0000-00007B9F0000}"/>
    <cellStyle name="Percent 68 2 2" xfId="37534" xr:uid="{00000000-0005-0000-0000-00007C9F0000}"/>
    <cellStyle name="Percent 68 2 2 2" xfId="43546" xr:uid="{00000000-0005-0000-0000-00007D9F0000}"/>
    <cellStyle name="Percent 68 2 3" xfId="37535" xr:uid="{00000000-0005-0000-0000-00007E9F0000}"/>
    <cellStyle name="Percent 68 2 3 2" xfId="43547" xr:uid="{00000000-0005-0000-0000-00007F9F0000}"/>
    <cellStyle name="Percent 68 3" xfId="37536" xr:uid="{00000000-0005-0000-0000-0000809F0000}"/>
    <cellStyle name="Percent 68 3 2" xfId="43548" xr:uid="{00000000-0005-0000-0000-0000819F0000}"/>
    <cellStyle name="Percent 68 4" xfId="37537" xr:uid="{00000000-0005-0000-0000-0000829F0000}"/>
    <cellStyle name="Percent 68 4 2" xfId="43549" xr:uid="{00000000-0005-0000-0000-0000839F0000}"/>
    <cellStyle name="Percent 68 5" xfId="37538" xr:uid="{00000000-0005-0000-0000-0000849F0000}"/>
    <cellStyle name="Percent 68 5 2" xfId="43550" xr:uid="{00000000-0005-0000-0000-0000859F0000}"/>
    <cellStyle name="Percent 68 6" xfId="37539" xr:uid="{00000000-0005-0000-0000-0000869F0000}"/>
    <cellStyle name="Percent 68 6 2" xfId="43551" xr:uid="{00000000-0005-0000-0000-0000879F0000}"/>
    <cellStyle name="Percent 69" xfId="7528" xr:uid="{00000000-0005-0000-0000-0000889F0000}"/>
    <cellStyle name="Percent 69 2" xfId="7529" xr:uid="{00000000-0005-0000-0000-0000899F0000}"/>
    <cellStyle name="Percent 69 2 2" xfId="18756" xr:uid="{00000000-0005-0000-0000-00008A9F0000}"/>
    <cellStyle name="Percent 69 2 2 2" xfId="43552" xr:uid="{00000000-0005-0000-0000-00008B9F0000}"/>
    <cellStyle name="Percent 69 2 2 3" xfId="37542" xr:uid="{00000000-0005-0000-0000-00008C9F0000}"/>
    <cellStyle name="Percent 69 2 3" xfId="37543" xr:uid="{00000000-0005-0000-0000-00008D9F0000}"/>
    <cellStyle name="Percent 69 2 3 2" xfId="43553" xr:uid="{00000000-0005-0000-0000-00008E9F0000}"/>
    <cellStyle name="Percent 69 2 4" xfId="37541" xr:uid="{00000000-0005-0000-0000-00008F9F0000}"/>
    <cellStyle name="Percent 69 3" xfId="18229" xr:uid="{00000000-0005-0000-0000-0000909F0000}"/>
    <cellStyle name="Percent 69 3 2" xfId="43554" xr:uid="{00000000-0005-0000-0000-0000919F0000}"/>
    <cellStyle name="Percent 69 3 3" xfId="37544" xr:uid="{00000000-0005-0000-0000-0000929F0000}"/>
    <cellStyle name="Percent 69 4" xfId="37545" xr:uid="{00000000-0005-0000-0000-0000939F0000}"/>
    <cellStyle name="Percent 69 4 2" xfId="43555" xr:uid="{00000000-0005-0000-0000-0000949F0000}"/>
    <cellStyle name="Percent 69 5" xfId="37546" xr:uid="{00000000-0005-0000-0000-0000959F0000}"/>
    <cellStyle name="Percent 69 5 2" xfId="43556" xr:uid="{00000000-0005-0000-0000-0000969F0000}"/>
    <cellStyle name="Percent 69 6" xfId="37547" xr:uid="{00000000-0005-0000-0000-0000979F0000}"/>
    <cellStyle name="Percent 69 6 2" xfId="43557" xr:uid="{00000000-0005-0000-0000-0000989F0000}"/>
    <cellStyle name="Percent 69 7" xfId="37540" xr:uid="{00000000-0005-0000-0000-0000999F0000}"/>
    <cellStyle name="Percent 7" xfId="7530" xr:uid="{00000000-0005-0000-0000-00009A9F0000}"/>
    <cellStyle name="Percent 7 10" xfId="7531" xr:uid="{00000000-0005-0000-0000-00009B9F0000}"/>
    <cellStyle name="Percent 7 10 2" xfId="14361" xr:uid="{00000000-0005-0000-0000-00009C9F0000}"/>
    <cellStyle name="Percent 7 10 2 2" xfId="43558" xr:uid="{00000000-0005-0000-0000-00009D9F0000}"/>
    <cellStyle name="Percent 7 10 3" xfId="37548" xr:uid="{00000000-0005-0000-0000-00009E9F0000}"/>
    <cellStyle name="Percent 7 11" xfId="7532" xr:uid="{00000000-0005-0000-0000-00009F9F0000}"/>
    <cellStyle name="Percent 7 11 2" xfId="14362" xr:uid="{00000000-0005-0000-0000-0000A09F0000}"/>
    <cellStyle name="Percent 7 11 2 2" xfId="43559" xr:uid="{00000000-0005-0000-0000-0000A19F0000}"/>
    <cellStyle name="Percent 7 11 3" xfId="37549" xr:uid="{00000000-0005-0000-0000-0000A29F0000}"/>
    <cellStyle name="Percent 7 12" xfId="7533" xr:uid="{00000000-0005-0000-0000-0000A39F0000}"/>
    <cellStyle name="Percent 7 13" xfId="7534" xr:uid="{00000000-0005-0000-0000-0000A49F0000}"/>
    <cellStyle name="Percent 7 2" xfId="7535" xr:uid="{00000000-0005-0000-0000-0000A59F0000}"/>
    <cellStyle name="Percent 7 2 10" xfId="7536" xr:uid="{00000000-0005-0000-0000-0000A69F0000}"/>
    <cellStyle name="Percent 7 2 10 2" xfId="14363" xr:uid="{00000000-0005-0000-0000-0000A79F0000}"/>
    <cellStyle name="Percent 7 2 11" xfId="14364" xr:uid="{00000000-0005-0000-0000-0000A89F0000}"/>
    <cellStyle name="Percent 7 2 12" xfId="37550" xr:uid="{00000000-0005-0000-0000-0000A99F0000}"/>
    <cellStyle name="Percent 7 2 2" xfId="7537" xr:uid="{00000000-0005-0000-0000-0000AA9F0000}"/>
    <cellStyle name="Percent 7 2 2 2" xfId="14365" xr:uid="{00000000-0005-0000-0000-0000AB9F0000}"/>
    <cellStyle name="Percent 7 2 2 2 2" xfId="43562" xr:uid="{00000000-0005-0000-0000-0000AC9F0000}"/>
    <cellStyle name="Percent 7 2 2 2 3" xfId="37552" xr:uid="{00000000-0005-0000-0000-0000AD9F0000}"/>
    <cellStyle name="Percent 7 2 2 3" xfId="37553" xr:uid="{00000000-0005-0000-0000-0000AE9F0000}"/>
    <cellStyle name="Percent 7 2 2 3 2" xfId="43563" xr:uid="{00000000-0005-0000-0000-0000AF9F0000}"/>
    <cellStyle name="Percent 7 2 2 4" xfId="43561" xr:uid="{00000000-0005-0000-0000-0000B09F0000}"/>
    <cellStyle name="Percent 7 2 2 5" xfId="37551" xr:uid="{00000000-0005-0000-0000-0000B19F0000}"/>
    <cellStyle name="Percent 7 2 3" xfId="7538" xr:uid="{00000000-0005-0000-0000-0000B29F0000}"/>
    <cellStyle name="Percent 7 2 3 2" xfId="14366" xr:uid="{00000000-0005-0000-0000-0000B39F0000}"/>
    <cellStyle name="Percent 7 2 3 2 2" xfId="43564" xr:uid="{00000000-0005-0000-0000-0000B49F0000}"/>
    <cellStyle name="Percent 7 2 3 3" xfId="37554" xr:uid="{00000000-0005-0000-0000-0000B59F0000}"/>
    <cellStyle name="Percent 7 2 4" xfId="7539" xr:uid="{00000000-0005-0000-0000-0000B69F0000}"/>
    <cellStyle name="Percent 7 2 4 2" xfId="14367" xr:uid="{00000000-0005-0000-0000-0000B79F0000}"/>
    <cellStyle name="Percent 7 2 4 2 2" xfId="43565" xr:uid="{00000000-0005-0000-0000-0000B89F0000}"/>
    <cellStyle name="Percent 7 2 4 3" xfId="37555" xr:uid="{00000000-0005-0000-0000-0000B99F0000}"/>
    <cellStyle name="Percent 7 2 5" xfId="7540" xr:uid="{00000000-0005-0000-0000-0000BA9F0000}"/>
    <cellStyle name="Percent 7 2 5 2" xfId="14368" xr:uid="{00000000-0005-0000-0000-0000BB9F0000}"/>
    <cellStyle name="Percent 7 2 5 3" xfId="43560" xr:uid="{00000000-0005-0000-0000-0000BC9F0000}"/>
    <cellStyle name="Percent 7 2 6" xfId="7541" xr:uid="{00000000-0005-0000-0000-0000BD9F0000}"/>
    <cellStyle name="Percent 7 2 6 2" xfId="14369" xr:uid="{00000000-0005-0000-0000-0000BE9F0000}"/>
    <cellStyle name="Percent 7 2 7" xfId="7542" xr:uid="{00000000-0005-0000-0000-0000BF9F0000}"/>
    <cellStyle name="Percent 7 2 7 2" xfId="14370" xr:uid="{00000000-0005-0000-0000-0000C09F0000}"/>
    <cellStyle name="Percent 7 2 8" xfId="7543" xr:uid="{00000000-0005-0000-0000-0000C19F0000}"/>
    <cellStyle name="Percent 7 2 8 2" xfId="14371" xr:uid="{00000000-0005-0000-0000-0000C29F0000}"/>
    <cellStyle name="Percent 7 2 9" xfId="7544" xr:uid="{00000000-0005-0000-0000-0000C39F0000}"/>
    <cellStyle name="Percent 7 2 9 2" xfId="14372" xr:uid="{00000000-0005-0000-0000-0000C49F0000}"/>
    <cellStyle name="Percent 7 3" xfId="7545" xr:uid="{00000000-0005-0000-0000-0000C59F0000}"/>
    <cellStyle name="Percent 7 3 10" xfId="7546" xr:uid="{00000000-0005-0000-0000-0000C69F0000}"/>
    <cellStyle name="Percent 7 3 10 2" xfId="14373" xr:uid="{00000000-0005-0000-0000-0000C79F0000}"/>
    <cellStyle name="Percent 7 3 11" xfId="14374" xr:uid="{00000000-0005-0000-0000-0000C89F0000}"/>
    <cellStyle name="Percent 7 3 12" xfId="37556" xr:uid="{00000000-0005-0000-0000-0000C99F0000}"/>
    <cellStyle name="Percent 7 3 2" xfId="7547" xr:uid="{00000000-0005-0000-0000-0000CA9F0000}"/>
    <cellStyle name="Percent 7 3 2 2" xfId="14375" xr:uid="{00000000-0005-0000-0000-0000CB9F0000}"/>
    <cellStyle name="Percent 7 3 2 2 2" xfId="43568" xr:uid="{00000000-0005-0000-0000-0000CC9F0000}"/>
    <cellStyle name="Percent 7 3 2 2 3" xfId="37558" xr:uid="{00000000-0005-0000-0000-0000CD9F0000}"/>
    <cellStyle name="Percent 7 3 2 3" xfId="43567" xr:uid="{00000000-0005-0000-0000-0000CE9F0000}"/>
    <cellStyle name="Percent 7 3 2 4" xfId="37557" xr:uid="{00000000-0005-0000-0000-0000CF9F0000}"/>
    <cellStyle name="Percent 7 3 3" xfId="7548" xr:uid="{00000000-0005-0000-0000-0000D09F0000}"/>
    <cellStyle name="Percent 7 3 3 2" xfId="14376" xr:uid="{00000000-0005-0000-0000-0000D19F0000}"/>
    <cellStyle name="Percent 7 3 3 2 2" xfId="43569" xr:uid="{00000000-0005-0000-0000-0000D29F0000}"/>
    <cellStyle name="Percent 7 3 3 3" xfId="37559" xr:uid="{00000000-0005-0000-0000-0000D39F0000}"/>
    <cellStyle name="Percent 7 3 4" xfId="7549" xr:uid="{00000000-0005-0000-0000-0000D49F0000}"/>
    <cellStyle name="Percent 7 3 4 2" xfId="14377" xr:uid="{00000000-0005-0000-0000-0000D59F0000}"/>
    <cellStyle name="Percent 7 3 4 3" xfId="43566" xr:uid="{00000000-0005-0000-0000-0000D69F0000}"/>
    <cellStyle name="Percent 7 3 5" xfId="7550" xr:uid="{00000000-0005-0000-0000-0000D79F0000}"/>
    <cellStyle name="Percent 7 3 5 2" xfId="14378" xr:uid="{00000000-0005-0000-0000-0000D89F0000}"/>
    <cellStyle name="Percent 7 3 6" xfId="7551" xr:uid="{00000000-0005-0000-0000-0000D99F0000}"/>
    <cellStyle name="Percent 7 3 6 2" xfId="14379" xr:uid="{00000000-0005-0000-0000-0000DA9F0000}"/>
    <cellStyle name="Percent 7 3 7" xfId="7552" xr:uid="{00000000-0005-0000-0000-0000DB9F0000}"/>
    <cellStyle name="Percent 7 3 7 2" xfId="14380" xr:uid="{00000000-0005-0000-0000-0000DC9F0000}"/>
    <cellStyle name="Percent 7 3 8" xfId="7553" xr:uid="{00000000-0005-0000-0000-0000DD9F0000}"/>
    <cellStyle name="Percent 7 3 8 2" xfId="14381" xr:uid="{00000000-0005-0000-0000-0000DE9F0000}"/>
    <cellStyle name="Percent 7 3 9" xfId="7554" xr:uid="{00000000-0005-0000-0000-0000DF9F0000}"/>
    <cellStyle name="Percent 7 3 9 2" xfId="14382" xr:uid="{00000000-0005-0000-0000-0000E09F0000}"/>
    <cellStyle name="Percent 7 4" xfId="7555" xr:uid="{00000000-0005-0000-0000-0000E19F0000}"/>
    <cellStyle name="Percent 7 4 10" xfId="7556" xr:uid="{00000000-0005-0000-0000-0000E29F0000}"/>
    <cellStyle name="Percent 7 4 10 2" xfId="14383" xr:uid="{00000000-0005-0000-0000-0000E39F0000}"/>
    <cellStyle name="Percent 7 4 11" xfId="14384" xr:uid="{00000000-0005-0000-0000-0000E49F0000}"/>
    <cellStyle name="Percent 7 4 12" xfId="37560" xr:uid="{00000000-0005-0000-0000-0000E59F0000}"/>
    <cellStyle name="Percent 7 4 2" xfId="7557" xr:uid="{00000000-0005-0000-0000-0000E69F0000}"/>
    <cellStyle name="Percent 7 4 2 2" xfId="14385" xr:uid="{00000000-0005-0000-0000-0000E79F0000}"/>
    <cellStyle name="Percent 7 4 2 2 2" xfId="43571" xr:uid="{00000000-0005-0000-0000-0000E89F0000}"/>
    <cellStyle name="Percent 7 4 2 3" xfId="37561" xr:uid="{00000000-0005-0000-0000-0000E99F0000}"/>
    <cellStyle name="Percent 7 4 3" xfId="7558" xr:uid="{00000000-0005-0000-0000-0000EA9F0000}"/>
    <cellStyle name="Percent 7 4 3 2" xfId="14386" xr:uid="{00000000-0005-0000-0000-0000EB9F0000}"/>
    <cellStyle name="Percent 7 4 3 3" xfId="43570" xr:uid="{00000000-0005-0000-0000-0000EC9F0000}"/>
    <cellStyle name="Percent 7 4 4" xfId="7559" xr:uid="{00000000-0005-0000-0000-0000ED9F0000}"/>
    <cellStyle name="Percent 7 4 4 2" xfId="14387" xr:uid="{00000000-0005-0000-0000-0000EE9F0000}"/>
    <cellStyle name="Percent 7 4 5" xfId="7560" xr:uid="{00000000-0005-0000-0000-0000EF9F0000}"/>
    <cellStyle name="Percent 7 4 5 2" xfId="14388" xr:uid="{00000000-0005-0000-0000-0000F09F0000}"/>
    <cellStyle name="Percent 7 4 6" xfId="7561" xr:uid="{00000000-0005-0000-0000-0000F19F0000}"/>
    <cellStyle name="Percent 7 4 6 2" xfId="14389" xr:uid="{00000000-0005-0000-0000-0000F29F0000}"/>
    <cellStyle name="Percent 7 4 7" xfId="7562" xr:uid="{00000000-0005-0000-0000-0000F39F0000}"/>
    <cellStyle name="Percent 7 4 7 2" xfId="14390" xr:uid="{00000000-0005-0000-0000-0000F49F0000}"/>
    <cellStyle name="Percent 7 4 8" xfId="7563" xr:uid="{00000000-0005-0000-0000-0000F59F0000}"/>
    <cellStyle name="Percent 7 4 8 2" xfId="14391" xr:uid="{00000000-0005-0000-0000-0000F69F0000}"/>
    <cellStyle name="Percent 7 4 9" xfId="7564" xr:uid="{00000000-0005-0000-0000-0000F79F0000}"/>
    <cellStyle name="Percent 7 4 9 2" xfId="14392" xr:uid="{00000000-0005-0000-0000-0000F89F0000}"/>
    <cellStyle name="Percent 7 5" xfId="7565" xr:uid="{00000000-0005-0000-0000-0000F99F0000}"/>
    <cellStyle name="Percent 7 5 10" xfId="7566" xr:uid="{00000000-0005-0000-0000-0000FA9F0000}"/>
    <cellStyle name="Percent 7 5 10 2" xfId="14393" xr:uid="{00000000-0005-0000-0000-0000FB9F0000}"/>
    <cellStyle name="Percent 7 5 11" xfId="14394" xr:uid="{00000000-0005-0000-0000-0000FC9F0000}"/>
    <cellStyle name="Percent 7 5 12" xfId="37562" xr:uid="{00000000-0005-0000-0000-0000FD9F0000}"/>
    <cellStyle name="Percent 7 5 2" xfId="7567" xr:uid="{00000000-0005-0000-0000-0000FE9F0000}"/>
    <cellStyle name="Percent 7 5 2 2" xfId="14395" xr:uid="{00000000-0005-0000-0000-0000FF9F0000}"/>
    <cellStyle name="Percent 7 5 2 2 2" xfId="43573" xr:uid="{00000000-0005-0000-0000-000000A00000}"/>
    <cellStyle name="Percent 7 5 2 3" xfId="37563" xr:uid="{00000000-0005-0000-0000-000001A00000}"/>
    <cellStyle name="Percent 7 5 3" xfId="7568" xr:uid="{00000000-0005-0000-0000-000002A00000}"/>
    <cellStyle name="Percent 7 5 3 2" xfId="14396" xr:uid="{00000000-0005-0000-0000-000003A00000}"/>
    <cellStyle name="Percent 7 5 3 3" xfId="43572" xr:uid="{00000000-0005-0000-0000-000004A00000}"/>
    <cellStyle name="Percent 7 5 4" xfId="7569" xr:uid="{00000000-0005-0000-0000-000005A00000}"/>
    <cellStyle name="Percent 7 5 4 2" xfId="14397" xr:uid="{00000000-0005-0000-0000-000006A00000}"/>
    <cellStyle name="Percent 7 5 5" xfId="7570" xr:uid="{00000000-0005-0000-0000-000007A00000}"/>
    <cellStyle name="Percent 7 5 5 2" xfId="14398" xr:uid="{00000000-0005-0000-0000-000008A00000}"/>
    <cellStyle name="Percent 7 5 6" xfId="7571" xr:uid="{00000000-0005-0000-0000-000009A00000}"/>
    <cellStyle name="Percent 7 5 6 2" xfId="14399" xr:uid="{00000000-0005-0000-0000-00000AA00000}"/>
    <cellStyle name="Percent 7 5 7" xfId="7572" xr:uid="{00000000-0005-0000-0000-00000BA00000}"/>
    <cellStyle name="Percent 7 5 7 2" xfId="14400" xr:uid="{00000000-0005-0000-0000-00000CA00000}"/>
    <cellStyle name="Percent 7 5 8" xfId="7573" xr:uid="{00000000-0005-0000-0000-00000DA00000}"/>
    <cellStyle name="Percent 7 5 8 2" xfId="14401" xr:uid="{00000000-0005-0000-0000-00000EA00000}"/>
    <cellStyle name="Percent 7 5 9" xfId="7574" xr:uid="{00000000-0005-0000-0000-00000FA00000}"/>
    <cellStyle name="Percent 7 5 9 2" xfId="14402" xr:uid="{00000000-0005-0000-0000-000010A00000}"/>
    <cellStyle name="Percent 7 6" xfId="7575" xr:uid="{00000000-0005-0000-0000-000011A00000}"/>
    <cellStyle name="Percent 7 6 10" xfId="7576" xr:uid="{00000000-0005-0000-0000-000012A00000}"/>
    <cellStyle name="Percent 7 6 10 2" xfId="14403" xr:uid="{00000000-0005-0000-0000-000013A00000}"/>
    <cellStyle name="Percent 7 6 11" xfId="14404" xr:uid="{00000000-0005-0000-0000-000014A00000}"/>
    <cellStyle name="Percent 7 6 12" xfId="37564" xr:uid="{00000000-0005-0000-0000-000015A00000}"/>
    <cellStyle name="Percent 7 6 2" xfId="7577" xr:uid="{00000000-0005-0000-0000-000016A00000}"/>
    <cellStyle name="Percent 7 6 2 2" xfId="14405" xr:uid="{00000000-0005-0000-0000-000017A00000}"/>
    <cellStyle name="Percent 7 6 2 3" xfId="43574" xr:uid="{00000000-0005-0000-0000-000018A00000}"/>
    <cellStyle name="Percent 7 6 3" xfId="7578" xr:uid="{00000000-0005-0000-0000-000019A00000}"/>
    <cellStyle name="Percent 7 6 3 2" xfId="14406" xr:uid="{00000000-0005-0000-0000-00001AA00000}"/>
    <cellStyle name="Percent 7 6 4" xfId="7579" xr:uid="{00000000-0005-0000-0000-00001BA00000}"/>
    <cellStyle name="Percent 7 6 4 2" xfId="14407" xr:uid="{00000000-0005-0000-0000-00001CA00000}"/>
    <cellStyle name="Percent 7 6 5" xfId="7580" xr:uid="{00000000-0005-0000-0000-00001DA00000}"/>
    <cellStyle name="Percent 7 6 5 2" xfId="14408" xr:uid="{00000000-0005-0000-0000-00001EA00000}"/>
    <cellStyle name="Percent 7 6 6" xfId="7581" xr:uid="{00000000-0005-0000-0000-00001FA00000}"/>
    <cellStyle name="Percent 7 6 6 2" xfId="14409" xr:uid="{00000000-0005-0000-0000-000020A00000}"/>
    <cellStyle name="Percent 7 6 7" xfId="7582" xr:uid="{00000000-0005-0000-0000-000021A00000}"/>
    <cellStyle name="Percent 7 6 7 2" xfId="14410" xr:uid="{00000000-0005-0000-0000-000022A00000}"/>
    <cellStyle name="Percent 7 6 8" xfId="7583" xr:uid="{00000000-0005-0000-0000-000023A00000}"/>
    <cellStyle name="Percent 7 6 8 2" xfId="14411" xr:uid="{00000000-0005-0000-0000-000024A00000}"/>
    <cellStyle name="Percent 7 6 9" xfId="7584" xr:uid="{00000000-0005-0000-0000-000025A00000}"/>
    <cellStyle name="Percent 7 6 9 2" xfId="14412" xr:uid="{00000000-0005-0000-0000-000026A00000}"/>
    <cellStyle name="Percent 7 7" xfId="7585" xr:uid="{00000000-0005-0000-0000-000027A00000}"/>
    <cellStyle name="Percent 7 7 10" xfId="7586" xr:uid="{00000000-0005-0000-0000-000028A00000}"/>
    <cellStyle name="Percent 7 7 10 2" xfId="14413" xr:uid="{00000000-0005-0000-0000-000029A00000}"/>
    <cellStyle name="Percent 7 7 11" xfId="14414" xr:uid="{00000000-0005-0000-0000-00002AA00000}"/>
    <cellStyle name="Percent 7 7 12" xfId="37565" xr:uid="{00000000-0005-0000-0000-00002BA00000}"/>
    <cellStyle name="Percent 7 7 2" xfId="7587" xr:uid="{00000000-0005-0000-0000-00002CA00000}"/>
    <cellStyle name="Percent 7 7 2 2" xfId="14415" xr:uid="{00000000-0005-0000-0000-00002DA00000}"/>
    <cellStyle name="Percent 7 7 2 3" xfId="43575" xr:uid="{00000000-0005-0000-0000-00002EA00000}"/>
    <cellStyle name="Percent 7 7 3" xfId="7588" xr:uid="{00000000-0005-0000-0000-00002FA00000}"/>
    <cellStyle name="Percent 7 7 3 2" xfId="14416" xr:uid="{00000000-0005-0000-0000-000030A00000}"/>
    <cellStyle name="Percent 7 7 4" xfId="7589" xr:uid="{00000000-0005-0000-0000-000031A00000}"/>
    <cellStyle name="Percent 7 7 4 2" xfId="14417" xr:uid="{00000000-0005-0000-0000-000032A00000}"/>
    <cellStyle name="Percent 7 7 5" xfId="7590" xr:uid="{00000000-0005-0000-0000-000033A00000}"/>
    <cellStyle name="Percent 7 7 5 2" xfId="14418" xr:uid="{00000000-0005-0000-0000-000034A00000}"/>
    <cellStyle name="Percent 7 7 6" xfId="7591" xr:uid="{00000000-0005-0000-0000-000035A00000}"/>
    <cellStyle name="Percent 7 7 6 2" xfId="14419" xr:uid="{00000000-0005-0000-0000-000036A00000}"/>
    <cellStyle name="Percent 7 7 7" xfId="7592" xr:uid="{00000000-0005-0000-0000-000037A00000}"/>
    <cellStyle name="Percent 7 7 7 2" xfId="14420" xr:uid="{00000000-0005-0000-0000-000038A00000}"/>
    <cellStyle name="Percent 7 7 8" xfId="7593" xr:uid="{00000000-0005-0000-0000-000039A00000}"/>
    <cellStyle name="Percent 7 7 8 2" xfId="14421" xr:uid="{00000000-0005-0000-0000-00003AA00000}"/>
    <cellStyle name="Percent 7 7 9" xfId="7594" xr:uid="{00000000-0005-0000-0000-00003BA00000}"/>
    <cellStyle name="Percent 7 7 9 2" xfId="14422" xr:uid="{00000000-0005-0000-0000-00003CA00000}"/>
    <cellStyle name="Percent 7 8" xfId="7595" xr:uid="{00000000-0005-0000-0000-00003DA00000}"/>
    <cellStyle name="Percent 7 8 2" xfId="14423" xr:uid="{00000000-0005-0000-0000-00003EA00000}"/>
    <cellStyle name="Percent 7 8 2 2" xfId="43576" xr:uid="{00000000-0005-0000-0000-00003FA00000}"/>
    <cellStyle name="Percent 7 8 3" xfId="37566" xr:uid="{00000000-0005-0000-0000-000040A00000}"/>
    <cellStyle name="Percent 7 9" xfId="7596" xr:uid="{00000000-0005-0000-0000-000041A00000}"/>
    <cellStyle name="Percent 7 9 2" xfId="14424" xr:uid="{00000000-0005-0000-0000-000042A00000}"/>
    <cellStyle name="Percent 7 9 2 2" xfId="43577" xr:uid="{00000000-0005-0000-0000-000043A00000}"/>
    <cellStyle name="Percent 7 9 3" xfId="37567" xr:uid="{00000000-0005-0000-0000-000044A00000}"/>
    <cellStyle name="Percent 70" xfId="7597" xr:uid="{00000000-0005-0000-0000-000045A00000}"/>
    <cellStyle name="Percent 70 2" xfId="37568" xr:uid="{00000000-0005-0000-0000-000046A00000}"/>
    <cellStyle name="Percent 70 2 2" xfId="37569" xr:uid="{00000000-0005-0000-0000-000047A00000}"/>
    <cellStyle name="Percent 70 2 2 2" xfId="43578" xr:uid="{00000000-0005-0000-0000-000048A00000}"/>
    <cellStyle name="Percent 70 2 3" xfId="37570" xr:uid="{00000000-0005-0000-0000-000049A00000}"/>
    <cellStyle name="Percent 70 2 3 2" xfId="43579" xr:uid="{00000000-0005-0000-0000-00004AA00000}"/>
    <cellStyle name="Percent 70 3" xfId="37571" xr:uid="{00000000-0005-0000-0000-00004BA00000}"/>
    <cellStyle name="Percent 70 3 2" xfId="43580" xr:uid="{00000000-0005-0000-0000-00004CA00000}"/>
    <cellStyle name="Percent 70 4" xfId="37572" xr:uid="{00000000-0005-0000-0000-00004DA00000}"/>
    <cellStyle name="Percent 70 4 2" xfId="43581" xr:uid="{00000000-0005-0000-0000-00004EA00000}"/>
    <cellStyle name="Percent 70 5" xfId="37573" xr:uid="{00000000-0005-0000-0000-00004FA00000}"/>
    <cellStyle name="Percent 70 5 2" xfId="43582" xr:uid="{00000000-0005-0000-0000-000050A00000}"/>
    <cellStyle name="Percent 70 6" xfId="37574" xr:uid="{00000000-0005-0000-0000-000051A00000}"/>
    <cellStyle name="Percent 70 6 2" xfId="43583" xr:uid="{00000000-0005-0000-0000-000052A00000}"/>
    <cellStyle name="Percent 71" xfId="7598" xr:uid="{00000000-0005-0000-0000-000053A00000}"/>
    <cellStyle name="Percent 71 2" xfId="14425" xr:uid="{00000000-0005-0000-0000-000054A00000}"/>
    <cellStyle name="Percent 71 3" xfId="37575" xr:uid="{00000000-0005-0000-0000-000055A00000}"/>
    <cellStyle name="Percent 71 3 2" xfId="43584" xr:uid="{00000000-0005-0000-0000-000056A00000}"/>
    <cellStyle name="Percent 71 4" xfId="37576" xr:uid="{00000000-0005-0000-0000-000057A00000}"/>
    <cellStyle name="Percent 71 4 2" xfId="43585" xr:uid="{00000000-0005-0000-0000-000058A00000}"/>
    <cellStyle name="Percent 72" xfId="14426" xr:uid="{00000000-0005-0000-0000-000059A00000}"/>
    <cellStyle name="Percent 72 2" xfId="37578" xr:uid="{00000000-0005-0000-0000-00005AA00000}"/>
    <cellStyle name="Percent 72 3" xfId="37579" xr:uid="{00000000-0005-0000-0000-00005BA00000}"/>
    <cellStyle name="Percent 72 3 2" xfId="43586" xr:uid="{00000000-0005-0000-0000-00005CA00000}"/>
    <cellStyle name="Percent 72 4" xfId="37580" xr:uid="{00000000-0005-0000-0000-00005DA00000}"/>
    <cellStyle name="Percent 72 4 2" xfId="43587" xr:uid="{00000000-0005-0000-0000-00005EA00000}"/>
    <cellStyle name="Percent 72 5" xfId="37577" xr:uid="{00000000-0005-0000-0000-00005FA00000}"/>
    <cellStyle name="Percent 73" xfId="14427" xr:uid="{00000000-0005-0000-0000-000060A00000}"/>
    <cellStyle name="Percent 73 2" xfId="37581" xr:uid="{00000000-0005-0000-0000-000061A00000}"/>
    <cellStyle name="Percent 73 3" xfId="37582" xr:uid="{00000000-0005-0000-0000-000062A00000}"/>
    <cellStyle name="Percent 73 3 2" xfId="43588" xr:uid="{00000000-0005-0000-0000-000063A00000}"/>
    <cellStyle name="Percent 73 4" xfId="37583" xr:uid="{00000000-0005-0000-0000-000064A00000}"/>
    <cellStyle name="Percent 73 4 2" xfId="43589" xr:uid="{00000000-0005-0000-0000-000065A00000}"/>
    <cellStyle name="Percent 74" xfId="14428" xr:uid="{00000000-0005-0000-0000-000066A00000}"/>
    <cellStyle name="Percent 74 2" xfId="37584" xr:uid="{00000000-0005-0000-0000-000067A00000}"/>
    <cellStyle name="Percent 74 2 2" xfId="43590" xr:uid="{00000000-0005-0000-0000-000068A00000}"/>
    <cellStyle name="Percent 74 3" xfId="37585" xr:uid="{00000000-0005-0000-0000-000069A00000}"/>
    <cellStyle name="Percent 74 3 2" xfId="43591" xr:uid="{00000000-0005-0000-0000-00006AA00000}"/>
    <cellStyle name="Percent 75" xfId="14429" xr:uid="{00000000-0005-0000-0000-00006BA00000}"/>
    <cellStyle name="Percent 75 2" xfId="37586" xr:uid="{00000000-0005-0000-0000-00006CA00000}"/>
    <cellStyle name="Percent 75 2 2" xfId="43592" xr:uid="{00000000-0005-0000-0000-00006DA00000}"/>
    <cellStyle name="Percent 75 3" xfId="37587" xr:uid="{00000000-0005-0000-0000-00006EA00000}"/>
    <cellStyle name="Percent 75 3 2" xfId="43593" xr:uid="{00000000-0005-0000-0000-00006FA00000}"/>
    <cellStyle name="Percent 76" xfId="14430" xr:uid="{00000000-0005-0000-0000-000070A00000}"/>
    <cellStyle name="Percent 76 2" xfId="37588" xr:uid="{00000000-0005-0000-0000-000071A00000}"/>
    <cellStyle name="Percent 76 2 2" xfId="43594" xr:uid="{00000000-0005-0000-0000-000072A00000}"/>
    <cellStyle name="Percent 76 3" xfId="37589" xr:uid="{00000000-0005-0000-0000-000073A00000}"/>
    <cellStyle name="Percent 76 3 2" xfId="43595" xr:uid="{00000000-0005-0000-0000-000074A00000}"/>
    <cellStyle name="Percent 77" xfId="14431" xr:uid="{00000000-0005-0000-0000-000075A00000}"/>
    <cellStyle name="Percent 77 2" xfId="37590" xr:uid="{00000000-0005-0000-0000-000076A00000}"/>
    <cellStyle name="Percent 77 2 2" xfId="43596" xr:uid="{00000000-0005-0000-0000-000077A00000}"/>
    <cellStyle name="Percent 77 3" xfId="37591" xr:uid="{00000000-0005-0000-0000-000078A00000}"/>
    <cellStyle name="Percent 77 3 2" xfId="43597" xr:uid="{00000000-0005-0000-0000-000079A00000}"/>
    <cellStyle name="Percent 78" xfId="14432" xr:uid="{00000000-0005-0000-0000-00007AA00000}"/>
    <cellStyle name="Percent 78 2" xfId="37592" xr:uid="{00000000-0005-0000-0000-00007BA00000}"/>
    <cellStyle name="Percent 78 2 2" xfId="43598" xr:uid="{00000000-0005-0000-0000-00007CA00000}"/>
    <cellStyle name="Percent 78 3" xfId="37593" xr:uid="{00000000-0005-0000-0000-00007DA00000}"/>
    <cellStyle name="Percent 78 3 2" xfId="43599" xr:uid="{00000000-0005-0000-0000-00007EA00000}"/>
    <cellStyle name="Percent 79" xfId="14433" xr:uid="{00000000-0005-0000-0000-00007FA00000}"/>
    <cellStyle name="Percent 79 2" xfId="37594" xr:uid="{00000000-0005-0000-0000-000080A00000}"/>
    <cellStyle name="Percent 79 2 2" xfId="43600" xr:uid="{00000000-0005-0000-0000-000081A00000}"/>
    <cellStyle name="Percent 79 3" xfId="37595" xr:uid="{00000000-0005-0000-0000-000082A00000}"/>
    <cellStyle name="Percent 79 3 2" xfId="43601" xr:uid="{00000000-0005-0000-0000-000083A00000}"/>
    <cellStyle name="Percent 8" xfId="7599" xr:uid="{00000000-0005-0000-0000-000084A00000}"/>
    <cellStyle name="Percent 8 10" xfId="7600" xr:uid="{00000000-0005-0000-0000-000085A00000}"/>
    <cellStyle name="Percent 8 10 2" xfId="14434" xr:uid="{00000000-0005-0000-0000-000086A00000}"/>
    <cellStyle name="Percent 8 10 2 2" xfId="43602" xr:uid="{00000000-0005-0000-0000-000087A00000}"/>
    <cellStyle name="Percent 8 10 3" xfId="37596" xr:uid="{00000000-0005-0000-0000-000088A00000}"/>
    <cellStyle name="Percent 8 11" xfId="7601" xr:uid="{00000000-0005-0000-0000-000089A00000}"/>
    <cellStyle name="Percent 8 11 2" xfId="14435" xr:uid="{00000000-0005-0000-0000-00008AA00000}"/>
    <cellStyle name="Percent 8 12" xfId="14436" xr:uid="{00000000-0005-0000-0000-00008BA00000}"/>
    <cellStyle name="Percent 8 2" xfId="7602" xr:uid="{00000000-0005-0000-0000-00008CA00000}"/>
    <cellStyle name="Percent 8 2 10" xfId="7603" xr:uid="{00000000-0005-0000-0000-00008DA00000}"/>
    <cellStyle name="Percent 8 2 10 2" xfId="14437" xr:uid="{00000000-0005-0000-0000-00008EA00000}"/>
    <cellStyle name="Percent 8 2 11" xfId="14438" xr:uid="{00000000-0005-0000-0000-00008FA00000}"/>
    <cellStyle name="Percent 8 2 12" xfId="37597" xr:uid="{00000000-0005-0000-0000-000090A00000}"/>
    <cellStyle name="Percent 8 2 2" xfId="7604" xr:uid="{00000000-0005-0000-0000-000091A00000}"/>
    <cellStyle name="Percent 8 2 2 2" xfId="14439" xr:uid="{00000000-0005-0000-0000-000092A00000}"/>
    <cellStyle name="Percent 8 2 2 2 2" xfId="43605" xr:uid="{00000000-0005-0000-0000-000093A00000}"/>
    <cellStyle name="Percent 8 2 2 2 3" xfId="37599" xr:uid="{00000000-0005-0000-0000-000094A00000}"/>
    <cellStyle name="Percent 8 2 2 3" xfId="37600" xr:uid="{00000000-0005-0000-0000-000095A00000}"/>
    <cellStyle name="Percent 8 2 2 3 2" xfId="43606" xr:uid="{00000000-0005-0000-0000-000096A00000}"/>
    <cellStyle name="Percent 8 2 2 4" xfId="43604" xr:uid="{00000000-0005-0000-0000-000097A00000}"/>
    <cellStyle name="Percent 8 2 2 5" xfId="37598" xr:uid="{00000000-0005-0000-0000-000098A00000}"/>
    <cellStyle name="Percent 8 2 3" xfId="7605" xr:uid="{00000000-0005-0000-0000-000099A00000}"/>
    <cellStyle name="Percent 8 2 3 2" xfId="14440" xr:uid="{00000000-0005-0000-0000-00009AA00000}"/>
    <cellStyle name="Percent 8 2 3 2 2" xfId="43607" xr:uid="{00000000-0005-0000-0000-00009BA00000}"/>
    <cellStyle name="Percent 8 2 3 3" xfId="37601" xr:uid="{00000000-0005-0000-0000-00009CA00000}"/>
    <cellStyle name="Percent 8 2 4" xfId="7606" xr:uid="{00000000-0005-0000-0000-00009DA00000}"/>
    <cellStyle name="Percent 8 2 4 2" xfId="14441" xr:uid="{00000000-0005-0000-0000-00009EA00000}"/>
    <cellStyle name="Percent 8 2 4 2 2" xfId="43608" xr:uid="{00000000-0005-0000-0000-00009FA00000}"/>
    <cellStyle name="Percent 8 2 4 3" xfId="37602" xr:uid="{00000000-0005-0000-0000-0000A0A00000}"/>
    <cellStyle name="Percent 8 2 5" xfId="7607" xr:uid="{00000000-0005-0000-0000-0000A1A00000}"/>
    <cellStyle name="Percent 8 2 5 2" xfId="14442" xr:uid="{00000000-0005-0000-0000-0000A2A00000}"/>
    <cellStyle name="Percent 8 2 5 3" xfId="43603" xr:uid="{00000000-0005-0000-0000-0000A3A00000}"/>
    <cellStyle name="Percent 8 2 6" xfId="7608" xr:uid="{00000000-0005-0000-0000-0000A4A00000}"/>
    <cellStyle name="Percent 8 2 6 2" xfId="14443" xr:uid="{00000000-0005-0000-0000-0000A5A00000}"/>
    <cellStyle name="Percent 8 2 7" xfId="7609" xr:uid="{00000000-0005-0000-0000-0000A6A00000}"/>
    <cellStyle name="Percent 8 2 7 2" xfId="14444" xr:uid="{00000000-0005-0000-0000-0000A7A00000}"/>
    <cellStyle name="Percent 8 2 8" xfId="7610" xr:uid="{00000000-0005-0000-0000-0000A8A00000}"/>
    <cellStyle name="Percent 8 2 8 2" xfId="14445" xr:uid="{00000000-0005-0000-0000-0000A9A00000}"/>
    <cellStyle name="Percent 8 2 9" xfId="7611" xr:uid="{00000000-0005-0000-0000-0000AAA00000}"/>
    <cellStyle name="Percent 8 2 9 2" xfId="14446" xr:uid="{00000000-0005-0000-0000-0000ABA00000}"/>
    <cellStyle name="Percent 8 3" xfId="7612" xr:uid="{00000000-0005-0000-0000-0000ACA00000}"/>
    <cellStyle name="Percent 8 3 10" xfId="7613" xr:uid="{00000000-0005-0000-0000-0000ADA00000}"/>
    <cellStyle name="Percent 8 3 10 2" xfId="14447" xr:uid="{00000000-0005-0000-0000-0000AEA00000}"/>
    <cellStyle name="Percent 8 3 11" xfId="14448" xr:uid="{00000000-0005-0000-0000-0000AFA00000}"/>
    <cellStyle name="Percent 8 3 12" xfId="37603" xr:uid="{00000000-0005-0000-0000-0000B0A00000}"/>
    <cellStyle name="Percent 8 3 2" xfId="7614" xr:uid="{00000000-0005-0000-0000-0000B1A00000}"/>
    <cellStyle name="Percent 8 3 2 2" xfId="14449" xr:uid="{00000000-0005-0000-0000-0000B2A00000}"/>
    <cellStyle name="Percent 8 3 2 2 2" xfId="43611" xr:uid="{00000000-0005-0000-0000-0000B3A00000}"/>
    <cellStyle name="Percent 8 3 2 2 3" xfId="37605" xr:uid="{00000000-0005-0000-0000-0000B4A00000}"/>
    <cellStyle name="Percent 8 3 2 3" xfId="43610" xr:uid="{00000000-0005-0000-0000-0000B5A00000}"/>
    <cellStyle name="Percent 8 3 2 4" xfId="37604" xr:uid="{00000000-0005-0000-0000-0000B6A00000}"/>
    <cellStyle name="Percent 8 3 3" xfId="7615" xr:uid="{00000000-0005-0000-0000-0000B7A00000}"/>
    <cellStyle name="Percent 8 3 3 2" xfId="14450" xr:uid="{00000000-0005-0000-0000-0000B8A00000}"/>
    <cellStyle name="Percent 8 3 3 2 2" xfId="43612" xr:uid="{00000000-0005-0000-0000-0000B9A00000}"/>
    <cellStyle name="Percent 8 3 3 3" xfId="37606" xr:uid="{00000000-0005-0000-0000-0000BAA00000}"/>
    <cellStyle name="Percent 8 3 4" xfId="7616" xr:uid="{00000000-0005-0000-0000-0000BBA00000}"/>
    <cellStyle name="Percent 8 3 4 2" xfId="14451" xr:uid="{00000000-0005-0000-0000-0000BCA00000}"/>
    <cellStyle name="Percent 8 3 4 3" xfId="43609" xr:uid="{00000000-0005-0000-0000-0000BDA00000}"/>
    <cellStyle name="Percent 8 3 5" xfId="7617" xr:uid="{00000000-0005-0000-0000-0000BEA00000}"/>
    <cellStyle name="Percent 8 3 5 2" xfId="14452" xr:uid="{00000000-0005-0000-0000-0000BFA00000}"/>
    <cellStyle name="Percent 8 3 6" xfId="7618" xr:uid="{00000000-0005-0000-0000-0000C0A00000}"/>
    <cellStyle name="Percent 8 3 6 2" xfId="14453" xr:uid="{00000000-0005-0000-0000-0000C1A00000}"/>
    <cellStyle name="Percent 8 3 7" xfId="7619" xr:uid="{00000000-0005-0000-0000-0000C2A00000}"/>
    <cellStyle name="Percent 8 3 7 2" xfId="14454" xr:uid="{00000000-0005-0000-0000-0000C3A00000}"/>
    <cellStyle name="Percent 8 3 8" xfId="7620" xr:uid="{00000000-0005-0000-0000-0000C4A00000}"/>
    <cellStyle name="Percent 8 3 8 2" xfId="14455" xr:uid="{00000000-0005-0000-0000-0000C5A00000}"/>
    <cellStyle name="Percent 8 3 9" xfId="7621" xr:uid="{00000000-0005-0000-0000-0000C6A00000}"/>
    <cellStyle name="Percent 8 3 9 2" xfId="14456" xr:uid="{00000000-0005-0000-0000-0000C7A00000}"/>
    <cellStyle name="Percent 8 4" xfId="7622" xr:uid="{00000000-0005-0000-0000-0000C8A00000}"/>
    <cellStyle name="Percent 8 4 10" xfId="7623" xr:uid="{00000000-0005-0000-0000-0000C9A00000}"/>
    <cellStyle name="Percent 8 4 10 2" xfId="14457" xr:uid="{00000000-0005-0000-0000-0000CAA00000}"/>
    <cellStyle name="Percent 8 4 11" xfId="14458" xr:uid="{00000000-0005-0000-0000-0000CBA00000}"/>
    <cellStyle name="Percent 8 4 12" xfId="37607" xr:uid="{00000000-0005-0000-0000-0000CCA00000}"/>
    <cellStyle name="Percent 8 4 2" xfId="7624" xr:uid="{00000000-0005-0000-0000-0000CDA00000}"/>
    <cellStyle name="Percent 8 4 2 2" xfId="14459" xr:uid="{00000000-0005-0000-0000-0000CEA00000}"/>
    <cellStyle name="Percent 8 4 2 2 2" xfId="43614" xr:uid="{00000000-0005-0000-0000-0000CFA00000}"/>
    <cellStyle name="Percent 8 4 2 3" xfId="37608" xr:uid="{00000000-0005-0000-0000-0000D0A00000}"/>
    <cellStyle name="Percent 8 4 3" xfId="7625" xr:uid="{00000000-0005-0000-0000-0000D1A00000}"/>
    <cellStyle name="Percent 8 4 3 2" xfId="14460" xr:uid="{00000000-0005-0000-0000-0000D2A00000}"/>
    <cellStyle name="Percent 8 4 3 3" xfId="43613" xr:uid="{00000000-0005-0000-0000-0000D3A00000}"/>
    <cellStyle name="Percent 8 4 4" xfId="7626" xr:uid="{00000000-0005-0000-0000-0000D4A00000}"/>
    <cellStyle name="Percent 8 4 4 2" xfId="14461" xr:uid="{00000000-0005-0000-0000-0000D5A00000}"/>
    <cellStyle name="Percent 8 4 5" xfId="7627" xr:uid="{00000000-0005-0000-0000-0000D6A00000}"/>
    <cellStyle name="Percent 8 4 5 2" xfId="14462" xr:uid="{00000000-0005-0000-0000-0000D7A00000}"/>
    <cellStyle name="Percent 8 4 6" xfId="7628" xr:uid="{00000000-0005-0000-0000-0000D8A00000}"/>
    <cellStyle name="Percent 8 4 6 2" xfId="14463" xr:uid="{00000000-0005-0000-0000-0000D9A00000}"/>
    <cellStyle name="Percent 8 4 7" xfId="7629" xr:uid="{00000000-0005-0000-0000-0000DAA00000}"/>
    <cellStyle name="Percent 8 4 7 2" xfId="14464" xr:uid="{00000000-0005-0000-0000-0000DBA00000}"/>
    <cellStyle name="Percent 8 4 8" xfId="7630" xr:uid="{00000000-0005-0000-0000-0000DCA00000}"/>
    <cellStyle name="Percent 8 4 8 2" xfId="14465" xr:uid="{00000000-0005-0000-0000-0000DDA00000}"/>
    <cellStyle name="Percent 8 4 9" xfId="7631" xr:uid="{00000000-0005-0000-0000-0000DEA00000}"/>
    <cellStyle name="Percent 8 4 9 2" xfId="14466" xr:uid="{00000000-0005-0000-0000-0000DFA00000}"/>
    <cellStyle name="Percent 8 5" xfId="7632" xr:uid="{00000000-0005-0000-0000-0000E0A00000}"/>
    <cellStyle name="Percent 8 5 10" xfId="7633" xr:uid="{00000000-0005-0000-0000-0000E1A00000}"/>
    <cellStyle name="Percent 8 5 10 2" xfId="14467" xr:uid="{00000000-0005-0000-0000-0000E2A00000}"/>
    <cellStyle name="Percent 8 5 11" xfId="14468" xr:uid="{00000000-0005-0000-0000-0000E3A00000}"/>
    <cellStyle name="Percent 8 5 12" xfId="37609" xr:uid="{00000000-0005-0000-0000-0000E4A00000}"/>
    <cellStyle name="Percent 8 5 2" xfId="7634" xr:uid="{00000000-0005-0000-0000-0000E5A00000}"/>
    <cellStyle name="Percent 8 5 2 2" xfId="14469" xr:uid="{00000000-0005-0000-0000-0000E6A00000}"/>
    <cellStyle name="Percent 8 5 2 2 2" xfId="43616" xr:uid="{00000000-0005-0000-0000-0000E7A00000}"/>
    <cellStyle name="Percent 8 5 2 3" xfId="37610" xr:uid="{00000000-0005-0000-0000-0000E8A00000}"/>
    <cellStyle name="Percent 8 5 3" xfId="7635" xr:uid="{00000000-0005-0000-0000-0000E9A00000}"/>
    <cellStyle name="Percent 8 5 3 2" xfId="14470" xr:uid="{00000000-0005-0000-0000-0000EAA00000}"/>
    <cellStyle name="Percent 8 5 3 3" xfId="43615" xr:uid="{00000000-0005-0000-0000-0000EBA00000}"/>
    <cellStyle name="Percent 8 5 4" xfId="7636" xr:uid="{00000000-0005-0000-0000-0000ECA00000}"/>
    <cellStyle name="Percent 8 5 4 2" xfId="14471" xr:uid="{00000000-0005-0000-0000-0000EDA00000}"/>
    <cellStyle name="Percent 8 5 5" xfId="7637" xr:uid="{00000000-0005-0000-0000-0000EEA00000}"/>
    <cellStyle name="Percent 8 5 5 2" xfId="14472" xr:uid="{00000000-0005-0000-0000-0000EFA00000}"/>
    <cellStyle name="Percent 8 5 6" xfId="7638" xr:uid="{00000000-0005-0000-0000-0000F0A00000}"/>
    <cellStyle name="Percent 8 5 6 2" xfId="14473" xr:uid="{00000000-0005-0000-0000-0000F1A00000}"/>
    <cellStyle name="Percent 8 5 7" xfId="7639" xr:uid="{00000000-0005-0000-0000-0000F2A00000}"/>
    <cellStyle name="Percent 8 5 7 2" xfId="14474" xr:uid="{00000000-0005-0000-0000-0000F3A00000}"/>
    <cellStyle name="Percent 8 5 8" xfId="7640" xr:uid="{00000000-0005-0000-0000-0000F4A00000}"/>
    <cellStyle name="Percent 8 5 8 2" xfId="14475" xr:uid="{00000000-0005-0000-0000-0000F5A00000}"/>
    <cellStyle name="Percent 8 5 9" xfId="7641" xr:uid="{00000000-0005-0000-0000-0000F6A00000}"/>
    <cellStyle name="Percent 8 5 9 2" xfId="14476" xr:uid="{00000000-0005-0000-0000-0000F7A00000}"/>
    <cellStyle name="Percent 8 6" xfId="7642" xr:uid="{00000000-0005-0000-0000-0000F8A00000}"/>
    <cellStyle name="Percent 8 6 10" xfId="7643" xr:uid="{00000000-0005-0000-0000-0000F9A00000}"/>
    <cellStyle name="Percent 8 6 10 2" xfId="14477" xr:uid="{00000000-0005-0000-0000-0000FAA00000}"/>
    <cellStyle name="Percent 8 6 11" xfId="14478" xr:uid="{00000000-0005-0000-0000-0000FBA00000}"/>
    <cellStyle name="Percent 8 6 12" xfId="37611" xr:uid="{00000000-0005-0000-0000-0000FCA00000}"/>
    <cellStyle name="Percent 8 6 2" xfId="7644" xr:uid="{00000000-0005-0000-0000-0000FDA00000}"/>
    <cellStyle name="Percent 8 6 2 2" xfId="14479" xr:uid="{00000000-0005-0000-0000-0000FEA00000}"/>
    <cellStyle name="Percent 8 6 2 3" xfId="43617" xr:uid="{00000000-0005-0000-0000-0000FFA00000}"/>
    <cellStyle name="Percent 8 6 3" xfId="7645" xr:uid="{00000000-0005-0000-0000-000000A10000}"/>
    <cellStyle name="Percent 8 6 3 2" xfId="14480" xr:uid="{00000000-0005-0000-0000-000001A10000}"/>
    <cellStyle name="Percent 8 6 4" xfId="7646" xr:uid="{00000000-0005-0000-0000-000002A10000}"/>
    <cellStyle name="Percent 8 6 4 2" xfId="14481" xr:uid="{00000000-0005-0000-0000-000003A10000}"/>
    <cellStyle name="Percent 8 6 5" xfId="7647" xr:uid="{00000000-0005-0000-0000-000004A10000}"/>
    <cellStyle name="Percent 8 6 5 2" xfId="14482" xr:uid="{00000000-0005-0000-0000-000005A10000}"/>
    <cellStyle name="Percent 8 6 6" xfId="7648" xr:uid="{00000000-0005-0000-0000-000006A10000}"/>
    <cellStyle name="Percent 8 6 6 2" xfId="14483" xr:uid="{00000000-0005-0000-0000-000007A10000}"/>
    <cellStyle name="Percent 8 6 7" xfId="7649" xr:uid="{00000000-0005-0000-0000-000008A10000}"/>
    <cellStyle name="Percent 8 6 7 2" xfId="14484" xr:uid="{00000000-0005-0000-0000-000009A10000}"/>
    <cellStyle name="Percent 8 6 8" xfId="7650" xr:uid="{00000000-0005-0000-0000-00000AA10000}"/>
    <cellStyle name="Percent 8 6 8 2" xfId="14485" xr:uid="{00000000-0005-0000-0000-00000BA10000}"/>
    <cellStyle name="Percent 8 6 9" xfId="7651" xr:uid="{00000000-0005-0000-0000-00000CA10000}"/>
    <cellStyle name="Percent 8 6 9 2" xfId="14486" xr:uid="{00000000-0005-0000-0000-00000DA10000}"/>
    <cellStyle name="Percent 8 7" xfId="7652" xr:uid="{00000000-0005-0000-0000-00000EA10000}"/>
    <cellStyle name="Percent 8 7 10" xfId="7653" xr:uid="{00000000-0005-0000-0000-00000FA10000}"/>
    <cellStyle name="Percent 8 7 10 2" xfId="14487" xr:uid="{00000000-0005-0000-0000-000010A10000}"/>
    <cellStyle name="Percent 8 7 11" xfId="14488" xr:uid="{00000000-0005-0000-0000-000011A10000}"/>
    <cellStyle name="Percent 8 7 12" xfId="37612" xr:uid="{00000000-0005-0000-0000-000012A10000}"/>
    <cellStyle name="Percent 8 7 2" xfId="7654" xr:uid="{00000000-0005-0000-0000-000013A10000}"/>
    <cellStyle name="Percent 8 7 2 2" xfId="14489" xr:uid="{00000000-0005-0000-0000-000014A10000}"/>
    <cellStyle name="Percent 8 7 2 3" xfId="43618" xr:uid="{00000000-0005-0000-0000-000015A10000}"/>
    <cellStyle name="Percent 8 7 3" xfId="7655" xr:uid="{00000000-0005-0000-0000-000016A10000}"/>
    <cellStyle name="Percent 8 7 3 2" xfId="14490" xr:uid="{00000000-0005-0000-0000-000017A10000}"/>
    <cellStyle name="Percent 8 7 4" xfId="7656" xr:uid="{00000000-0005-0000-0000-000018A10000}"/>
    <cellStyle name="Percent 8 7 4 2" xfId="14491" xr:uid="{00000000-0005-0000-0000-000019A10000}"/>
    <cellStyle name="Percent 8 7 5" xfId="7657" xr:uid="{00000000-0005-0000-0000-00001AA10000}"/>
    <cellStyle name="Percent 8 7 5 2" xfId="14492" xr:uid="{00000000-0005-0000-0000-00001BA10000}"/>
    <cellStyle name="Percent 8 7 6" xfId="7658" xr:uid="{00000000-0005-0000-0000-00001CA10000}"/>
    <cellStyle name="Percent 8 7 6 2" xfId="14493" xr:uid="{00000000-0005-0000-0000-00001DA10000}"/>
    <cellStyle name="Percent 8 7 7" xfId="7659" xr:uid="{00000000-0005-0000-0000-00001EA10000}"/>
    <cellStyle name="Percent 8 7 7 2" xfId="14494" xr:uid="{00000000-0005-0000-0000-00001FA10000}"/>
    <cellStyle name="Percent 8 7 8" xfId="7660" xr:uid="{00000000-0005-0000-0000-000020A10000}"/>
    <cellStyle name="Percent 8 7 8 2" xfId="14495" xr:uid="{00000000-0005-0000-0000-000021A10000}"/>
    <cellStyle name="Percent 8 7 9" xfId="7661" xr:uid="{00000000-0005-0000-0000-000022A10000}"/>
    <cellStyle name="Percent 8 7 9 2" xfId="14496" xr:uid="{00000000-0005-0000-0000-000023A10000}"/>
    <cellStyle name="Percent 8 8" xfId="7662" xr:uid="{00000000-0005-0000-0000-000024A10000}"/>
    <cellStyle name="Percent 8 8 2" xfId="14497" xr:uid="{00000000-0005-0000-0000-000025A10000}"/>
    <cellStyle name="Percent 8 8 2 2" xfId="43619" xr:uid="{00000000-0005-0000-0000-000026A10000}"/>
    <cellStyle name="Percent 8 8 3" xfId="37613" xr:uid="{00000000-0005-0000-0000-000027A10000}"/>
    <cellStyle name="Percent 8 9" xfId="7663" xr:uid="{00000000-0005-0000-0000-000028A10000}"/>
    <cellStyle name="Percent 8 9 2" xfId="14498" xr:uid="{00000000-0005-0000-0000-000029A10000}"/>
    <cellStyle name="Percent 8 9 2 2" xfId="43620" xr:uid="{00000000-0005-0000-0000-00002AA10000}"/>
    <cellStyle name="Percent 8 9 3" xfId="37614" xr:uid="{00000000-0005-0000-0000-00002BA10000}"/>
    <cellStyle name="Percent 80" xfId="14499" xr:uid="{00000000-0005-0000-0000-00002CA10000}"/>
    <cellStyle name="Percent 80 2" xfId="37615" xr:uid="{00000000-0005-0000-0000-00002DA10000}"/>
    <cellStyle name="Percent 80 2 2" xfId="43621" xr:uid="{00000000-0005-0000-0000-00002EA10000}"/>
    <cellStyle name="Percent 80 3" xfId="37616" xr:uid="{00000000-0005-0000-0000-00002FA10000}"/>
    <cellStyle name="Percent 80 3 2" xfId="43622" xr:uid="{00000000-0005-0000-0000-000030A10000}"/>
    <cellStyle name="Percent 81" xfId="14500" xr:uid="{00000000-0005-0000-0000-000031A10000}"/>
    <cellStyle name="Percent 81 2" xfId="37617" xr:uid="{00000000-0005-0000-0000-000032A10000}"/>
    <cellStyle name="Percent 81 2 2" xfId="43623" xr:uid="{00000000-0005-0000-0000-000033A10000}"/>
    <cellStyle name="Percent 81 3" xfId="37618" xr:uid="{00000000-0005-0000-0000-000034A10000}"/>
    <cellStyle name="Percent 81 3 2" xfId="43624" xr:uid="{00000000-0005-0000-0000-000035A10000}"/>
    <cellStyle name="Percent 82" xfId="14501" xr:uid="{00000000-0005-0000-0000-000036A10000}"/>
    <cellStyle name="Percent 82 2" xfId="37619" xr:uid="{00000000-0005-0000-0000-000037A10000}"/>
    <cellStyle name="Percent 82 2 2" xfId="43625" xr:uid="{00000000-0005-0000-0000-000038A10000}"/>
    <cellStyle name="Percent 82 3" xfId="37620" xr:uid="{00000000-0005-0000-0000-000039A10000}"/>
    <cellStyle name="Percent 82 3 2" xfId="43626" xr:uid="{00000000-0005-0000-0000-00003AA10000}"/>
    <cellStyle name="Percent 83" xfId="14502" xr:uid="{00000000-0005-0000-0000-00003BA10000}"/>
    <cellStyle name="Percent 83 2" xfId="37621" xr:uid="{00000000-0005-0000-0000-00003CA10000}"/>
    <cellStyle name="Percent 83 2 2" xfId="43627" xr:uid="{00000000-0005-0000-0000-00003DA10000}"/>
    <cellStyle name="Percent 83 3" xfId="37622" xr:uid="{00000000-0005-0000-0000-00003EA10000}"/>
    <cellStyle name="Percent 83 3 2" xfId="43628" xr:uid="{00000000-0005-0000-0000-00003FA10000}"/>
    <cellStyle name="Percent 84" xfId="37623" xr:uid="{00000000-0005-0000-0000-000040A10000}"/>
    <cellStyle name="Percent 84 2" xfId="37624" xr:uid="{00000000-0005-0000-0000-000041A10000}"/>
    <cellStyle name="Percent 84 2 2" xfId="43629" xr:uid="{00000000-0005-0000-0000-000042A10000}"/>
    <cellStyle name="Percent 84 3" xfId="37625" xr:uid="{00000000-0005-0000-0000-000043A10000}"/>
    <cellStyle name="Percent 84 3 2" xfId="43630" xr:uid="{00000000-0005-0000-0000-000044A10000}"/>
    <cellStyle name="Percent 85" xfId="37626" xr:uid="{00000000-0005-0000-0000-000045A10000}"/>
    <cellStyle name="Percent 85 2" xfId="37627" xr:uid="{00000000-0005-0000-0000-000046A10000}"/>
    <cellStyle name="Percent 85 2 2" xfId="43631" xr:uid="{00000000-0005-0000-0000-000047A10000}"/>
    <cellStyle name="Percent 85 3" xfId="37628" xr:uid="{00000000-0005-0000-0000-000048A10000}"/>
    <cellStyle name="Percent 85 3 2" xfId="43632" xr:uid="{00000000-0005-0000-0000-000049A10000}"/>
    <cellStyle name="Percent 86" xfId="37629" xr:uid="{00000000-0005-0000-0000-00004AA10000}"/>
    <cellStyle name="Percent 86 2" xfId="37630" xr:uid="{00000000-0005-0000-0000-00004BA10000}"/>
    <cellStyle name="Percent 86 2 2" xfId="43633" xr:uid="{00000000-0005-0000-0000-00004CA10000}"/>
    <cellStyle name="Percent 86 3" xfId="37631" xr:uid="{00000000-0005-0000-0000-00004DA10000}"/>
    <cellStyle name="Percent 86 3 2" xfId="43634" xr:uid="{00000000-0005-0000-0000-00004EA10000}"/>
    <cellStyle name="Percent 87" xfId="37632" xr:uid="{00000000-0005-0000-0000-00004FA10000}"/>
    <cellStyle name="Percent 87 2" xfId="37633" xr:uid="{00000000-0005-0000-0000-000050A10000}"/>
    <cellStyle name="Percent 87 2 2" xfId="43635" xr:uid="{00000000-0005-0000-0000-000051A10000}"/>
    <cellStyle name="Percent 87 3" xfId="37634" xr:uid="{00000000-0005-0000-0000-000052A10000}"/>
    <cellStyle name="Percent 87 3 2" xfId="43636" xr:uid="{00000000-0005-0000-0000-000053A10000}"/>
    <cellStyle name="Percent 88" xfId="37635" xr:uid="{00000000-0005-0000-0000-000054A10000}"/>
    <cellStyle name="Percent 88 2" xfId="37636" xr:uid="{00000000-0005-0000-0000-000055A10000}"/>
    <cellStyle name="Percent 88 2 2" xfId="43637" xr:uid="{00000000-0005-0000-0000-000056A10000}"/>
    <cellStyle name="Percent 88 3" xfId="37637" xr:uid="{00000000-0005-0000-0000-000057A10000}"/>
    <cellStyle name="Percent 88 3 2" xfId="43638" xr:uid="{00000000-0005-0000-0000-000058A10000}"/>
    <cellStyle name="Percent 89" xfId="37638" xr:uid="{00000000-0005-0000-0000-000059A10000}"/>
    <cellStyle name="Percent 89 2" xfId="37639" xr:uid="{00000000-0005-0000-0000-00005AA10000}"/>
    <cellStyle name="Percent 89 2 2" xfId="43639" xr:uid="{00000000-0005-0000-0000-00005BA10000}"/>
    <cellStyle name="Percent 89 3" xfId="37640" xr:uid="{00000000-0005-0000-0000-00005CA10000}"/>
    <cellStyle name="Percent 89 3 2" xfId="43640" xr:uid="{00000000-0005-0000-0000-00005DA10000}"/>
    <cellStyle name="Percent 9" xfId="7664" xr:uid="{00000000-0005-0000-0000-00005EA10000}"/>
    <cellStyle name="Percent 9 2" xfId="7665" xr:uid="{00000000-0005-0000-0000-00005FA10000}"/>
    <cellStyle name="Percent 9 2 2" xfId="14503" xr:uid="{00000000-0005-0000-0000-000060A10000}"/>
    <cellStyle name="Percent 9 2 2 2" xfId="37643" xr:uid="{00000000-0005-0000-0000-000061A10000}"/>
    <cellStyle name="Percent 9 2 2 2 2" xfId="43643" xr:uid="{00000000-0005-0000-0000-000062A10000}"/>
    <cellStyle name="Percent 9 2 2 3" xfId="43642" xr:uid="{00000000-0005-0000-0000-000063A10000}"/>
    <cellStyle name="Percent 9 2 2 4" xfId="37642" xr:uid="{00000000-0005-0000-0000-000064A10000}"/>
    <cellStyle name="Percent 9 2 3" xfId="37644" xr:uid="{00000000-0005-0000-0000-000065A10000}"/>
    <cellStyle name="Percent 9 2 3 2" xfId="43644" xr:uid="{00000000-0005-0000-0000-000066A10000}"/>
    <cellStyle name="Percent 9 2 4" xfId="37645" xr:uid="{00000000-0005-0000-0000-000067A10000}"/>
    <cellStyle name="Percent 9 2 4 2" xfId="43645" xr:uid="{00000000-0005-0000-0000-000068A10000}"/>
    <cellStyle name="Percent 9 2 5" xfId="43641" xr:uid="{00000000-0005-0000-0000-000069A10000}"/>
    <cellStyle name="Percent 9 2 6" xfId="37641" xr:uid="{00000000-0005-0000-0000-00006AA10000}"/>
    <cellStyle name="Percent 9 3" xfId="7666" xr:uid="{00000000-0005-0000-0000-00006BA10000}"/>
    <cellStyle name="Percent 9 3 2" xfId="14504" xr:uid="{00000000-0005-0000-0000-00006CA10000}"/>
    <cellStyle name="Percent 9 3 2 2" xfId="43647" xr:uid="{00000000-0005-0000-0000-00006DA10000}"/>
    <cellStyle name="Percent 9 3 2 3" xfId="37647" xr:uid="{00000000-0005-0000-0000-00006EA10000}"/>
    <cellStyle name="Percent 9 3 3" xfId="37648" xr:uid="{00000000-0005-0000-0000-00006FA10000}"/>
    <cellStyle name="Percent 9 3 3 2" xfId="43648" xr:uid="{00000000-0005-0000-0000-000070A10000}"/>
    <cellStyle name="Percent 9 3 4" xfId="43646" xr:uid="{00000000-0005-0000-0000-000071A10000}"/>
    <cellStyle name="Percent 9 3 5" xfId="37646" xr:uid="{00000000-0005-0000-0000-000072A10000}"/>
    <cellStyle name="Percent 9 4" xfId="7667" xr:uid="{00000000-0005-0000-0000-000073A10000}"/>
    <cellStyle name="Percent 9 4 2" xfId="14505" xr:uid="{00000000-0005-0000-0000-000074A10000}"/>
    <cellStyle name="Percent 9 4 2 2" xfId="43649" xr:uid="{00000000-0005-0000-0000-000075A10000}"/>
    <cellStyle name="Percent 9 4 3" xfId="37649" xr:uid="{00000000-0005-0000-0000-000076A10000}"/>
    <cellStyle name="Percent 9 5" xfId="7668" xr:uid="{00000000-0005-0000-0000-000077A10000}"/>
    <cellStyle name="Percent 9 5 2" xfId="14506" xr:uid="{00000000-0005-0000-0000-000078A10000}"/>
    <cellStyle name="Percent 9 5 2 2" xfId="43650" xr:uid="{00000000-0005-0000-0000-000079A10000}"/>
    <cellStyle name="Percent 9 5 3" xfId="37650" xr:uid="{00000000-0005-0000-0000-00007AA10000}"/>
    <cellStyle name="Percent 9 6" xfId="14507" xr:uid="{00000000-0005-0000-0000-00007BA10000}"/>
    <cellStyle name="Percent 9 6 2" xfId="43651" xr:uid="{00000000-0005-0000-0000-00007CA10000}"/>
    <cellStyle name="Percent 9 6 3" xfId="37651" xr:uid="{00000000-0005-0000-0000-00007DA10000}"/>
    <cellStyle name="Percent 9 7" xfId="37652" xr:uid="{00000000-0005-0000-0000-00007EA10000}"/>
    <cellStyle name="Percent 9 7 2" xfId="43652" xr:uid="{00000000-0005-0000-0000-00007FA10000}"/>
    <cellStyle name="Percent 9 8" xfId="37653" xr:uid="{00000000-0005-0000-0000-000080A10000}"/>
    <cellStyle name="Percent 9 8 2" xfId="43653" xr:uid="{00000000-0005-0000-0000-000081A10000}"/>
    <cellStyle name="Percent 90" xfId="37654" xr:uid="{00000000-0005-0000-0000-000082A10000}"/>
    <cellStyle name="Percent 90 2" xfId="37655" xr:uid="{00000000-0005-0000-0000-000083A10000}"/>
    <cellStyle name="Percent 90 2 2" xfId="43654" xr:uid="{00000000-0005-0000-0000-000084A10000}"/>
    <cellStyle name="Percent 90 3" xfId="37656" xr:uid="{00000000-0005-0000-0000-000085A10000}"/>
    <cellStyle name="Percent 90 3 2" xfId="43655" xr:uid="{00000000-0005-0000-0000-000086A10000}"/>
    <cellStyle name="Percent 91" xfId="37657" xr:uid="{00000000-0005-0000-0000-000087A10000}"/>
    <cellStyle name="Percent 91 2" xfId="43656" xr:uid="{00000000-0005-0000-0000-000088A10000}"/>
    <cellStyle name="Percent 92" xfId="37658" xr:uid="{00000000-0005-0000-0000-000089A10000}"/>
    <cellStyle name="Percent 92 2" xfId="43657" xr:uid="{00000000-0005-0000-0000-00008AA10000}"/>
    <cellStyle name="Percent 93" xfId="37659" xr:uid="{00000000-0005-0000-0000-00008BA10000}"/>
    <cellStyle name="Percent 93 2" xfId="43658" xr:uid="{00000000-0005-0000-0000-00008CA10000}"/>
    <cellStyle name="Percent 94" xfId="37660" xr:uid="{00000000-0005-0000-0000-00008DA10000}"/>
    <cellStyle name="Percent 94 2" xfId="43659" xr:uid="{00000000-0005-0000-0000-00008EA10000}"/>
    <cellStyle name="Percent 95" xfId="37661" xr:uid="{00000000-0005-0000-0000-00008FA10000}"/>
    <cellStyle name="Percent 95 2" xfId="43660" xr:uid="{00000000-0005-0000-0000-000090A10000}"/>
    <cellStyle name="Percent 96" xfId="37662" xr:uid="{00000000-0005-0000-0000-000091A10000}"/>
    <cellStyle name="Percent 96 2" xfId="43661" xr:uid="{00000000-0005-0000-0000-000092A10000}"/>
    <cellStyle name="Percent 97" xfId="37663" xr:uid="{00000000-0005-0000-0000-000093A10000}"/>
    <cellStyle name="Percent 97 2" xfId="43662" xr:uid="{00000000-0005-0000-0000-000094A10000}"/>
    <cellStyle name="Percent 98" xfId="37664" xr:uid="{00000000-0005-0000-0000-000095A10000}"/>
    <cellStyle name="Percent 98 2" xfId="43663" xr:uid="{00000000-0005-0000-0000-000096A10000}"/>
    <cellStyle name="Percent 99" xfId="37665" xr:uid="{00000000-0005-0000-0000-000097A10000}"/>
    <cellStyle name="Percent 99 2" xfId="43664" xr:uid="{00000000-0005-0000-0000-000098A10000}"/>
    <cellStyle name="Pink" xfId="37666" xr:uid="{00000000-0005-0000-0000-000099A10000}"/>
    <cellStyle name="pricedatabold" xfId="37667" xr:uid="{00000000-0005-0000-0000-00009AA10000}"/>
    <cellStyle name="pricedatabold 2" xfId="43665" xr:uid="{00000000-0005-0000-0000-00009BA10000}"/>
    <cellStyle name="pricedatanorm" xfId="37668" xr:uid="{00000000-0005-0000-0000-00009CA10000}"/>
    <cellStyle name="pricedatanorm 2" xfId="43666" xr:uid="{00000000-0005-0000-0000-00009DA10000}"/>
    <cellStyle name="PSChar" xfId="37669" xr:uid="{00000000-0005-0000-0000-00009EA10000}"/>
    <cellStyle name="PSChar 2" xfId="37670" xr:uid="{00000000-0005-0000-0000-00009FA10000}"/>
    <cellStyle name="PSChar 2 2" xfId="43668" xr:uid="{00000000-0005-0000-0000-0000A0A10000}"/>
    <cellStyle name="PSChar 3" xfId="43667" xr:uid="{00000000-0005-0000-0000-0000A1A10000}"/>
    <cellStyle name="PSDate" xfId="37671" xr:uid="{00000000-0005-0000-0000-0000A2A10000}"/>
    <cellStyle name="PSDate 2" xfId="37672" xr:uid="{00000000-0005-0000-0000-0000A3A10000}"/>
    <cellStyle name="PSDate 2 2" xfId="43670" xr:uid="{00000000-0005-0000-0000-0000A4A10000}"/>
    <cellStyle name="PSDate 3" xfId="43669" xr:uid="{00000000-0005-0000-0000-0000A5A10000}"/>
    <cellStyle name="PSDec" xfId="37673" xr:uid="{00000000-0005-0000-0000-0000A6A10000}"/>
    <cellStyle name="PSDec 2" xfId="37674" xr:uid="{00000000-0005-0000-0000-0000A7A10000}"/>
    <cellStyle name="PSDec 2 2" xfId="43672" xr:uid="{00000000-0005-0000-0000-0000A8A10000}"/>
    <cellStyle name="PSDec 3" xfId="43671" xr:uid="{00000000-0005-0000-0000-0000A9A10000}"/>
    <cellStyle name="PSHeading" xfId="37675" xr:uid="{00000000-0005-0000-0000-0000AAA10000}"/>
    <cellStyle name="PSHeading 2" xfId="37676" xr:uid="{00000000-0005-0000-0000-0000ABA10000}"/>
    <cellStyle name="PSHeading 2 2" xfId="43674" xr:uid="{00000000-0005-0000-0000-0000ACA10000}"/>
    <cellStyle name="PSHeading 3" xfId="43673" xr:uid="{00000000-0005-0000-0000-0000ADA10000}"/>
    <cellStyle name="PSInt" xfId="37677" xr:uid="{00000000-0005-0000-0000-0000AEA10000}"/>
    <cellStyle name="PSInt 2" xfId="37678" xr:uid="{00000000-0005-0000-0000-0000AFA10000}"/>
    <cellStyle name="PSInt 2 2" xfId="43676" xr:uid="{00000000-0005-0000-0000-0000B0A10000}"/>
    <cellStyle name="PSInt 3" xfId="43675" xr:uid="{00000000-0005-0000-0000-0000B1A10000}"/>
    <cellStyle name="PSSpacer" xfId="37679" xr:uid="{00000000-0005-0000-0000-0000B2A10000}"/>
    <cellStyle name="PSSpacer 2" xfId="37680" xr:uid="{00000000-0005-0000-0000-0000B3A10000}"/>
    <cellStyle name="PSSpacer 2 2" xfId="43678" xr:uid="{00000000-0005-0000-0000-0000B4A10000}"/>
    <cellStyle name="PSSpacer 3" xfId="43677" xr:uid="{00000000-0005-0000-0000-0000B5A10000}"/>
    <cellStyle name="Punctuated 0." xfId="37681" xr:uid="{00000000-0005-0000-0000-0000B6A10000}"/>
    <cellStyle name="Punctuated 0. 2" xfId="43679" xr:uid="{00000000-0005-0000-0000-0000B7A10000}"/>
    <cellStyle name="Punctuated 0.00" xfId="37682" xr:uid="{00000000-0005-0000-0000-0000B8A10000}"/>
    <cellStyle name="Punctuated 0.00 2" xfId="43680" xr:uid="{00000000-0005-0000-0000-0000B9A10000}"/>
    <cellStyle name="Read-Only" xfId="37683" xr:uid="{00000000-0005-0000-0000-0000BAA10000}"/>
    <cellStyle name="Read-Only (bottom table)" xfId="37684" xr:uid="{00000000-0005-0000-0000-0000BBA10000}"/>
    <cellStyle name="Read-Only (bottom table) 2" xfId="43682" xr:uid="{00000000-0005-0000-0000-0000BCA10000}"/>
    <cellStyle name="Read-Only (calc)" xfId="37685" xr:uid="{00000000-0005-0000-0000-0000BDA10000}"/>
    <cellStyle name="Read-Only (calc) 2" xfId="43683" xr:uid="{00000000-0005-0000-0000-0000BEA10000}"/>
    <cellStyle name="Read-Only (calc, left)" xfId="37686" xr:uid="{00000000-0005-0000-0000-0000BFA10000}"/>
    <cellStyle name="Read-Only (calc, left) 2" xfId="43684" xr:uid="{00000000-0005-0000-0000-0000C0A10000}"/>
    <cellStyle name="Read-Only (calc, no border)" xfId="37687" xr:uid="{00000000-0005-0000-0000-0000C1A10000}"/>
    <cellStyle name="Read-Only (calc, no border) 2" xfId="43685" xr:uid="{00000000-0005-0000-0000-0000C2A10000}"/>
    <cellStyle name="Read-Only (header)" xfId="37688" xr:uid="{00000000-0005-0000-0000-0000C3A10000}"/>
    <cellStyle name="Read-Only (header) 2" xfId="43686" xr:uid="{00000000-0005-0000-0000-0000C4A10000}"/>
    <cellStyle name="Read-Only (header, center)" xfId="37689" xr:uid="{00000000-0005-0000-0000-0000C5A10000}"/>
    <cellStyle name="Read-Only (header, center) 2" xfId="43687" xr:uid="{00000000-0005-0000-0000-0000C6A10000}"/>
    <cellStyle name="Read-Only (header, left)" xfId="37690" xr:uid="{00000000-0005-0000-0000-0000C7A10000}"/>
    <cellStyle name="Read-Only (header, left) 2" xfId="43688" xr:uid="{00000000-0005-0000-0000-0000C8A10000}"/>
    <cellStyle name="Read-Only (header, no border)" xfId="37691" xr:uid="{00000000-0005-0000-0000-0000C9A10000}"/>
    <cellStyle name="Read-Only (header, no border) 2" xfId="43689" xr:uid="{00000000-0005-0000-0000-0000CAA10000}"/>
    <cellStyle name="Read-Only (header, no border, left)" xfId="37692" xr:uid="{00000000-0005-0000-0000-0000CBA10000}"/>
    <cellStyle name="Read-Only (header, no border, left) 2" xfId="43690" xr:uid="{00000000-0005-0000-0000-0000CCA10000}"/>
    <cellStyle name="Read-Only (left)" xfId="37693" xr:uid="{00000000-0005-0000-0000-0000CDA10000}"/>
    <cellStyle name="Read-Only (left) 2" xfId="43691" xr:uid="{00000000-0005-0000-0000-0000CEA10000}"/>
    <cellStyle name="Read-Only (no border)" xfId="37694" xr:uid="{00000000-0005-0000-0000-0000CFA10000}"/>
    <cellStyle name="Read-Only (no border) 2" xfId="43692" xr:uid="{00000000-0005-0000-0000-0000D0A10000}"/>
    <cellStyle name="Read-Only (no border,vcenter)" xfId="37695" xr:uid="{00000000-0005-0000-0000-0000D1A10000}"/>
    <cellStyle name="Read-Only (no border,vcenter) 2" xfId="43693" xr:uid="{00000000-0005-0000-0000-0000D2A10000}"/>
    <cellStyle name="Read-Only (noalign)" xfId="37696" xr:uid="{00000000-0005-0000-0000-0000D3A10000}"/>
    <cellStyle name="Read-Only (noalign) 2" xfId="43694" xr:uid="{00000000-0005-0000-0000-0000D4A10000}"/>
    <cellStyle name="Read-Only 2" xfId="43681" xr:uid="{00000000-0005-0000-0000-0000D5A10000}"/>
    <cellStyle name="Read-Only 3" xfId="44320" xr:uid="{00000000-0005-0000-0000-0000D6A10000}"/>
    <cellStyle name="Read-Only 4" xfId="42730" xr:uid="{00000000-0005-0000-0000-0000D7A10000}"/>
    <cellStyle name="Read-Only lrg" xfId="37697" xr:uid="{00000000-0005-0000-0000-0000D8A10000}"/>
    <cellStyle name="Read-Only lrg 2" xfId="43695" xr:uid="{00000000-0005-0000-0000-0000D9A10000}"/>
    <cellStyle name="Red" xfId="37698" xr:uid="{00000000-0005-0000-0000-0000DAA10000}"/>
    <cellStyle name="Remote" xfId="7669" xr:uid="{00000000-0005-0000-0000-0000DBA10000}"/>
    <cellStyle name="Remote 2" xfId="37699" xr:uid="{00000000-0005-0000-0000-0000DCA10000}"/>
    <cellStyle name="Remote 2 2" xfId="43696" xr:uid="{00000000-0005-0000-0000-0000DDA10000}"/>
    <cellStyle name="Remote 3" xfId="37700" xr:uid="{00000000-0005-0000-0000-0000DEA10000}"/>
    <cellStyle name="Remote 3 2" xfId="43697" xr:uid="{00000000-0005-0000-0000-0000DFA10000}"/>
    <cellStyle name="Revenue" xfId="7670" xr:uid="{00000000-0005-0000-0000-0000E0A10000}"/>
    <cellStyle name="Revenue 2" xfId="37701" xr:uid="{00000000-0005-0000-0000-0000E1A10000}"/>
    <cellStyle name="Revenue 2 2" xfId="43698" xr:uid="{00000000-0005-0000-0000-0000E2A10000}"/>
    <cellStyle name="Revenue 3" xfId="37702" xr:uid="{00000000-0005-0000-0000-0000E3A10000}"/>
    <cellStyle name="Revenue 3 2" xfId="43699" xr:uid="{00000000-0005-0000-0000-0000E4A10000}"/>
    <cellStyle name="RevList" xfId="7671" xr:uid="{00000000-0005-0000-0000-0000E5A10000}"/>
    <cellStyle name="RevList 2" xfId="37703" xr:uid="{00000000-0005-0000-0000-0000E6A10000}"/>
    <cellStyle name="RevList 2 2" xfId="43700" xr:uid="{00000000-0005-0000-0000-0000E7A10000}"/>
    <cellStyle name="RevList 3" xfId="37704" xr:uid="{00000000-0005-0000-0000-0000E8A10000}"/>
    <cellStyle name="RevList 3 2" xfId="43701" xr:uid="{00000000-0005-0000-0000-0000E9A10000}"/>
    <cellStyle name="RMB" xfId="37705" xr:uid="{00000000-0005-0000-0000-0000EAA10000}"/>
    <cellStyle name="Rmb [0]" xfId="37706" xr:uid="{00000000-0005-0000-0000-0000EBA10000}"/>
    <cellStyle name="RMB 0.00" xfId="37707" xr:uid="{00000000-0005-0000-0000-0000ECA10000}"/>
    <cellStyle name="SAPBEXstdData" xfId="37708" xr:uid="{00000000-0005-0000-0000-0000EDA10000}"/>
    <cellStyle name="SAPBEXstdData 2" xfId="37709" xr:uid="{00000000-0005-0000-0000-0000EEA10000}"/>
    <cellStyle name="SAPBEXstdData 3" xfId="43702" xr:uid="{00000000-0005-0000-0000-0000EFA10000}"/>
    <cellStyle name="Sheet Title" xfId="37710" xr:uid="{00000000-0005-0000-0000-0000F0A10000}"/>
    <cellStyle name="Sheet Title 2" xfId="43703" xr:uid="{00000000-0005-0000-0000-0000F1A10000}"/>
    <cellStyle name="small" xfId="37711" xr:uid="{00000000-0005-0000-0000-0000F2A10000}"/>
    <cellStyle name="small 2" xfId="37712" xr:uid="{00000000-0005-0000-0000-0000F3A10000}"/>
    <cellStyle name="small 3" xfId="43704" xr:uid="{00000000-0005-0000-0000-0000F4A10000}"/>
    <cellStyle name="SpacerLastRO" xfId="37713" xr:uid="{00000000-0005-0000-0000-0000F5A10000}"/>
    <cellStyle name="SpacerLastRO 2" xfId="37714" xr:uid="{00000000-0005-0000-0000-0000F6A10000}"/>
    <cellStyle name="SpacerLastRO 2 2" xfId="43706" xr:uid="{00000000-0005-0000-0000-0000F7A10000}"/>
    <cellStyle name="SpacerLastRO 3" xfId="37715" xr:uid="{00000000-0005-0000-0000-0000F8A10000}"/>
    <cellStyle name="SpacerLastRO 3 2" xfId="43707" xr:uid="{00000000-0005-0000-0000-0000F9A10000}"/>
    <cellStyle name="SpacerLastRO 4" xfId="37716" xr:uid="{00000000-0005-0000-0000-0000FAA10000}"/>
    <cellStyle name="SpacerLastRO 4 2" xfId="43708" xr:uid="{00000000-0005-0000-0000-0000FBA10000}"/>
    <cellStyle name="SpacerLastRO 5" xfId="43705" xr:uid="{00000000-0005-0000-0000-0000FCA10000}"/>
    <cellStyle name="SpacerRO" xfId="37717" xr:uid="{00000000-0005-0000-0000-0000FDA10000}"/>
    <cellStyle name="SpacerRO 2" xfId="37718" xr:uid="{00000000-0005-0000-0000-0000FEA10000}"/>
    <cellStyle name="SpacerRO 2 2" xfId="43710" xr:uid="{00000000-0005-0000-0000-0000FFA10000}"/>
    <cellStyle name="SpacerRO 3" xfId="37719" xr:uid="{00000000-0005-0000-0000-000000A20000}"/>
    <cellStyle name="SpacerRO 3 2" xfId="37720" xr:uid="{00000000-0005-0000-0000-000001A20000}"/>
    <cellStyle name="SpacerRO 3 2 2" xfId="43712" xr:uid="{00000000-0005-0000-0000-000002A20000}"/>
    <cellStyle name="SpacerRO 3 3" xfId="43711" xr:uid="{00000000-0005-0000-0000-000003A20000}"/>
    <cellStyle name="SpacerRO 4" xfId="37721" xr:uid="{00000000-0005-0000-0000-000004A20000}"/>
    <cellStyle name="SpacerRO 4 2" xfId="37722" xr:uid="{00000000-0005-0000-0000-000005A20000}"/>
    <cellStyle name="SpacerRO 4 2 2" xfId="43714" xr:uid="{00000000-0005-0000-0000-000006A20000}"/>
    <cellStyle name="SpacerRO 4 3" xfId="43713" xr:uid="{00000000-0005-0000-0000-000007A20000}"/>
    <cellStyle name="SpacerRO 5" xfId="37723" xr:uid="{00000000-0005-0000-0000-000008A20000}"/>
    <cellStyle name="SpacerRO 5 2" xfId="37724" xr:uid="{00000000-0005-0000-0000-000009A20000}"/>
    <cellStyle name="SpacerRO 5 2 2" xfId="43716" xr:uid="{00000000-0005-0000-0000-00000AA20000}"/>
    <cellStyle name="SpacerRO 5 3" xfId="43715" xr:uid="{00000000-0005-0000-0000-00000BA20000}"/>
    <cellStyle name="SpacerRO 6" xfId="43709" xr:uid="{00000000-0005-0000-0000-00000CA20000}"/>
    <cellStyle name="Spaceryesterday" xfId="37725" xr:uid="{00000000-0005-0000-0000-00000DA20000}"/>
    <cellStyle name="Spaceryesterday 2" xfId="43717" xr:uid="{00000000-0005-0000-0000-00000EA20000}"/>
    <cellStyle name="SpaceryesterdayLast" xfId="37726" xr:uid="{00000000-0005-0000-0000-00000FA20000}"/>
    <cellStyle name="SpaceryesterdayLast 2" xfId="43718" xr:uid="{00000000-0005-0000-0000-000010A20000}"/>
    <cellStyle name="SpacetomorrowRO" xfId="37727" xr:uid="{00000000-0005-0000-0000-000011A20000}"/>
    <cellStyle name="SpacetomorrowRO 2" xfId="43719" xr:uid="{00000000-0005-0000-0000-000012A20000}"/>
    <cellStyle name="Special" xfId="37728" xr:uid="{00000000-0005-0000-0000-000013A20000}"/>
    <cellStyle name="Standard_Anpassen der Amortisation" xfId="37729" xr:uid="{00000000-0005-0000-0000-000014A20000}"/>
    <cellStyle name="sterday]" xfId="37730" xr:uid="{00000000-0005-0000-0000-000015A20000}"/>
    <cellStyle name="sterday] 2" xfId="43720" xr:uid="{00000000-0005-0000-0000-000016A20000}"/>
    <cellStyle name="Style 1" xfId="7672" xr:uid="{00000000-0005-0000-0000-000017A20000}"/>
    <cellStyle name="Style 1 10" xfId="37731" xr:uid="{00000000-0005-0000-0000-000018A20000}"/>
    <cellStyle name="Style 1 10 2" xfId="43721" xr:uid="{00000000-0005-0000-0000-000019A20000}"/>
    <cellStyle name="Style 1 11" xfId="37732" xr:uid="{00000000-0005-0000-0000-00001AA20000}"/>
    <cellStyle name="Style 1 11 2" xfId="43722" xr:uid="{00000000-0005-0000-0000-00001BA20000}"/>
    <cellStyle name="Style 1 12" xfId="37733" xr:uid="{00000000-0005-0000-0000-00001CA20000}"/>
    <cellStyle name="Style 1 12 2" xfId="43723" xr:uid="{00000000-0005-0000-0000-00001DA20000}"/>
    <cellStyle name="Style 1 2" xfId="7673" xr:uid="{00000000-0005-0000-0000-00001EA20000}"/>
    <cellStyle name="Style 1 2 2" xfId="7674" xr:uid="{00000000-0005-0000-0000-00001FA20000}"/>
    <cellStyle name="Style 1 2 2 2" xfId="14508" xr:uid="{00000000-0005-0000-0000-000020A20000}"/>
    <cellStyle name="Style 1 2 2 2 2" xfId="43725" xr:uid="{00000000-0005-0000-0000-000021A20000}"/>
    <cellStyle name="Style 1 2 2 3" xfId="37735" xr:uid="{00000000-0005-0000-0000-000022A20000}"/>
    <cellStyle name="Style 1 2 3" xfId="7675" xr:uid="{00000000-0005-0000-0000-000023A20000}"/>
    <cellStyle name="Style 1 2 3 2" xfId="14509" xr:uid="{00000000-0005-0000-0000-000024A20000}"/>
    <cellStyle name="Style 1 2 3 2 2" xfId="43726" xr:uid="{00000000-0005-0000-0000-000025A20000}"/>
    <cellStyle name="Style 1 2 3 3" xfId="37736" xr:uid="{00000000-0005-0000-0000-000026A20000}"/>
    <cellStyle name="Style 1 2 4" xfId="14510" xr:uid="{00000000-0005-0000-0000-000027A20000}"/>
    <cellStyle name="Style 1 2 4 2" xfId="43727" xr:uid="{00000000-0005-0000-0000-000028A20000}"/>
    <cellStyle name="Style 1 2 4 3" xfId="37737" xr:uid="{00000000-0005-0000-0000-000029A20000}"/>
    <cellStyle name="Style 1 2 5" xfId="37738" xr:uid="{00000000-0005-0000-0000-00002AA20000}"/>
    <cellStyle name="Style 1 2 5 2" xfId="43728" xr:uid="{00000000-0005-0000-0000-00002BA20000}"/>
    <cellStyle name="Style 1 2 6" xfId="37739" xr:uid="{00000000-0005-0000-0000-00002CA20000}"/>
    <cellStyle name="Style 1 2 6 2" xfId="43729" xr:uid="{00000000-0005-0000-0000-00002DA20000}"/>
    <cellStyle name="Style 1 2 7" xfId="43724" xr:uid="{00000000-0005-0000-0000-00002EA20000}"/>
    <cellStyle name="Style 1 2 8" xfId="37734" xr:uid="{00000000-0005-0000-0000-00002FA20000}"/>
    <cellStyle name="Style 1 3" xfId="7676" xr:uid="{00000000-0005-0000-0000-000030A20000}"/>
    <cellStyle name="Style 1 3 2" xfId="7677" xr:uid="{00000000-0005-0000-0000-000031A20000}"/>
    <cellStyle name="Style 1 3 2 2" xfId="14511" xr:uid="{00000000-0005-0000-0000-000032A20000}"/>
    <cellStyle name="Style 1 3 2 2 2" xfId="43731" xr:uid="{00000000-0005-0000-0000-000033A20000}"/>
    <cellStyle name="Style 1 3 2 3" xfId="37741" xr:uid="{00000000-0005-0000-0000-000034A20000}"/>
    <cellStyle name="Style 1 3 3" xfId="14512" xr:uid="{00000000-0005-0000-0000-000035A20000}"/>
    <cellStyle name="Style 1 3 3 2" xfId="43732" xr:uid="{00000000-0005-0000-0000-000036A20000}"/>
    <cellStyle name="Style 1 3 3 3" xfId="37742" xr:uid="{00000000-0005-0000-0000-000037A20000}"/>
    <cellStyle name="Style 1 3 4" xfId="37743" xr:uid="{00000000-0005-0000-0000-000038A20000}"/>
    <cellStyle name="Style 1 3 4 2" xfId="43733" xr:uid="{00000000-0005-0000-0000-000039A20000}"/>
    <cellStyle name="Style 1 3 5" xfId="37744" xr:uid="{00000000-0005-0000-0000-00003AA20000}"/>
    <cellStyle name="Style 1 3 5 2" xfId="43734" xr:uid="{00000000-0005-0000-0000-00003BA20000}"/>
    <cellStyle name="Style 1 3 6" xfId="43730" xr:uid="{00000000-0005-0000-0000-00003CA20000}"/>
    <cellStyle name="Style 1 3 7" xfId="37740" xr:uid="{00000000-0005-0000-0000-00003DA20000}"/>
    <cellStyle name="Style 1 4" xfId="14513" xr:uid="{00000000-0005-0000-0000-00003EA20000}"/>
    <cellStyle name="Style 1 4 2" xfId="37746" xr:uid="{00000000-0005-0000-0000-00003FA20000}"/>
    <cellStyle name="Style 1 4 2 2" xfId="43736" xr:uid="{00000000-0005-0000-0000-000040A20000}"/>
    <cellStyle name="Style 1 4 3" xfId="37747" xr:uid="{00000000-0005-0000-0000-000041A20000}"/>
    <cellStyle name="Style 1 4 3 2" xfId="43737" xr:uid="{00000000-0005-0000-0000-000042A20000}"/>
    <cellStyle name="Style 1 4 4" xfId="43735" xr:uid="{00000000-0005-0000-0000-000043A20000}"/>
    <cellStyle name="Style 1 4 5" xfId="37745" xr:uid="{00000000-0005-0000-0000-000044A20000}"/>
    <cellStyle name="Style 1 5" xfId="14514" xr:uid="{00000000-0005-0000-0000-000045A20000}"/>
    <cellStyle name="Style 1 5 2" xfId="14515" xr:uid="{00000000-0005-0000-0000-000046A20000}"/>
    <cellStyle name="Style 1 5 2 2" xfId="43738" xr:uid="{00000000-0005-0000-0000-000047A20000}"/>
    <cellStyle name="Style 1 5 3" xfId="37748" xr:uid="{00000000-0005-0000-0000-000048A20000}"/>
    <cellStyle name="Style 1 6" xfId="14516" xr:uid="{00000000-0005-0000-0000-000049A20000}"/>
    <cellStyle name="Style 1 6 2" xfId="43739" xr:uid="{00000000-0005-0000-0000-00004AA20000}"/>
    <cellStyle name="Style 1 6 3" xfId="37749" xr:uid="{00000000-0005-0000-0000-00004BA20000}"/>
    <cellStyle name="Style 1 7" xfId="37750" xr:uid="{00000000-0005-0000-0000-00004CA20000}"/>
    <cellStyle name="Style 1 7 2" xfId="43740" xr:uid="{00000000-0005-0000-0000-00004DA20000}"/>
    <cellStyle name="Style 1 8" xfId="37751" xr:uid="{00000000-0005-0000-0000-00004EA20000}"/>
    <cellStyle name="Style 1 8 2" xfId="43741" xr:uid="{00000000-0005-0000-0000-00004FA20000}"/>
    <cellStyle name="Style 1 9" xfId="37752" xr:uid="{00000000-0005-0000-0000-000050A20000}"/>
    <cellStyle name="Style 1 9 2" xfId="43742" xr:uid="{00000000-0005-0000-0000-000051A20000}"/>
    <cellStyle name="Style 10" xfId="37753" xr:uid="{00000000-0005-0000-0000-000052A20000}"/>
    <cellStyle name="Style 10 2" xfId="43743" xr:uid="{00000000-0005-0000-0000-000053A20000}"/>
    <cellStyle name="Style 100" xfId="37754" xr:uid="{00000000-0005-0000-0000-000054A20000}"/>
    <cellStyle name="Style 100 2" xfId="43744" xr:uid="{00000000-0005-0000-0000-000055A20000}"/>
    <cellStyle name="Style 101" xfId="37755" xr:uid="{00000000-0005-0000-0000-000056A20000}"/>
    <cellStyle name="Style 101 2" xfId="43745" xr:uid="{00000000-0005-0000-0000-000057A20000}"/>
    <cellStyle name="Style 102" xfId="37756" xr:uid="{00000000-0005-0000-0000-000058A20000}"/>
    <cellStyle name="Style 102 2" xfId="43746" xr:uid="{00000000-0005-0000-0000-000059A20000}"/>
    <cellStyle name="Style 103" xfId="37757" xr:uid="{00000000-0005-0000-0000-00005AA20000}"/>
    <cellStyle name="Style 103 2" xfId="43747" xr:uid="{00000000-0005-0000-0000-00005BA20000}"/>
    <cellStyle name="Style 104" xfId="37758" xr:uid="{00000000-0005-0000-0000-00005CA20000}"/>
    <cellStyle name="Style 104 2" xfId="43748" xr:uid="{00000000-0005-0000-0000-00005DA20000}"/>
    <cellStyle name="Style 105" xfId="37759" xr:uid="{00000000-0005-0000-0000-00005EA20000}"/>
    <cellStyle name="Style 105 2" xfId="43749" xr:uid="{00000000-0005-0000-0000-00005FA20000}"/>
    <cellStyle name="Style 106" xfId="37760" xr:uid="{00000000-0005-0000-0000-000060A20000}"/>
    <cellStyle name="Style 106 2" xfId="37761" xr:uid="{00000000-0005-0000-0000-000061A20000}"/>
    <cellStyle name="Style 106 2 2" xfId="43751" xr:uid="{00000000-0005-0000-0000-000062A20000}"/>
    <cellStyle name="Style 106 3" xfId="43750" xr:uid="{00000000-0005-0000-0000-000063A20000}"/>
    <cellStyle name="Style 107" xfId="37762" xr:uid="{00000000-0005-0000-0000-000064A20000}"/>
    <cellStyle name="Style 107 2" xfId="43752" xr:uid="{00000000-0005-0000-0000-000065A20000}"/>
    <cellStyle name="Style 108" xfId="37763" xr:uid="{00000000-0005-0000-0000-000066A20000}"/>
    <cellStyle name="Style 108 2" xfId="43753" xr:uid="{00000000-0005-0000-0000-000067A20000}"/>
    <cellStyle name="Style 109" xfId="37764" xr:uid="{00000000-0005-0000-0000-000068A20000}"/>
    <cellStyle name="Style 109 2" xfId="43754" xr:uid="{00000000-0005-0000-0000-000069A20000}"/>
    <cellStyle name="Style 11" xfId="37765" xr:uid="{00000000-0005-0000-0000-00006AA20000}"/>
    <cellStyle name="Style 11 2" xfId="43755" xr:uid="{00000000-0005-0000-0000-00006BA20000}"/>
    <cellStyle name="Style 110" xfId="37766" xr:uid="{00000000-0005-0000-0000-00006CA20000}"/>
    <cellStyle name="Style 110 2" xfId="43756" xr:uid="{00000000-0005-0000-0000-00006DA20000}"/>
    <cellStyle name="Style 111" xfId="37767" xr:uid="{00000000-0005-0000-0000-00006EA20000}"/>
    <cellStyle name="Style 111 2" xfId="43757" xr:uid="{00000000-0005-0000-0000-00006FA20000}"/>
    <cellStyle name="Style 112" xfId="37768" xr:uid="{00000000-0005-0000-0000-000070A20000}"/>
    <cellStyle name="Style 112 2" xfId="43758" xr:uid="{00000000-0005-0000-0000-000071A20000}"/>
    <cellStyle name="Style 113" xfId="37769" xr:uid="{00000000-0005-0000-0000-000072A20000}"/>
    <cellStyle name="Style 113 2" xfId="43759" xr:uid="{00000000-0005-0000-0000-000073A20000}"/>
    <cellStyle name="Style 114" xfId="37770" xr:uid="{00000000-0005-0000-0000-000074A20000}"/>
    <cellStyle name="Style 114 2" xfId="43760" xr:uid="{00000000-0005-0000-0000-000075A20000}"/>
    <cellStyle name="Style 115" xfId="37771" xr:uid="{00000000-0005-0000-0000-000076A20000}"/>
    <cellStyle name="Style 115 2" xfId="43761" xr:uid="{00000000-0005-0000-0000-000077A20000}"/>
    <cellStyle name="Style 12" xfId="37772" xr:uid="{00000000-0005-0000-0000-000078A20000}"/>
    <cellStyle name="Style 12 2" xfId="43762" xr:uid="{00000000-0005-0000-0000-000079A20000}"/>
    <cellStyle name="Style 13" xfId="37773" xr:uid="{00000000-0005-0000-0000-00007AA20000}"/>
    <cellStyle name="Style 13 2" xfId="43763" xr:uid="{00000000-0005-0000-0000-00007BA20000}"/>
    <cellStyle name="Style 14" xfId="37774" xr:uid="{00000000-0005-0000-0000-00007CA20000}"/>
    <cellStyle name="Style 14 2" xfId="43764" xr:uid="{00000000-0005-0000-0000-00007DA20000}"/>
    <cellStyle name="Style 15" xfId="37775" xr:uid="{00000000-0005-0000-0000-00007EA20000}"/>
    <cellStyle name="Style 15 2" xfId="43765" xr:uid="{00000000-0005-0000-0000-00007FA20000}"/>
    <cellStyle name="Style 16" xfId="37776" xr:uid="{00000000-0005-0000-0000-000080A20000}"/>
    <cellStyle name="Style 16 2" xfId="43766" xr:uid="{00000000-0005-0000-0000-000081A20000}"/>
    <cellStyle name="Style 17" xfId="37777" xr:uid="{00000000-0005-0000-0000-000082A20000}"/>
    <cellStyle name="Style 17 2" xfId="43767" xr:uid="{00000000-0005-0000-0000-000083A20000}"/>
    <cellStyle name="Style 18" xfId="37778" xr:uid="{00000000-0005-0000-0000-000084A20000}"/>
    <cellStyle name="Style 18 2" xfId="43768" xr:uid="{00000000-0005-0000-0000-000085A20000}"/>
    <cellStyle name="Style 19" xfId="37779" xr:uid="{00000000-0005-0000-0000-000086A20000}"/>
    <cellStyle name="Style 19 2" xfId="43769" xr:uid="{00000000-0005-0000-0000-000087A20000}"/>
    <cellStyle name="Style 2" xfId="37780" xr:uid="{00000000-0005-0000-0000-000088A20000}"/>
    <cellStyle name="Style 2 2" xfId="43770" xr:uid="{00000000-0005-0000-0000-000089A20000}"/>
    <cellStyle name="Style 20" xfId="37781" xr:uid="{00000000-0005-0000-0000-00008AA20000}"/>
    <cellStyle name="Style 20 2" xfId="43771" xr:uid="{00000000-0005-0000-0000-00008BA20000}"/>
    <cellStyle name="Style 21" xfId="37782" xr:uid="{00000000-0005-0000-0000-00008CA20000}"/>
    <cellStyle name="Style 21 2" xfId="37783" xr:uid="{00000000-0005-0000-0000-00008DA20000}"/>
    <cellStyle name="Style 21 2 2" xfId="43772" xr:uid="{00000000-0005-0000-0000-00008EA20000}"/>
    <cellStyle name="Style 21 3" xfId="37784" xr:uid="{00000000-0005-0000-0000-00008FA20000}"/>
    <cellStyle name="Style 21 3 2" xfId="43773" xr:uid="{00000000-0005-0000-0000-000090A20000}"/>
    <cellStyle name="Style 21 4" xfId="37785" xr:uid="{00000000-0005-0000-0000-000091A20000}"/>
    <cellStyle name="Style 21 4 2" xfId="43774" xr:uid="{00000000-0005-0000-0000-000092A20000}"/>
    <cellStyle name="Style 21 5" xfId="37786" xr:uid="{00000000-0005-0000-0000-000093A20000}"/>
    <cellStyle name="Style 21 5 2" xfId="43775" xr:uid="{00000000-0005-0000-0000-000094A20000}"/>
    <cellStyle name="Style 21 6" xfId="37787" xr:uid="{00000000-0005-0000-0000-000095A20000}"/>
    <cellStyle name="Style 21 6 2" xfId="43776" xr:uid="{00000000-0005-0000-0000-000096A20000}"/>
    <cellStyle name="Style 21 7" xfId="37788" xr:uid="{00000000-0005-0000-0000-000097A20000}"/>
    <cellStyle name="Style 21 7 2" xfId="43777" xr:uid="{00000000-0005-0000-0000-000098A20000}"/>
    <cellStyle name="Style 22" xfId="37789" xr:uid="{00000000-0005-0000-0000-000099A20000}"/>
    <cellStyle name="Style 22 10" xfId="37790" xr:uid="{00000000-0005-0000-0000-00009AA20000}"/>
    <cellStyle name="Style 22 2" xfId="37791" xr:uid="{00000000-0005-0000-0000-00009BA20000}"/>
    <cellStyle name="Style 22 2 2" xfId="37792" xr:uid="{00000000-0005-0000-0000-00009CA20000}"/>
    <cellStyle name="Style 22 2 2 2" xfId="43779" xr:uid="{00000000-0005-0000-0000-00009DA20000}"/>
    <cellStyle name="Style 22 2 3" xfId="43778" xr:uid="{00000000-0005-0000-0000-00009EA20000}"/>
    <cellStyle name="Style 22 3" xfId="37793" xr:uid="{00000000-0005-0000-0000-00009FA20000}"/>
    <cellStyle name="Style 22 3 2" xfId="43780" xr:uid="{00000000-0005-0000-0000-0000A0A20000}"/>
    <cellStyle name="Style 22 4" xfId="37794" xr:uid="{00000000-0005-0000-0000-0000A1A20000}"/>
    <cellStyle name="Style 22 4 2" xfId="43781" xr:uid="{00000000-0005-0000-0000-0000A2A20000}"/>
    <cellStyle name="Style 22 5" xfId="37795" xr:uid="{00000000-0005-0000-0000-0000A3A20000}"/>
    <cellStyle name="Style 22 5 2" xfId="43782" xr:uid="{00000000-0005-0000-0000-0000A4A20000}"/>
    <cellStyle name="Style 22 6" xfId="37796" xr:uid="{00000000-0005-0000-0000-0000A5A20000}"/>
    <cellStyle name="Style 22 6 2" xfId="43783" xr:uid="{00000000-0005-0000-0000-0000A6A20000}"/>
    <cellStyle name="Style 22 7" xfId="37797" xr:uid="{00000000-0005-0000-0000-0000A7A20000}"/>
    <cellStyle name="Style 22 7 2" xfId="43784" xr:uid="{00000000-0005-0000-0000-0000A8A20000}"/>
    <cellStyle name="Style 22 8" xfId="37798" xr:uid="{00000000-0005-0000-0000-0000A9A20000}"/>
    <cellStyle name="Style 22 8 2" xfId="43785" xr:uid="{00000000-0005-0000-0000-0000AAA20000}"/>
    <cellStyle name="Style 22 9" xfId="37799" xr:uid="{00000000-0005-0000-0000-0000ABA20000}"/>
    <cellStyle name="Style 22 9 2" xfId="43786" xr:uid="{00000000-0005-0000-0000-0000ACA20000}"/>
    <cellStyle name="Style 23" xfId="37800" xr:uid="{00000000-0005-0000-0000-0000ADA20000}"/>
    <cellStyle name="Style 23 2" xfId="37801" xr:uid="{00000000-0005-0000-0000-0000AEA20000}"/>
    <cellStyle name="Style 23 2 2" xfId="37802" xr:uid="{00000000-0005-0000-0000-0000AFA20000}"/>
    <cellStyle name="Style 23 2 2 2" xfId="43788" xr:uid="{00000000-0005-0000-0000-0000B0A20000}"/>
    <cellStyle name="Style 23 2 3" xfId="43787" xr:uid="{00000000-0005-0000-0000-0000B1A20000}"/>
    <cellStyle name="Style 23 3" xfId="37803" xr:uid="{00000000-0005-0000-0000-0000B2A20000}"/>
    <cellStyle name="Style 23 3 2" xfId="43789" xr:uid="{00000000-0005-0000-0000-0000B3A20000}"/>
    <cellStyle name="Style 23 4" xfId="37804" xr:uid="{00000000-0005-0000-0000-0000B4A20000}"/>
    <cellStyle name="Style 23 4 2" xfId="43790" xr:uid="{00000000-0005-0000-0000-0000B5A20000}"/>
    <cellStyle name="Style 23 5" xfId="37805" xr:uid="{00000000-0005-0000-0000-0000B6A20000}"/>
    <cellStyle name="Style 23 5 2" xfId="43791" xr:uid="{00000000-0005-0000-0000-0000B7A20000}"/>
    <cellStyle name="Style 23 6" xfId="37806" xr:uid="{00000000-0005-0000-0000-0000B8A20000}"/>
    <cellStyle name="Style 23 6 2" xfId="43792" xr:uid="{00000000-0005-0000-0000-0000B9A20000}"/>
    <cellStyle name="Style 23 7" xfId="37807" xr:uid="{00000000-0005-0000-0000-0000BAA20000}"/>
    <cellStyle name="Style 23 7 2" xfId="43793" xr:uid="{00000000-0005-0000-0000-0000BBA20000}"/>
    <cellStyle name="Style 23 8" xfId="37808" xr:uid="{00000000-0005-0000-0000-0000BCA20000}"/>
    <cellStyle name="Style 23 8 2" xfId="43794" xr:uid="{00000000-0005-0000-0000-0000BDA20000}"/>
    <cellStyle name="Style 23 9" xfId="37809" xr:uid="{00000000-0005-0000-0000-0000BEA20000}"/>
    <cellStyle name="Style 24" xfId="37810" xr:uid="{00000000-0005-0000-0000-0000BFA20000}"/>
    <cellStyle name="Style 24 2" xfId="37811" xr:uid="{00000000-0005-0000-0000-0000C0A20000}"/>
    <cellStyle name="Style 24 2 2" xfId="37812" xr:uid="{00000000-0005-0000-0000-0000C1A20000}"/>
    <cellStyle name="Style 24 2 2 2" xfId="43796" xr:uid="{00000000-0005-0000-0000-0000C2A20000}"/>
    <cellStyle name="Style 24 2 3" xfId="43795" xr:uid="{00000000-0005-0000-0000-0000C3A20000}"/>
    <cellStyle name="Style 24 3" xfId="37813" xr:uid="{00000000-0005-0000-0000-0000C4A20000}"/>
    <cellStyle name="Style 24 3 2" xfId="43797" xr:uid="{00000000-0005-0000-0000-0000C5A20000}"/>
    <cellStyle name="Style 24 4" xfId="37814" xr:uid="{00000000-0005-0000-0000-0000C6A20000}"/>
    <cellStyle name="Style 24 4 2" xfId="43798" xr:uid="{00000000-0005-0000-0000-0000C7A20000}"/>
    <cellStyle name="Style 24 5" xfId="37815" xr:uid="{00000000-0005-0000-0000-0000C8A20000}"/>
    <cellStyle name="Style 24 5 2" xfId="43799" xr:uid="{00000000-0005-0000-0000-0000C9A20000}"/>
    <cellStyle name="Style 24 6" xfId="37816" xr:uid="{00000000-0005-0000-0000-0000CAA20000}"/>
    <cellStyle name="Style 24 6 2" xfId="43800" xr:uid="{00000000-0005-0000-0000-0000CBA20000}"/>
    <cellStyle name="Style 24 7" xfId="37817" xr:uid="{00000000-0005-0000-0000-0000CCA20000}"/>
    <cellStyle name="Style 24 7 2" xfId="43801" xr:uid="{00000000-0005-0000-0000-0000CDA20000}"/>
    <cellStyle name="Style 24 8" xfId="37818" xr:uid="{00000000-0005-0000-0000-0000CEA20000}"/>
    <cellStyle name="Style 24 8 2" xfId="43802" xr:uid="{00000000-0005-0000-0000-0000CFA20000}"/>
    <cellStyle name="Style 24 9" xfId="37819" xr:uid="{00000000-0005-0000-0000-0000D0A20000}"/>
    <cellStyle name="Style 25" xfId="37820" xr:uid="{00000000-0005-0000-0000-0000D1A20000}"/>
    <cellStyle name="Style 25 2" xfId="37821" xr:uid="{00000000-0005-0000-0000-0000D2A20000}"/>
    <cellStyle name="Style 25 2 2" xfId="43803" xr:uid="{00000000-0005-0000-0000-0000D3A20000}"/>
    <cellStyle name="Style 25 3" xfId="37822" xr:uid="{00000000-0005-0000-0000-0000D4A20000}"/>
    <cellStyle name="Style 25 3 2" xfId="43804" xr:uid="{00000000-0005-0000-0000-0000D5A20000}"/>
    <cellStyle name="Style 25 4" xfId="37823" xr:uid="{00000000-0005-0000-0000-0000D6A20000}"/>
    <cellStyle name="Style 25 4 2" xfId="43805" xr:uid="{00000000-0005-0000-0000-0000D7A20000}"/>
    <cellStyle name="Style 25 5" xfId="37824" xr:uid="{00000000-0005-0000-0000-0000D8A20000}"/>
    <cellStyle name="Style 25 5 2" xfId="43806" xr:uid="{00000000-0005-0000-0000-0000D9A20000}"/>
    <cellStyle name="Style 25 6" xfId="37825" xr:uid="{00000000-0005-0000-0000-0000DAA20000}"/>
    <cellStyle name="Style 25 6 2" xfId="43807" xr:uid="{00000000-0005-0000-0000-0000DBA20000}"/>
    <cellStyle name="Style 26" xfId="37826" xr:uid="{00000000-0005-0000-0000-0000DCA20000}"/>
    <cellStyle name="Style 26 2" xfId="37827" xr:uid="{00000000-0005-0000-0000-0000DDA20000}"/>
    <cellStyle name="Style 26 2 2" xfId="43808" xr:uid="{00000000-0005-0000-0000-0000DEA20000}"/>
    <cellStyle name="Style 26 3" xfId="37828" xr:uid="{00000000-0005-0000-0000-0000DFA20000}"/>
    <cellStyle name="Style 26 3 2" xfId="43809" xr:uid="{00000000-0005-0000-0000-0000E0A20000}"/>
    <cellStyle name="Style 26 4" xfId="37829" xr:uid="{00000000-0005-0000-0000-0000E1A20000}"/>
    <cellStyle name="Style 26 4 2" xfId="43810" xr:uid="{00000000-0005-0000-0000-0000E2A20000}"/>
    <cellStyle name="Style 26 5" xfId="37830" xr:uid="{00000000-0005-0000-0000-0000E3A20000}"/>
    <cellStyle name="Style 26 5 2" xfId="43811" xr:uid="{00000000-0005-0000-0000-0000E4A20000}"/>
    <cellStyle name="Style 26 6" xfId="37831" xr:uid="{00000000-0005-0000-0000-0000E5A20000}"/>
    <cellStyle name="Style 26 6 2" xfId="43812" xr:uid="{00000000-0005-0000-0000-0000E6A20000}"/>
    <cellStyle name="Style 27" xfId="37832" xr:uid="{00000000-0005-0000-0000-0000E7A20000}"/>
    <cellStyle name="Style 27 2" xfId="37833" xr:uid="{00000000-0005-0000-0000-0000E8A20000}"/>
    <cellStyle name="Style 27 2 2" xfId="43813" xr:uid="{00000000-0005-0000-0000-0000E9A20000}"/>
    <cellStyle name="Style 27 3" xfId="37834" xr:uid="{00000000-0005-0000-0000-0000EAA20000}"/>
    <cellStyle name="Style 27 3 2" xfId="43814" xr:uid="{00000000-0005-0000-0000-0000EBA20000}"/>
    <cellStyle name="Style 27 4" xfId="37835" xr:uid="{00000000-0005-0000-0000-0000ECA20000}"/>
    <cellStyle name="Style 27 4 2" xfId="43815" xr:uid="{00000000-0005-0000-0000-0000EDA20000}"/>
    <cellStyle name="Style 27 5" xfId="37836" xr:uid="{00000000-0005-0000-0000-0000EEA20000}"/>
    <cellStyle name="Style 27 5 2" xfId="43816" xr:uid="{00000000-0005-0000-0000-0000EFA20000}"/>
    <cellStyle name="Style 27 6" xfId="37837" xr:uid="{00000000-0005-0000-0000-0000F0A20000}"/>
    <cellStyle name="Style 27 6 2" xfId="43817" xr:uid="{00000000-0005-0000-0000-0000F1A20000}"/>
    <cellStyle name="Style 28" xfId="37838" xr:uid="{00000000-0005-0000-0000-0000F2A20000}"/>
    <cellStyle name="Style 28 2" xfId="37839" xr:uid="{00000000-0005-0000-0000-0000F3A20000}"/>
    <cellStyle name="Style 28 2 2" xfId="43818" xr:uid="{00000000-0005-0000-0000-0000F4A20000}"/>
    <cellStyle name="Style 28 3" xfId="37840" xr:uid="{00000000-0005-0000-0000-0000F5A20000}"/>
    <cellStyle name="Style 28 3 2" xfId="43819" xr:uid="{00000000-0005-0000-0000-0000F6A20000}"/>
    <cellStyle name="Style 28 4" xfId="37841" xr:uid="{00000000-0005-0000-0000-0000F7A20000}"/>
    <cellStyle name="Style 28 4 2" xfId="43820" xr:uid="{00000000-0005-0000-0000-0000F8A20000}"/>
    <cellStyle name="Style 28 5" xfId="37842" xr:uid="{00000000-0005-0000-0000-0000F9A20000}"/>
    <cellStyle name="Style 28 5 2" xfId="43821" xr:uid="{00000000-0005-0000-0000-0000FAA20000}"/>
    <cellStyle name="Style 28 6" xfId="37843" xr:uid="{00000000-0005-0000-0000-0000FBA20000}"/>
    <cellStyle name="Style 28 6 2" xfId="43822" xr:uid="{00000000-0005-0000-0000-0000FCA20000}"/>
    <cellStyle name="Style 29" xfId="37844" xr:uid="{00000000-0005-0000-0000-0000FDA20000}"/>
    <cellStyle name="Style 29 2" xfId="37845" xr:uid="{00000000-0005-0000-0000-0000FEA20000}"/>
    <cellStyle name="Style 29 2 2" xfId="43823" xr:uid="{00000000-0005-0000-0000-0000FFA20000}"/>
    <cellStyle name="Style 29 3" xfId="37846" xr:uid="{00000000-0005-0000-0000-000000A30000}"/>
    <cellStyle name="Style 29 3 2" xfId="43824" xr:uid="{00000000-0005-0000-0000-000001A30000}"/>
    <cellStyle name="Style 29 4" xfId="37847" xr:uid="{00000000-0005-0000-0000-000002A30000}"/>
    <cellStyle name="Style 29 4 2" xfId="43825" xr:uid="{00000000-0005-0000-0000-000003A30000}"/>
    <cellStyle name="Style 29 5" xfId="37848" xr:uid="{00000000-0005-0000-0000-000004A30000}"/>
    <cellStyle name="Style 29 5 2" xfId="43826" xr:uid="{00000000-0005-0000-0000-000005A30000}"/>
    <cellStyle name="Style 29 6" xfId="37849" xr:uid="{00000000-0005-0000-0000-000006A30000}"/>
    <cellStyle name="Style 29 6 2" xfId="43827" xr:uid="{00000000-0005-0000-0000-000007A30000}"/>
    <cellStyle name="Style 3" xfId="37850" xr:uid="{00000000-0005-0000-0000-000008A30000}"/>
    <cellStyle name="Style 3 2" xfId="37851" xr:uid="{00000000-0005-0000-0000-000009A30000}"/>
    <cellStyle name="Style 3 2 2" xfId="43829" xr:uid="{00000000-0005-0000-0000-00000AA30000}"/>
    <cellStyle name="Style 3 3" xfId="43828" xr:uid="{00000000-0005-0000-0000-00000BA30000}"/>
    <cellStyle name="Style 30" xfId="37852" xr:uid="{00000000-0005-0000-0000-00000CA30000}"/>
    <cellStyle name="Style 30 2" xfId="37853" xr:uid="{00000000-0005-0000-0000-00000DA30000}"/>
    <cellStyle name="Style 30 2 2" xfId="43830" xr:uid="{00000000-0005-0000-0000-00000EA30000}"/>
    <cellStyle name="Style 30 3" xfId="37854" xr:uid="{00000000-0005-0000-0000-00000FA30000}"/>
    <cellStyle name="Style 30 3 2" xfId="43831" xr:uid="{00000000-0005-0000-0000-000010A30000}"/>
    <cellStyle name="Style 30 4" xfId="37855" xr:uid="{00000000-0005-0000-0000-000011A30000}"/>
    <cellStyle name="Style 30 4 2" xfId="43832" xr:uid="{00000000-0005-0000-0000-000012A30000}"/>
    <cellStyle name="Style 30 5" xfId="37856" xr:uid="{00000000-0005-0000-0000-000013A30000}"/>
    <cellStyle name="Style 30 5 2" xfId="43833" xr:uid="{00000000-0005-0000-0000-000014A30000}"/>
    <cellStyle name="Style 30 6" xfId="37857" xr:uid="{00000000-0005-0000-0000-000015A30000}"/>
    <cellStyle name="Style 30 6 2" xfId="43834" xr:uid="{00000000-0005-0000-0000-000016A30000}"/>
    <cellStyle name="Style 31" xfId="37858" xr:uid="{00000000-0005-0000-0000-000017A30000}"/>
    <cellStyle name="Style 31 2" xfId="37859" xr:uid="{00000000-0005-0000-0000-000018A30000}"/>
    <cellStyle name="Style 31 2 2" xfId="43835" xr:uid="{00000000-0005-0000-0000-000019A30000}"/>
    <cellStyle name="Style 31 3" xfId="37860" xr:uid="{00000000-0005-0000-0000-00001AA30000}"/>
    <cellStyle name="Style 31 3 2" xfId="43836" xr:uid="{00000000-0005-0000-0000-00001BA30000}"/>
    <cellStyle name="Style 31 4" xfId="37861" xr:uid="{00000000-0005-0000-0000-00001CA30000}"/>
    <cellStyle name="Style 31 4 2" xfId="43837" xr:uid="{00000000-0005-0000-0000-00001DA30000}"/>
    <cellStyle name="Style 31 5" xfId="37862" xr:uid="{00000000-0005-0000-0000-00001EA30000}"/>
    <cellStyle name="Style 31 5 2" xfId="43838" xr:uid="{00000000-0005-0000-0000-00001FA30000}"/>
    <cellStyle name="Style 31 6" xfId="37863" xr:uid="{00000000-0005-0000-0000-000020A30000}"/>
    <cellStyle name="Style 31 6 2" xfId="43839" xr:uid="{00000000-0005-0000-0000-000021A30000}"/>
    <cellStyle name="Style 32" xfId="37864" xr:uid="{00000000-0005-0000-0000-000022A30000}"/>
    <cellStyle name="Style 32 2" xfId="37865" xr:uid="{00000000-0005-0000-0000-000023A30000}"/>
    <cellStyle name="Style 32 2 2" xfId="43840" xr:uid="{00000000-0005-0000-0000-000024A30000}"/>
    <cellStyle name="Style 32 3" xfId="37866" xr:uid="{00000000-0005-0000-0000-000025A30000}"/>
    <cellStyle name="Style 32 3 2" xfId="43841" xr:uid="{00000000-0005-0000-0000-000026A30000}"/>
    <cellStyle name="Style 32 4" xfId="37867" xr:uid="{00000000-0005-0000-0000-000027A30000}"/>
    <cellStyle name="Style 32 4 2" xfId="43842" xr:uid="{00000000-0005-0000-0000-000028A30000}"/>
    <cellStyle name="Style 32 5" xfId="37868" xr:uid="{00000000-0005-0000-0000-000029A30000}"/>
    <cellStyle name="Style 32 5 2" xfId="43843" xr:uid="{00000000-0005-0000-0000-00002AA30000}"/>
    <cellStyle name="Style 32 6" xfId="37869" xr:uid="{00000000-0005-0000-0000-00002BA30000}"/>
    <cellStyle name="Style 32 6 2" xfId="43844" xr:uid="{00000000-0005-0000-0000-00002CA30000}"/>
    <cellStyle name="Style 33" xfId="37870" xr:uid="{00000000-0005-0000-0000-00002DA30000}"/>
    <cellStyle name="Style 33 2" xfId="37871" xr:uid="{00000000-0005-0000-0000-00002EA30000}"/>
    <cellStyle name="Style 33 2 2" xfId="43845" xr:uid="{00000000-0005-0000-0000-00002FA30000}"/>
    <cellStyle name="Style 33 3" xfId="37872" xr:uid="{00000000-0005-0000-0000-000030A30000}"/>
    <cellStyle name="Style 33 3 2" xfId="43846" xr:uid="{00000000-0005-0000-0000-000031A30000}"/>
    <cellStyle name="Style 33 4" xfId="37873" xr:uid="{00000000-0005-0000-0000-000032A30000}"/>
    <cellStyle name="Style 33 4 2" xfId="43847" xr:uid="{00000000-0005-0000-0000-000033A30000}"/>
    <cellStyle name="Style 33 5" xfId="37874" xr:uid="{00000000-0005-0000-0000-000034A30000}"/>
    <cellStyle name="Style 33 5 2" xfId="43848" xr:uid="{00000000-0005-0000-0000-000035A30000}"/>
    <cellStyle name="Style 33 6" xfId="37875" xr:uid="{00000000-0005-0000-0000-000036A30000}"/>
    <cellStyle name="Style 33 6 2" xfId="43849" xr:uid="{00000000-0005-0000-0000-000037A30000}"/>
    <cellStyle name="Style 34" xfId="37876" xr:uid="{00000000-0005-0000-0000-000038A30000}"/>
    <cellStyle name="Style 34 2" xfId="37877" xr:uid="{00000000-0005-0000-0000-000039A30000}"/>
    <cellStyle name="Style 34 2 2" xfId="43850" xr:uid="{00000000-0005-0000-0000-00003AA30000}"/>
    <cellStyle name="Style 34 3" xfId="37878" xr:uid="{00000000-0005-0000-0000-00003BA30000}"/>
    <cellStyle name="Style 34 3 2" xfId="43851" xr:uid="{00000000-0005-0000-0000-00003CA30000}"/>
    <cellStyle name="Style 34 4" xfId="37879" xr:uid="{00000000-0005-0000-0000-00003DA30000}"/>
    <cellStyle name="Style 34 4 2" xfId="43852" xr:uid="{00000000-0005-0000-0000-00003EA30000}"/>
    <cellStyle name="Style 34 5" xfId="37880" xr:uid="{00000000-0005-0000-0000-00003FA30000}"/>
    <cellStyle name="Style 34 5 2" xfId="43853" xr:uid="{00000000-0005-0000-0000-000040A30000}"/>
    <cellStyle name="Style 34 6" xfId="37881" xr:uid="{00000000-0005-0000-0000-000041A30000}"/>
    <cellStyle name="Style 34 6 2" xfId="43854" xr:uid="{00000000-0005-0000-0000-000042A30000}"/>
    <cellStyle name="Style 35" xfId="37882" xr:uid="{00000000-0005-0000-0000-000043A30000}"/>
    <cellStyle name="Style 35 2" xfId="37883" xr:uid="{00000000-0005-0000-0000-000044A30000}"/>
    <cellStyle name="Style 35 2 2" xfId="43855" xr:uid="{00000000-0005-0000-0000-000045A30000}"/>
    <cellStyle name="Style 35 3" xfId="37884" xr:uid="{00000000-0005-0000-0000-000046A30000}"/>
    <cellStyle name="Style 35 3 2" xfId="43856" xr:uid="{00000000-0005-0000-0000-000047A30000}"/>
    <cellStyle name="Style 35 4" xfId="37885" xr:uid="{00000000-0005-0000-0000-000048A30000}"/>
    <cellStyle name="Style 35 4 2" xfId="43857" xr:uid="{00000000-0005-0000-0000-000049A30000}"/>
    <cellStyle name="Style 35 5" xfId="37886" xr:uid="{00000000-0005-0000-0000-00004AA30000}"/>
    <cellStyle name="Style 35 5 2" xfId="43858" xr:uid="{00000000-0005-0000-0000-00004BA30000}"/>
    <cellStyle name="Style 35 6" xfId="37887" xr:uid="{00000000-0005-0000-0000-00004CA30000}"/>
    <cellStyle name="Style 35 6 2" xfId="43859" xr:uid="{00000000-0005-0000-0000-00004DA30000}"/>
    <cellStyle name="Style 35 7" xfId="37888" xr:uid="{00000000-0005-0000-0000-00004EA30000}"/>
    <cellStyle name="Style 35 7 2" xfId="43860" xr:uid="{00000000-0005-0000-0000-00004FA30000}"/>
    <cellStyle name="Style 36" xfId="37889" xr:uid="{00000000-0005-0000-0000-000050A30000}"/>
    <cellStyle name="Style 36 2" xfId="37890" xr:uid="{00000000-0005-0000-0000-000051A30000}"/>
    <cellStyle name="Style 36 2 2" xfId="43861" xr:uid="{00000000-0005-0000-0000-000052A30000}"/>
    <cellStyle name="Style 36 3" xfId="37891" xr:uid="{00000000-0005-0000-0000-000053A30000}"/>
    <cellStyle name="Style 36 3 2" xfId="43862" xr:uid="{00000000-0005-0000-0000-000054A30000}"/>
    <cellStyle name="Style 36 4" xfId="37892" xr:uid="{00000000-0005-0000-0000-000055A30000}"/>
    <cellStyle name="Style 36 4 2" xfId="43863" xr:uid="{00000000-0005-0000-0000-000056A30000}"/>
    <cellStyle name="Style 36 5" xfId="37893" xr:uid="{00000000-0005-0000-0000-000057A30000}"/>
    <cellStyle name="Style 36 5 2" xfId="43864" xr:uid="{00000000-0005-0000-0000-000058A30000}"/>
    <cellStyle name="Style 36 6" xfId="37894" xr:uid="{00000000-0005-0000-0000-000059A30000}"/>
    <cellStyle name="Style 36 6 2" xfId="43865" xr:uid="{00000000-0005-0000-0000-00005AA30000}"/>
    <cellStyle name="Style 36 7" xfId="37895" xr:uid="{00000000-0005-0000-0000-00005BA30000}"/>
    <cellStyle name="Style 36 7 2" xfId="43866" xr:uid="{00000000-0005-0000-0000-00005CA30000}"/>
    <cellStyle name="Style 37" xfId="37896" xr:uid="{00000000-0005-0000-0000-00005DA30000}"/>
    <cellStyle name="Style 37 2" xfId="43867" xr:uid="{00000000-0005-0000-0000-00005EA30000}"/>
    <cellStyle name="Style 38" xfId="37897" xr:uid="{00000000-0005-0000-0000-00005FA30000}"/>
    <cellStyle name="Style 38 2" xfId="43868" xr:uid="{00000000-0005-0000-0000-000060A30000}"/>
    <cellStyle name="Style 39" xfId="37898" xr:uid="{00000000-0005-0000-0000-000061A30000}"/>
    <cellStyle name="Style 39 10" xfId="37899" xr:uid="{00000000-0005-0000-0000-000062A30000}"/>
    <cellStyle name="Style 39 10 2" xfId="43869" xr:uid="{00000000-0005-0000-0000-000063A30000}"/>
    <cellStyle name="Style 39 11" xfId="37900" xr:uid="{00000000-0005-0000-0000-000064A30000}"/>
    <cellStyle name="Style 39 11 2" xfId="43870" xr:uid="{00000000-0005-0000-0000-000065A30000}"/>
    <cellStyle name="Style 39 12" xfId="37901" xr:uid="{00000000-0005-0000-0000-000066A30000}"/>
    <cellStyle name="Style 39 12 2" xfId="43871" xr:uid="{00000000-0005-0000-0000-000067A30000}"/>
    <cellStyle name="Style 39 13" xfId="37902" xr:uid="{00000000-0005-0000-0000-000068A30000}"/>
    <cellStyle name="Style 39 13 2" xfId="43872" xr:uid="{00000000-0005-0000-0000-000069A30000}"/>
    <cellStyle name="Style 39 2" xfId="37903" xr:uid="{00000000-0005-0000-0000-00006AA30000}"/>
    <cellStyle name="Style 39 2 2" xfId="43873" xr:uid="{00000000-0005-0000-0000-00006BA30000}"/>
    <cellStyle name="Style 39 3" xfId="37904" xr:uid="{00000000-0005-0000-0000-00006CA30000}"/>
    <cellStyle name="Style 39 3 2" xfId="43874" xr:uid="{00000000-0005-0000-0000-00006DA30000}"/>
    <cellStyle name="Style 39 4" xfId="37905" xr:uid="{00000000-0005-0000-0000-00006EA30000}"/>
    <cellStyle name="Style 39 4 2" xfId="43875" xr:uid="{00000000-0005-0000-0000-00006FA30000}"/>
    <cellStyle name="Style 39 5" xfId="37906" xr:uid="{00000000-0005-0000-0000-000070A30000}"/>
    <cellStyle name="Style 39 5 2" xfId="43876" xr:uid="{00000000-0005-0000-0000-000071A30000}"/>
    <cellStyle name="Style 39 6" xfId="37907" xr:uid="{00000000-0005-0000-0000-000072A30000}"/>
    <cellStyle name="Style 39 6 2" xfId="43877" xr:uid="{00000000-0005-0000-0000-000073A30000}"/>
    <cellStyle name="Style 39 7" xfId="37908" xr:uid="{00000000-0005-0000-0000-000074A30000}"/>
    <cellStyle name="Style 39 7 2" xfId="43878" xr:uid="{00000000-0005-0000-0000-000075A30000}"/>
    <cellStyle name="Style 39 8" xfId="37909" xr:uid="{00000000-0005-0000-0000-000076A30000}"/>
    <cellStyle name="Style 39 8 2" xfId="43879" xr:uid="{00000000-0005-0000-0000-000077A30000}"/>
    <cellStyle name="Style 39 9" xfId="37910" xr:uid="{00000000-0005-0000-0000-000078A30000}"/>
    <cellStyle name="Style 39 9 2" xfId="43880" xr:uid="{00000000-0005-0000-0000-000079A30000}"/>
    <cellStyle name="Style 4" xfId="37911" xr:uid="{00000000-0005-0000-0000-00007AA30000}"/>
    <cellStyle name="Style 4 2" xfId="37912" xr:uid="{00000000-0005-0000-0000-00007BA30000}"/>
    <cellStyle name="Style 4 2 2" xfId="43882" xr:uid="{00000000-0005-0000-0000-00007CA30000}"/>
    <cellStyle name="Style 4 3" xfId="43881" xr:uid="{00000000-0005-0000-0000-00007DA30000}"/>
    <cellStyle name="Style 40" xfId="37913" xr:uid="{00000000-0005-0000-0000-00007EA30000}"/>
    <cellStyle name="Style 40 2" xfId="43883" xr:uid="{00000000-0005-0000-0000-00007FA30000}"/>
    <cellStyle name="Style 41" xfId="37914" xr:uid="{00000000-0005-0000-0000-000080A30000}"/>
    <cellStyle name="Style 41 2" xfId="43884" xr:uid="{00000000-0005-0000-0000-000081A30000}"/>
    <cellStyle name="Style 42" xfId="37915" xr:uid="{00000000-0005-0000-0000-000082A30000}"/>
    <cellStyle name="Style 42 2" xfId="43885" xr:uid="{00000000-0005-0000-0000-000083A30000}"/>
    <cellStyle name="Style 43" xfId="37916" xr:uid="{00000000-0005-0000-0000-000084A30000}"/>
    <cellStyle name="Style 43 2" xfId="43886" xr:uid="{00000000-0005-0000-0000-000085A30000}"/>
    <cellStyle name="Style 44" xfId="37917" xr:uid="{00000000-0005-0000-0000-000086A30000}"/>
    <cellStyle name="Style 44 2" xfId="43887" xr:uid="{00000000-0005-0000-0000-000087A30000}"/>
    <cellStyle name="Style 45" xfId="37918" xr:uid="{00000000-0005-0000-0000-000088A30000}"/>
    <cellStyle name="Style 45 2" xfId="43888" xr:uid="{00000000-0005-0000-0000-000089A30000}"/>
    <cellStyle name="Style 46" xfId="37919" xr:uid="{00000000-0005-0000-0000-00008AA30000}"/>
    <cellStyle name="Style 46 2" xfId="43889" xr:uid="{00000000-0005-0000-0000-00008BA30000}"/>
    <cellStyle name="Style 47" xfId="37920" xr:uid="{00000000-0005-0000-0000-00008CA30000}"/>
    <cellStyle name="Style 47 2" xfId="43890" xr:uid="{00000000-0005-0000-0000-00008DA30000}"/>
    <cellStyle name="Style 48" xfId="37921" xr:uid="{00000000-0005-0000-0000-00008EA30000}"/>
    <cellStyle name="Style 48 2" xfId="43891" xr:uid="{00000000-0005-0000-0000-00008FA30000}"/>
    <cellStyle name="Style 49" xfId="37922" xr:uid="{00000000-0005-0000-0000-000090A30000}"/>
    <cellStyle name="Style 49 2" xfId="43892" xr:uid="{00000000-0005-0000-0000-000091A30000}"/>
    <cellStyle name="Style 5" xfId="37923" xr:uid="{00000000-0005-0000-0000-000092A30000}"/>
    <cellStyle name="Style 5 2" xfId="43893" xr:uid="{00000000-0005-0000-0000-000093A30000}"/>
    <cellStyle name="Style 50" xfId="37924" xr:uid="{00000000-0005-0000-0000-000094A30000}"/>
    <cellStyle name="Style 50 2" xfId="43894" xr:uid="{00000000-0005-0000-0000-000095A30000}"/>
    <cellStyle name="Style 51" xfId="37925" xr:uid="{00000000-0005-0000-0000-000096A30000}"/>
    <cellStyle name="Style 51 2" xfId="43895" xr:uid="{00000000-0005-0000-0000-000097A30000}"/>
    <cellStyle name="Style 52" xfId="37926" xr:uid="{00000000-0005-0000-0000-000098A30000}"/>
    <cellStyle name="Style 52 2" xfId="43896" xr:uid="{00000000-0005-0000-0000-000099A30000}"/>
    <cellStyle name="Style 53" xfId="37927" xr:uid="{00000000-0005-0000-0000-00009AA30000}"/>
    <cellStyle name="Style 53 2" xfId="43897" xr:uid="{00000000-0005-0000-0000-00009BA30000}"/>
    <cellStyle name="Style 54" xfId="37928" xr:uid="{00000000-0005-0000-0000-00009CA30000}"/>
    <cellStyle name="Style 54 2" xfId="43898" xr:uid="{00000000-0005-0000-0000-00009DA30000}"/>
    <cellStyle name="Style 55" xfId="37929" xr:uid="{00000000-0005-0000-0000-00009EA30000}"/>
    <cellStyle name="Style 55 2" xfId="43899" xr:uid="{00000000-0005-0000-0000-00009FA30000}"/>
    <cellStyle name="Style 56" xfId="37930" xr:uid="{00000000-0005-0000-0000-0000A0A30000}"/>
    <cellStyle name="Style 56 2" xfId="43900" xr:uid="{00000000-0005-0000-0000-0000A1A30000}"/>
    <cellStyle name="Style 57" xfId="37931" xr:uid="{00000000-0005-0000-0000-0000A2A30000}"/>
    <cellStyle name="Style 57 2" xfId="43901" xr:uid="{00000000-0005-0000-0000-0000A3A30000}"/>
    <cellStyle name="Style 58" xfId="37932" xr:uid="{00000000-0005-0000-0000-0000A4A30000}"/>
    <cellStyle name="Style 58 2" xfId="43902" xr:uid="{00000000-0005-0000-0000-0000A5A30000}"/>
    <cellStyle name="Style 59" xfId="37933" xr:uid="{00000000-0005-0000-0000-0000A6A30000}"/>
    <cellStyle name="Style 59 2" xfId="43903" xr:uid="{00000000-0005-0000-0000-0000A7A30000}"/>
    <cellStyle name="Style 6" xfId="37934" xr:uid="{00000000-0005-0000-0000-0000A8A30000}"/>
    <cellStyle name="Style 6 2" xfId="37935" xr:uid="{00000000-0005-0000-0000-0000A9A30000}"/>
    <cellStyle name="Style 6 2 2" xfId="43905" xr:uid="{00000000-0005-0000-0000-0000AAA30000}"/>
    <cellStyle name="Style 6 3" xfId="43904" xr:uid="{00000000-0005-0000-0000-0000ABA30000}"/>
    <cellStyle name="Style 60" xfId="37936" xr:uid="{00000000-0005-0000-0000-0000ACA30000}"/>
    <cellStyle name="Style 60 2" xfId="43906" xr:uid="{00000000-0005-0000-0000-0000ADA30000}"/>
    <cellStyle name="Style 61" xfId="37937" xr:uid="{00000000-0005-0000-0000-0000AEA30000}"/>
    <cellStyle name="Style 61 2" xfId="43907" xr:uid="{00000000-0005-0000-0000-0000AFA30000}"/>
    <cellStyle name="Style 62" xfId="37938" xr:uid="{00000000-0005-0000-0000-0000B0A30000}"/>
    <cellStyle name="Style 62 2" xfId="43908" xr:uid="{00000000-0005-0000-0000-0000B1A30000}"/>
    <cellStyle name="Style 63" xfId="37939" xr:uid="{00000000-0005-0000-0000-0000B2A30000}"/>
    <cellStyle name="Style 63 2" xfId="43909" xr:uid="{00000000-0005-0000-0000-0000B3A30000}"/>
    <cellStyle name="Style 64" xfId="37940" xr:uid="{00000000-0005-0000-0000-0000B4A30000}"/>
    <cellStyle name="Style 64 2" xfId="43910" xr:uid="{00000000-0005-0000-0000-0000B5A30000}"/>
    <cellStyle name="Style 65" xfId="37941" xr:uid="{00000000-0005-0000-0000-0000B6A30000}"/>
    <cellStyle name="Style 65 2" xfId="43911" xr:uid="{00000000-0005-0000-0000-0000B7A30000}"/>
    <cellStyle name="Style 66" xfId="37942" xr:uid="{00000000-0005-0000-0000-0000B8A30000}"/>
    <cellStyle name="Style 66 2" xfId="43912" xr:uid="{00000000-0005-0000-0000-0000B9A30000}"/>
    <cellStyle name="Style 67" xfId="37943" xr:uid="{00000000-0005-0000-0000-0000BAA30000}"/>
    <cellStyle name="Style 67 2" xfId="43913" xr:uid="{00000000-0005-0000-0000-0000BBA30000}"/>
    <cellStyle name="Style 68" xfId="37944" xr:uid="{00000000-0005-0000-0000-0000BCA30000}"/>
    <cellStyle name="Style 68 2" xfId="43914" xr:uid="{00000000-0005-0000-0000-0000BDA30000}"/>
    <cellStyle name="Style 69" xfId="37945" xr:uid="{00000000-0005-0000-0000-0000BEA30000}"/>
    <cellStyle name="Style 69 2" xfId="43915" xr:uid="{00000000-0005-0000-0000-0000BFA30000}"/>
    <cellStyle name="Style 7" xfId="37946" xr:uid="{00000000-0005-0000-0000-0000C0A30000}"/>
    <cellStyle name="Style 7 2" xfId="43916" xr:uid="{00000000-0005-0000-0000-0000C1A30000}"/>
    <cellStyle name="Style 70" xfId="37947" xr:uid="{00000000-0005-0000-0000-0000C2A30000}"/>
    <cellStyle name="Style 70 2" xfId="43917" xr:uid="{00000000-0005-0000-0000-0000C3A30000}"/>
    <cellStyle name="Style 71" xfId="37948" xr:uid="{00000000-0005-0000-0000-0000C4A30000}"/>
    <cellStyle name="Style 71 2" xfId="43918" xr:uid="{00000000-0005-0000-0000-0000C5A30000}"/>
    <cellStyle name="Style 72" xfId="37949" xr:uid="{00000000-0005-0000-0000-0000C6A30000}"/>
    <cellStyle name="Style 72 2" xfId="43919" xr:uid="{00000000-0005-0000-0000-0000C7A30000}"/>
    <cellStyle name="Style 73" xfId="37950" xr:uid="{00000000-0005-0000-0000-0000C8A30000}"/>
    <cellStyle name="Style 73 2" xfId="43920" xr:uid="{00000000-0005-0000-0000-0000C9A30000}"/>
    <cellStyle name="Style 74" xfId="37951" xr:uid="{00000000-0005-0000-0000-0000CAA30000}"/>
    <cellStyle name="Style 74 2" xfId="43921" xr:uid="{00000000-0005-0000-0000-0000CBA30000}"/>
    <cellStyle name="Style 75" xfId="37952" xr:uid="{00000000-0005-0000-0000-0000CCA30000}"/>
    <cellStyle name="Style 75 2" xfId="43922" xr:uid="{00000000-0005-0000-0000-0000CDA30000}"/>
    <cellStyle name="Style 76" xfId="37953" xr:uid="{00000000-0005-0000-0000-0000CEA30000}"/>
    <cellStyle name="Style 76 2" xfId="43923" xr:uid="{00000000-0005-0000-0000-0000CFA30000}"/>
    <cellStyle name="Style 77" xfId="37954" xr:uid="{00000000-0005-0000-0000-0000D0A30000}"/>
    <cellStyle name="Style 77 2" xfId="43924" xr:uid="{00000000-0005-0000-0000-0000D1A30000}"/>
    <cellStyle name="Style 78" xfId="37955" xr:uid="{00000000-0005-0000-0000-0000D2A30000}"/>
    <cellStyle name="Style 78 2" xfId="43925" xr:uid="{00000000-0005-0000-0000-0000D3A30000}"/>
    <cellStyle name="Style 79" xfId="37956" xr:uid="{00000000-0005-0000-0000-0000D4A30000}"/>
    <cellStyle name="Style 79 2" xfId="43926" xr:uid="{00000000-0005-0000-0000-0000D5A30000}"/>
    <cellStyle name="Style 8" xfId="37957" xr:uid="{00000000-0005-0000-0000-0000D6A30000}"/>
    <cellStyle name="Style 8 2" xfId="43927" xr:uid="{00000000-0005-0000-0000-0000D7A30000}"/>
    <cellStyle name="Style 80" xfId="37958" xr:uid="{00000000-0005-0000-0000-0000D8A30000}"/>
    <cellStyle name="Style 80 2" xfId="43928" xr:uid="{00000000-0005-0000-0000-0000D9A30000}"/>
    <cellStyle name="Style 81" xfId="37959" xr:uid="{00000000-0005-0000-0000-0000DAA30000}"/>
    <cellStyle name="Style 81 2" xfId="43929" xr:uid="{00000000-0005-0000-0000-0000DBA30000}"/>
    <cellStyle name="Style 82" xfId="37960" xr:uid="{00000000-0005-0000-0000-0000DCA30000}"/>
    <cellStyle name="Style 82 2" xfId="43930" xr:uid="{00000000-0005-0000-0000-0000DDA30000}"/>
    <cellStyle name="Style 83" xfId="37961" xr:uid="{00000000-0005-0000-0000-0000DEA30000}"/>
    <cellStyle name="Style 83 2" xfId="43931" xr:uid="{00000000-0005-0000-0000-0000DFA30000}"/>
    <cellStyle name="Style 84" xfId="37962" xr:uid="{00000000-0005-0000-0000-0000E0A30000}"/>
    <cellStyle name="Style 84 2" xfId="43932" xr:uid="{00000000-0005-0000-0000-0000E1A30000}"/>
    <cellStyle name="Style 85" xfId="37963" xr:uid="{00000000-0005-0000-0000-0000E2A30000}"/>
    <cellStyle name="Style 85 2" xfId="43933" xr:uid="{00000000-0005-0000-0000-0000E3A30000}"/>
    <cellStyle name="Style 86" xfId="37964" xr:uid="{00000000-0005-0000-0000-0000E4A30000}"/>
    <cellStyle name="Style 86 2" xfId="43934" xr:uid="{00000000-0005-0000-0000-0000E5A30000}"/>
    <cellStyle name="Style 87" xfId="37965" xr:uid="{00000000-0005-0000-0000-0000E6A30000}"/>
    <cellStyle name="Style 87 2" xfId="43935" xr:uid="{00000000-0005-0000-0000-0000E7A30000}"/>
    <cellStyle name="Style 88" xfId="37966" xr:uid="{00000000-0005-0000-0000-0000E8A30000}"/>
    <cellStyle name="Style 88 2" xfId="43936" xr:uid="{00000000-0005-0000-0000-0000E9A30000}"/>
    <cellStyle name="Style 89" xfId="37967" xr:uid="{00000000-0005-0000-0000-0000EAA30000}"/>
    <cellStyle name="Style 89 2" xfId="43937" xr:uid="{00000000-0005-0000-0000-0000EBA30000}"/>
    <cellStyle name="Style 9" xfId="37968" xr:uid="{00000000-0005-0000-0000-0000ECA30000}"/>
    <cellStyle name="Style 9 2" xfId="43938" xr:uid="{00000000-0005-0000-0000-0000EDA30000}"/>
    <cellStyle name="Style 90" xfId="37969" xr:uid="{00000000-0005-0000-0000-0000EEA30000}"/>
    <cellStyle name="Style 90 2" xfId="43939" xr:uid="{00000000-0005-0000-0000-0000EFA30000}"/>
    <cellStyle name="Style 91" xfId="37970" xr:uid="{00000000-0005-0000-0000-0000F0A30000}"/>
    <cellStyle name="Style 91 2" xfId="43940" xr:uid="{00000000-0005-0000-0000-0000F1A30000}"/>
    <cellStyle name="Style 92" xfId="37971" xr:uid="{00000000-0005-0000-0000-0000F2A30000}"/>
    <cellStyle name="Style 92 2" xfId="43941" xr:uid="{00000000-0005-0000-0000-0000F3A30000}"/>
    <cellStyle name="Style 93" xfId="37972" xr:uid="{00000000-0005-0000-0000-0000F4A30000}"/>
    <cellStyle name="Style 93 2" xfId="43942" xr:uid="{00000000-0005-0000-0000-0000F5A30000}"/>
    <cellStyle name="Style 94" xfId="37973" xr:uid="{00000000-0005-0000-0000-0000F6A30000}"/>
    <cellStyle name="Style 94 2" xfId="43943" xr:uid="{00000000-0005-0000-0000-0000F7A30000}"/>
    <cellStyle name="Style 95" xfId="37974" xr:uid="{00000000-0005-0000-0000-0000F8A30000}"/>
    <cellStyle name="Style 95 2" xfId="43944" xr:uid="{00000000-0005-0000-0000-0000F9A30000}"/>
    <cellStyle name="Style 96" xfId="37975" xr:uid="{00000000-0005-0000-0000-0000FAA30000}"/>
    <cellStyle name="Style 96 2" xfId="43945" xr:uid="{00000000-0005-0000-0000-0000FBA30000}"/>
    <cellStyle name="Style 97" xfId="37976" xr:uid="{00000000-0005-0000-0000-0000FCA30000}"/>
    <cellStyle name="Style 97 2" xfId="43946" xr:uid="{00000000-0005-0000-0000-0000FDA30000}"/>
    <cellStyle name="Style 98" xfId="37977" xr:uid="{00000000-0005-0000-0000-0000FEA30000}"/>
    <cellStyle name="Style 98 2" xfId="43947" xr:uid="{00000000-0005-0000-0000-0000FFA30000}"/>
    <cellStyle name="Style 99" xfId="37978" xr:uid="{00000000-0005-0000-0000-000000A40000}"/>
    <cellStyle name="Style 99 2" xfId="43948" xr:uid="{00000000-0005-0000-0000-000001A40000}"/>
    <cellStyle name="STYLE1" xfId="37979" xr:uid="{00000000-0005-0000-0000-000002A40000}"/>
    <cellStyle name="STYLE2" xfId="37980" xr:uid="{00000000-0005-0000-0000-000003A40000}"/>
    <cellStyle name="Subtitle" xfId="7678" xr:uid="{00000000-0005-0000-0000-000004A40000}"/>
    <cellStyle name="Subtotal" xfId="7679" xr:uid="{00000000-0005-0000-0000-000005A40000}"/>
    <cellStyle name="Subtotal 2" xfId="37981" xr:uid="{00000000-0005-0000-0000-000006A40000}"/>
    <cellStyle name="Subtotal 2 2" xfId="43949" xr:uid="{00000000-0005-0000-0000-000007A40000}"/>
    <cellStyle name="Subtotal 3" xfId="37982" xr:uid="{00000000-0005-0000-0000-000008A40000}"/>
    <cellStyle name="Subtotal 3 2" xfId="43950" xr:uid="{00000000-0005-0000-0000-000009A40000}"/>
    <cellStyle name="Table Data" xfId="7680" xr:uid="{00000000-0005-0000-0000-00000AA40000}"/>
    <cellStyle name="Table Data 2" xfId="43951" xr:uid="{00000000-0005-0000-0000-00000BA40000}"/>
    <cellStyle name="Table Data 3" xfId="37983" xr:uid="{00000000-0005-0000-0000-00000CA40000}"/>
    <cellStyle name="Table Headings Bold" xfId="7681" xr:uid="{00000000-0005-0000-0000-00000DA40000}"/>
    <cellStyle name="Table Headings Bold 2" xfId="18294" xr:uid="{00000000-0005-0000-0000-00000EA40000}"/>
    <cellStyle name="Table Headings Bold 2 2" xfId="43952" xr:uid="{00000000-0005-0000-0000-00000FA40000}"/>
    <cellStyle name="Table Headings Bold 3" xfId="37984" xr:uid="{00000000-0005-0000-0000-000010A40000}"/>
    <cellStyle name="test a style" xfId="7682" xr:uid="{00000000-0005-0000-0000-000011A40000}"/>
    <cellStyle name="test a style 2" xfId="19246" xr:uid="{00000000-0005-0000-0000-000012A40000}"/>
    <cellStyle name="test a style 2 2" xfId="43953" xr:uid="{00000000-0005-0000-0000-000013A40000}"/>
    <cellStyle name="test a style 2 3" xfId="37985" xr:uid="{00000000-0005-0000-0000-000014A40000}"/>
    <cellStyle name="test a style 3" xfId="37986" xr:uid="{00000000-0005-0000-0000-000015A40000}"/>
    <cellStyle name="test a style 3 2" xfId="43954" xr:uid="{00000000-0005-0000-0000-000016A40000}"/>
    <cellStyle name="Times New Rom_CCRr," xfId="37987" xr:uid="{00000000-0005-0000-0000-000017A40000}"/>
    <cellStyle name="Times New Roman" xfId="37988" xr:uid="{00000000-0005-0000-0000-000018A40000}"/>
    <cellStyle name="Times New Roman 2" xfId="37989" xr:uid="{00000000-0005-0000-0000-000019A40000}"/>
    <cellStyle name="Times New Roman 2 2" xfId="43955" xr:uid="{00000000-0005-0000-0000-00001AA40000}"/>
    <cellStyle name="Times New Roman 3" xfId="37990" xr:uid="{00000000-0005-0000-0000-00001BA40000}"/>
    <cellStyle name="Times New Roman 3 2" xfId="43956" xr:uid="{00000000-0005-0000-0000-00001CA40000}"/>
    <cellStyle name="Times New RomLa" xfId="37991" xr:uid="{00000000-0005-0000-0000-00001DA40000}"/>
    <cellStyle name="Times New RomLa 2" xfId="43957" xr:uid="{00000000-0005-0000-0000-00001EA40000}"/>
    <cellStyle name="Title" xfId="44323" builtinId="15" customBuiltin="1"/>
    <cellStyle name="Title 10" xfId="37992" xr:uid="{00000000-0005-0000-0000-000020A40000}"/>
    <cellStyle name="Title 10 2" xfId="7683" xr:uid="{00000000-0005-0000-0000-000021A40000}"/>
    <cellStyle name="Title 10 3" xfId="7684" xr:uid="{00000000-0005-0000-0000-000022A40000}"/>
    <cellStyle name="Title 11 2" xfId="7685" xr:uid="{00000000-0005-0000-0000-000023A40000}"/>
    <cellStyle name="Title 11 3" xfId="7686" xr:uid="{00000000-0005-0000-0000-000024A40000}"/>
    <cellStyle name="Title 12 2" xfId="7687" xr:uid="{00000000-0005-0000-0000-000025A40000}"/>
    <cellStyle name="Title 12 3" xfId="7688" xr:uid="{00000000-0005-0000-0000-000026A40000}"/>
    <cellStyle name="Title 13 2" xfId="7689" xr:uid="{00000000-0005-0000-0000-000027A40000}"/>
    <cellStyle name="Title 13 3" xfId="7690" xr:uid="{00000000-0005-0000-0000-000028A40000}"/>
    <cellStyle name="Title 14 2" xfId="7691" xr:uid="{00000000-0005-0000-0000-000029A40000}"/>
    <cellStyle name="Title 14 3" xfId="7692" xr:uid="{00000000-0005-0000-0000-00002AA40000}"/>
    <cellStyle name="Title 15" xfId="7693" xr:uid="{00000000-0005-0000-0000-00002BA40000}"/>
    <cellStyle name="Title 15 2" xfId="7694" xr:uid="{00000000-0005-0000-0000-00002CA40000}"/>
    <cellStyle name="Title 15 3" xfId="7695" xr:uid="{00000000-0005-0000-0000-00002DA40000}"/>
    <cellStyle name="Title 15 4" xfId="7696" xr:uid="{00000000-0005-0000-0000-00002EA40000}"/>
    <cellStyle name="Title 15 5" xfId="7697" xr:uid="{00000000-0005-0000-0000-00002FA40000}"/>
    <cellStyle name="Title 15 6" xfId="7698" xr:uid="{00000000-0005-0000-0000-000030A40000}"/>
    <cellStyle name="Title 15 7" xfId="7699" xr:uid="{00000000-0005-0000-0000-000031A40000}"/>
    <cellStyle name="Title 16" xfId="7700" xr:uid="{00000000-0005-0000-0000-000032A40000}"/>
    <cellStyle name="Title 17" xfId="7701" xr:uid="{00000000-0005-0000-0000-000033A40000}"/>
    <cellStyle name="Title 18" xfId="7702" xr:uid="{00000000-0005-0000-0000-000034A40000}"/>
    <cellStyle name="Title 19" xfId="7703" xr:uid="{00000000-0005-0000-0000-000035A40000}"/>
    <cellStyle name="Title 2" xfId="7704" xr:uid="{00000000-0005-0000-0000-000036A40000}"/>
    <cellStyle name="Title 2 10" xfId="7705" xr:uid="{00000000-0005-0000-0000-000037A40000}"/>
    <cellStyle name="Title 2 11" xfId="7706" xr:uid="{00000000-0005-0000-0000-000038A40000}"/>
    <cellStyle name="Title 2 12" xfId="14517" xr:uid="{00000000-0005-0000-0000-000039A40000}"/>
    <cellStyle name="Title 2 2" xfId="7707" xr:uid="{00000000-0005-0000-0000-00003AA40000}"/>
    <cellStyle name="Title 2 2 2" xfId="37994" xr:uid="{00000000-0005-0000-0000-00003BA40000}"/>
    <cellStyle name="Title 2 2 2 2" xfId="43959" xr:uid="{00000000-0005-0000-0000-00003CA40000}"/>
    <cellStyle name="Title 2 2 3" xfId="37995" xr:uid="{00000000-0005-0000-0000-00003DA40000}"/>
    <cellStyle name="Title 2 2 4" xfId="43958" xr:uid="{00000000-0005-0000-0000-00003EA40000}"/>
    <cellStyle name="Title 2 2 5" xfId="37993" xr:uid="{00000000-0005-0000-0000-00003FA40000}"/>
    <cellStyle name="Title 2 3" xfId="7708" xr:uid="{00000000-0005-0000-0000-000040A40000}"/>
    <cellStyle name="Title 2 3 2" xfId="43960" xr:uid="{00000000-0005-0000-0000-000041A40000}"/>
    <cellStyle name="Title 2 3 3" xfId="37996" xr:uid="{00000000-0005-0000-0000-000042A40000}"/>
    <cellStyle name="Title 2 4" xfId="7709" xr:uid="{00000000-0005-0000-0000-000043A40000}"/>
    <cellStyle name="Title 2 4 2" xfId="43961" xr:uid="{00000000-0005-0000-0000-000044A40000}"/>
    <cellStyle name="Title 2 4 3" xfId="37997" xr:uid="{00000000-0005-0000-0000-000045A40000}"/>
    <cellStyle name="Title 2 5" xfId="7710" xr:uid="{00000000-0005-0000-0000-000046A40000}"/>
    <cellStyle name="Title 2 5 2" xfId="43962" xr:uid="{00000000-0005-0000-0000-000047A40000}"/>
    <cellStyle name="Title 2 5 3" xfId="37998" xr:uid="{00000000-0005-0000-0000-000048A40000}"/>
    <cellStyle name="Title 2 6" xfId="7711" xr:uid="{00000000-0005-0000-0000-000049A40000}"/>
    <cellStyle name="Title 2 6 2" xfId="43963" xr:uid="{00000000-0005-0000-0000-00004AA40000}"/>
    <cellStyle name="Title 2 6 3" xfId="37999" xr:uid="{00000000-0005-0000-0000-00004BA40000}"/>
    <cellStyle name="Title 2 7" xfId="7712" xr:uid="{00000000-0005-0000-0000-00004CA40000}"/>
    <cellStyle name="Title 2 7 2" xfId="43964" xr:uid="{00000000-0005-0000-0000-00004DA40000}"/>
    <cellStyle name="Title 2 7 3" xfId="38000" xr:uid="{00000000-0005-0000-0000-00004EA40000}"/>
    <cellStyle name="Title 2 8" xfId="7713" xr:uid="{00000000-0005-0000-0000-00004FA40000}"/>
    <cellStyle name="Title 2 8 2" xfId="38001" xr:uid="{00000000-0005-0000-0000-000050A40000}"/>
    <cellStyle name="Title 2 9" xfId="7714" xr:uid="{00000000-0005-0000-0000-000051A40000}"/>
    <cellStyle name="Title 20" xfId="7715" xr:uid="{00000000-0005-0000-0000-000052A40000}"/>
    <cellStyle name="Title 21" xfId="7716" xr:uid="{00000000-0005-0000-0000-000053A40000}"/>
    <cellStyle name="Title 22" xfId="7717" xr:uid="{00000000-0005-0000-0000-000054A40000}"/>
    <cellStyle name="Title 3" xfId="7718" xr:uid="{00000000-0005-0000-0000-000055A40000}"/>
    <cellStyle name="Title 3 2" xfId="7719" xr:uid="{00000000-0005-0000-0000-000056A40000}"/>
    <cellStyle name="Title 3 2 2" xfId="38004" xr:uid="{00000000-0005-0000-0000-000057A40000}"/>
    <cellStyle name="Title 3 2 2 2" xfId="43967" xr:uid="{00000000-0005-0000-0000-000058A40000}"/>
    <cellStyle name="Title 3 2 3" xfId="38005" xr:uid="{00000000-0005-0000-0000-000059A40000}"/>
    <cellStyle name="Title 3 2 4" xfId="43966" xr:uid="{00000000-0005-0000-0000-00005AA40000}"/>
    <cellStyle name="Title 3 2 5" xfId="38003" xr:uid="{00000000-0005-0000-0000-00005BA40000}"/>
    <cellStyle name="Title 3 3" xfId="7720" xr:uid="{00000000-0005-0000-0000-00005CA40000}"/>
    <cellStyle name="Title 3 3 2" xfId="43968" xr:uid="{00000000-0005-0000-0000-00005DA40000}"/>
    <cellStyle name="Title 3 3 3" xfId="38006" xr:uid="{00000000-0005-0000-0000-00005EA40000}"/>
    <cellStyle name="Title 3 4" xfId="38007" xr:uid="{00000000-0005-0000-0000-00005FA40000}"/>
    <cellStyle name="Title 3 4 2" xfId="43969" xr:uid="{00000000-0005-0000-0000-000060A40000}"/>
    <cellStyle name="Title 3 5" xfId="38008" xr:uid="{00000000-0005-0000-0000-000061A40000}"/>
    <cellStyle name="Title 3 5 2" xfId="43970" xr:uid="{00000000-0005-0000-0000-000062A40000}"/>
    <cellStyle name="Title 3 6" xfId="38009" xr:uid="{00000000-0005-0000-0000-000063A40000}"/>
    <cellStyle name="Title 3 7" xfId="43965" xr:uid="{00000000-0005-0000-0000-000064A40000}"/>
    <cellStyle name="Title 3 8" xfId="38002" xr:uid="{00000000-0005-0000-0000-000065A40000}"/>
    <cellStyle name="Title 4" xfId="7721" xr:uid="{00000000-0005-0000-0000-000066A40000}"/>
    <cellStyle name="Title 4 2" xfId="7722" xr:uid="{00000000-0005-0000-0000-000067A40000}"/>
    <cellStyle name="Title 4 2 2" xfId="38012" xr:uid="{00000000-0005-0000-0000-000068A40000}"/>
    <cellStyle name="Title 4 2 2 2" xfId="43973" xr:uid="{00000000-0005-0000-0000-000069A40000}"/>
    <cellStyle name="Title 4 2 3" xfId="43972" xr:uid="{00000000-0005-0000-0000-00006AA40000}"/>
    <cellStyle name="Title 4 2 4" xfId="38011" xr:uid="{00000000-0005-0000-0000-00006BA40000}"/>
    <cellStyle name="Title 4 3" xfId="7723" xr:uid="{00000000-0005-0000-0000-00006CA40000}"/>
    <cellStyle name="Title 4 3 2" xfId="43974" xr:uid="{00000000-0005-0000-0000-00006DA40000}"/>
    <cellStyle name="Title 4 3 3" xfId="38013" xr:uid="{00000000-0005-0000-0000-00006EA40000}"/>
    <cellStyle name="Title 4 4" xfId="38014" xr:uid="{00000000-0005-0000-0000-00006FA40000}"/>
    <cellStyle name="Title 4 4 2" xfId="43975" xr:uid="{00000000-0005-0000-0000-000070A40000}"/>
    <cellStyle name="Title 4 5" xfId="38015" xr:uid="{00000000-0005-0000-0000-000071A40000}"/>
    <cellStyle name="Title 4 6" xfId="43971" xr:uid="{00000000-0005-0000-0000-000072A40000}"/>
    <cellStyle name="Title 4 7" xfId="38010" xr:uid="{00000000-0005-0000-0000-000073A40000}"/>
    <cellStyle name="Title 5" xfId="7724" xr:uid="{00000000-0005-0000-0000-000074A40000}"/>
    <cellStyle name="Title 5 2" xfId="7725" xr:uid="{00000000-0005-0000-0000-000075A40000}"/>
    <cellStyle name="Title 5 2 2" xfId="43976" xr:uid="{00000000-0005-0000-0000-000076A40000}"/>
    <cellStyle name="Title 5 3" xfId="7726" xr:uid="{00000000-0005-0000-0000-000077A40000}"/>
    <cellStyle name="Title 5 4" xfId="38016" xr:uid="{00000000-0005-0000-0000-000078A40000}"/>
    <cellStyle name="Title 6" xfId="38017" xr:uid="{00000000-0005-0000-0000-000079A40000}"/>
    <cellStyle name="Title 6 2" xfId="7727" xr:uid="{00000000-0005-0000-0000-00007AA40000}"/>
    <cellStyle name="Title 6 2 2" xfId="43977" xr:uid="{00000000-0005-0000-0000-00007BA40000}"/>
    <cellStyle name="Title 6 3" xfId="7728" xr:uid="{00000000-0005-0000-0000-00007CA40000}"/>
    <cellStyle name="Title 7" xfId="38018" xr:uid="{00000000-0005-0000-0000-00007DA40000}"/>
    <cellStyle name="Title 7 2" xfId="7729" xr:uid="{00000000-0005-0000-0000-00007EA40000}"/>
    <cellStyle name="Title 7 2 2" xfId="43978" xr:uid="{00000000-0005-0000-0000-00007FA40000}"/>
    <cellStyle name="Title 7 3" xfId="7730" xr:uid="{00000000-0005-0000-0000-000080A40000}"/>
    <cellStyle name="Title 8" xfId="38019" xr:uid="{00000000-0005-0000-0000-000081A40000}"/>
    <cellStyle name="Title 8 2" xfId="7731" xr:uid="{00000000-0005-0000-0000-000082A40000}"/>
    <cellStyle name="Title 8 2 2" xfId="43979" xr:uid="{00000000-0005-0000-0000-000083A40000}"/>
    <cellStyle name="Title 8 3" xfId="7732" xr:uid="{00000000-0005-0000-0000-000084A40000}"/>
    <cellStyle name="Title 9" xfId="38020" xr:uid="{00000000-0005-0000-0000-000085A40000}"/>
    <cellStyle name="Title 9 2" xfId="7733" xr:uid="{00000000-0005-0000-0000-000086A40000}"/>
    <cellStyle name="Title 9 2 2" xfId="43980" xr:uid="{00000000-0005-0000-0000-000087A40000}"/>
    <cellStyle name="Title 9 3" xfId="7734" xr:uid="{00000000-0005-0000-0000-000088A40000}"/>
    <cellStyle name="Total" xfId="44338" builtinId="25" customBuiltin="1"/>
    <cellStyle name="Total 10" xfId="38021" xr:uid="{00000000-0005-0000-0000-00008AA40000}"/>
    <cellStyle name="Total 10 2" xfId="7735" xr:uid="{00000000-0005-0000-0000-00008BA40000}"/>
    <cellStyle name="Total 10 2 10" xfId="38022" xr:uid="{00000000-0005-0000-0000-00008CA40000}"/>
    <cellStyle name="Total 10 2 2" xfId="7736" xr:uid="{00000000-0005-0000-0000-00008DA40000}"/>
    <cellStyle name="Total 10 2 2 2" xfId="7737" xr:uid="{00000000-0005-0000-0000-00008EA40000}"/>
    <cellStyle name="Total 10 2 2 2 2" xfId="14518" xr:uid="{00000000-0005-0000-0000-00008FA40000}"/>
    <cellStyle name="Total 10 2 2 2 3" xfId="14519" xr:uid="{00000000-0005-0000-0000-000090A40000}"/>
    <cellStyle name="Total 10 2 2 2 4" xfId="14520" xr:uid="{00000000-0005-0000-0000-000091A40000}"/>
    <cellStyle name="Total 10 2 2 2 5" xfId="17389" xr:uid="{00000000-0005-0000-0000-000092A40000}"/>
    <cellStyle name="Total 10 2 2 2 6" xfId="17596" xr:uid="{00000000-0005-0000-0000-000093A40000}"/>
    <cellStyle name="Total 10 2 2 3" xfId="7738" xr:uid="{00000000-0005-0000-0000-000094A40000}"/>
    <cellStyle name="Total 10 2 2 3 2" xfId="14521" xr:uid="{00000000-0005-0000-0000-000095A40000}"/>
    <cellStyle name="Total 10 2 2 3 3" xfId="14522" xr:uid="{00000000-0005-0000-0000-000096A40000}"/>
    <cellStyle name="Total 10 2 2 3 4" xfId="14523" xr:uid="{00000000-0005-0000-0000-000097A40000}"/>
    <cellStyle name="Total 10 2 2 3 5" xfId="17390" xr:uid="{00000000-0005-0000-0000-000098A40000}"/>
    <cellStyle name="Total 10 2 2 3 6" xfId="18078" xr:uid="{00000000-0005-0000-0000-000099A40000}"/>
    <cellStyle name="Total 10 2 2 4" xfId="14524" xr:uid="{00000000-0005-0000-0000-00009AA40000}"/>
    <cellStyle name="Total 10 2 2 5" xfId="14525" xr:uid="{00000000-0005-0000-0000-00009BA40000}"/>
    <cellStyle name="Total 10 2 2 6" xfId="14526" xr:uid="{00000000-0005-0000-0000-00009CA40000}"/>
    <cellStyle name="Total 10 2 2 7" xfId="17388" xr:uid="{00000000-0005-0000-0000-00009DA40000}"/>
    <cellStyle name="Total 10 2 2 8" xfId="17994" xr:uid="{00000000-0005-0000-0000-00009EA40000}"/>
    <cellStyle name="Total 10 2 2 9" xfId="43982" xr:uid="{00000000-0005-0000-0000-00009FA40000}"/>
    <cellStyle name="Total 10 2 3" xfId="7739" xr:uid="{00000000-0005-0000-0000-0000A0A40000}"/>
    <cellStyle name="Total 10 2 3 2" xfId="14527" xr:uid="{00000000-0005-0000-0000-0000A1A40000}"/>
    <cellStyle name="Total 10 2 3 3" xfId="14528" xr:uid="{00000000-0005-0000-0000-0000A2A40000}"/>
    <cellStyle name="Total 10 2 3 4" xfId="14529" xr:uid="{00000000-0005-0000-0000-0000A3A40000}"/>
    <cellStyle name="Total 10 2 3 5" xfId="17391" xr:uid="{00000000-0005-0000-0000-0000A4A40000}"/>
    <cellStyle name="Total 10 2 3 6" xfId="18077" xr:uid="{00000000-0005-0000-0000-0000A5A40000}"/>
    <cellStyle name="Total 10 2 4" xfId="7740" xr:uid="{00000000-0005-0000-0000-0000A6A40000}"/>
    <cellStyle name="Total 10 2 4 2" xfId="14530" xr:uid="{00000000-0005-0000-0000-0000A7A40000}"/>
    <cellStyle name="Total 10 2 4 3" xfId="14531" xr:uid="{00000000-0005-0000-0000-0000A8A40000}"/>
    <cellStyle name="Total 10 2 4 4" xfId="14532" xr:uid="{00000000-0005-0000-0000-0000A9A40000}"/>
    <cellStyle name="Total 10 2 4 5" xfId="17392" xr:uid="{00000000-0005-0000-0000-0000AAA40000}"/>
    <cellStyle name="Total 10 2 4 6" xfId="18076" xr:uid="{00000000-0005-0000-0000-0000ABA40000}"/>
    <cellStyle name="Total 10 2 5" xfId="14533" xr:uid="{00000000-0005-0000-0000-0000ACA40000}"/>
    <cellStyle name="Total 10 2 6" xfId="14534" xr:uid="{00000000-0005-0000-0000-0000ADA40000}"/>
    <cellStyle name="Total 10 2 7" xfId="14535" xr:uid="{00000000-0005-0000-0000-0000AEA40000}"/>
    <cellStyle name="Total 10 2 8" xfId="16059" xr:uid="{00000000-0005-0000-0000-0000AFA40000}"/>
    <cellStyle name="Total 10 2 9" xfId="15659" xr:uid="{00000000-0005-0000-0000-0000B0A40000}"/>
    <cellStyle name="Total 10 3" xfId="7741" xr:uid="{00000000-0005-0000-0000-0000B1A40000}"/>
    <cellStyle name="Total 10 3 10" xfId="38023" xr:uid="{00000000-0005-0000-0000-0000B2A40000}"/>
    <cellStyle name="Total 10 3 2" xfId="7742" xr:uid="{00000000-0005-0000-0000-0000B3A40000}"/>
    <cellStyle name="Total 10 3 2 2" xfId="7743" xr:uid="{00000000-0005-0000-0000-0000B4A40000}"/>
    <cellStyle name="Total 10 3 2 2 2" xfId="14536" xr:uid="{00000000-0005-0000-0000-0000B5A40000}"/>
    <cellStyle name="Total 10 3 2 2 3" xfId="14537" xr:uid="{00000000-0005-0000-0000-0000B6A40000}"/>
    <cellStyle name="Total 10 3 2 2 4" xfId="14538" xr:uid="{00000000-0005-0000-0000-0000B7A40000}"/>
    <cellStyle name="Total 10 3 2 2 5" xfId="17394" xr:uid="{00000000-0005-0000-0000-0000B8A40000}"/>
    <cellStyle name="Total 10 3 2 2 6" xfId="18074" xr:uid="{00000000-0005-0000-0000-0000B9A40000}"/>
    <cellStyle name="Total 10 3 2 3" xfId="7744" xr:uid="{00000000-0005-0000-0000-0000BAA40000}"/>
    <cellStyle name="Total 10 3 2 3 2" xfId="14539" xr:uid="{00000000-0005-0000-0000-0000BBA40000}"/>
    <cellStyle name="Total 10 3 2 3 3" xfId="14540" xr:uid="{00000000-0005-0000-0000-0000BCA40000}"/>
    <cellStyle name="Total 10 3 2 3 4" xfId="14541" xr:uid="{00000000-0005-0000-0000-0000BDA40000}"/>
    <cellStyle name="Total 10 3 2 3 5" xfId="17395" xr:uid="{00000000-0005-0000-0000-0000BEA40000}"/>
    <cellStyle name="Total 10 3 2 3 6" xfId="18073" xr:uid="{00000000-0005-0000-0000-0000BFA40000}"/>
    <cellStyle name="Total 10 3 2 4" xfId="14542" xr:uid="{00000000-0005-0000-0000-0000C0A40000}"/>
    <cellStyle name="Total 10 3 2 5" xfId="14543" xr:uid="{00000000-0005-0000-0000-0000C1A40000}"/>
    <cellStyle name="Total 10 3 2 6" xfId="14544" xr:uid="{00000000-0005-0000-0000-0000C2A40000}"/>
    <cellStyle name="Total 10 3 2 7" xfId="17393" xr:uid="{00000000-0005-0000-0000-0000C3A40000}"/>
    <cellStyle name="Total 10 3 2 8" xfId="18075" xr:uid="{00000000-0005-0000-0000-0000C4A40000}"/>
    <cellStyle name="Total 10 3 2 9" xfId="43983" xr:uid="{00000000-0005-0000-0000-0000C5A40000}"/>
    <cellStyle name="Total 10 3 3" xfId="7745" xr:uid="{00000000-0005-0000-0000-0000C6A40000}"/>
    <cellStyle name="Total 10 3 3 2" xfId="14545" xr:uid="{00000000-0005-0000-0000-0000C7A40000}"/>
    <cellStyle name="Total 10 3 3 3" xfId="14546" xr:uid="{00000000-0005-0000-0000-0000C8A40000}"/>
    <cellStyle name="Total 10 3 3 4" xfId="14547" xr:uid="{00000000-0005-0000-0000-0000C9A40000}"/>
    <cellStyle name="Total 10 3 3 5" xfId="17396" xr:uid="{00000000-0005-0000-0000-0000CAA40000}"/>
    <cellStyle name="Total 10 3 3 6" xfId="18072" xr:uid="{00000000-0005-0000-0000-0000CBA40000}"/>
    <cellStyle name="Total 10 3 4" xfId="7746" xr:uid="{00000000-0005-0000-0000-0000CCA40000}"/>
    <cellStyle name="Total 10 3 4 2" xfId="14548" xr:uid="{00000000-0005-0000-0000-0000CDA40000}"/>
    <cellStyle name="Total 10 3 4 3" xfId="14549" xr:uid="{00000000-0005-0000-0000-0000CEA40000}"/>
    <cellStyle name="Total 10 3 4 4" xfId="14550" xr:uid="{00000000-0005-0000-0000-0000CFA40000}"/>
    <cellStyle name="Total 10 3 4 5" xfId="17397" xr:uid="{00000000-0005-0000-0000-0000D0A40000}"/>
    <cellStyle name="Total 10 3 4 6" xfId="18071" xr:uid="{00000000-0005-0000-0000-0000D1A40000}"/>
    <cellStyle name="Total 10 3 5" xfId="14551" xr:uid="{00000000-0005-0000-0000-0000D2A40000}"/>
    <cellStyle name="Total 10 3 6" xfId="14552" xr:uid="{00000000-0005-0000-0000-0000D3A40000}"/>
    <cellStyle name="Total 10 3 7" xfId="14553" xr:uid="{00000000-0005-0000-0000-0000D4A40000}"/>
    <cellStyle name="Total 10 3 8" xfId="16060" xr:uid="{00000000-0005-0000-0000-0000D5A40000}"/>
    <cellStyle name="Total 10 3 9" xfId="15658" xr:uid="{00000000-0005-0000-0000-0000D6A40000}"/>
    <cellStyle name="Total 10 4" xfId="38024" xr:uid="{00000000-0005-0000-0000-0000D7A40000}"/>
    <cellStyle name="Total 10 4 2" xfId="43984" xr:uid="{00000000-0005-0000-0000-0000D8A40000}"/>
    <cellStyle name="Total 10 5" xfId="38025" xr:uid="{00000000-0005-0000-0000-0000D9A40000}"/>
    <cellStyle name="Total 10 5 2" xfId="43985" xr:uid="{00000000-0005-0000-0000-0000DAA40000}"/>
    <cellStyle name="Total 10 6" xfId="43981" xr:uid="{00000000-0005-0000-0000-0000DBA40000}"/>
    <cellStyle name="Total 11" xfId="38026" xr:uid="{00000000-0005-0000-0000-0000DCA40000}"/>
    <cellStyle name="Total 11 2" xfId="7747" xr:uid="{00000000-0005-0000-0000-0000DDA40000}"/>
    <cellStyle name="Total 11 2 10" xfId="38027" xr:uid="{00000000-0005-0000-0000-0000DEA40000}"/>
    <cellStyle name="Total 11 2 2" xfId="7748" xr:uid="{00000000-0005-0000-0000-0000DFA40000}"/>
    <cellStyle name="Total 11 2 2 2" xfId="7749" xr:uid="{00000000-0005-0000-0000-0000E0A40000}"/>
    <cellStyle name="Total 11 2 2 2 2" xfId="14554" xr:uid="{00000000-0005-0000-0000-0000E1A40000}"/>
    <cellStyle name="Total 11 2 2 2 3" xfId="14555" xr:uid="{00000000-0005-0000-0000-0000E2A40000}"/>
    <cellStyle name="Total 11 2 2 2 4" xfId="14556" xr:uid="{00000000-0005-0000-0000-0000E3A40000}"/>
    <cellStyle name="Total 11 2 2 2 5" xfId="17399" xr:uid="{00000000-0005-0000-0000-0000E4A40000}"/>
    <cellStyle name="Total 11 2 2 2 6" xfId="18069" xr:uid="{00000000-0005-0000-0000-0000E5A40000}"/>
    <cellStyle name="Total 11 2 2 3" xfId="7750" xr:uid="{00000000-0005-0000-0000-0000E6A40000}"/>
    <cellStyle name="Total 11 2 2 3 2" xfId="14557" xr:uid="{00000000-0005-0000-0000-0000E7A40000}"/>
    <cellStyle name="Total 11 2 2 3 3" xfId="14558" xr:uid="{00000000-0005-0000-0000-0000E8A40000}"/>
    <cellStyle name="Total 11 2 2 3 4" xfId="14559" xr:uid="{00000000-0005-0000-0000-0000E9A40000}"/>
    <cellStyle name="Total 11 2 2 3 5" xfId="17400" xr:uid="{00000000-0005-0000-0000-0000EAA40000}"/>
    <cellStyle name="Total 11 2 2 3 6" xfId="16585" xr:uid="{00000000-0005-0000-0000-0000EBA40000}"/>
    <cellStyle name="Total 11 2 2 4" xfId="14560" xr:uid="{00000000-0005-0000-0000-0000ECA40000}"/>
    <cellStyle name="Total 11 2 2 5" xfId="14561" xr:uid="{00000000-0005-0000-0000-0000EDA40000}"/>
    <cellStyle name="Total 11 2 2 6" xfId="14562" xr:uid="{00000000-0005-0000-0000-0000EEA40000}"/>
    <cellStyle name="Total 11 2 2 7" xfId="17398" xr:uid="{00000000-0005-0000-0000-0000EFA40000}"/>
    <cellStyle name="Total 11 2 2 8" xfId="18070" xr:uid="{00000000-0005-0000-0000-0000F0A40000}"/>
    <cellStyle name="Total 11 2 2 9" xfId="43987" xr:uid="{00000000-0005-0000-0000-0000F1A40000}"/>
    <cellStyle name="Total 11 2 3" xfId="7751" xr:uid="{00000000-0005-0000-0000-0000F2A40000}"/>
    <cellStyle name="Total 11 2 3 2" xfId="14563" xr:uid="{00000000-0005-0000-0000-0000F3A40000}"/>
    <cellStyle name="Total 11 2 3 3" xfId="14564" xr:uid="{00000000-0005-0000-0000-0000F4A40000}"/>
    <cellStyle name="Total 11 2 3 4" xfId="14565" xr:uid="{00000000-0005-0000-0000-0000F5A40000}"/>
    <cellStyle name="Total 11 2 3 5" xfId="17401" xr:uid="{00000000-0005-0000-0000-0000F6A40000}"/>
    <cellStyle name="Total 11 2 3 6" xfId="18790" xr:uid="{00000000-0005-0000-0000-0000F7A40000}"/>
    <cellStyle name="Total 11 2 4" xfId="7752" xr:uid="{00000000-0005-0000-0000-0000F8A40000}"/>
    <cellStyle name="Total 11 2 4 2" xfId="14566" xr:uid="{00000000-0005-0000-0000-0000F9A40000}"/>
    <cellStyle name="Total 11 2 4 3" xfId="14567" xr:uid="{00000000-0005-0000-0000-0000FAA40000}"/>
    <cellStyle name="Total 11 2 4 4" xfId="14568" xr:uid="{00000000-0005-0000-0000-0000FBA40000}"/>
    <cellStyle name="Total 11 2 4 5" xfId="17402" xr:uid="{00000000-0005-0000-0000-0000FCA40000}"/>
    <cellStyle name="Total 11 2 4 6" xfId="18263" xr:uid="{00000000-0005-0000-0000-0000FDA40000}"/>
    <cellStyle name="Total 11 2 5" xfId="14569" xr:uid="{00000000-0005-0000-0000-0000FEA40000}"/>
    <cellStyle name="Total 11 2 6" xfId="14570" xr:uid="{00000000-0005-0000-0000-0000FFA40000}"/>
    <cellStyle name="Total 11 2 7" xfId="14571" xr:uid="{00000000-0005-0000-0000-000000A50000}"/>
    <cellStyle name="Total 11 2 8" xfId="16061" xr:uid="{00000000-0005-0000-0000-000001A50000}"/>
    <cellStyle name="Total 11 2 9" xfId="15657" xr:uid="{00000000-0005-0000-0000-000002A50000}"/>
    <cellStyle name="Total 11 3" xfId="7753" xr:uid="{00000000-0005-0000-0000-000003A50000}"/>
    <cellStyle name="Total 11 3 10" xfId="38028" xr:uid="{00000000-0005-0000-0000-000004A50000}"/>
    <cellStyle name="Total 11 3 2" xfId="7754" xr:uid="{00000000-0005-0000-0000-000005A50000}"/>
    <cellStyle name="Total 11 3 2 2" xfId="7755" xr:uid="{00000000-0005-0000-0000-000006A50000}"/>
    <cellStyle name="Total 11 3 2 2 2" xfId="14572" xr:uid="{00000000-0005-0000-0000-000007A50000}"/>
    <cellStyle name="Total 11 3 2 2 3" xfId="14573" xr:uid="{00000000-0005-0000-0000-000008A50000}"/>
    <cellStyle name="Total 11 3 2 2 4" xfId="14574" xr:uid="{00000000-0005-0000-0000-000009A50000}"/>
    <cellStyle name="Total 11 3 2 2 5" xfId="17404" xr:uid="{00000000-0005-0000-0000-00000AA50000}"/>
    <cellStyle name="Total 11 3 2 2 6" xfId="17995" xr:uid="{00000000-0005-0000-0000-00000BA50000}"/>
    <cellStyle name="Total 11 3 2 3" xfId="7756" xr:uid="{00000000-0005-0000-0000-00000CA50000}"/>
    <cellStyle name="Total 11 3 2 3 2" xfId="14575" xr:uid="{00000000-0005-0000-0000-00000DA50000}"/>
    <cellStyle name="Total 11 3 2 3 3" xfId="14576" xr:uid="{00000000-0005-0000-0000-00000EA50000}"/>
    <cellStyle name="Total 11 3 2 3 4" xfId="14577" xr:uid="{00000000-0005-0000-0000-00000FA50000}"/>
    <cellStyle name="Total 11 3 2 3 5" xfId="17405" xr:uid="{00000000-0005-0000-0000-000010A50000}"/>
    <cellStyle name="Total 11 3 2 3 6" xfId="18043" xr:uid="{00000000-0005-0000-0000-000011A50000}"/>
    <cellStyle name="Total 11 3 2 4" xfId="14578" xr:uid="{00000000-0005-0000-0000-000012A50000}"/>
    <cellStyle name="Total 11 3 2 5" xfId="14579" xr:uid="{00000000-0005-0000-0000-000013A50000}"/>
    <cellStyle name="Total 11 3 2 6" xfId="14580" xr:uid="{00000000-0005-0000-0000-000014A50000}"/>
    <cellStyle name="Total 11 3 2 7" xfId="17403" xr:uid="{00000000-0005-0000-0000-000015A50000}"/>
    <cellStyle name="Total 11 3 2 8" xfId="18359" xr:uid="{00000000-0005-0000-0000-000016A50000}"/>
    <cellStyle name="Total 11 3 2 9" xfId="43988" xr:uid="{00000000-0005-0000-0000-000017A50000}"/>
    <cellStyle name="Total 11 3 3" xfId="7757" xr:uid="{00000000-0005-0000-0000-000018A50000}"/>
    <cellStyle name="Total 11 3 3 2" xfId="14581" xr:uid="{00000000-0005-0000-0000-000019A50000}"/>
    <cellStyle name="Total 11 3 3 3" xfId="14582" xr:uid="{00000000-0005-0000-0000-00001AA50000}"/>
    <cellStyle name="Total 11 3 3 4" xfId="14583" xr:uid="{00000000-0005-0000-0000-00001BA50000}"/>
    <cellStyle name="Total 11 3 3 5" xfId="17406" xr:uid="{00000000-0005-0000-0000-00001CA50000}"/>
    <cellStyle name="Total 11 3 3 6" xfId="17602" xr:uid="{00000000-0005-0000-0000-00001DA50000}"/>
    <cellStyle name="Total 11 3 4" xfId="7758" xr:uid="{00000000-0005-0000-0000-00001EA50000}"/>
    <cellStyle name="Total 11 3 4 2" xfId="14584" xr:uid="{00000000-0005-0000-0000-00001FA50000}"/>
    <cellStyle name="Total 11 3 4 3" xfId="14585" xr:uid="{00000000-0005-0000-0000-000020A50000}"/>
    <cellStyle name="Total 11 3 4 4" xfId="14586" xr:uid="{00000000-0005-0000-0000-000021A50000}"/>
    <cellStyle name="Total 11 3 4 5" xfId="17407" xr:uid="{00000000-0005-0000-0000-000022A50000}"/>
    <cellStyle name="Total 11 3 4 6" xfId="16584" xr:uid="{00000000-0005-0000-0000-000023A50000}"/>
    <cellStyle name="Total 11 3 5" xfId="14587" xr:uid="{00000000-0005-0000-0000-000024A50000}"/>
    <cellStyle name="Total 11 3 6" xfId="14588" xr:uid="{00000000-0005-0000-0000-000025A50000}"/>
    <cellStyle name="Total 11 3 7" xfId="14589" xr:uid="{00000000-0005-0000-0000-000026A50000}"/>
    <cellStyle name="Total 11 3 8" xfId="16062" xr:uid="{00000000-0005-0000-0000-000027A50000}"/>
    <cellStyle name="Total 11 3 9" xfId="15656" xr:uid="{00000000-0005-0000-0000-000028A50000}"/>
    <cellStyle name="Total 11 4" xfId="38029" xr:uid="{00000000-0005-0000-0000-000029A50000}"/>
    <cellStyle name="Total 11 4 2" xfId="43989" xr:uid="{00000000-0005-0000-0000-00002AA50000}"/>
    <cellStyle name="Total 11 5" xfId="38030" xr:uid="{00000000-0005-0000-0000-00002BA50000}"/>
    <cellStyle name="Total 11 5 2" xfId="43990" xr:uid="{00000000-0005-0000-0000-00002CA50000}"/>
    <cellStyle name="Total 11 6" xfId="43986" xr:uid="{00000000-0005-0000-0000-00002DA50000}"/>
    <cellStyle name="Total 12" xfId="38031" xr:uid="{00000000-0005-0000-0000-00002EA50000}"/>
    <cellStyle name="Total 12 2" xfId="7759" xr:uid="{00000000-0005-0000-0000-00002FA50000}"/>
    <cellStyle name="Total 12 2 10" xfId="38032" xr:uid="{00000000-0005-0000-0000-000030A50000}"/>
    <cellStyle name="Total 12 2 2" xfId="7760" xr:uid="{00000000-0005-0000-0000-000031A50000}"/>
    <cellStyle name="Total 12 2 2 2" xfId="7761" xr:uid="{00000000-0005-0000-0000-000032A50000}"/>
    <cellStyle name="Total 12 2 2 2 2" xfId="14590" xr:uid="{00000000-0005-0000-0000-000033A50000}"/>
    <cellStyle name="Total 12 2 2 2 3" xfId="14591" xr:uid="{00000000-0005-0000-0000-000034A50000}"/>
    <cellStyle name="Total 12 2 2 2 4" xfId="14592" xr:uid="{00000000-0005-0000-0000-000035A50000}"/>
    <cellStyle name="Total 12 2 2 2 5" xfId="17409" xr:uid="{00000000-0005-0000-0000-000036A50000}"/>
    <cellStyle name="Total 12 2 2 2 6" xfId="15284" xr:uid="{00000000-0005-0000-0000-000037A50000}"/>
    <cellStyle name="Total 12 2 2 3" xfId="7762" xr:uid="{00000000-0005-0000-0000-000038A50000}"/>
    <cellStyle name="Total 12 2 2 3 2" xfId="14593" xr:uid="{00000000-0005-0000-0000-000039A50000}"/>
    <cellStyle name="Total 12 2 2 3 3" xfId="14594" xr:uid="{00000000-0005-0000-0000-00003AA50000}"/>
    <cellStyle name="Total 12 2 2 3 4" xfId="14595" xr:uid="{00000000-0005-0000-0000-00003BA50000}"/>
    <cellStyle name="Total 12 2 2 3 5" xfId="17410" xr:uid="{00000000-0005-0000-0000-00003CA50000}"/>
    <cellStyle name="Total 12 2 2 3 6" xfId="19052" xr:uid="{00000000-0005-0000-0000-00003DA50000}"/>
    <cellStyle name="Total 12 2 2 4" xfId="14596" xr:uid="{00000000-0005-0000-0000-00003EA50000}"/>
    <cellStyle name="Total 12 2 2 5" xfId="14597" xr:uid="{00000000-0005-0000-0000-00003FA50000}"/>
    <cellStyle name="Total 12 2 2 6" xfId="14598" xr:uid="{00000000-0005-0000-0000-000040A50000}"/>
    <cellStyle name="Total 12 2 2 7" xfId="17408" xr:uid="{00000000-0005-0000-0000-000041A50000}"/>
    <cellStyle name="Total 12 2 2 8" xfId="16583" xr:uid="{00000000-0005-0000-0000-000042A50000}"/>
    <cellStyle name="Total 12 2 2 9" xfId="43992" xr:uid="{00000000-0005-0000-0000-000043A50000}"/>
    <cellStyle name="Total 12 2 3" xfId="7763" xr:uid="{00000000-0005-0000-0000-000044A50000}"/>
    <cellStyle name="Total 12 2 3 2" xfId="14599" xr:uid="{00000000-0005-0000-0000-000045A50000}"/>
    <cellStyle name="Total 12 2 3 3" xfId="14600" xr:uid="{00000000-0005-0000-0000-000046A50000}"/>
    <cellStyle name="Total 12 2 3 4" xfId="14601" xr:uid="{00000000-0005-0000-0000-000047A50000}"/>
    <cellStyle name="Total 12 2 3 5" xfId="17411" xr:uid="{00000000-0005-0000-0000-000048A50000}"/>
    <cellStyle name="Total 12 2 3 6" xfId="19053" xr:uid="{00000000-0005-0000-0000-000049A50000}"/>
    <cellStyle name="Total 12 2 4" xfId="7764" xr:uid="{00000000-0005-0000-0000-00004AA50000}"/>
    <cellStyle name="Total 12 2 4 2" xfId="14602" xr:uid="{00000000-0005-0000-0000-00004BA50000}"/>
    <cellStyle name="Total 12 2 4 3" xfId="14603" xr:uid="{00000000-0005-0000-0000-00004CA50000}"/>
    <cellStyle name="Total 12 2 4 4" xfId="14604" xr:uid="{00000000-0005-0000-0000-00004DA50000}"/>
    <cellStyle name="Total 12 2 4 5" xfId="17412" xr:uid="{00000000-0005-0000-0000-00004EA50000}"/>
    <cellStyle name="Total 12 2 4 6" xfId="19054" xr:uid="{00000000-0005-0000-0000-00004FA50000}"/>
    <cellStyle name="Total 12 2 5" xfId="14605" xr:uid="{00000000-0005-0000-0000-000050A50000}"/>
    <cellStyle name="Total 12 2 6" xfId="14606" xr:uid="{00000000-0005-0000-0000-000051A50000}"/>
    <cellStyle name="Total 12 2 7" xfId="14607" xr:uid="{00000000-0005-0000-0000-000052A50000}"/>
    <cellStyle name="Total 12 2 8" xfId="16063" xr:uid="{00000000-0005-0000-0000-000053A50000}"/>
    <cellStyle name="Total 12 2 9" xfId="16588" xr:uid="{00000000-0005-0000-0000-000054A50000}"/>
    <cellStyle name="Total 12 3" xfId="7765" xr:uid="{00000000-0005-0000-0000-000055A50000}"/>
    <cellStyle name="Total 12 3 10" xfId="38033" xr:uid="{00000000-0005-0000-0000-000056A50000}"/>
    <cellStyle name="Total 12 3 2" xfId="7766" xr:uid="{00000000-0005-0000-0000-000057A50000}"/>
    <cellStyle name="Total 12 3 2 2" xfId="7767" xr:uid="{00000000-0005-0000-0000-000058A50000}"/>
    <cellStyle name="Total 12 3 2 2 2" xfId="14608" xr:uid="{00000000-0005-0000-0000-000059A50000}"/>
    <cellStyle name="Total 12 3 2 2 3" xfId="14609" xr:uid="{00000000-0005-0000-0000-00005AA50000}"/>
    <cellStyle name="Total 12 3 2 2 4" xfId="14610" xr:uid="{00000000-0005-0000-0000-00005BA50000}"/>
    <cellStyle name="Total 12 3 2 2 5" xfId="17414" xr:uid="{00000000-0005-0000-0000-00005CA50000}"/>
    <cellStyle name="Total 12 3 2 2 6" xfId="19056" xr:uid="{00000000-0005-0000-0000-00005DA50000}"/>
    <cellStyle name="Total 12 3 2 3" xfId="7768" xr:uid="{00000000-0005-0000-0000-00005EA50000}"/>
    <cellStyle name="Total 12 3 2 3 2" xfId="14611" xr:uid="{00000000-0005-0000-0000-00005FA50000}"/>
    <cellStyle name="Total 12 3 2 3 3" xfId="14612" xr:uid="{00000000-0005-0000-0000-000060A50000}"/>
    <cellStyle name="Total 12 3 2 3 4" xfId="14613" xr:uid="{00000000-0005-0000-0000-000061A50000}"/>
    <cellStyle name="Total 12 3 2 3 5" xfId="17415" xr:uid="{00000000-0005-0000-0000-000062A50000}"/>
    <cellStyle name="Total 12 3 2 3 6" xfId="19057" xr:uid="{00000000-0005-0000-0000-000063A50000}"/>
    <cellStyle name="Total 12 3 2 4" xfId="14614" xr:uid="{00000000-0005-0000-0000-000064A50000}"/>
    <cellStyle name="Total 12 3 2 5" xfId="14615" xr:uid="{00000000-0005-0000-0000-000065A50000}"/>
    <cellStyle name="Total 12 3 2 6" xfId="14616" xr:uid="{00000000-0005-0000-0000-000066A50000}"/>
    <cellStyle name="Total 12 3 2 7" xfId="17413" xr:uid="{00000000-0005-0000-0000-000067A50000}"/>
    <cellStyle name="Total 12 3 2 8" xfId="19055" xr:uid="{00000000-0005-0000-0000-000068A50000}"/>
    <cellStyle name="Total 12 3 2 9" xfId="43993" xr:uid="{00000000-0005-0000-0000-000069A50000}"/>
    <cellStyle name="Total 12 3 3" xfId="7769" xr:uid="{00000000-0005-0000-0000-00006AA50000}"/>
    <cellStyle name="Total 12 3 3 2" xfId="14617" xr:uid="{00000000-0005-0000-0000-00006BA50000}"/>
    <cellStyle name="Total 12 3 3 3" xfId="14618" xr:uid="{00000000-0005-0000-0000-00006CA50000}"/>
    <cellStyle name="Total 12 3 3 4" xfId="14619" xr:uid="{00000000-0005-0000-0000-00006DA50000}"/>
    <cellStyle name="Total 12 3 3 5" xfId="17416" xr:uid="{00000000-0005-0000-0000-00006EA50000}"/>
    <cellStyle name="Total 12 3 3 6" xfId="19058" xr:uid="{00000000-0005-0000-0000-00006FA50000}"/>
    <cellStyle name="Total 12 3 4" xfId="7770" xr:uid="{00000000-0005-0000-0000-000070A50000}"/>
    <cellStyle name="Total 12 3 4 2" xfId="14620" xr:uid="{00000000-0005-0000-0000-000071A50000}"/>
    <cellStyle name="Total 12 3 4 3" xfId="14621" xr:uid="{00000000-0005-0000-0000-000072A50000}"/>
    <cellStyle name="Total 12 3 4 4" xfId="14622" xr:uid="{00000000-0005-0000-0000-000073A50000}"/>
    <cellStyle name="Total 12 3 4 5" xfId="17417" xr:uid="{00000000-0005-0000-0000-000074A50000}"/>
    <cellStyle name="Total 12 3 4 6" xfId="19059" xr:uid="{00000000-0005-0000-0000-000075A50000}"/>
    <cellStyle name="Total 12 3 5" xfId="14623" xr:uid="{00000000-0005-0000-0000-000076A50000}"/>
    <cellStyle name="Total 12 3 6" xfId="14624" xr:uid="{00000000-0005-0000-0000-000077A50000}"/>
    <cellStyle name="Total 12 3 7" xfId="14625" xr:uid="{00000000-0005-0000-0000-000078A50000}"/>
    <cellStyle name="Total 12 3 8" xfId="16064" xr:uid="{00000000-0005-0000-0000-000079A50000}"/>
    <cellStyle name="Total 12 3 9" xfId="15655" xr:uid="{00000000-0005-0000-0000-00007AA50000}"/>
    <cellStyle name="Total 12 4" xfId="38034" xr:uid="{00000000-0005-0000-0000-00007BA50000}"/>
    <cellStyle name="Total 12 4 2" xfId="43994" xr:uid="{00000000-0005-0000-0000-00007CA50000}"/>
    <cellStyle name="Total 12 5" xfId="38035" xr:uid="{00000000-0005-0000-0000-00007DA50000}"/>
    <cellStyle name="Total 12 5 2" xfId="43995" xr:uid="{00000000-0005-0000-0000-00007EA50000}"/>
    <cellStyle name="Total 12 6" xfId="43991" xr:uid="{00000000-0005-0000-0000-00007FA50000}"/>
    <cellStyle name="Total 13" xfId="38036" xr:uid="{00000000-0005-0000-0000-000080A50000}"/>
    <cellStyle name="Total 13 2" xfId="7771" xr:uid="{00000000-0005-0000-0000-000081A50000}"/>
    <cellStyle name="Total 13 2 10" xfId="38037" xr:uid="{00000000-0005-0000-0000-000082A50000}"/>
    <cellStyle name="Total 13 2 2" xfId="7772" xr:uid="{00000000-0005-0000-0000-000083A50000}"/>
    <cellStyle name="Total 13 2 2 2" xfId="7773" xr:uid="{00000000-0005-0000-0000-000084A50000}"/>
    <cellStyle name="Total 13 2 2 2 2" xfId="14626" xr:uid="{00000000-0005-0000-0000-000085A50000}"/>
    <cellStyle name="Total 13 2 2 2 3" xfId="14627" xr:uid="{00000000-0005-0000-0000-000086A50000}"/>
    <cellStyle name="Total 13 2 2 2 4" xfId="14628" xr:uid="{00000000-0005-0000-0000-000087A50000}"/>
    <cellStyle name="Total 13 2 2 2 5" xfId="17419" xr:uid="{00000000-0005-0000-0000-000088A50000}"/>
    <cellStyle name="Total 13 2 2 2 6" xfId="19061" xr:uid="{00000000-0005-0000-0000-000089A50000}"/>
    <cellStyle name="Total 13 2 2 3" xfId="7774" xr:uid="{00000000-0005-0000-0000-00008AA50000}"/>
    <cellStyle name="Total 13 2 2 3 2" xfId="14629" xr:uid="{00000000-0005-0000-0000-00008BA50000}"/>
    <cellStyle name="Total 13 2 2 3 3" xfId="14630" xr:uid="{00000000-0005-0000-0000-00008CA50000}"/>
    <cellStyle name="Total 13 2 2 3 4" xfId="14631" xr:uid="{00000000-0005-0000-0000-00008DA50000}"/>
    <cellStyle name="Total 13 2 2 3 5" xfId="17420" xr:uid="{00000000-0005-0000-0000-00008EA50000}"/>
    <cellStyle name="Total 13 2 2 3 6" xfId="19062" xr:uid="{00000000-0005-0000-0000-00008FA50000}"/>
    <cellStyle name="Total 13 2 2 4" xfId="14632" xr:uid="{00000000-0005-0000-0000-000090A50000}"/>
    <cellStyle name="Total 13 2 2 5" xfId="14633" xr:uid="{00000000-0005-0000-0000-000091A50000}"/>
    <cellStyle name="Total 13 2 2 6" xfId="14634" xr:uid="{00000000-0005-0000-0000-000092A50000}"/>
    <cellStyle name="Total 13 2 2 7" xfId="17418" xr:uid="{00000000-0005-0000-0000-000093A50000}"/>
    <cellStyle name="Total 13 2 2 8" xfId="19060" xr:uid="{00000000-0005-0000-0000-000094A50000}"/>
    <cellStyle name="Total 13 2 2 9" xfId="43997" xr:uid="{00000000-0005-0000-0000-000095A50000}"/>
    <cellStyle name="Total 13 2 3" xfId="7775" xr:uid="{00000000-0005-0000-0000-000096A50000}"/>
    <cellStyle name="Total 13 2 3 2" xfId="14635" xr:uid="{00000000-0005-0000-0000-000097A50000}"/>
    <cellStyle name="Total 13 2 3 3" xfId="14636" xr:uid="{00000000-0005-0000-0000-000098A50000}"/>
    <cellStyle name="Total 13 2 3 4" xfId="14637" xr:uid="{00000000-0005-0000-0000-000099A50000}"/>
    <cellStyle name="Total 13 2 3 5" xfId="17421" xr:uid="{00000000-0005-0000-0000-00009AA50000}"/>
    <cellStyle name="Total 13 2 3 6" xfId="19063" xr:uid="{00000000-0005-0000-0000-00009BA50000}"/>
    <cellStyle name="Total 13 2 4" xfId="7776" xr:uid="{00000000-0005-0000-0000-00009CA50000}"/>
    <cellStyle name="Total 13 2 4 2" xfId="14638" xr:uid="{00000000-0005-0000-0000-00009DA50000}"/>
    <cellStyle name="Total 13 2 4 3" xfId="14639" xr:uid="{00000000-0005-0000-0000-00009EA50000}"/>
    <cellStyle name="Total 13 2 4 4" xfId="14640" xr:uid="{00000000-0005-0000-0000-00009FA50000}"/>
    <cellStyle name="Total 13 2 4 5" xfId="17422" xr:uid="{00000000-0005-0000-0000-0000A0A50000}"/>
    <cellStyle name="Total 13 2 4 6" xfId="19064" xr:uid="{00000000-0005-0000-0000-0000A1A50000}"/>
    <cellStyle name="Total 13 2 5" xfId="14641" xr:uid="{00000000-0005-0000-0000-0000A2A50000}"/>
    <cellStyle name="Total 13 2 6" xfId="14642" xr:uid="{00000000-0005-0000-0000-0000A3A50000}"/>
    <cellStyle name="Total 13 2 7" xfId="14643" xr:uid="{00000000-0005-0000-0000-0000A4A50000}"/>
    <cellStyle name="Total 13 2 8" xfId="16065" xr:uid="{00000000-0005-0000-0000-0000A5A50000}"/>
    <cellStyle name="Total 13 2 9" xfId="15654" xr:uid="{00000000-0005-0000-0000-0000A6A50000}"/>
    <cellStyle name="Total 13 3" xfId="7777" xr:uid="{00000000-0005-0000-0000-0000A7A50000}"/>
    <cellStyle name="Total 13 3 10" xfId="38038" xr:uid="{00000000-0005-0000-0000-0000A8A50000}"/>
    <cellStyle name="Total 13 3 2" xfId="7778" xr:uid="{00000000-0005-0000-0000-0000A9A50000}"/>
    <cellStyle name="Total 13 3 2 2" xfId="7779" xr:uid="{00000000-0005-0000-0000-0000AAA50000}"/>
    <cellStyle name="Total 13 3 2 2 2" xfId="14644" xr:uid="{00000000-0005-0000-0000-0000ABA50000}"/>
    <cellStyle name="Total 13 3 2 2 3" xfId="14645" xr:uid="{00000000-0005-0000-0000-0000ACA50000}"/>
    <cellStyle name="Total 13 3 2 2 4" xfId="14646" xr:uid="{00000000-0005-0000-0000-0000ADA50000}"/>
    <cellStyle name="Total 13 3 2 2 5" xfId="17424" xr:uid="{00000000-0005-0000-0000-0000AEA50000}"/>
    <cellStyle name="Total 13 3 2 2 6" xfId="19066" xr:uid="{00000000-0005-0000-0000-0000AFA50000}"/>
    <cellStyle name="Total 13 3 2 3" xfId="7780" xr:uid="{00000000-0005-0000-0000-0000B0A50000}"/>
    <cellStyle name="Total 13 3 2 3 2" xfId="14647" xr:uid="{00000000-0005-0000-0000-0000B1A50000}"/>
    <cellStyle name="Total 13 3 2 3 3" xfId="14648" xr:uid="{00000000-0005-0000-0000-0000B2A50000}"/>
    <cellStyle name="Total 13 3 2 3 4" xfId="14649" xr:uid="{00000000-0005-0000-0000-0000B3A50000}"/>
    <cellStyle name="Total 13 3 2 3 5" xfId="17425" xr:uid="{00000000-0005-0000-0000-0000B4A50000}"/>
    <cellStyle name="Total 13 3 2 3 6" xfId="19067" xr:uid="{00000000-0005-0000-0000-0000B5A50000}"/>
    <cellStyle name="Total 13 3 2 4" xfId="14650" xr:uid="{00000000-0005-0000-0000-0000B6A50000}"/>
    <cellStyle name="Total 13 3 2 5" xfId="14651" xr:uid="{00000000-0005-0000-0000-0000B7A50000}"/>
    <cellStyle name="Total 13 3 2 6" xfId="14652" xr:uid="{00000000-0005-0000-0000-0000B8A50000}"/>
    <cellStyle name="Total 13 3 2 7" xfId="17423" xr:uid="{00000000-0005-0000-0000-0000B9A50000}"/>
    <cellStyle name="Total 13 3 2 8" xfId="19065" xr:uid="{00000000-0005-0000-0000-0000BAA50000}"/>
    <cellStyle name="Total 13 3 2 9" xfId="43998" xr:uid="{00000000-0005-0000-0000-0000BBA50000}"/>
    <cellStyle name="Total 13 3 3" xfId="7781" xr:uid="{00000000-0005-0000-0000-0000BCA50000}"/>
    <cellStyle name="Total 13 3 3 2" xfId="14653" xr:uid="{00000000-0005-0000-0000-0000BDA50000}"/>
    <cellStyle name="Total 13 3 3 3" xfId="14654" xr:uid="{00000000-0005-0000-0000-0000BEA50000}"/>
    <cellStyle name="Total 13 3 3 4" xfId="14655" xr:uid="{00000000-0005-0000-0000-0000BFA50000}"/>
    <cellStyle name="Total 13 3 3 5" xfId="17426" xr:uid="{00000000-0005-0000-0000-0000C0A50000}"/>
    <cellStyle name="Total 13 3 3 6" xfId="19068" xr:uid="{00000000-0005-0000-0000-0000C1A50000}"/>
    <cellStyle name="Total 13 3 4" xfId="7782" xr:uid="{00000000-0005-0000-0000-0000C2A50000}"/>
    <cellStyle name="Total 13 3 4 2" xfId="14656" xr:uid="{00000000-0005-0000-0000-0000C3A50000}"/>
    <cellStyle name="Total 13 3 4 3" xfId="14657" xr:uid="{00000000-0005-0000-0000-0000C4A50000}"/>
    <cellStyle name="Total 13 3 4 4" xfId="14658" xr:uid="{00000000-0005-0000-0000-0000C5A50000}"/>
    <cellStyle name="Total 13 3 4 5" xfId="17427" xr:uid="{00000000-0005-0000-0000-0000C6A50000}"/>
    <cellStyle name="Total 13 3 4 6" xfId="19069" xr:uid="{00000000-0005-0000-0000-0000C7A50000}"/>
    <cellStyle name="Total 13 3 5" xfId="14659" xr:uid="{00000000-0005-0000-0000-0000C8A50000}"/>
    <cellStyle name="Total 13 3 6" xfId="14660" xr:uid="{00000000-0005-0000-0000-0000C9A50000}"/>
    <cellStyle name="Total 13 3 7" xfId="14661" xr:uid="{00000000-0005-0000-0000-0000CAA50000}"/>
    <cellStyle name="Total 13 3 8" xfId="16066" xr:uid="{00000000-0005-0000-0000-0000CBA50000}"/>
    <cellStyle name="Total 13 3 9" xfId="15653" xr:uid="{00000000-0005-0000-0000-0000CCA50000}"/>
    <cellStyle name="Total 13 4" xfId="38039" xr:uid="{00000000-0005-0000-0000-0000CDA50000}"/>
    <cellStyle name="Total 13 4 2" xfId="43999" xr:uid="{00000000-0005-0000-0000-0000CEA50000}"/>
    <cellStyle name="Total 13 5" xfId="38040" xr:uid="{00000000-0005-0000-0000-0000CFA50000}"/>
    <cellStyle name="Total 13 5 2" xfId="44000" xr:uid="{00000000-0005-0000-0000-0000D0A50000}"/>
    <cellStyle name="Total 13 6" xfId="43996" xr:uid="{00000000-0005-0000-0000-0000D1A50000}"/>
    <cellStyle name="Total 14" xfId="38041" xr:uid="{00000000-0005-0000-0000-0000D2A50000}"/>
    <cellStyle name="Total 14 2" xfId="7783" xr:uid="{00000000-0005-0000-0000-0000D3A50000}"/>
    <cellStyle name="Total 14 2 10" xfId="44001" xr:uid="{00000000-0005-0000-0000-0000D4A50000}"/>
    <cellStyle name="Total 14 2 2" xfId="7784" xr:uid="{00000000-0005-0000-0000-0000D5A50000}"/>
    <cellStyle name="Total 14 2 2 2" xfId="7785" xr:uid="{00000000-0005-0000-0000-0000D6A50000}"/>
    <cellStyle name="Total 14 2 2 2 2" xfId="14662" xr:uid="{00000000-0005-0000-0000-0000D7A50000}"/>
    <cellStyle name="Total 14 2 2 2 3" xfId="14663" xr:uid="{00000000-0005-0000-0000-0000D8A50000}"/>
    <cellStyle name="Total 14 2 2 2 4" xfId="14664" xr:uid="{00000000-0005-0000-0000-0000D9A50000}"/>
    <cellStyle name="Total 14 2 2 2 5" xfId="17429" xr:uid="{00000000-0005-0000-0000-0000DAA50000}"/>
    <cellStyle name="Total 14 2 2 2 6" xfId="19071" xr:uid="{00000000-0005-0000-0000-0000DBA50000}"/>
    <cellStyle name="Total 14 2 2 3" xfId="7786" xr:uid="{00000000-0005-0000-0000-0000DCA50000}"/>
    <cellStyle name="Total 14 2 2 3 2" xfId="14665" xr:uid="{00000000-0005-0000-0000-0000DDA50000}"/>
    <cellStyle name="Total 14 2 2 3 3" xfId="14666" xr:uid="{00000000-0005-0000-0000-0000DEA50000}"/>
    <cellStyle name="Total 14 2 2 3 4" xfId="14667" xr:uid="{00000000-0005-0000-0000-0000DFA50000}"/>
    <cellStyle name="Total 14 2 2 3 5" xfId="17430" xr:uid="{00000000-0005-0000-0000-0000E0A50000}"/>
    <cellStyle name="Total 14 2 2 3 6" xfId="19072" xr:uid="{00000000-0005-0000-0000-0000E1A50000}"/>
    <cellStyle name="Total 14 2 2 4" xfId="14668" xr:uid="{00000000-0005-0000-0000-0000E2A50000}"/>
    <cellStyle name="Total 14 2 2 5" xfId="14669" xr:uid="{00000000-0005-0000-0000-0000E3A50000}"/>
    <cellStyle name="Total 14 2 2 6" xfId="14670" xr:uid="{00000000-0005-0000-0000-0000E4A50000}"/>
    <cellStyle name="Total 14 2 2 7" xfId="17428" xr:uid="{00000000-0005-0000-0000-0000E5A50000}"/>
    <cellStyle name="Total 14 2 2 8" xfId="19070" xr:uid="{00000000-0005-0000-0000-0000E6A50000}"/>
    <cellStyle name="Total 14 2 3" xfId="7787" xr:uid="{00000000-0005-0000-0000-0000E7A50000}"/>
    <cellStyle name="Total 14 2 3 2" xfId="14671" xr:uid="{00000000-0005-0000-0000-0000E8A50000}"/>
    <cellStyle name="Total 14 2 3 3" xfId="14672" xr:uid="{00000000-0005-0000-0000-0000E9A50000}"/>
    <cellStyle name="Total 14 2 3 4" xfId="14673" xr:uid="{00000000-0005-0000-0000-0000EAA50000}"/>
    <cellStyle name="Total 14 2 3 5" xfId="17431" xr:uid="{00000000-0005-0000-0000-0000EBA50000}"/>
    <cellStyle name="Total 14 2 3 6" xfId="19073" xr:uid="{00000000-0005-0000-0000-0000ECA50000}"/>
    <cellStyle name="Total 14 2 4" xfId="7788" xr:uid="{00000000-0005-0000-0000-0000EDA50000}"/>
    <cellStyle name="Total 14 2 4 2" xfId="14674" xr:uid="{00000000-0005-0000-0000-0000EEA50000}"/>
    <cellStyle name="Total 14 2 4 3" xfId="14675" xr:uid="{00000000-0005-0000-0000-0000EFA50000}"/>
    <cellStyle name="Total 14 2 4 4" xfId="14676" xr:uid="{00000000-0005-0000-0000-0000F0A50000}"/>
    <cellStyle name="Total 14 2 4 5" xfId="17432" xr:uid="{00000000-0005-0000-0000-0000F1A50000}"/>
    <cellStyle name="Total 14 2 4 6" xfId="19074" xr:uid="{00000000-0005-0000-0000-0000F2A50000}"/>
    <cellStyle name="Total 14 2 5" xfId="14677" xr:uid="{00000000-0005-0000-0000-0000F3A50000}"/>
    <cellStyle name="Total 14 2 6" xfId="14678" xr:uid="{00000000-0005-0000-0000-0000F4A50000}"/>
    <cellStyle name="Total 14 2 7" xfId="14679" xr:uid="{00000000-0005-0000-0000-0000F5A50000}"/>
    <cellStyle name="Total 14 2 8" xfId="16067" xr:uid="{00000000-0005-0000-0000-0000F6A50000}"/>
    <cellStyle name="Total 14 2 9" xfId="15652" xr:uid="{00000000-0005-0000-0000-0000F7A50000}"/>
    <cellStyle name="Total 14 3" xfId="7789" xr:uid="{00000000-0005-0000-0000-0000F8A50000}"/>
    <cellStyle name="Total 14 3 2" xfId="7790" xr:uid="{00000000-0005-0000-0000-0000F9A50000}"/>
    <cellStyle name="Total 14 3 2 2" xfId="7791" xr:uid="{00000000-0005-0000-0000-0000FAA50000}"/>
    <cellStyle name="Total 14 3 2 2 2" xfId="14680" xr:uid="{00000000-0005-0000-0000-0000FBA50000}"/>
    <cellStyle name="Total 14 3 2 2 3" xfId="14681" xr:uid="{00000000-0005-0000-0000-0000FCA50000}"/>
    <cellStyle name="Total 14 3 2 2 4" xfId="14682" xr:uid="{00000000-0005-0000-0000-0000FDA50000}"/>
    <cellStyle name="Total 14 3 2 2 5" xfId="17434" xr:uid="{00000000-0005-0000-0000-0000FEA50000}"/>
    <cellStyle name="Total 14 3 2 2 6" xfId="19076" xr:uid="{00000000-0005-0000-0000-0000FFA50000}"/>
    <cellStyle name="Total 14 3 2 3" xfId="7792" xr:uid="{00000000-0005-0000-0000-000000A60000}"/>
    <cellStyle name="Total 14 3 2 3 2" xfId="14683" xr:uid="{00000000-0005-0000-0000-000001A60000}"/>
    <cellStyle name="Total 14 3 2 3 3" xfId="14684" xr:uid="{00000000-0005-0000-0000-000002A60000}"/>
    <cellStyle name="Total 14 3 2 3 4" xfId="14685" xr:uid="{00000000-0005-0000-0000-000003A60000}"/>
    <cellStyle name="Total 14 3 2 3 5" xfId="17435" xr:uid="{00000000-0005-0000-0000-000004A60000}"/>
    <cellStyle name="Total 14 3 2 3 6" xfId="19077" xr:uid="{00000000-0005-0000-0000-000005A60000}"/>
    <cellStyle name="Total 14 3 2 4" xfId="14686" xr:uid="{00000000-0005-0000-0000-000006A60000}"/>
    <cellStyle name="Total 14 3 2 5" xfId="14687" xr:uid="{00000000-0005-0000-0000-000007A60000}"/>
    <cellStyle name="Total 14 3 2 6" xfId="14688" xr:uid="{00000000-0005-0000-0000-000008A60000}"/>
    <cellStyle name="Total 14 3 2 7" xfId="17433" xr:uid="{00000000-0005-0000-0000-000009A60000}"/>
    <cellStyle name="Total 14 3 2 8" xfId="19075" xr:uid="{00000000-0005-0000-0000-00000AA60000}"/>
    <cellStyle name="Total 14 3 3" xfId="7793" xr:uid="{00000000-0005-0000-0000-00000BA60000}"/>
    <cellStyle name="Total 14 3 3 2" xfId="14689" xr:uid="{00000000-0005-0000-0000-00000CA60000}"/>
    <cellStyle name="Total 14 3 3 3" xfId="14690" xr:uid="{00000000-0005-0000-0000-00000DA60000}"/>
    <cellStyle name="Total 14 3 3 4" xfId="14691" xr:uid="{00000000-0005-0000-0000-00000EA60000}"/>
    <cellStyle name="Total 14 3 3 5" xfId="17436" xr:uid="{00000000-0005-0000-0000-00000FA60000}"/>
    <cellStyle name="Total 14 3 3 6" xfId="19078" xr:uid="{00000000-0005-0000-0000-000010A60000}"/>
    <cellStyle name="Total 14 3 4" xfId="7794" xr:uid="{00000000-0005-0000-0000-000011A60000}"/>
    <cellStyle name="Total 14 3 4 2" xfId="14692" xr:uid="{00000000-0005-0000-0000-000012A60000}"/>
    <cellStyle name="Total 14 3 4 3" xfId="14693" xr:uid="{00000000-0005-0000-0000-000013A60000}"/>
    <cellStyle name="Total 14 3 4 4" xfId="14694" xr:uid="{00000000-0005-0000-0000-000014A60000}"/>
    <cellStyle name="Total 14 3 4 5" xfId="17437" xr:uid="{00000000-0005-0000-0000-000015A60000}"/>
    <cellStyle name="Total 14 3 4 6" xfId="19079" xr:uid="{00000000-0005-0000-0000-000016A60000}"/>
    <cellStyle name="Total 14 3 5" xfId="14695" xr:uid="{00000000-0005-0000-0000-000017A60000}"/>
    <cellStyle name="Total 14 3 6" xfId="14696" xr:uid="{00000000-0005-0000-0000-000018A60000}"/>
    <cellStyle name="Total 14 3 7" xfId="14697" xr:uid="{00000000-0005-0000-0000-000019A60000}"/>
    <cellStyle name="Total 14 3 8" xfId="16068" xr:uid="{00000000-0005-0000-0000-00001AA60000}"/>
    <cellStyle name="Total 14 3 9" xfId="15651" xr:uid="{00000000-0005-0000-0000-00001BA60000}"/>
    <cellStyle name="Total 15" xfId="7795" xr:uid="{00000000-0005-0000-0000-00001CA60000}"/>
    <cellStyle name="Total 15 10" xfId="7796" xr:uid="{00000000-0005-0000-0000-00001DA60000}"/>
    <cellStyle name="Total 15 10 2" xfId="14698" xr:uid="{00000000-0005-0000-0000-00001EA60000}"/>
    <cellStyle name="Total 15 10 3" xfId="14699" xr:uid="{00000000-0005-0000-0000-00001FA60000}"/>
    <cellStyle name="Total 15 10 4" xfId="14700" xr:uid="{00000000-0005-0000-0000-000020A60000}"/>
    <cellStyle name="Total 15 10 5" xfId="17438" xr:uid="{00000000-0005-0000-0000-000021A60000}"/>
    <cellStyle name="Total 15 10 6" xfId="19080" xr:uid="{00000000-0005-0000-0000-000022A60000}"/>
    <cellStyle name="Total 15 11" xfId="14701" xr:uid="{00000000-0005-0000-0000-000023A60000}"/>
    <cellStyle name="Total 15 12" xfId="14702" xr:uid="{00000000-0005-0000-0000-000024A60000}"/>
    <cellStyle name="Total 15 13" xfId="14703" xr:uid="{00000000-0005-0000-0000-000025A60000}"/>
    <cellStyle name="Total 15 14" xfId="16069" xr:uid="{00000000-0005-0000-0000-000026A60000}"/>
    <cellStyle name="Total 15 15" xfId="15650" xr:uid="{00000000-0005-0000-0000-000027A60000}"/>
    <cellStyle name="Total 15 16" xfId="38042" xr:uid="{00000000-0005-0000-0000-000028A60000}"/>
    <cellStyle name="Total 15 2" xfId="7797" xr:uid="{00000000-0005-0000-0000-000029A60000}"/>
    <cellStyle name="Total 15 2 10" xfId="38043" xr:uid="{00000000-0005-0000-0000-00002AA60000}"/>
    <cellStyle name="Total 15 2 2" xfId="7798" xr:uid="{00000000-0005-0000-0000-00002BA60000}"/>
    <cellStyle name="Total 15 2 2 2" xfId="7799" xr:uid="{00000000-0005-0000-0000-00002CA60000}"/>
    <cellStyle name="Total 15 2 2 2 2" xfId="14704" xr:uid="{00000000-0005-0000-0000-00002DA60000}"/>
    <cellStyle name="Total 15 2 2 2 3" xfId="14705" xr:uid="{00000000-0005-0000-0000-00002EA60000}"/>
    <cellStyle name="Total 15 2 2 2 4" xfId="14706" xr:uid="{00000000-0005-0000-0000-00002FA60000}"/>
    <cellStyle name="Total 15 2 2 2 5" xfId="17440" xr:uid="{00000000-0005-0000-0000-000030A60000}"/>
    <cellStyle name="Total 15 2 2 2 6" xfId="19082" xr:uid="{00000000-0005-0000-0000-000031A60000}"/>
    <cellStyle name="Total 15 2 2 3" xfId="7800" xr:uid="{00000000-0005-0000-0000-000032A60000}"/>
    <cellStyle name="Total 15 2 2 3 2" xfId="14707" xr:uid="{00000000-0005-0000-0000-000033A60000}"/>
    <cellStyle name="Total 15 2 2 3 3" xfId="14708" xr:uid="{00000000-0005-0000-0000-000034A60000}"/>
    <cellStyle name="Total 15 2 2 3 4" xfId="14709" xr:uid="{00000000-0005-0000-0000-000035A60000}"/>
    <cellStyle name="Total 15 2 2 3 5" xfId="17441" xr:uid="{00000000-0005-0000-0000-000036A60000}"/>
    <cellStyle name="Total 15 2 2 3 6" xfId="19083" xr:uid="{00000000-0005-0000-0000-000037A60000}"/>
    <cellStyle name="Total 15 2 2 4" xfId="14710" xr:uid="{00000000-0005-0000-0000-000038A60000}"/>
    <cellStyle name="Total 15 2 2 5" xfId="14711" xr:uid="{00000000-0005-0000-0000-000039A60000}"/>
    <cellStyle name="Total 15 2 2 6" xfId="14712" xr:uid="{00000000-0005-0000-0000-00003AA60000}"/>
    <cellStyle name="Total 15 2 2 7" xfId="17439" xr:uid="{00000000-0005-0000-0000-00003BA60000}"/>
    <cellStyle name="Total 15 2 2 8" xfId="19081" xr:uid="{00000000-0005-0000-0000-00003CA60000}"/>
    <cellStyle name="Total 15 2 2 9" xfId="44003" xr:uid="{00000000-0005-0000-0000-00003DA60000}"/>
    <cellStyle name="Total 15 2 3" xfId="7801" xr:uid="{00000000-0005-0000-0000-00003EA60000}"/>
    <cellStyle name="Total 15 2 3 2" xfId="14713" xr:uid="{00000000-0005-0000-0000-00003FA60000}"/>
    <cellStyle name="Total 15 2 3 3" xfId="14714" xr:uid="{00000000-0005-0000-0000-000040A60000}"/>
    <cellStyle name="Total 15 2 3 4" xfId="14715" xr:uid="{00000000-0005-0000-0000-000041A60000}"/>
    <cellStyle name="Total 15 2 3 5" xfId="17442" xr:uid="{00000000-0005-0000-0000-000042A60000}"/>
    <cellStyle name="Total 15 2 3 6" xfId="19084" xr:uid="{00000000-0005-0000-0000-000043A60000}"/>
    <cellStyle name="Total 15 2 4" xfId="7802" xr:uid="{00000000-0005-0000-0000-000044A60000}"/>
    <cellStyle name="Total 15 2 4 2" xfId="14716" xr:uid="{00000000-0005-0000-0000-000045A60000}"/>
    <cellStyle name="Total 15 2 4 3" xfId="14717" xr:uid="{00000000-0005-0000-0000-000046A60000}"/>
    <cellStyle name="Total 15 2 4 4" xfId="14718" xr:uid="{00000000-0005-0000-0000-000047A60000}"/>
    <cellStyle name="Total 15 2 4 5" xfId="17443" xr:uid="{00000000-0005-0000-0000-000048A60000}"/>
    <cellStyle name="Total 15 2 4 6" xfId="19085" xr:uid="{00000000-0005-0000-0000-000049A60000}"/>
    <cellStyle name="Total 15 2 5" xfId="14719" xr:uid="{00000000-0005-0000-0000-00004AA60000}"/>
    <cellStyle name="Total 15 2 6" xfId="14720" xr:uid="{00000000-0005-0000-0000-00004BA60000}"/>
    <cellStyle name="Total 15 2 7" xfId="14721" xr:uid="{00000000-0005-0000-0000-00004CA60000}"/>
    <cellStyle name="Total 15 2 8" xfId="16070" xr:uid="{00000000-0005-0000-0000-00004DA60000}"/>
    <cellStyle name="Total 15 2 9" xfId="15649" xr:uid="{00000000-0005-0000-0000-00004EA60000}"/>
    <cellStyle name="Total 15 3" xfId="7803" xr:uid="{00000000-0005-0000-0000-00004FA60000}"/>
    <cellStyle name="Total 15 3 10" xfId="38044" xr:uid="{00000000-0005-0000-0000-000050A60000}"/>
    <cellStyle name="Total 15 3 2" xfId="7804" xr:uid="{00000000-0005-0000-0000-000051A60000}"/>
    <cellStyle name="Total 15 3 2 2" xfId="7805" xr:uid="{00000000-0005-0000-0000-000052A60000}"/>
    <cellStyle name="Total 15 3 2 2 2" xfId="14722" xr:uid="{00000000-0005-0000-0000-000053A60000}"/>
    <cellStyle name="Total 15 3 2 2 3" xfId="14723" xr:uid="{00000000-0005-0000-0000-000054A60000}"/>
    <cellStyle name="Total 15 3 2 2 4" xfId="14724" xr:uid="{00000000-0005-0000-0000-000055A60000}"/>
    <cellStyle name="Total 15 3 2 2 5" xfId="17445" xr:uid="{00000000-0005-0000-0000-000056A60000}"/>
    <cellStyle name="Total 15 3 2 2 6" xfId="19087" xr:uid="{00000000-0005-0000-0000-000057A60000}"/>
    <cellStyle name="Total 15 3 2 3" xfId="7806" xr:uid="{00000000-0005-0000-0000-000058A60000}"/>
    <cellStyle name="Total 15 3 2 3 2" xfId="14725" xr:uid="{00000000-0005-0000-0000-000059A60000}"/>
    <cellStyle name="Total 15 3 2 3 3" xfId="14726" xr:uid="{00000000-0005-0000-0000-00005AA60000}"/>
    <cellStyle name="Total 15 3 2 3 4" xfId="14727" xr:uid="{00000000-0005-0000-0000-00005BA60000}"/>
    <cellStyle name="Total 15 3 2 3 5" xfId="17446" xr:uid="{00000000-0005-0000-0000-00005CA60000}"/>
    <cellStyle name="Total 15 3 2 3 6" xfId="19088" xr:uid="{00000000-0005-0000-0000-00005DA60000}"/>
    <cellStyle name="Total 15 3 2 4" xfId="14728" xr:uid="{00000000-0005-0000-0000-00005EA60000}"/>
    <cellStyle name="Total 15 3 2 5" xfId="14729" xr:uid="{00000000-0005-0000-0000-00005FA60000}"/>
    <cellStyle name="Total 15 3 2 6" xfId="14730" xr:uid="{00000000-0005-0000-0000-000060A60000}"/>
    <cellStyle name="Total 15 3 2 7" xfId="17444" xr:uid="{00000000-0005-0000-0000-000061A60000}"/>
    <cellStyle name="Total 15 3 2 8" xfId="19086" xr:uid="{00000000-0005-0000-0000-000062A60000}"/>
    <cellStyle name="Total 15 3 2 9" xfId="44004" xr:uid="{00000000-0005-0000-0000-000063A60000}"/>
    <cellStyle name="Total 15 3 3" xfId="7807" xr:uid="{00000000-0005-0000-0000-000064A60000}"/>
    <cellStyle name="Total 15 3 3 2" xfId="14731" xr:uid="{00000000-0005-0000-0000-000065A60000}"/>
    <cellStyle name="Total 15 3 3 3" xfId="14732" xr:uid="{00000000-0005-0000-0000-000066A60000}"/>
    <cellStyle name="Total 15 3 3 4" xfId="14733" xr:uid="{00000000-0005-0000-0000-000067A60000}"/>
    <cellStyle name="Total 15 3 3 5" xfId="17447" xr:uid="{00000000-0005-0000-0000-000068A60000}"/>
    <cellStyle name="Total 15 3 3 6" xfId="19089" xr:uid="{00000000-0005-0000-0000-000069A60000}"/>
    <cellStyle name="Total 15 3 4" xfId="7808" xr:uid="{00000000-0005-0000-0000-00006AA60000}"/>
    <cellStyle name="Total 15 3 4 2" xfId="14734" xr:uid="{00000000-0005-0000-0000-00006BA60000}"/>
    <cellStyle name="Total 15 3 4 3" xfId="14735" xr:uid="{00000000-0005-0000-0000-00006CA60000}"/>
    <cellStyle name="Total 15 3 4 4" xfId="14736" xr:uid="{00000000-0005-0000-0000-00006DA60000}"/>
    <cellStyle name="Total 15 3 4 5" xfId="17448" xr:uid="{00000000-0005-0000-0000-00006EA60000}"/>
    <cellStyle name="Total 15 3 4 6" xfId="19090" xr:uid="{00000000-0005-0000-0000-00006FA60000}"/>
    <cellStyle name="Total 15 3 5" xfId="14737" xr:uid="{00000000-0005-0000-0000-000070A60000}"/>
    <cellStyle name="Total 15 3 6" xfId="14738" xr:uid="{00000000-0005-0000-0000-000071A60000}"/>
    <cellStyle name="Total 15 3 7" xfId="14739" xr:uid="{00000000-0005-0000-0000-000072A60000}"/>
    <cellStyle name="Total 15 3 8" xfId="16071" xr:uid="{00000000-0005-0000-0000-000073A60000}"/>
    <cellStyle name="Total 15 3 9" xfId="15648" xr:uid="{00000000-0005-0000-0000-000074A60000}"/>
    <cellStyle name="Total 15 4" xfId="7809" xr:uid="{00000000-0005-0000-0000-000075A60000}"/>
    <cellStyle name="Total 15 4 10" xfId="44002" xr:uid="{00000000-0005-0000-0000-000076A60000}"/>
    <cellStyle name="Total 15 4 2" xfId="7810" xr:uid="{00000000-0005-0000-0000-000077A60000}"/>
    <cellStyle name="Total 15 4 2 2" xfId="7811" xr:uid="{00000000-0005-0000-0000-000078A60000}"/>
    <cellStyle name="Total 15 4 2 2 2" xfId="14740" xr:uid="{00000000-0005-0000-0000-000079A60000}"/>
    <cellStyle name="Total 15 4 2 2 3" xfId="14741" xr:uid="{00000000-0005-0000-0000-00007AA60000}"/>
    <cellStyle name="Total 15 4 2 2 4" xfId="14742" xr:uid="{00000000-0005-0000-0000-00007BA60000}"/>
    <cellStyle name="Total 15 4 2 2 5" xfId="17450" xr:uid="{00000000-0005-0000-0000-00007CA60000}"/>
    <cellStyle name="Total 15 4 2 2 6" xfId="19092" xr:uid="{00000000-0005-0000-0000-00007DA60000}"/>
    <cellStyle name="Total 15 4 2 3" xfId="7812" xr:uid="{00000000-0005-0000-0000-00007EA60000}"/>
    <cellStyle name="Total 15 4 2 3 2" xfId="14743" xr:uid="{00000000-0005-0000-0000-00007FA60000}"/>
    <cellStyle name="Total 15 4 2 3 3" xfId="14744" xr:uid="{00000000-0005-0000-0000-000080A60000}"/>
    <cellStyle name="Total 15 4 2 3 4" xfId="14745" xr:uid="{00000000-0005-0000-0000-000081A60000}"/>
    <cellStyle name="Total 15 4 2 3 5" xfId="17451" xr:uid="{00000000-0005-0000-0000-000082A60000}"/>
    <cellStyle name="Total 15 4 2 3 6" xfId="19093" xr:uid="{00000000-0005-0000-0000-000083A60000}"/>
    <cellStyle name="Total 15 4 2 4" xfId="14746" xr:uid="{00000000-0005-0000-0000-000084A60000}"/>
    <cellStyle name="Total 15 4 2 5" xfId="14747" xr:uid="{00000000-0005-0000-0000-000085A60000}"/>
    <cellStyle name="Total 15 4 2 6" xfId="14748" xr:uid="{00000000-0005-0000-0000-000086A60000}"/>
    <cellStyle name="Total 15 4 2 7" xfId="17449" xr:uid="{00000000-0005-0000-0000-000087A60000}"/>
    <cellStyle name="Total 15 4 2 8" xfId="19091" xr:uid="{00000000-0005-0000-0000-000088A60000}"/>
    <cellStyle name="Total 15 4 3" xfId="7813" xr:uid="{00000000-0005-0000-0000-000089A60000}"/>
    <cellStyle name="Total 15 4 3 2" xfId="14749" xr:uid="{00000000-0005-0000-0000-00008AA60000}"/>
    <cellStyle name="Total 15 4 3 3" xfId="14750" xr:uid="{00000000-0005-0000-0000-00008BA60000}"/>
    <cellStyle name="Total 15 4 3 4" xfId="14751" xr:uid="{00000000-0005-0000-0000-00008CA60000}"/>
    <cellStyle name="Total 15 4 3 5" xfId="17452" xr:uid="{00000000-0005-0000-0000-00008DA60000}"/>
    <cellStyle name="Total 15 4 3 6" xfId="19094" xr:uid="{00000000-0005-0000-0000-00008EA60000}"/>
    <cellStyle name="Total 15 4 4" xfId="7814" xr:uid="{00000000-0005-0000-0000-00008FA60000}"/>
    <cellStyle name="Total 15 4 4 2" xfId="14752" xr:uid="{00000000-0005-0000-0000-000090A60000}"/>
    <cellStyle name="Total 15 4 4 3" xfId="14753" xr:uid="{00000000-0005-0000-0000-000091A60000}"/>
    <cellStyle name="Total 15 4 4 4" xfId="14754" xr:uid="{00000000-0005-0000-0000-000092A60000}"/>
    <cellStyle name="Total 15 4 4 5" xfId="17453" xr:uid="{00000000-0005-0000-0000-000093A60000}"/>
    <cellStyle name="Total 15 4 4 6" xfId="19095" xr:uid="{00000000-0005-0000-0000-000094A60000}"/>
    <cellStyle name="Total 15 4 5" xfId="14755" xr:uid="{00000000-0005-0000-0000-000095A60000}"/>
    <cellStyle name="Total 15 4 6" xfId="14756" xr:uid="{00000000-0005-0000-0000-000096A60000}"/>
    <cellStyle name="Total 15 4 7" xfId="14757" xr:uid="{00000000-0005-0000-0000-000097A60000}"/>
    <cellStyle name="Total 15 4 8" xfId="16072" xr:uid="{00000000-0005-0000-0000-000098A60000}"/>
    <cellStyle name="Total 15 4 9" xfId="15647" xr:uid="{00000000-0005-0000-0000-000099A60000}"/>
    <cellStyle name="Total 15 5" xfId="7815" xr:uid="{00000000-0005-0000-0000-00009AA60000}"/>
    <cellStyle name="Total 15 5 2" xfId="7816" xr:uid="{00000000-0005-0000-0000-00009BA60000}"/>
    <cellStyle name="Total 15 5 2 2" xfId="7817" xr:uid="{00000000-0005-0000-0000-00009CA60000}"/>
    <cellStyle name="Total 15 5 2 2 2" xfId="14758" xr:uid="{00000000-0005-0000-0000-00009DA60000}"/>
    <cellStyle name="Total 15 5 2 2 3" xfId="14759" xr:uid="{00000000-0005-0000-0000-00009EA60000}"/>
    <cellStyle name="Total 15 5 2 2 4" xfId="14760" xr:uid="{00000000-0005-0000-0000-00009FA60000}"/>
    <cellStyle name="Total 15 5 2 2 5" xfId="17455" xr:uid="{00000000-0005-0000-0000-0000A0A60000}"/>
    <cellStyle name="Total 15 5 2 2 6" xfId="19097" xr:uid="{00000000-0005-0000-0000-0000A1A60000}"/>
    <cellStyle name="Total 15 5 2 3" xfId="7818" xr:uid="{00000000-0005-0000-0000-0000A2A60000}"/>
    <cellStyle name="Total 15 5 2 3 2" xfId="14761" xr:uid="{00000000-0005-0000-0000-0000A3A60000}"/>
    <cellStyle name="Total 15 5 2 3 3" xfId="14762" xr:uid="{00000000-0005-0000-0000-0000A4A60000}"/>
    <cellStyle name="Total 15 5 2 3 4" xfId="14763" xr:uid="{00000000-0005-0000-0000-0000A5A60000}"/>
    <cellStyle name="Total 15 5 2 3 5" xfId="17456" xr:uid="{00000000-0005-0000-0000-0000A6A60000}"/>
    <cellStyle name="Total 15 5 2 3 6" xfId="19098" xr:uid="{00000000-0005-0000-0000-0000A7A60000}"/>
    <cellStyle name="Total 15 5 2 4" xfId="14764" xr:uid="{00000000-0005-0000-0000-0000A8A60000}"/>
    <cellStyle name="Total 15 5 2 5" xfId="14765" xr:uid="{00000000-0005-0000-0000-0000A9A60000}"/>
    <cellStyle name="Total 15 5 2 6" xfId="14766" xr:uid="{00000000-0005-0000-0000-0000AAA60000}"/>
    <cellStyle name="Total 15 5 2 7" xfId="17454" xr:uid="{00000000-0005-0000-0000-0000ABA60000}"/>
    <cellStyle name="Total 15 5 2 8" xfId="19096" xr:uid="{00000000-0005-0000-0000-0000ACA60000}"/>
    <cellStyle name="Total 15 5 3" xfId="7819" xr:uid="{00000000-0005-0000-0000-0000ADA60000}"/>
    <cellStyle name="Total 15 5 3 2" xfId="14767" xr:uid="{00000000-0005-0000-0000-0000AEA60000}"/>
    <cellStyle name="Total 15 5 3 3" xfId="14768" xr:uid="{00000000-0005-0000-0000-0000AFA60000}"/>
    <cellStyle name="Total 15 5 3 4" xfId="14769" xr:uid="{00000000-0005-0000-0000-0000B0A60000}"/>
    <cellStyle name="Total 15 5 3 5" xfId="17457" xr:uid="{00000000-0005-0000-0000-0000B1A60000}"/>
    <cellStyle name="Total 15 5 3 6" xfId="19099" xr:uid="{00000000-0005-0000-0000-0000B2A60000}"/>
    <cellStyle name="Total 15 5 4" xfId="7820" xr:uid="{00000000-0005-0000-0000-0000B3A60000}"/>
    <cellStyle name="Total 15 5 4 2" xfId="14770" xr:uid="{00000000-0005-0000-0000-0000B4A60000}"/>
    <cellStyle name="Total 15 5 4 3" xfId="14771" xr:uid="{00000000-0005-0000-0000-0000B5A60000}"/>
    <cellStyle name="Total 15 5 4 4" xfId="14772" xr:uid="{00000000-0005-0000-0000-0000B6A60000}"/>
    <cellStyle name="Total 15 5 4 5" xfId="17458" xr:uid="{00000000-0005-0000-0000-0000B7A60000}"/>
    <cellStyle name="Total 15 5 4 6" xfId="19100" xr:uid="{00000000-0005-0000-0000-0000B8A60000}"/>
    <cellStyle name="Total 15 5 5" xfId="14773" xr:uid="{00000000-0005-0000-0000-0000B9A60000}"/>
    <cellStyle name="Total 15 5 6" xfId="14774" xr:uid="{00000000-0005-0000-0000-0000BAA60000}"/>
    <cellStyle name="Total 15 5 7" xfId="14775" xr:uid="{00000000-0005-0000-0000-0000BBA60000}"/>
    <cellStyle name="Total 15 5 8" xfId="16073" xr:uid="{00000000-0005-0000-0000-0000BCA60000}"/>
    <cellStyle name="Total 15 5 9" xfId="15646" xr:uid="{00000000-0005-0000-0000-0000BDA60000}"/>
    <cellStyle name="Total 15 6" xfId="7821" xr:uid="{00000000-0005-0000-0000-0000BEA60000}"/>
    <cellStyle name="Total 15 6 2" xfId="7822" xr:uid="{00000000-0005-0000-0000-0000BFA60000}"/>
    <cellStyle name="Total 15 6 2 2" xfId="7823" xr:uid="{00000000-0005-0000-0000-0000C0A60000}"/>
    <cellStyle name="Total 15 6 2 2 2" xfId="14776" xr:uid="{00000000-0005-0000-0000-0000C1A60000}"/>
    <cellStyle name="Total 15 6 2 2 3" xfId="14777" xr:uid="{00000000-0005-0000-0000-0000C2A60000}"/>
    <cellStyle name="Total 15 6 2 2 4" xfId="14778" xr:uid="{00000000-0005-0000-0000-0000C3A60000}"/>
    <cellStyle name="Total 15 6 2 2 5" xfId="17460" xr:uid="{00000000-0005-0000-0000-0000C4A60000}"/>
    <cellStyle name="Total 15 6 2 2 6" xfId="19102" xr:uid="{00000000-0005-0000-0000-0000C5A60000}"/>
    <cellStyle name="Total 15 6 2 3" xfId="7824" xr:uid="{00000000-0005-0000-0000-0000C6A60000}"/>
    <cellStyle name="Total 15 6 2 3 2" xfId="14779" xr:uid="{00000000-0005-0000-0000-0000C7A60000}"/>
    <cellStyle name="Total 15 6 2 3 3" xfId="14780" xr:uid="{00000000-0005-0000-0000-0000C8A60000}"/>
    <cellStyle name="Total 15 6 2 3 4" xfId="14781" xr:uid="{00000000-0005-0000-0000-0000C9A60000}"/>
    <cellStyle name="Total 15 6 2 3 5" xfId="17461" xr:uid="{00000000-0005-0000-0000-0000CAA60000}"/>
    <cellStyle name="Total 15 6 2 3 6" xfId="19103" xr:uid="{00000000-0005-0000-0000-0000CBA60000}"/>
    <cellStyle name="Total 15 6 2 4" xfId="14782" xr:uid="{00000000-0005-0000-0000-0000CCA60000}"/>
    <cellStyle name="Total 15 6 2 5" xfId="14783" xr:uid="{00000000-0005-0000-0000-0000CDA60000}"/>
    <cellStyle name="Total 15 6 2 6" xfId="14784" xr:uid="{00000000-0005-0000-0000-0000CEA60000}"/>
    <cellStyle name="Total 15 6 2 7" xfId="17459" xr:uid="{00000000-0005-0000-0000-0000CFA60000}"/>
    <cellStyle name="Total 15 6 2 8" xfId="19101" xr:uid="{00000000-0005-0000-0000-0000D0A60000}"/>
    <cellStyle name="Total 15 6 3" xfId="7825" xr:uid="{00000000-0005-0000-0000-0000D1A60000}"/>
    <cellStyle name="Total 15 6 3 2" xfId="14785" xr:uid="{00000000-0005-0000-0000-0000D2A60000}"/>
    <cellStyle name="Total 15 6 3 3" xfId="14786" xr:uid="{00000000-0005-0000-0000-0000D3A60000}"/>
    <cellStyle name="Total 15 6 3 4" xfId="14787" xr:uid="{00000000-0005-0000-0000-0000D4A60000}"/>
    <cellStyle name="Total 15 6 3 5" xfId="17462" xr:uid="{00000000-0005-0000-0000-0000D5A60000}"/>
    <cellStyle name="Total 15 6 3 6" xfId="19104" xr:uid="{00000000-0005-0000-0000-0000D6A60000}"/>
    <cellStyle name="Total 15 6 4" xfId="7826" xr:uid="{00000000-0005-0000-0000-0000D7A60000}"/>
    <cellStyle name="Total 15 6 4 2" xfId="14788" xr:uid="{00000000-0005-0000-0000-0000D8A60000}"/>
    <cellStyle name="Total 15 6 4 3" xfId="14789" xr:uid="{00000000-0005-0000-0000-0000D9A60000}"/>
    <cellStyle name="Total 15 6 4 4" xfId="14790" xr:uid="{00000000-0005-0000-0000-0000DAA60000}"/>
    <cellStyle name="Total 15 6 4 5" xfId="17463" xr:uid="{00000000-0005-0000-0000-0000DBA60000}"/>
    <cellStyle name="Total 15 6 4 6" xfId="19105" xr:uid="{00000000-0005-0000-0000-0000DCA60000}"/>
    <cellStyle name="Total 15 6 5" xfId="14791" xr:uid="{00000000-0005-0000-0000-0000DDA60000}"/>
    <cellStyle name="Total 15 6 6" xfId="14792" xr:uid="{00000000-0005-0000-0000-0000DEA60000}"/>
    <cellStyle name="Total 15 6 7" xfId="14793" xr:uid="{00000000-0005-0000-0000-0000DFA60000}"/>
    <cellStyle name="Total 15 6 8" xfId="16074" xr:uid="{00000000-0005-0000-0000-0000E0A60000}"/>
    <cellStyle name="Total 15 6 9" xfId="15645" xr:uid="{00000000-0005-0000-0000-0000E1A60000}"/>
    <cellStyle name="Total 15 7" xfId="7827" xr:uid="{00000000-0005-0000-0000-0000E2A60000}"/>
    <cellStyle name="Total 15 7 2" xfId="7828" xr:uid="{00000000-0005-0000-0000-0000E3A60000}"/>
    <cellStyle name="Total 15 7 2 2" xfId="7829" xr:uid="{00000000-0005-0000-0000-0000E4A60000}"/>
    <cellStyle name="Total 15 7 2 2 2" xfId="14794" xr:uid="{00000000-0005-0000-0000-0000E5A60000}"/>
    <cellStyle name="Total 15 7 2 2 3" xfId="14795" xr:uid="{00000000-0005-0000-0000-0000E6A60000}"/>
    <cellStyle name="Total 15 7 2 2 4" xfId="14796" xr:uid="{00000000-0005-0000-0000-0000E7A60000}"/>
    <cellStyle name="Total 15 7 2 2 5" xfId="17465" xr:uid="{00000000-0005-0000-0000-0000E8A60000}"/>
    <cellStyle name="Total 15 7 2 2 6" xfId="19107" xr:uid="{00000000-0005-0000-0000-0000E9A60000}"/>
    <cellStyle name="Total 15 7 2 3" xfId="7830" xr:uid="{00000000-0005-0000-0000-0000EAA60000}"/>
    <cellStyle name="Total 15 7 2 3 2" xfId="14797" xr:uid="{00000000-0005-0000-0000-0000EBA60000}"/>
    <cellStyle name="Total 15 7 2 3 3" xfId="14798" xr:uid="{00000000-0005-0000-0000-0000ECA60000}"/>
    <cellStyle name="Total 15 7 2 3 4" xfId="14799" xr:uid="{00000000-0005-0000-0000-0000EDA60000}"/>
    <cellStyle name="Total 15 7 2 3 5" xfId="17466" xr:uid="{00000000-0005-0000-0000-0000EEA60000}"/>
    <cellStyle name="Total 15 7 2 3 6" xfId="19108" xr:uid="{00000000-0005-0000-0000-0000EFA60000}"/>
    <cellStyle name="Total 15 7 2 4" xfId="14800" xr:uid="{00000000-0005-0000-0000-0000F0A60000}"/>
    <cellStyle name="Total 15 7 2 5" xfId="14801" xr:uid="{00000000-0005-0000-0000-0000F1A60000}"/>
    <cellStyle name="Total 15 7 2 6" xfId="14802" xr:uid="{00000000-0005-0000-0000-0000F2A60000}"/>
    <cellStyle name="Total 15 7 2 7" xfId="17464" xr:uid="{00000000-0005-0000-0000-0000F3A60000}"/>
    <cellStyle name="Total 15 7 2 8" xfId="19106" xr:uid="{00000000-0005-0000-0000-0000F4A60000}"/>
    <cellStyle name="Total 15 7 3" xfId="7831" xr:uid="{00000000-0005-0000-0000-0000F5A60000}"/>
    <cellStyle name="Total 15 7 3 2" xfId="14803" xr:uid="{00000000-0005-0000-0000-0000F6A60000}"/>
    <cellStyle name="Total 15 7 3 3" xfId="14804" xr:uid="{00000000-0005-0000-0000-0000F7A60000}"/>
    <cellStyle name="Total 15 7 3 4" xfId="14805" xr:uid="{00000000-0005-0000-0000-0000F8A60000}"/>
    <cellStyle name="Total 15 7 3 5" xfId="17467" xr:uid="{00000000-0005-0000-0000-0000F9A60000}"/>
    <cellStyle name="Total 15 7 3 6" xfId="19109" xr:uid="{00000000-0005-0000-0000-0000FAA60000}"/>
    <cellStyle name="Total 15 7 4" xfId="7832" xr:uid="{00000000-0005-0000-0000-0000FBA60000}"/>
    <cellStyle name="Total 15 7 4 2" xfId="14806" xr:uid="{00000000-0005-0000-0000-0000FCA60000}"/>
    <cellStyle name="Total 15 7 4 3" xfId="14807" xr:uid="{00000000-0005-0000-0000-0000FDA60000}"/>
    <cellStyle name="Total 15 7 4 4" xfId="14808" xr:uid="{00000000-0005-0000-0000-0000FEA60000}"/>
    <cellStyle name="Total 15 7 4 5" xfId="17468" xr:uid="{00000000-0005-0000-0000-0000FFA60000}"/>
    <cellStyle name="Total 15 7 4 6" xfId="19110" xr:uid="{00000000-0005-0000-0000-000000A70000}"/>
    <cellStyle name="Total 15 7 5" xfId="14809" xr:uid="{00000000-0005-0000-0000-000001A70000}"/>
    <cellStyle name="Total 15 7 6" xfId="14810" xr:uid="{00000000-0005-0000-0000-000002A70000}"/>
    <cellStyle name="Total 15 7 7" xfId="14811" xr:uid="{00000000-0005-0000-0000-000003A70000}"/>
    <cellStyle name="Total 15 7 8" xfId="16075" xr:uid="{00000000-0005-0000-0000-000004A70000}"/>
    <cellStyle name="Total 15 7 9" xfId="15644" xr:uid="{00000000-0005-0000-0000-000005A70000}"/>
    <cellStyle name="Total 15 8" xfId="7833" xr:uid="{00000000-0005-0000-0000-000006A70000}"/>
    <cellStyle name="Total 15 8 2" xfId="7834" xr:uid="{00000000-0005-0000-0000-000007A70000}"/>
    <cellStyle name="Total 15 8 2 2" xfId="14812" xr:uid="{00000000-0005-0000-0000-000008A70000}"/>
    <cellStyle name="Total 15 8 2 3" xfId="14813" xr:uid="{00000000-0005-0000-0000-000009A70000}"/>
    <cellStyle name="Total 15 8 2 4" xfId="14814" xr:uid="{00000000-0005-0000-0000-00000AA70000}"/>
    <cellStyle name="Total 15 8 2 5" xfId="17470" xr:uid="{00000000-0005-0000-0000-00000BA70000}"/>
    <cellStyle name="Total 15 8 2 6" xfId="19112" xr:uid="{00000000-0005-0000-0000-00000CA70000}"/>
    <cellStyle name="Total 15 8 3" xfId="7835" xr:uid="{00000000-0005-0000-0000-00000DA70000}"/>
    <cellStyle name="Total 15 8 3 2" xfId="14815" xr:uid="{00000000-0005-0000-0000-00000EA70000}"/>
    <cellStyle name="Total 15 8 3 3" xfId="14816" xr:uid="{00000000-0005-0000-0000-00000FA70000}"/>
    <cellStyle name="Total 15 8 3 4" xfId="14817" xr:uid="{00000000-0005-0000-0000-000010A70000}"/>
    <cellStyle name="Total 15 8 3 5" xfId="17471" xr:uid="{00000000-0005-0000-0000-000011A70000}"/>
    <cellStyle name="Total 15 8 3 6" xfId="19113" xr:uid="{00000000-0005-0000-0000-000012A70000}"/>
    <cellStyle name="Total 15 8 4" xfId="14818" xr:uid="{00000000-0005-0000-0000-000013A70000}"/>
    <cellStyle name="Total 15 8 5" xfId="14819" xr:uid="{00000000-0005-0000-0000-000014A70000}"/>
    <cellStyle name="Total 15 8 6" xfId="14820" xr:uid="{00000000-0005-0000-0000-000015A70000}"/>
    <cellStyle name="Total 15 8 7" xfId="17469" xr:uid="{00000000-0005-0000-0000-000016A70000}"/>
    <cellStyle name="Total 15 8 8" xfId="19111" xr:uid="{00000000-0005-0000-0000-000017A70000}"/>
    <cellStyle name="Total 15 9" xfId="7836" xr:uid="{00000000-0005-0000-0000-000018A70000}"/>
    <cellStyle name="Total 15 9 2" xfId="14821" xr:uid="{00000000-0005-0000-0000-000019A70000}"/>
    <cellStyle name="Total 15 9 3" xfId="14822" xr:uid="{00000000-0005-0000-0000-00001AA70000}"/>
    <cellStyle name="Total 15 9 4" xfId="14823" xr:uid="{00000000-0005-0000-0000-00001BA70000}"/>
    <cellStyle name="Total 15 9 5" xfId="17472" xr:uid="{00000000-0005-0000-0000-00001CA70000}"/>
    <cellStyle name="Total 15 9 6" xfId="19114" xr:uid="{00000000-0005-0000-0000-00001DA70000}"/>
    <cellStyle name="Total 16" xfId="7837" xr:uid="{00000000-0005-0000-0000-00001EA70000}"/>
    <cellStyle name="Total 16 10" xfId="38045" xr:uid="{00000000-0005-0000-0000-00001FA70000}"/>
    <cellStyle name="Total 16 2" xfId="7838" xr:uid="{00000000-0005-0000-0000-000020A70000}"/>
    <cellStyle name="Total 16 2 2" xfId="7839" xr:uid="{00000000-0005-0000-0000-000021A70000}"/>
    <cellStyle name="Total 16 2 2 2" xfId="14824" xr:uid="{00000000-0005-0000-0000-000022A70000}"/>
    <cellStyle name="Total 16 2 2 3" xfId="14825" xr:uid="{00000000-0005-0000-0000-000023A70000}"/>
    <cellStyle name="Total 16 2 2 4" xfId="14826" xr:uid="{00000000-0005-0000-0000-000024A70000}"/>
    <cellStyle name="Total 16 2 2 5" xfId="17474" xr:uid="{00000000-0005-0000-0000-000025A70000}"/>
    <cellStyle name="Total 16 2 2 6" xfId="19116" xr:uid="{00000000-0005-0000-0000-000026A70000}"/>
    <cellStyle name="Total 16 2 3" xfId="7840" xr:uid="{00000000-0005-0000-0000-000027A70000}"/>
    <cellStyle name="Total 16 2 3 2" xfId="14827" xr:uid="{00000000-0005-0000-0000-000028A70000}"/>
    <cellStyle name="Total 16 2 3 3" xfId="14828" xr:uid="{00000000-0005-0000-0000-000029A70000}"/>
    <cellStyle name="Total 16 2 3 4" xfId="14829" xr:uid="{00000000-0005-0000-0000-00002AA70000}"/>
    <cellStyle name="Total 16 2 3 5" xfId="17475" xr:uid="{00000000-0005-0000-0000-00002BA70000}"/>
    <cellStyle name="Total 16 2 3 6" xfId="19117" xr:uid="{00000000-0005-0000-0000-00002CA70000}"/>
    <cellStyle name="Total 16 2 4" xfId="14830" xr:uid="{00000000-0005-0000-0000-00002DA70000}"/>
    <cellStyle name="Total 16 2 5" xfId="14831" xr:uid="{00000000-0005-0000-0000-00002EA70000}"/>
    <cellStyle name="Total 16 2 6" xfId="14832" xr:uid="{00000000-0005-0000-0000-00002FA70000}"/>
    <cellStyle name="Total 16 2 7" xfId="17473" xr:uid="{00000000-0005-0000-0000-000030A70000}"/>
    <cellStyle name="Total 16 2 8" xfId="19115" xr:uid="{00000000-0005-0000-0000-000031A70000}"/>
    <cellStyle name="Total 16 2 9" xfId="44005" xr:uid="{00000000-0005-0000-0000-000032A70000}"/>
    <cellStyle name="Total 16 3" xfId="7841" xr:uid="{00000000-0005-0000-0000-000033A70000}"/>
    <cellStyle name="Total 16 3 2" xfId="14833" xr:uid="{00000000-0005-0000-0000-000034A70000}"/>
    <cellStyle name="Total 16 3 3" xfId="14834" xr:uid="{00000000-0005-0000-0000-000035A70000}"/>
    <cellStyle name="Total 16 3 4" xfId="14835" xr:uid="{00000000-0005-0000-0000-000036A70000}"/>
    <cellStyle name="Total 16 3 5" xfId="17476" xr:uid="{00000000-0005-0000-0000-000037A70000}"/>
    <cellStyle name="Total 16 3 6" xfId="19118" xr:uid="{00000000-0005-0000-0000-000038A70000}"/>
    <cellStyle name="Total 16 4" xfId="7842" xr:uid="{00000000-0005-0000-0000-000039A70000}"/>
    <cellStyle name="Total 16 4 2" xfId="14836" xr:uid="{00000000-0005-0000-0000-00003AA70000}"/>
    <cellStyle name="Total 16 4 3" xfId="14837" xr:uid="{00000000-0005-0000-0000-00003BA70000}"/>
    <cellStyle name="Total 16 4 4" xfId="14838" xr:uid="{00000000-0005-0000-0000-00003CA70000}"/>
    <cellStyle name="Total 16 4 5" xfId="17477" xr:uid="{00000000-0005-0000-0000-00003DA70000}"/>
    <cellStyle name="Total 16 4 6" xfId="19119" xr:uid="{00000000-0005-0000-0000-00003EA70000}"/>
    <cellStyle name="Total 16 5" xfId="14839" xr:uid="{00000000-0005-0000-0000-00003FA70000}"/>
    <cellStyle name="Total 16 6" xfId="14840" xr:uid="{00000000-0005-0000-0000-000040A70000}"/>
    <cellStyle name="Total 16 7" xfId="14841" xr:uid="{00000000-0005-0000-0000-000041A70000}"/>
    <cellStyle name="Total 16 8" xfId="16076" xr:uid="{00000000-0005-0000-0000-000042A70000}"/>
    <cellStyle name="Total 16 9" xfId="15643" xr:uid="{00000000-0005-0000-0000-000043A70000}"/>
    <cellStyle name="Total 17" xfId="7843" xr:uid="{00000000-0005-0000-0000-000044A70000}"/>
    <cellStyle name="Total 17 10" xfId="38046" xr:uid="{00000000-0005-0000-0000-000045A70000}"/>
    <cellStyle name="Total 17 2" xfId="7844" xr:uid="{00000000-0005-0000-0000-000046A70000}"/>
    <cellStyle name="Total 17 2 2" xfId="7845" xr:uid="{00000000-0005-0000-0000-000047A70000}"/>
    <cellStyle name="Total 17 2 2 2" xfId="14842" xr:uid="{00000000-0005-0000-0000-000048A70000}"/>
    <cellStyle name="Total 17 2 2 3" xfId="14843" xr:uid="{00000000-0005-0000-0000-000049A70000}"/>
    <cellStyle name="Total 17 2 2 4" xfId="14844" xr:uid="{00000000-0005-0000-0000-00004AA70000}"/>
    <cellStyle name="Total 17 2 2 5" xfId="17479" xr:uid="{00000000-0005-0000-0000-00004BA70000}"/>
    <cellStyle name="Total 17 2 2 6" xfId="19121" xr:uid="{00000000-0005-0000-0000-00004CA70000}"/>
    <cellStyle name="Total 17 2 3" xfId="7846" xr:uid="{00000000-0005-0000-0000-00004DA70000}"/>
    <cellStyle name="Total 17 2 3 2" xfId="14845" xr:uid="{00000000-0005-0000-0000-00004EA70000}"/>
    <cellStyle name="Total 17 2 3 3" xfId="14846" xr:uid="{00000000-0005-0000-0000-00004FA70000}"/>
    <cellStyle name="Total 17 2 3 4" xfId="14847" xr:uid="{00000000-0005-0000-0000-000050A70000}"/>
    <cellStyle name="Total 17 2 3 5" xfId="17480" xr:uid="{00000000-0005-0000-0000-000051A70000}"/>
    <cellStyle name="Total 17 2 3 6" xfId="19122" xr:uid="{00000000-0005-0000-0000-000052A70000}"/>
    <cellStyle name="Total 17 2 4" xfId="14848" xr:uid="{00000000-0005-0000-0000-000053A70000}"/>
    <cellStyle name="Total 17 2 5" xfId="14849" xr:uid="{00000000-0005-0000-0000-000054A70000}"/>
    <cellStyle name="Total 17 2 6" xfId="14850" xr:uid="{00000000-0005-0000-0000-000055A70000}"/>
    <cellStyle name="Total 17 2 7" xfId="17478" xr:uid="{00000000-0005-0000-0000-000056A70000}"/>
    <cellStyle name="Total 17 2 8" xfId="19120" xr:uid="{00000000-0005-0000-0000-000057A70000}"/>
    <cellStyle name="Total 17 3" xfId="7847" xr:uid="{00000000-0005-0000-0000-000058A70000}"/>
    <cellStyle name="Total 17 3 2" xfId="14851" xr:uid="{00000000-0005-0000-0000-000059A70000}"/>
    <cellStyle name="Total 17 3 3" xfId="14852" xr:uid="{00000000-0005-0000-0000-00005AA70000}"/>
    <cellStyle name="Total 17 3 4" xfId="14853" xr:uid="{00000000-0005-0000-0000-00005BA70000}"/>
    <cellStyle name="Total 17 3 5" xfId="17481" xr:uid="{00000000-0005-0000-0000-00005CA70000}"/>
    <cellStyle name="Total 17 3 6" xfId="19123" xr:uid="{00000000-0005-0000-0000-00005DA70000}"/>
    <cellStyle name="Total 17 4" xfId="7848" xr:uid="{00000000-0005-0000-0000-00005EA70000}"/>
    <cellStyle name="Total 17 4 2" xfId="14854" xr:uid="{00000000-0005-0000-0000-00005FA70000}"/>
    <cellStyle name="Total 17 4 3" xfId="14855" xr:uid="{00000000-0005-0000-0000-000060A70000}"/>
    <cellStyle name="Total 17 4 4" xfId="14856" xr:uid="{00000000-0005-0000-0000-000061A70000}"/>
    <cellStyle name="Total 17 4 5" xfId="17482" xr:uid="{00000000-0005-0000-0000-000062A70000}"/>
    <cellStyle name="Total 17 4 6" xfId="19124" xr:uid="{00000000-0005-0000-0000-000063A70000}"/>
    <cellStyle name="Total 17 5" xfId="14857" xr:uid="{00000000-0005-0000-0000-000064A70000}"/>
    <cellStyle name="Total 17 6" xfId="14858" xr:uid="{00000000-0005-0000-0000-000065A70000}"/>
    <cellStyle name="Total 17 7" xfId="14859" xr:uid="{00000000-0005-0000-0000-000066A70000}"/>
    <cellStyle name="Total 17 8" xfId="16077" xr:uid="{00000000-0005-0000-0000-000067A70000}"/>
    <cellStyle name="Total 17 9" xfId="15642" xr:uid="{00000000-0005-0000-0000-000068A70000}"/>
    <cellStyle name="Total 18" xfId="7849" xr:uid="{00000000-0005-0000-0000-000069A70000}"/>
    <cellStyle name="Total 18 10" xfId="38047" xr:uid="{00000000-0005-0000-0000-00006AA70000}"/>
    <cellStyle name="Total 18 2" xfId="7850" xr:uid="{00000000-0005-0000-0000-00006BA70000}"/>
    <cellStyle name="Total 18 2 2" xfId="7851" xr:uid="{00000000-0005-0000-0000-00006CA70000}"/>
    <cellStyle name="Total 18 2 2 2" xfId="14860" xr:uid="{00000000-0005-0000-0000-00006DA70000}"/>
    <cellStyle name="Total 18 2 2 3" xfId="14861" xr:uid="{00000000-0005-0000-0000-00006EA70000}"/>
    <cellStyle name="Total 18 2 2 4" xfId="14862" xr:uid="{00000000-0005-0000-0000-00006FA70000}"/>
    <cellStyle name="Total 18 2 2 5" xfId="17484" xr:uid="{00000000-0005-0000-0000-000070A70000}"/>
    <cellStyle name="Total 18 2 2 6" xfId="19126" xr:uid="{00000000-0005-0000-0000-000071A70000}"/>
    <cellStyle name="Total 18 2 3" xfId="7852" xr:uid="{00000000-0005-0000-0000-000072A70000}"/>
    <cellStyle name="Total 18 2 3 2" xfId="14863" xr:uid="{00000000-0005-0000-0000-000073A70000}"/>
    <cellStyle name="Total 18 2 3 3" xfId="14864" xr:uid="{00000000-0005-0000-0000-000074A70000}"/>
    <cellStyle name="Total 18 2 3 4" xfId="14865" xr:uid="{00000000-0005-0000-0000-000075A70000}"/>
    <cellStyle name="Total 18 2 3 5" xfId="17485" xr:uid="{00000000-0005-0000-0000-000076A70000}"/>
    <cellStyle name="Total 18 2 3 6" xfId="19127" xr:uid="{00000000-0005-0000-0000-000077A70000}"/>
    <cellStyle name="Total 18 2 4" xfId="14866" xr:uid="{00000000-0005-0000-0000-000078A70000}"/>
    <cellStyle name="Total 18 2 5" xfId="14867" xr:uid="{00000000-0005-0000-0000-000079A70000}"/>
    <cellStyle name="Total 18 2 6" xfId="14868" xr:uid="{00000000-0005-0000-0000-00007AA70000}"/>
    <cellStyle name="Total 18 2 7" xfId="17483" xr:uid="{00000000-0005-0000-0000-00007BA70000}"/>
    <cellStyle name="Total 18 2 8" xfId="19125" xr:uid="{00000000-0005-0000-0000-00007CA70000}"/>
    <cellStyle name="Total 18 3" xfId="7853" xr:uid="{00000000-0005-0000-0000-00007DA70000}"/>
    <cellStyle name="Total 18 3 2" xfId="14869" xr:uid="{00000000-0005-0000-0000-00007EA70000}"/>
    <cellStyle name="Total 18 3 3" xfId="14870" xr:uid="{00000000-0005-0000-0000-00007FA70000}"/>
    <cellStyle name="Total 18 3 4" xfId="14871" xr:uid="{00000000-0005-0000-0000-000080A70000}"/>
    <cellStyle name="Total 18 3 5" xfId="17486" xr:uid="{00000000-0005-0000-0000-000081A70000}"/>
    <cellStyle name="Total 18 3 6" xfId="19128" xr:uid="{00000000-0005-0000-0000-000082A70000}"/>
    <cellStyle name="Total 18 4" xfId="7854" xr:uid="{00000000-0005-0000-0000-000083A70000}"/>
    <cellStyle name="Total 18 4 2" xfId="14872" xr:uid="{00000000-0005-0000-0000-000084A70000}"/>
    <cellStyle name="Total 18 4 3" xfId="14873" xr:uid="{00000000-0005-0000-0000-000085A70000}"/>
    <cellStyle name="Total 18 4 4" xfId="14874" xr:uid="{00000000-0005-0000-0000-000086A70000}"/>
    <cellStyle name="Total 18 4 5" xfId="17487" xr:uid="{00000000-0005-0000-0000-000087A70000}"/>
    <cellStyle name="Total 18 4 6" xfId="19129" xr:uid="{00000000-0005-0000-0000-000088A70000}"/>
    <cellStyle name="Total 18 5" xfId="14875" xr:uid="{00000000-0005-0000-0000-000089A70000}"/>
    <cellStyle name="Total 18 6" xfId="14876" xr:uid="{00000000-0005-0000-0000-00008AA70000}"/>
    <cellStyle name="Total 18 7" xfId="14877" xr:uid="{00000000-0005-0000-0000-00008BA70000}"/>
    <cellStyle name="Total 18 8" xfId="16078" xr:uid="{00000000-0005-0000-0000-00008CA70000}"/>
    <cellStyle name="Total 18 9" xfId="15641" xr:uid="{00000000-0005-0000-0000-00008DA70000}"/>
    <cellStyle name="Total 19" xfId="7855" xr:uid="{00000000-0005-0000-0000-00008EA70000}"/>
    <cellStyle name="Total 19 2" xfId="7856" xr:uid="{00000000-0005-0000-0000-00008FA70000}"/>
    <cellStyle name="Total 19 2 2" xfId="7857" xr:uid="{00000000-0005-0000-0000-000090A70000}"/>
    <cellStyle name="Total 19 2 2 2" xfId="14878" xr:uid="{00000000-0005-0000-0000-000091A70000}"/>
    <cellStyle name="Total 19 2 2 3" xfId="14879" xr:uid="{00000000-0005-0000-0000-000092A70000}"/>
    <cellStyle name="Total 19 2 2 4" xfId="14880" xr:uid="{00000000-0005-0000-0000-000093A70000}"/>
    <cellStyle name="Total 19 2 2 5" xfId="17489" xr:uid="{00000000-0005-0000-0000-000094A70000}"/>
    <cellStyle name="Total 19 2 2 6" xfId="19131" xr:uid="{00000000-0005-0000-0000-000095A70000}"/>
    <cellStyle name="Total 19 2 3" xfId="7858" xr:uid="{00000000-0005-0000-0000-000096A70000}"/>
    <cellStyle name="Total 19 2 3 2" xfId="14881" xr:uid="{00000000-0005-0000-0000-000097A70000}"/>
    <cellStyle name="Total 19 2 3 3" xfId="14882" xr:uid="{00000000-0005-0000-0000-000098A70000}"/>
    <cellStyle name="Total 19 2 3 4" xfId="14883" xr:uid="{00000000-0005-0000-0000-000099A70000}"/>
    <cellStyle name="Total 19 2 3 5" xfId="17490" xr:uid="{00000000-0005-0000-0000-00009AA70000}"/>
    <cellStyle name="Total 19 2 3 6" xfId="19132" xr:uid="{00000000-0005-0000-0000-00009BA70000}"/>
    <cellStyle name="Total 19 2 4" xfId="14884" xr:uid="{00000000-0005-0000-0000-00009CA70000}"/>
    <cellStyle name="Total 19 2 5" xfId="14885" xr:uid="{00000000-0005-0000-0000-00009DA70000}"/>
    <cellStyle name="Total 19 2 6" xfId="14886" xr:uid="{00000000-0005-0000-0000-00009EA70000}"/>
    <cellStyle name="Total 19 2 7" xfId="17488" xr:uid="{00000000-0005-0000-0000-00009FA70000}"/>
    <cellStyle name="Total 19 2 8" xfId="19130" xr:uid="{00000000-0005-0000-0000-0000A0A70000}"/>
    <cellStyle name="Total 19 3" xfId="7859" xr:uid="{00000000-0005-0000-0000-0000A1A70000}"/>
    <cellStyle name="Total 19 3 2" xfId="14887" xr:uid="{00000000-0005-0000-0000-0000A2A70000}"/>
    <cellStyle name="Total 19 3 3" xfId="14888" xr:uid="{00000000-0005-0000-0000-0000A3A70000}"/>
    <cellStyle name="Total 19 3 4" xfId="14889" xr:uid="{00000000-0005-0000-0000-0000A4A70000}"/>
    <cellStyle name="Total 19 3 5" xfId="17491" xr:uid="{00000000-0005-0000-0000-0000A5A70000}"/>
    <cellStyle name="Total 19 3 6" xfId="19133" xr:uid="{00000000-0005-0000-0000-0000A6A70000}"/>
    <cellStyle name="Total 19 4" xfId="7860" xr:uid="{00000000-0005-0000-0000-0000A7A70000}"/>
    <cellStyle name="Total 19 4 2" xfId="14890" xr:uid="{00000000-0005-0000-0000-0000A8A70000}"/>
    <cellStyle name="Total 19 4 3" xfId="14891" xr:uid="{00000000-0005-0000-0000-0000A9A70000}"/>
    <cellStyle name="Total 19 4 4" xfId="14892" xr:uid="{00000000-0005-0000-0000-0000AAA70000}"/>
    <cellStyle name="Total 19 4 5" xfId="17492" xr:uid="{00000000-0005-0000-0000-0000ABA70000}"/>
    <cellStyle name="Total 19 4 6" xfId="19134" xr:uid="{00000000-0005-0000-0000-0000ACA70000}"/>
    <cellStyle name="Total 19 5" xfId="14893" xr:uid="{00000000-0005-0000-0000-0000ADA70000}"/>
    <cellStyle name="Total 19 6" xfId="14894" xr:uid="{00000000-0005-0000-0000-0000AEA70000}"/>
    <cellStyle name="Total 19 7" xfId="14895" xr:uid="{00000000-0005-0000-0000-0000AFA70000}"/>
    <cellStyle name="Total 19 8" xfId="16079" xr:uid="{00000000-0005-0000-0000-0000B0A70000}"/>
    <cellStyle name="Total 19 9" xfId="15640" xr:uid="{00000000-0005-0000-0000-0000B1A70000}"/>
    <cellStyle name="Total 2" xfId="7861" xr:uid="{00000000-0005-0000-0000-0000B2A70000}"/>
    <cellStyle name="Total 2 10" xfId="14896" xr:uid="{00000000-0005-0000-0000-0000B3A70000}"/>
    <cellStyle name="Total 2 10 2" xfId="44006" xr:uid="{00000000-0005-0000-0000-0000B4A70000}"/>
    <cellStyle name="Total 2 10 3" xfId="38048" xr:uid="{00000000-0005-0000-0000-0000B5A70000}"/>
    <cellStyle name="Total 2 11" xfId="16127" xr:uid="{00000000-0005-0000-0000-0000B6A70000}"/>
    <cellStyle name="Total 2 11 2" xfId="44007" xr:uid="{00000000-0005-0000-0000-0000B7A70000}"/>
    <cellStyle name="Total 2 11 3" xfId="38049" xr:uid="{00000000-0005-0000-0000-0000B8A70000}"/>
    <cellStyle name="Total 2 12" xfId="15621" xr:uid="{00000000-0005-0000-0000-0000B9A70000}"/>
    <cellStyle name="Total 2 12 2" xfId="44008" xr:uid="{00000000-0005-0000-0000-0000BAA70000}"/>
    <cellStyle name="Total 2 12 3" xfId="38050" xr:uid="{00000000-0005-0000-0000-0000BBA70000}"/>
    <cellStyle name="Total 2 13" xfId="38051" xr:uid="{00000000-0005-0000-0000-0000BCA70000}"/>
    <cellStyle name="Total 2 13 2" xfId="44009" xr:uid="{00000000-0005-0000-0000-0000BDA70000}"/>
    <cellStyle name="Total 2 14" xfId="38052" xr:uid="{00000000-0005-0000-0000-0000BEA70000}"/>
    <cellStyle name="Total 2 14 2" xfId="44010" xr:uid="{00000000-0005-0000-0000-0000BFA70000}"/>
    <cellStyle name="Total 2 15" xfId="38053" xr:uid="{00000000-0005-0000-0000-0000C0A70000}"/>
    <cellStyle name="Total 2 15 2" xfId="44011" xr:uid="{00000000-0005-0000-0000-0000C1A70000}"/>
    <cellStyle name="Total 2 16" xfId="38054" xr:uid="{00000000-0005-0000-0000-0000C2A70000}"/>
    <cellStyle name="Total 2 16 2" xfId="44012" xr:uid="{00000000-0005-0000-0000-0000C3A70000}"/>
    <cellStyle name="Total 2 17" xfId="38055" xr:uid="{00000000-0005-0000-0000-0000C4A70000}"/>
    <cellStyle name="Total 2 17 2" xfId="44013" xr:uid="{00000000-0005-0000-0000-0000C5A70000}"/>
    <cellStyle name="Total 2 18" xfId="38056" xr:uid="{00000000-0005-0000-0000-0000C6A70000}"/>
    <cellStyle name="Total 2 18 2" xfId="44014" xr:uid="{00000000-0005-0000-0000-0000C7A70000}"/>
    <cellStyle name="Total 2 19" xfId="38057" xr:uid="{00000000-0005-0000-0000-0000C8A70000}"/>
    <cellStyle name="Total 2 19 2" xfId="44015" xr:uid="{00000000-0005-0000-0000-0000C9A70000}"/>
    <cellStyle name="Total 2 2" xfId="7862" xr:uid="{00000000-0005-0000-0000-0000CAA70000}"/>
    <cellStyle name="Total 2 2 10" xfId="38058" xr:uid="{00000000-0005-0000-0000-0000CBA70000}"/>
    <cellStyle name="Total 2 2 2" xfId="7863" xr:uid="{00000000-0005-0000-0000-0000CCA70000}"/>
    <cellStyle name="Total 2 2 2 2" xfId="7864" xr:uid="{00000000-0005-0000-0000-0000CDA70000}"/>
    <cellStyle name="Total 2 2 2 2 2" xfId="14897" xr:uid="{00000000-0005-0000-0000-0000CEA70000}"/>
    <cellStyle name="Total 2 2 2 2 3" xfId="14898" xr:uid="{00000000-0005-0000-0000-0000CFA70000}"/>
    <cellStyle name="Total 2 2 2 2 4" xfId="14899" xr:uid="{00000000-0005-0000-0000-0000D0A70000}"/>
    <cellStyle name="Total 2 2 2 2 5" xfId="17494" xr:uid="{00000000-0005-0000-0000-0000D1A70000}"/>
    <cellStyle name="Total 2 2 2 2 6" xfId="19136" xr:uid="{00000000-0005-0000-0000-0000D2A70000}"/>
    <cellStyle name="Total 2 2 2 2 7" xfId="44017" xr:uid="{00000000-0005-0000-0000-0000D3A70000}"/>
    <cellStyle name="Total 2 2 2 3" xfId="7865" xr:uid="{00000000-0005-0000-0000-0000D4A70000}"/>
    <cellStyle name="Total 2 2 2 3 2" xfId="14900" xr:uid="{00000000-0005-0000-0000-0000D5A70000}"/>
    <cellStyle name="Total 2 2 2 3 3" xfId="14901" xr:uid="{00000000-0005-0000-0000-0000D6A70000}"/>
    <cellStyle name="Total 2 2 2 3 4" xfId="14902" xr:uid="{00000000-0005-0000-0000-0000D7A70000}"/>
    <cellStyle name="Total 2 2 2 3 5" xfId="17495" xr:uid="{00000000-0005-0000-0000-0000D8A70000}"/>
    <cellStyle name="Total 2 2 2 3 6" xfId="19137" xr:uid="{00000000-0005-0000-0000-0000D9A70000}"/>
    <cellStyle name="Total 2 2 2 4" xfId="14903" xr:uid="{00000000-0005-0000-0000-0000DAA70000}"/>
    <cellStyle name="Total 2 2 2 5" xfId="14904" xr:uid="{00000000-0005-0000-0000-0000DBA70000}"/>
    <cellStyle name="Total 2 2 2 6" xfId="14905" xr:uid="{00000000-0005-0000-0000-0000DCA70000}"/>
    <cellStyle name="Total 2 2 2 7" xfId="17493" xr:uid="{00000000-0005-0000-0000-0000DDA70000}"/>
    <cellStyle name="Total 2 2 2 8" xfId="19135" xr:uid="{00000000-0005-0000-0000-0000DEA70000}"/>
    <cellStyle name="Total 2 2 2 9" xfId="38059" xr:uid="{00000000-0005-0000-0000-0000DFA70000}"/>
    <cellStyle name="Total 2 2 3" xfId="7866" xr:uid="{00000000-0005-0000-0000-0000E0A70000}"/>
    <cellStyle name="Total 2 2 3 2" xfId="14906" xr:uid="{00000000-0005-0000-0000-0000E1A70000}"/>
    <cellStyle name="Total 2 2 3 2 2" xfId="44018" xr:uid="{00000000-0005-0000-0000-0000E2A70000}"/>
    <cellStyle name="Total 2 2 3 3" xfId="14907" xr:uid="{00000000-0005-0000-0000-0000E3A70000}"/>
    <cellStyle name="Total 2 2 3 4" xfId="14908" xr:uid="{00000000-0005-0000-0000-0000E4A70000}"/>
    <cellStyle name="Total 2 2 3 5" xfId="17496" xr:uid="{00000000-0005-0000-0000-0000E5A70000}"/>
    <cellStyle name="Total 2 2 3 6" xfId="19138" xr:uid="{00000000-0005-0000-0000-0000E6A70000}"/>
    <cellStyle name="Total 2 2 3 7" xfId="38060" xr:uid="{00000000-0005-0000-0000-0000E7A70000}"/>
    <cellStyle name="Total 2 2 4" xfId="7867" xr:uid="{00000000-0005-0000-0000-0000E8A70000}"/>
    <cellStyle name="Total 2 2 4 2" xfId="14909" xr:uid="{00000000-0005-0000-0000-0000E9A70000}"/>
    <cellStyle name="Total 2 2 4 3" xfId="14910" xr:uid="{00000000-0005-0000-0000-0000EAA70000}"/>
    <cellStyle name="Total 2 2 4 4" xfId="14911" xr:uid="{00000000-0005-0000-0000-0000EBA70000}"/>
    <cellStyle name="Total 2 2 4 5" xfId="17497" xr:uid="{00000000-0005-0000-0000-0000ECA70000}"/>
    <cellStyle name="Total 2 2 4 6" xfId="19139" xr:uid="{00000000-0005-0000-0000-0000EDA70000}"/>
    <cellStyle name="Total 2 2 5" xfId="14912" xr:uid="{00000000-0005-0000-0000-0000EEA70000}"/>
    <cellStyle name="Total 2 2 5 2" xfId="44016" xr:uid="{00000000-0005-0000-0000-0000EFA70000}"/>
    <cellStyle name="Total 2 2 6" xfId="14913" xr:uid="{00000000-0005-0000-0000-0000F0A70000}"/>
    <cellStyle name="Total 2 2 7" xfId="14914" xr:uid="{00000000-0005-0000-0000-0000F1A70000}"/>
    <cellStyle name="Total 2 2 8" xfId="16080" xr:uid="{00000000-0005-0000-0000-0000F2A70000}"/>
    <cellStyle name="Total 2 2 9" xfId="15639" xr:uid="{00000000-0005-0000-0000-0000F3A70000}"/>
    <cellStyle name="Total 2 20" xfId="38061" xr:uid="{00000000-0005-0000-0000-0000F4A70000}"/>
    <cellStyle name="Total 2 20 2" xfId="44019" xr:uid="{00000000-0005-0000-0000-0000F5A70000}"/>
    <cellStyle name="Total 2 21" xfId="38062" xr:uid="{00000000-0005-0000-0000-0000F6A70000}"/>
    <cellStyle name="Total 2 21 2" xfId="44020" xr:uid="{00000000-0005-0000-0000-0000F7A70000}"/>
    <cellStyle name="Total 2 22" xfId="38063" xr:uid="{00000000-0005-0000-0000-0000F8A70000}"/>
    <cellStyle name="Total 2 22 2" xfId="44021" xr:uid="{00000000-0005-0000-0000-0000F9A70000}"/>
    <cellStyle name="Total 2 23" xfId="38064" xr:uid="{00000000-0005-0000-0000-0000FAA70000}"/>
    <cellStyle name="Total 2 23 2" xfId="44022" xr:uid="{00000000-0005-0000-0000-0000FBA70000}"/>
    <cellStyle name="Total 2 24" xfId="38065" xr:uid="{00000000-0005-0000-0000-0000FCA70000}"/>
    <cellStyle name="Total 2 24 2" xfId="44023" xr:uid="{00000000-0005-0000-0000-0000FDA70000}"/>
    <cellStyle name="Total 2 25" xfId="38066" xr:uid="{00000000-0005-0000-0000-0000FEA70000}"/>
    <cellStyle name="Total 2 25 2" xfId="38067" xr:uid="{00000000-0005-0000-0000-0000FFA70000}"/>
    <cellStyle name="Total 2 25 2 2" xfId="44025" xr:uid="{00000000-0005-0000-0000-000000A80000}"/>
    <cellStyle name="Total 2 25 3" xfId="44024" xr:uid="{00000000-0005-0000-0000-000001A80000}"/>
    <cellStyle name="Total 2 26" xfId="38068" xr:uid="{00000000-0005-0000-0000-000002A80000}"/>
    <cellStyle name="Total 2 26 2" xfId="44026" xr:uid="{00000000-0005-0000-0000-000003A80000}"/>
    <cellStyle name="Total 2 27" xfId="38069" xr:uid="{00000000-0005-0000-0000-000004A80000}"/>
    <cellStyle name="Total 2 27 2" xfId="44027" xr:uid="{00000000-0005-0000-0000-000005A80000}"/>
    <cellStyle name="Total 2 28" xfId="38070" xr:uid="{00000000-0005-0000-0000-000006A80000}"/>
    <cellStyle name="Total 2 28 2" xfId="44028" xr:uid="{00000000-0005-0000-0000-000007A80000}"/>
    <cellStyle name="Total 2 29" xfId="38071" xr:uid="{00000000-0005-0000-0000-000008A80000}"/>
    <cellStyle name="Total 2 29 2" xfId="44029" xr:uid="{00000000-0005-0000-0000-000009A80000}"/>
    <cellStyle name="Total 2 3" xfId="7868" xr:uid="{00000000-0005-0000-0000-00000AA80000}"/>
    <cellStyle name="Total 2 3 10" xfId="38072" xr:uid="{00000000-0005-0000-0000-00000BA80000}"/>
    <cellStyle name="Total 2 3 2" xfId="7869" xr:uid="{00000000-0005-0000-0000-00000CA80000}"/>
    <cellStyle name="Total 2 3 2 2" xfId="7870" xr:uid="{00000000-0005-0000-0000-00000DA80000}"/>
    <cellStyle name="Total 2 3 2 2 2" xfId="14915" xr:uid="{00000000-0005-0000-0000-00000EA80000}"/>
    <cellStyle name="Total 2 3 2 2 3" xfId="14916" xr:uid="{00000000-0005-0000-0000-00000FA80000}"/>
    <cellStyle name="Total 2 3 2 2 4" xfId="14917" xr:uid="{00000000-0005-0000-0000-000010A80000}"/>
    <cellStyle name="Total 2 3 2 2 5" xfId="17499" xr:uid="{00000000-0005-0000-0000-000011A80000}"/>
    <cellStyle name="Total 2 3 2 2 6" xfId="19141" xr:uid="{00000000-0005-0000-0000-000012A80000}"/>
    <cellStyle name="Total 2 3 2 2 7" xfId="44031" xr:uid="{00000000-0005-0000-0000-000013A80000}"/>
    <cellStyle name="Total 2 3 2 3" xfId="7871" xr:uid="{00000000-0005-0000-0000-000014A80000}"/>
    <cellStyle name="Total 2 3 2 3 2" xfId="14918" xr:uid="{00000000-0005-0000-0000-000015A80000}"/>
    <cellStyle name="Total 2 3 2 3 3" xfId="14919" xr:uid="{00000000-0005-0000-0000-000016A80000}"/>
    <cellStyle name="Total 2 3 2 3 4" xfId="14920" xr:uid="{00000000-0005-0000-0000-000017A80000}"/>
    <cellStyle name="Total 2 3 2 3 5" xfId="17500" xr:uid="{00000000-0005-0000-0000-000018A80000}"/>
    <cellStyle name="Total 2 3 2 3 6" xfId="19142" xr:uid="{00000000-0005-0000-0000-000019A80000}"/>
    <cellStyle name="Total 2 3 2 4" xfId="14921" xr:uid="{00000000-0005-0000-0000-00001AA80000}"/>
    <cellStyle name="Total 2 3 2 5" xfId="14922" xr:uid="{00000000-0005-0000-0000-00001BA80000}"/>
    <cellStyle name="Total 2 3 2 6" xfId="14923" xr:uid="{00000000-0005-0000-0000-00001CA80000}"/>
    <cellStyle name="Total 2 3 2 7" xfId="17498" xr:uid="{00000000-0005-0000-0000-00001DA80000}"/>
    <cellStyle name="Total 2 3 2 8" xfId="19140" xr:uid="{00000000-0005-0000-0000-00001EA80000}"/>
    <cellStyle name="Total 2 3 2 9" xfId="38073" xr:uid="{00000000-0005-0000-0000-00001FA80000}"/>
    <cellStyle name="Total 2 3 3" xfId="7872" xr:uid="{00000000-0005-0000-0000-000020A80000}"/>
    <cellStyle name="Total 2 3 3 2" xfId="14924" xr:uid="{00000000-0005-0000-0000-000021A80000}"/>
    <cellStyle name="Total 2 3 3 3" xfId="14925" xr:uid="{00000000-0005-0000-0000-000022A80000}"/>
    <cellStyle name="Total 2 3 3 4" xfId="14926" xr:uid="{00000000-0005-0000-0000-000023A80000}"/>
    <cellStyle name="Total 2 3 3 5" xfId="17501" xr:uid="{00000000-0005-0000-0000-000024A80000}"/>
    <cellStyle name="Total 2 3 3 6" xfId="19143" xr:uid="{00000000-0005-0000-0000-000025A80000}"/>
    <cellStyle name="Total 2 3 3 7" xfId="44030" xr:uid="{00000000-0005-0000-0000-000026A80000}"/>
    <cellStyle name="Total 2 3 4" xfId="7873" xr:uid="{00000000-0005-0000-0000-000027A80000}"/>
    <cellStyle name="Total 2 3 4 2" xfId="14927" xr:uid="{00000000-0005-0000-0000-000028A80000}"/>
    <cellStyle name="Total 2 3 4 3" xfId="14928" xr:uid="{00000000-0005-0000-0000-000029A80000}"/>
    <cellStyle name="Total 2 3 4 4" xfId="14929" xr:uid="{00000000-0005-0000-0000-00002AA80000}"/>
    <cellStyle name="Total 2 3 4 5" xfId="17502" xr:uid="{00000000-0005-0000-0000-00002BA80000}"/>
    <cellStyle name="Total 2 3 4 6" xfId="19144" xr:uid="{00000000-0005-0000-0000-00002CA80000}"/>
    <cellStyle name="Total 2 3 5" xfId="14930" xr:uid="{00000000-0005-0000-0000-00002DA80000}"/>
    <cellStyle name="Total 2 3 6" xfId="14931" xr:uid="{00000000-0005-0000-0000-00002EA80000}"/>
    <cellStyle name="Total 2 3 7" xfId="14932" xr:uid="{00000000-0005-0000-0000-00002FA80000}"/>
    <cellStyle name="Total 2 3 8" xfId="16081" xr:uid="{00000000-0005-0000-0000-000030A80000}"/>
    <cellStyle name="Total 2 3 9" xfId="15638" xr:uid="{00000000-0005-0000-0000-000031A80000}"/>
    <cellStyle name="Total 2 30" xfId="38074" xr:uid="{00000000-0005-0000-0000-000032A80000}"/>
    <cellStyle name="Total 2 30 2" xfId="44032" xr:uid="{00000000-0005-0000-0000-000033A80000}"/>
    <cellStyle name="Total 2 31" xfId="38075" xr:uid="{00000000-0005-0000-0000-000034A80000}"/>
    <cellStyle name="Total 2 31 2" xfId="44033" xr:uid="{00000000-0005-0000-0000-000035A80000}"/>
    <cellStyle name="Total 2 32" xfId="38076" xr:uid="{00000000-0005-0000-0000-000036A80000}"/>
    <cellStyle name="Total 2 32 2" xfId="44034" xr:uid="{00000000-0005-0000-0000-000037A80000}"/>
    <cellStyle name="Total 2 33" xfId="38077" xr:uid="{00000000-0005-0000-0000-000038A80000}"/>
    <cellStyle name="Total 2 4" xfId="7874" xr:uid="{00000000-0005-0000-0000-000039A80000}"/>
    <cellStyle name="Total 2 4 2" xfId="7875" xr:uid="{00000000-0005-0000-0000-00003AA80000}"/>
    <cellStyle name="Total 2 4 2 2" xfId="14933" xr:uid="{00000000-0005-0000-0000-00003BA80000}"/>
    <cellStyle name="Total 2 4 2 2 2" xfId="44036" xr:uid="{00000000-0005-0000-0000-00003CA80000}"/>
    <cellStyle name="Total 2 4 2 3" xfId="14934" xr:uid="{00000000-0005-0000-0000-00003DA80000}"/>
    <cellStyle name="Total 2 4 2 4" xfId="14935" xr:uid="{00000000-0005-0000-0000-00003EA80000}"/>
    <cellStyle name="Total 2 4 2 5" xfId="17504" xr:uid="{00000000-0005-0000-0000-00003FA80000}"/>
    <cellStyle name="Total 2 4 2 6" xfId="19146" xr:uid="{00000000-0005-0000-0000-000040A80000}"/>
    <cellStyle name="Total 2 4 2 7" xfId="38079" xr:uid="{00000000-0005-0000-0000-000041A80000}"/>
    <cellStyle name="Total 2 4 3" xfId="7876" xr:uid="{00000000-0005-0000-0000-000042A80000}"/>
    <cellStyle name="Total 2 4 3 2" xfId="14936" xr:uid="{00000000-0005-0000-0000-000043A80000}"/>
    <cellStyle name="Total 2 4 3 3" xfId="14937" xr:uid="{00000000-0005-0000-0000-000044A80000}"/>
    <cellStyle name="Total 2 4 3 4" xfId="14938" xr:uid="{00000000-0005-0000-0000-000045A80000}"/>
    <cellStyle name="Total 2 4 3 5" xfId="17505" xr:uid="{00000000-0005-0000-0000-000046A80000}"/>
    <cellStyle name="Total 2 4 3 6" xfId="19147" xr:uid="{00000000-0005-0000-0000-000047A80000}"/>
    <cellStyle name="Total 2 4 3 7" xfId="44035" xr:uid="{00000000-0005-0000-0000-000048A80000}"/>
    <cellStyle name="Total 2 4 4" xfId="14939" xr:uid="{00000000-0005-0000-0000-000049A80000}"/>
    <cellStyle name="Total 2 4 5" xfId="14940" xr:uid="{00000000-0005-0000-0000-00004AA80000}"/>
    <cellStyle name="Total 2 4 6" xfId="14941" xr:uid="{00000000-0005-0000-0000-00004BA80000}"/>
    <cellStyle name="Total 2 4 7" xfId="17503" xr:uid="{00000000-0005-0000-0000-00004CA80000}"/>
    <cellStyle name="Total 2 4 8" xfId="19145" xr:uid="{00000000-0005-0000-0000-00004DA80000}"/>
    <cellStyle name="Total 2 4 9" xfId="38078" xr:uid="{00000000-0005-0000-0000-00004EA80000}"/>
    <cellStyle name="Total 2 5" xfId="7877" xr:uid="{00000000-0005-0000-0000-00004FA80000}"/>
    <cellStyle name="Total 2 5 2" xfId="14942" xr:uid="{00000000-0005-0000-0000-000050A80000}"/>
    <cellStyle name="Total 2 5 2 2" xfId="44037" xr:uid="{00000000-0005-0000-0000-000051A80000}"/>
    <cellStyle name="Total 2 5 3" xfId="14943" xr:uid="{00000000-0005-0000-0000-000052A80000}"/>
    <cellStyle name="Total 2 5 4" xfId="14944" xr:uid="{00000000-0005-0000-0000-000053A80000}"/>
    <cellStyle name="Total 2 5 5" xfId="17506" xr:uid="{00000000-0005-0000-0000-000054A80000}"/>
    <cellStyle name="Total 2 5 6" xfId="19148" xr:uid="{00000000-0005-0000-0000-000055A80000}"/>
    <cellStyle name="Total 2 5 7" xfId="38080" xr:uid="{00000000-0005-0000-0000-000056A80000}"/>
    <cellStyle name="Total 2 6" xfId="7878" xr:uid="{00000000-0005-0000-0000-000057A80000}"/>
    <cellStyle name="Total 2 6 2" xfId="7879" xr:uid="{00000000-0005-0000-0000-000058A80000}"/>
    <cellStyle name="Total 2 6 2 2" xfId="14945" xr:uid="{00000000-0005-0000-0000-000059A80000}"/>
    <cellStyle name="Total 2 6 2 3" xfId="14946" xr:uid="{00000000-0005-0000-0000-00005AA80000}"/>
    <cellStyle name="Total 2 6 2 4" xfId="14947" xr:uid="{00000000-0005-0000-0000-00005BA80000}"/>
    <cellStyle name="Total 2 6 2 5" xfId="18046" xr:uid="{00000000-0005-0000-0000-00005CA80000}"/>
    <cellStyle name="Total 2 6 2 6" xfId="19242" xr:uid="{00000000-0005-0000-0000-00005DA80000}"/>
    <cellStyle name="Total 2 6 2 7" xfId="44038" xr:uid="{00000000-0005-0000-0000-00005EA80000}"/>
    <cellStyle name="Total 2 6 3" xfId="7880" xr:uid="{00000000-0005-0000-0000-00005FA80000}"/>
    <cellStyle name="Total 2 6 3 2" xfId="14948" xr:uid="{00000000-0005-0000-0000-000060A80000}"/>
    <cellStyle name="Total 2 6 3 3" xfId="14949" xr:uid="{00000000-0005-0000-0000-000061A80000}"/>
    <cellStyle name="Total 2 6 3 4" xfId="14950" xr:uid="{00000000-0005-0000-0000-000062A80000}"/>
    <cellStyle name="Total 2 6 3 5" xfId="18293" xr:uid="{00000000-0005-0000-0000-000063A80000}"/>
    <cellStyle name="Total 2 6 3 6" xfId="19257" xr:uid="{00000000-0005-0000-0000-000064A80000}"/>
    <cellStyle name="Total 2 6 4" xfId="14951" xr:uid="{00000000-0005-0000-0000-000065A80000}"/>
    <cellStyle name="Total 2 6 5" xfId="14952" xr:uid="{00000000-0005-0000-0000-000066A80000}"/>
    <cellStyle name="Total 2 6 6" xfId="14953" xr:uid="{00000000-0005-0000-0000-000067A80000}"/>
    <cellStyle name="Total 2 6 7" xfId="17507" xr:uid="{00000000-0005-0000-0000-000068A80000}"/>
    <cellStyle name="Total 2 6 8" xfId="19149" xr:uid="{00000000-0005-0000-0000-000069A80000}"/>
    <cellStyle name="Total 2 6 9" xfId="38081" xr:uid="{00000000-0005-0000-0000-00006AA80000}"/>
    <cellStyle name="Total 2 7" xfId="14954" xr:uid="{00000000-0005-0000-0000-00006BA80000}"/>
    <cellStyle name="Total 2 7 2" xfId="14955" xr:uid="{00000000-0005-0000-0000-00006CA80000}"/>
    <cellStyle name="Total 2 7 2 2" xfId="44039" xr:uid="{00000000-0005-0000-0000-00006DA80000}"/>
    <cellStyle name="Total 2 7 3" xfId="14956" xr:uid="{00000000-0005-0000-0000-00006EA80000}"/>
    <cellStyle name="Total 2 7 4" xfId="14957" xr:uid="{00000000-0005-0000-0000-00006FA80000}"/>
    <cellStyle name="Total 2 7 5" xfId="38082" xr:uid="{00000000-0005-0000-0000-000070A80000}"/>
    <cellStyle name="Total 2 8" xfId="14958" xr:uid="{00000000-0005-0000-0000-000071A80000}"/>
    <cellStyle name="Total 2 8 2" xfId="44040" xr:uid="{00000000-0005-0000-0000-000072A80000}"/>
    <cellStyle name="Total 2 8 3" xfId="38083" xr:uid="{00000000-0005-0000-0000-000073A80000}"/>
    <cellStyle name="Total 2 9" xfId="14959" xr:uid="{00000000-0005-0000-0000-000074A80000}"/>
    <cellStyle name="Total 2 9 2" xfId="44041" xr:uid="{00000000-0005-0000-0000-000075A80000}"/>
    <cellStyle name="Total 2 9 3" xfId="38084" xr:uid="{00000000-0005-0000-0000-000076A80000}"/>
    <cellStyle name="Total 20" xfId="7881" xr:uid="{00000000-0005-0000-0000-000077A80000}"/>
    <cellStyle name="Total 20 2" xfId="7882" xr:uid="{00000000-0005-0000-0000-000078A80000}"/>
    <cellStyle name="Total 20 2 2" xfId="7883" xr:uid="{00000000-0005-0000-0000-000079A80000}"/>
    <cellStyle name="Total 20 2 2 2" xfId="14960" xr:uid="{00000000-0005-0000-0000-00007AA80000}"/>
    <cellStyle name="Total 20 2 2 3" xfId="14961" xr:uid="{00000000-0005-0000-0000-00007BA80000}"/>
    <cellStyle name="Total 20 2 2 4" xfId="14962" xr:uid="{00000000-0005-0000-0000-00007CA80000}"/>
    <cellStyle name="Total 20 2 2 5" xfId="17509" xr:uid="{00000000-0005-0000-0000-00007DA80000}"/>
    <cellStyle name="Total 20 2 2 6" xfId="19151" xr:uid="{00000000-0005-0000-0000-00007EA80000}"/>
    <cellStyle name="Total 20 2 3" xfId="7884" xr:uid="{00000000-0005-0000-0000-00007FA80000}"/>
    <cellStyle name="Total 20 2 3 2" xfId="14963" xr:uid="{00000000-0005-0000-0000-000080A80000}"/>
    <cellStyle name="Total 20 2 3 3" xfId="14964" xr:uid="{00000000-0005-0000-0000-000081A80000}"/>
    <cellStyle name="Total 20 2 3 4" xfId="14965" xr:uid="{00000000-0005-0000-0000-000082A80000}"/>
    <cellStyle name="Total 20 2 3 5" xfId="17510" xr:uid="{00000000-0005-0000-0000-000083A80000}"/>
    <cellStyle name="Total 20 2 3 6" xfId="19152" xr:uid="{00000000-0005-0000-0000-000084A80000}"/>
    <cellStyle name="Total 20 2 4" xfId="14966" xr:uid="{00000000-0005-0000-0000-000085A80000}"/>
    <cellStyle name="Total 20 2 5" xfId="14967" xr:uid="{00000000-0005-0000-0000-000086A80000}"/>
    <cellStyle name="Total 20 2 6" xfId="14968" xr:uid="{00000000-0005-0000-0000-000087A80000}"/>
    <cellStyle name="Total 20 2 7" xfId="17508" xr:uid="{00000000-0005-0000-0000-000088A80000}"/>
    <cellStyle name="Total 20 2 8" xfId="19150" xr:uid="{00000000-0005-0000-0000-000089A80000}"/>
    <cellStyle name="Total 20 3" xfId="7885" xr:uid="{00000000-0005-0000-0000-00008AA80000}"/>
    <cellStyle name="Total 20 3 2" xfId="14969" xr:uid="{00000000-0005-0000-0000-00008BA80000}"/>
    <cellStyle name="Total 20 3 3" xfId="14970" xr:uid="{00000000-0005-0000-0000-00008CA80000}"/>
    <cellStyle name="Total 20 3 4" xfId="14971" xr:uid="{00000000-0005-0000-0000-00008DA80000}"/>
    <cellStyle name="Total 20 3 5" xfId="17511" xr:uid="{00000000-0005-0000-0000-00008EA80000}"/>
    <cellStyle name="Total 20 3 6" xfId="19153" xr:uid="{00000000-0005-0000-0000-00008FA80000}"/>
    <cellStyle name="Total 20 4" xfId="7886" xr:uid="{00000000-0005-0000-0000-000090A80000}"/>
    <cellStyle name="Total 20 4 2" xfId="14972" xr:uid="{00000000-0005-0000-0000-000091A80000}"/>
    <cellStyle name="Total 20 4 3" xfId="14973" xr:uid="{00000000-0005-0000-0000-000092A80000}"/>
    <cellStyle name="Total 20 4 4" xfId="14974" xr:uid="{00000000-0005-0000-0000-000093A80000}"/>
    <cellStyle name="Total 20 4 5" xfId="17512" xr:uid="{00000000-0005-0000-0000-000094A80000}"/>
    <cellStyle name="Total 20 4 6" xfId="19154" xr:uid="{00000000-0005-0000-0000-000095A80000}"/>
    <cellStyle name="Total 20 5" xfId="14975" xr:uid="{00000000-0005-0000-0000-000096A80000}"/>
    <cellStyle name="Total 20 6" xfId="14976" xr:uid="{00000000-0005-0000-0000-000097A80000}"/>
    <cellStyle name="Total 20 7" xfId="14977" xr:uid="{00000000-0005-0000-0000-000098A80000}"/>
    <cellStyle name="Total 20 8" xfId="16082" xr:uid="{00000000-0005-0000-0000-000099A80000}"/>
    <cellStyle name="Total 20 9" xfId="15637" xr:uid="{00000000-0005-0000-0000-00009AA80000}"/>
    <cellStyle name="Total 21" xfId="7887" xr:uid="{00000000-0005-0000-0000-00009BA80000}"/>
    <cellStyle name="Total 21 2" xfId="7888" xr:uid="{00000000-0005-0000-0000-00009CA80000}"/>
    <cellStyle name="Total 21 2 2" xfId="7889" xr:uid="{00000000-0005-0000-0000-00009DA80000}"/>
    <cellStyle name="Total 21 2 2 2" xfId="14978" xr:uid="{00000000-0005-0000-0000-00009EA80000}"/>
    <cellStyle name="Total 21 2 2 3" xfId="14979" xr:uid="{00000000-0005-0000-0000-00009FA80000}"/>
    <cellStyle name="Total 21 2 2 4" xfId="14980" xr:uid="{00000000-0005-0000-0000-0000A0A80000}"/>
    <cellStyle name="Total 21 2 2 5" xfId="17514" xr:uid="{00000000-0005-0000-0000-0000A1A80000}"/>
    <cellStyle name="Total 21 2 2 6" xfId="19156" xr:uid="{00000000-0005-0000-0000-0000A2A80000}"/>
    <cellStyle name="Total 21 2 3" xfId="7890" xr:uid="{00000000-0005-0000-0000-0000A3A80000}"/>
    <cellStyle name="Total 21 2 3 2" xfId="14981" xr:uid="{00000000-0005-0000-0000-0000A4A80000}"/>
    <cellStyle name="Total 21 2 3 3" xfId="14982" xr:uid="{00000000-0005-0000-0000-0000A5A80000}"/>
    <cellStyle name="Total 21 2 3 4" xfId="14983" xr:uid="{00000000-0005-0000-0000-0000A6A80000}"/>
    <cellStyle name="Total 21 2 3 5" xfId="17515" xr:uid="{00000000-0005-0000-0000-0000A7A80000}"/>
    <cellStyle name="Total 21 2 3 6" xfId="19157" xr:uid="{00000000-0005-0000-0000-0000A8A80000}"/>
    <cellStyle name="Total 21 2 4" xfId="14984" xr:uid="{00000000-0005-0000-0000-0000A9A80000}"/>
    <cellStyle name="Total 21 2 5" xfId="14985" xr:uid="{00000000-0005-0000-0000-0000AAA80000}"/>
    <cellStyle name="Total 21 2 6" xfId="14986" xr:uid="{00000000-0005-0000-0000-0000ABA80000}"/>
    <cellStyle name="Total 21 2 7" xfId="17513" xr:uid="{00000000-0005-0000-0000-0000ACA80000}"/>
    <cellStyle name="Total 21 2 8" xfId="19155" xr:uid="{00000000-0005-0000-0000-0000ADA80000}"/>
    <cellStyle name="Total 21 3" xfId="7891" xr:uid="{00000000-0005-0000-0000-0000AEA80000}"/>
    <cellStyle name="Total 21 3 2" xfId="14987" xr:uid="{00000000-0005-0000-0000-0000AFA80000}"/>
    <cellStyle name="Total 21 3 3" xfId="14988" xr:uid="{00000000-0005-0000-0000-0000B0A80000}"/>
    <cellStyle name="Total 21 3 4" xfId="14989" xr:uid="{00000000-0005-0000-0000-0000B1A80000}"/>
    <cellStyle name="Total 21 3 5" xfId="17516" xr:uid="{00000000-0005-0000-0000-0000B2A80000}"/>
    <cellStyle name="Total 21 3 6" xfId="19158" xr:uid="{00000000-0005-0000-0000-0000B3A80000}"/>
    <cellStyle name="Total 21 4" xfId="7892" xr:uid="{00000000-0005-0000-0000-0000B4A80000}"/>
    <cellStyle name="Total 21 4 2" xfId="14990" xr:uid="{00000000-0005-0000-0000-0000B5A80000}"/>
    <cellStyle name="Total 21 4 3" xfId="14991" xr:uid="{00000000-0005-0000-0000-0000B6A80000}"/>
    <cellStyle name="Total 21 4 4" xfId="14992" xr:uid="{00000000-0005-0000-0000-0000B7A80000}"/>
    <cellStyle name="Total 21 4 5" xfId="17517" xr:uid="{00000000-0005-0000-0000-0000B8A80000}"/>
    <cellStyle name="Total 21 4 6" xfId="19159" xr:uid="{00000000-0005-0000-0000-0000B9A80000}"/>
    <cellStyle name="Total 21 5" xfId="14993" xr:uid="{00000000-0005-0000-0000-0000BAA80000}"/>
    <cellStyle name="Total 21 6" xfId="14994" xr:uid="{00000000-0005-0000-0000-0000BBA80000}"/>
    <cellStyle name="Total 21 7" xfId="14995" xr:uid="{00000000-0005-0000-0000-0000BCA80000}"/>
    <cellStyle name="Total 21 8" xfId="16083" xr:uid="{00000000-0005-0000-0000-0000BDA80000}"/>
    <cellStyle name="Total 21 9" xfId="15636" xr:uid="{00000000-0005-0000-0000-0000BEA80000}"/>
    <cellStyle name="Total 22" xfId="7893" xr:uid="{00000000-0005-0000-0000-0000BFA80000}"/>
    <cellStyle name="Total 22 2" xfId="7894" xr:uid="{00000000-0005-0000-0000-0000C0A80000}"/>
    <cellStyle name="Total 22 2 2" xfId="7895" xr:uid="{00000000-0005-0000-0000-0000C1A80000}"/>
    <cellStyle name="Total 22 2 2 2" xfId="14996" xr:uid="{00000000-0005-0000-0000-0000C2A80000}"/>
    <cellStyle name="Total 22 2 2 3" xfId="14997" xr:uid="{00000000-0005-0000-0000-0000C3A80000}"/>
    <cellStyle name="Total 22 2 2 4" xfId="14998" xr:uid="{00000000-0005-0000-0000-0000C4A80000}"/>
    <cellStyle name="Total 22 2 2 5" xfId="17519" xr:uid="{00000000-0005-0000-0000-0000C5A80000}"/>
    <cellStyle name="Total 22 2 2 6" xfId="19161" xr:uid="{00000000-0005-0000-0000-0000C6A80000}"/>
    <cellStyle name="Total 22 2 3" xfId="7896" xr:uid="{00000000-0005-0000-0000-0000C7A80000}"/>
    <cellStyle name="Total 22 2 3 2" xfId="14999" xr:uid="{00000000-0005-0000-0000-0000C8A80000}"/>
    <cellStyle name="Total 22 2 3 3" xfId="15000" xr:uid="{00000000-0005-0000-0000-0000C9A80000}"/>
    <cellStyle name="Total 22 2 3 4" xfId="15001" xr:uid="{00000000-0005-0000-0000-0000CAA80000}"/>
    <cellStyle name="Total 22 2 3 5" xfId="17520" xr:uid="{00000000-0005-0000-0000-0000CBA80000}"/>
    <cellStyle name="Total 22 2 3 6" xfId="19162" xr:uid="{00000000-0005-0000-0000-0000CCA80000}"/>
    <cellStyle name="Total 22 2 4" xfId="15002" xr:uid="{00000000-0005-0000-0000-0000CDA80000}"/>
    <cellStyle name="Total 22 2 5" xfId="15003" xr:uid="{00000000-0005-0000-0000-0000CEA80000}"/>
    <cellStyle name="Total 22 2 6" xfId="15004" xr:uid="{00000000-0005-0000-0000-0000CFA80000}"/>
    <cellStyle name="Total 22 2 7" xfId="17518" xr:uid="{00000000-0005-0000-0000-0000D0A80000}"/>
    <cellStyle name="Total 22 2 8" xfId="19160" xr:uid="{00000000-0005-0000-0000-0000D1A80000}"/>
    <cellStyle name="Total 22 3" xfId="7897" xr:uid="{00000000-0005-0000-0000-0000D2A80000}"/>
    <cellStyle name="Total 22 3 2" xfId="15005" xr:uid="{00000000-0005-0000-0000-0000D3A80000}"/>
    <cellStyle name="Total 22 3 3" xfId="15006" xr:uid="{00000000-0005-0000-0000-0000D4A80000}"/>
    <cellStyle name="Total 22 3 4" xfId="15007" xr:uid="{00000000-0005-0000-0000-0000D5A80000}"/>
    <cellStyle name="Total 22 3 5" xfId="17521" xr:uid="{00000000-0005-0000-0000-0000D6A80000}"/>
    <cellStyle name="Total 22 3 6" xfId="19163" xr:uid="{00000000-0005-0000-0000-0000D7A80000}"/>
    <cellStyle name="Total 22 4" xfId="7898" xr:uid="{00000000-0005-0000-0000-0000D8A80000}"/>
    <cellStyle name="Total 22 4 2" xfId="15008" xr:uid="{00000000-0005-0000-0000-0000D9A80000}"/>
    <cellStyle name="Total 22 4 3" xfId="15009" xr:uid="{00000000-0005-0000-0000-0000DAA80000}"/>
    <cellStyle name="Total 22 4 4" xfId="15010" xr:uid="{00000000-0005-0000-0000-0000DBA80000}"/>
    <cellStyle name="Total 22 4 5" xfId="17522" xr:uid="{00000000-0005-0000-0000-0000DCA80000}"/>
    <cellStyle name="Total 22 4 6" xfId="19164" xr:uid="{00000000-0005-0000-0000-0000DDA80000}"/>
    <cellStyle name="Total 22 5" xfId="15011" xr:uid="{00000000-0005-0000-0000-0000DEA80000}"/>
    <cellStyle name="Total 22 6" xfId="15012" xr:uid="{00000000-0005-0000-0000-0000DFA80000}"/>
    <cellStyle name="Total 22 7" xfId="15013" xr:uid="{00000000-0005-0000-0000-0000E0A80000}"/>
    <cellStyle name="Total 22 8" xfId="16084" xr:uid="{00000000-0005-0000-0000-0000E1A80000}"/>
    <cellStyle name="Total 22 9" xfId="15635" xr:uid="{00000000-0005-0000-0000-0000E2A80000}"/>
    <cellStyle name="Total 3" xfId="7899" xr:uid="{00000000-0005-0000-0000-0000E3A80000}"/>
    <cellStyle name="Total 3 10" xfId="19165" xr:uid="{00000000-0005-0000-0000-0000E4A80000}"/>
    <cellStyle name="Total 3 10 2" xfId="44043" xr:uid="{00000000-0005-0000-0000-0000E5A80000}"/>
    <cellStyle name="Total 3 10 3" xfId="38086" xr:uid="{00000000-0005-0000-0000-0000E6A80000}"/>
    <cellStyle name="Total 3 11" xfId="38087" xr:uid="{00000000-0005-0000-0000-0000E7A80000}"/>
    <cellStyle name="Total 3 11 2" xfId="44044" xr:uid="{00000000-0005-0000-0000-0000E8A80000}"/>
    <cellStyle name="Total 3 12" xfId="38088" xr:uid="{00000000-0005-0000-0000-0000E9A80000}"/>
    <cellStyle name="Total 3 12 2" xfId="44045" xr:uid="{00000000-0005-0000-0000-0000EAA80000}"/>
    <cellStyle name="Total 3 13" xfId="38089" xr:uid="{00000000-0005-0000-0000-0000EBA80000}"/>
    <cellStyle name="Total 3 13 2" xfId="44046" xr:uid="{00000000-0005-0000-0000-0000ECA80000}"/>
    <cellStyle name="Total 3 14" xfId="38090" xr:uid="{00000000-0005-0000-0000-0000EDA80000}"/>
    <cellStyle name="Total 3 14 2" xfId="44047" xr:uid="{00000000-0005-0000-0000-0000EEA80000}"/>
    <cellStyle name="Total 3 15" xfId="38091" xr:uid="{00000000-0005-0000-0000-0000EFA80000}"/>
    <cellStyle name="Total 3 15 2" xfId="44048" xr:uid="{00000000-0005-0000-0000-0000F0A80000}"/>
    <cellStyle name="Total 3 16" xfId="38092" xr:uid="{00000000-0005-0000-0000-0000F1A80000}"/>
    <cellStyle name="Total 3 16 2" xfId="44049" xr:uid="{00000000-0005-0000-0000-0000F2A80000}"/>
    <cellStyle name="Total 3 17" xfId="38093" xr:uid="{00000000-0005-0000-0000-0000F3A80000}"/>
    <cellStyle name="Total 3 17 2" xfId="44050" xr:uid="{00000000-0005-0000-0000-0000F4A80000}"/>
    <cellStyle name="Total 3 18" xfId="38094" xr:uid="{00000000-0005-0000-0000-0000F5A80000}"/>
    <cellStyle name="Total 3 18 2" xfId="44051" xr:uid="{00000000-0005-0000-0000-0000F6A80000}"/>
    <cellStyle name="Total 3 19" xfId="38095" xr:uid="{00000000-0005-0000-0000-0000F7A80000}"/>
    <cellStyle name="Total 3 19 2" xfId="44052" xr:uid="{00000000-0005-0000-0000-0000F8A80000}"/>
    <cellStyle name="Total 3 2" xfId="7900" xr:uid="{00000000-0005-0000-0000-0000F9A80000}"/>
    <cellStyle name="Total 3 2 10" xfId="38096" xr:uid="{00000000-0005-0000-0000-0000FAA80000}"/>
    <cellStyle name="Total 3 2 2" xfId="7901" xr:uid="{00000000-0005-0000-0000-0000FBA80000}"/>
    <cellStyle name="Total 3 2 2 2" xfId="7902" xr:uid="{00000000-0005-0000-0000-0000FCA80000}"/>
    <cellStyle name="Total 3 2 2 2 2" xfId="15014" xr:uid="{00000000-0005-0000-0000-0000FDA80000}"/>
    <cellStyle name="Total 3 2 2 2 3" xfId="15015" xr:uid="{00000000-0005-0000-0000-0000FEA80000}"/>
    <cellStyle name="Total 3 2 2 2 4" xfId="15016" xr:uid="{00000000-0005-0000-0000-0000FFA80000}"/>
    <cellStyle name="Total 3 2 2 2 5" xfId="17525" xr:uid="{00000000-0005-0000-0000-000000A90000}"/>
    <cellStyle name="Total 3 2 2 2 6" xfId="19167" xr:uid="{00000000-0005-0000-0000-000001A90000}"/>
    <cellStyle name="Total 3 2 2 2 7" xfId="44054" xr:uid="{00000000-0005-0000-0000-000002A90000}"/>
    <cellStyle name="Total 3 2 2 3" xfId="7903" xr:uid="{00000000-0005-0000-0000-000003A90000}"/>
    <cellStyle name="Total 3 2 2 3 2" xfId="15017" xr:uid="{00000000-0005-0000-0000-000004A90000}"/>
    <cellStyle name="Total 3 2 2 3 3" xfId="15018" xr:uid="{00000000-0005-0000-0000-000005A90000}"/>
    <cellStyle name="Total 3 2 2 3 4" xfId="15019" xr:uid="{00000000-0005-0000-0000-000006A90000}"/>
    <cellStyle name="Total 3 2 2 3 5" xfId="17526" xr:uid="{00000000-0005-0000-0000-000007A90000}"/>
    <cellStyle name="Total 3 2 2 3 6" xfId="19168" xr:uid="{00000000-0005-0000-0000-000008A90000}"/>
    <cellStyle name="Total 3 2 2 4" xfId="15020" xr:uid="{00000000-0005-0000-0000-000009A90000}"/>
    <cellStyle name="Total 3 2 2 5" xfId="15021" xr:uid="{00000000-0005-0000-0000-00000AA90000}"/>
    <cellStyle name="Total 3 2 2 6" xfId="15022" xr:uid="{00000000-0005-0000-0000-00000BA90000}"/>
    <cellStyle name="Total 3 2 2 7" xfId="17524" xr:uid="{00000000-0005-0000-0000-00000CA90000}"/>
    <cellStyle name="Total 3 2 2 8" xfId="19166" xr:uid="{00000000-0005-0000-0000-00000DA90000}"/>
    <cellStyle name="Total 3 2 2 9" xfId="38097" xr:uid="{00000000-0005-0000-0000-00000EA90000}"/>
    <cellStyle name="Total 3 2 3" xfId="7904" xr:uid="{00000000-0005-0000-0000-00000FA90000}"/>
    <cellStyle name="Total 3 2 3 2" xfId="15023" xr:uid="{00000000-0005-0000-0000-000010A90000}"/>
    <cellStyle name="Total 3 2 3 3" xfId="15024" xr:uid="{00000000-0005-0000-0000-000011A90000}"/>
    <cellStyle name="Total 3 2 3 4" xfId="15025" xr:uid="{00000000-0005-0000-0000-000012A90000}"/>
    <cellStyle name="Total 3 2 3 5" xfId="17527" xr:uid="{00000000-0005-0000-0000-000013A90000}"/>
    <cellStyle name="Total 3 2 3 6" xfId="19169" xr:uid="{00000000-0005-0000-0000-000014A90000}"/>
    <cellStyle name="Total 3 2 4" xfId="7905" xr:uid="{00000000-0005-0000-0000-000015A90000}"/>
    <cellStyle name="Total 3 2 4 2" xfId="15026" xr:uid="{00000000-0005-0000-0000-000016A90000}"/>
    <cellStyle name="Total 3 2 4 3" xfId="15027" xr:uid="{00000000-0005-0000-0000-000017A90000}"/>
    <cellStyle name="Total 3 2 4 4" xfId="15028" xr:uid="{00000000-0005-0000-0000-000018A90000}"/>
    <cellStyle name="Total 3 2 4 5" xfId="17528" xr:uid="{00000000-0005-0000-0000-000019A90000}"/>
    <cellStyle name="Total 3 2 4 6" xfId="19170" xr:uid="{00000000-0005-0000-0000-00001AA90000}"/>
    <cellStyle name="Total 3 2 4 7" xfId="44053" xr:uid="{00000000-0005-0000-0000-00001BA90000}"/>
    <cellStyle name="Total 3 2 5" xfId="15029" xr:uid="{00000000-0005-0000-0000-00001CA90000}"/>
    <cellStyle name="Total 3 2 6" xfId="15030" xr:uid="{00000000-0005-0000-0000-00001DA90000}"/>
    <cellStyle name="Total 3 2 7" xfId="15031" xr:uid="{00000000-0005-0000-0000-00001EA90000}"/>
    <cellStyle name="Total 3 2 8" xfId="16085" xr:uid="{00000000-0005-0000-0000-00001FA90000}"/>
    <cellStyle name="Total 3 2 9" xfId="19023" xr:uid="{00000000-0005-0000-0000-000020A90000}"/>
    <cellStyle name="Total 3 20" xfId="38098" xr:uid="{00000000-0005-0000-0000-000021A90000}"/>
    <cellStyle name="Total 3 20 2" xfId="44055" xr:uid="{00000000-0005-0000-0000-000022A90000}"/>
    <cellStyle name="Total 3 21" xfId="38099" xr:uid="{00000000-0005-0000-0000-000023A90000}"/>
    <cellStyle name="Total 3 21 2" xfId="44056" xr:uid="{00000000-0005-0000-0000-000024A90000}"/>
    <cellStyle name="Total 3 22" xfId="38100" xr:uid="{00000000-0005-0000-0000-000025A90000}"/>
    <cellStyle name="Total 3 22 2" xfId="44057" xr:uid="{00000000-0005-0000-0000-000026A90000}"/>
    <cellStyle name="Total 3 23" xfId="38101" xr:uid="{00000000-0005-0000-0000-000027A90000}"/>
    <cellStyle name="Total 3 23 2" xfId="44058" xr:uid="{00000000-0005-0000-0000-000028A90000}"/>
    <cellStyle name="Total 3 24" xfId="38102" xr:uid="{00000000-0005-0000-0000-000029A90000}"/>
    <cellStyle name="Total 3 24 2" xfId="44059" xr:uid="{00000000-0005-0000-0000-00002AA90000}"/>
    <cellStyle name="Total 3 25" xfId="38103" xr:uid="{00000000-0005-0000-0000-00002BA90000}"/>
    <cellStyle name="Total 3 25 2" xfId="38104" xr:uid="{00000000-0005-0000-0000-00002CA90000}"/>
    <cellStyle name="Total 3 25 2 2" xfId="44061" xr:uid="{00000000-0005-0000-0000-00002DA90000}"/>
    <cellStyle name="Total 3 25 3" xfId="44060" xr:uid="{00000000-0005-0000-0000-00002EA90000}"/>
    <cellStyle name="Total 3 26" xfId="38105" xr:uid="{00000000-0005-0000-0000-00002FA90000}"/>
    <cellStyle name="Total 3 26 2" xfId="44062" xr:uid="{00000000-0005-0000-0000-000030A90000}"/>
    <cellStyle name="Total 3 27" xfId="38106" xr:uid="{00000000-0005-0000-0000-000031A90000}"/>
    <cellStyle name="Total 3 28" xfId="44042" xr:uid="{00000000-0005-0000-0000-000032A90000}"/>
    <cellStyle name="Total 3 29" xfId="38085" xr:uid="{00000000-0005-0000-0000-000033A90000}"/>
    <cellStyle name="Total 3 3" xfId="7906" xr:uid="{00000000-0005-0000-0000-000034A90000}"/>
    <cellStyle name="Total 3 3 10" xfId="38107" xr:uid="{00000000-0005-0000-0000-000035A90000}"/>
    <cellStyle name="Total 3 3 2" xfId="7907" xr:uid="{00000000-0005-0000-0000-000036A90000}"/>
    <cellStyle name="Total 3 3 2 2" xfId="7908" xr:uid="{00000000-0005-0000-0000-000037A90000}"/>
    <cellStyle name="Total 3 3 2 2 2" xfId="15032" xr:uid="{00000000-0005-0000-0000-000038A90000}"/>
    <cellStyle name="Total 3 3 2 2 3" xfId="15033" xr:uid="{00000000-0005-0000-0000-000039A90000}"/>
    <cellStyle name="Total 3 3 2 2 4" xfId="15034" xr:uid="{00000000-0005-0000-0000-00003AA90000}"/>
    <cellStyle name="Total 3 3 2 2 5" xfId="17530" xr:uid="{00000000-0005-0000-0000-00003BA90000}"/>
    <cellStyle name="Total 3 3 2 2 6" xfId="19172" xr:uid="{00000000-0005-0000-0000-00003CA90000}"/>
    <cellStyle name="Total 3 3 2 3" xfId="7909" xr:uid="{00000000-0005-0000-0000-00003DA90000}"/>
    <cellStyle name="Total 3 3 2 3 2" xfId="15035" xr:uid="{00000000-0005-0000-0000-00003EA90000}"/>
    <cellStyle name="Total 3 3 2 3 3" xfId="15036" xr:uid="{00000000-0005-0000-0000-00003FA90000}"/>
    <cellStyle name="Total 3 3 2 3 4" xfId="15037" xr:uid="{00000000-0005-0000-0000-000040A90000}"/>
    <cellStyle name="Total 3 3 2 3 5" xfId="17531" xr:uid="{00000000-0005-0000-0000-000041A90000}"/>
    <cellStyle name="Total 3 3 2 3 6" xfId="19173" xr:uid="{00000000-0005-0000-0000-000042A90000}"/>
    <cellStyle name="Total 3 3 2 4" xfId="15038" xr:uid="{00000000-0005-0000-0000-000043A90000}"/>
    <cellStyle name="Total 3 3 2 5" xfId="15039" xr:uid="{00000000-0005-0000-0000-000044A90000}"/>
    <cellStyle name="Total 3 3 2 6" xfId="15040" xr:uid="{00000000-0005-0000-0000-000045A90000}"/>
    <cellStyle name="Total 3 3 2 7" xfId="17529" xr:uid="{00000000-0005-0000-0000-000046A90000}"/>
    <cellStyle name="Total 3 3 2 8" xfId="19171" xr:uid="{00000000-0005-0000-0000-000047A90000}"/>
    <cellStyle name="Total 3 3 2 9" xfId="44063" xr:uid="{00000000-0005-0000-0000-000048A90000}"/>
    <cellStyle name="Total 3 3 3" xfId="7910" xr:uid="{00000000-0005-0000-0000-000049A90000}"/>
    <cellStyle name="Total 3 3 3 2" xfId="15041" xr:uid="{00000000-0005-0000-0000-00004AA90000}"/>
    <cellStyle name="Total 3 3 3 3" xfId="15042" xr:uid="{00000000-0005-0000-0000-00004BA90000}"/>
    <cellStyle name="Total 3 3 3 4" xfId="15043" xr:uid="{00000000-0005-0000-0000-00004CA90000}"/>
    <cellStyle name="Total 3 3 3 5" xfId="17532" xr:uid="{00000000-0005-0000-0000-00004DA90000}"/>
    <cellStyle name="Total 3 3 3 6" xfId="19174" xr:uid="{00000000-0005-0000-0000-00004EA90000}"/>
    <cellStyle name="Total 3 3 4" xfId="7911" xr:uid="{00000000-0005-0000-0000-00004FA90000}"/>
    <cellStyle name="Total 3 3 4 2" xfId="15044" xr:uid="{00000000-0005-0000-0000-000050A90000}"/>
    <cellStyle name="Total 3 3 4 3" xfId="15045" xr:uid="{00000000-0005-0000-0000-000051A90000}"/>
    <cellStyle name="Total 3 3 4 4" xfId="15046" xr:uid="{00000000-0005-0000-0000-000052A90000}"/>
    <cellStyle name="Total 3 3 4 5" xfId="17533" xr:uid="{00000000-0005-0000-0000-000053A90000}"/>
    <cellStyle name="Total 3 3 4 6" xfId="19175" xr:uid="{00000000-0005-0000-0000-000054A90000}"/>
    <cellStyle name="Total 3 3 5" xfId="15047" xr:uid="{00000000-0005-0000-0000-000055A90000}"/>
    <cellStyle name="Total 3 3 6" xfId="15048" xr:uid="{00000000-0005-0000-0000-000056A90000}"/>
    <cellStyle name="Total 3 3 7" xfId="15049" xr:uid="{00000000-0005-0000-0000-000057A90000}"/>
    <cellStyle name="Total 3 3 8" xfId="16086" xr:uid="{00000000-0005-0000-0000-000058A90000}"/>
    <cellStyle name="Total 3 3 9" xfId="18385" xr:uid="{00000000-0005-0000-0000-000059A90000}"/>
    <cellStyle name="Total 3 4" xfId="7912" xr:uid="{00000000-0005-0000-0000-00005AA90000}"/>
    <cellStyle name="Total 3 4 2" xfId="15050" xr:uid="{00000000-0005-0000-0000-00005BA90000}"/>
    <cellStyle name="Total 3 4 2 2" xfId="44064" xr:uid="{00000000-0005-0000-0000-00005CA90000}"/>
    <cellStyle name="Total 3 4 3" xfId="15051" xr:uid="{00000000-0005-0000-0000-00005DA90000}"/>
    <cellStyle name="Total 3 4 4" xfId="15052" xr:uid="{00000000-0005-0000-0000-00005EA90000}"/>
    <cellStyle name="Total 3 4 5" xfId="17534" xr:uid="{00000000-0005-0000-0000-00005FA90000}"/>
    <cellStyle name="Total 3 4 6" xfId="19176" xr:uid="{00000000-0005-0000-0000-000060A90000}"/>
    <cellStyle name="Total 3 4 7" xfId="38108" xr:uid="{00000000-0005-0000-0000-000061A90000}"/>
    <cellStyle name="Total 3 5" xfId="7913" xr:uid="{00000000-0005-0000-0000-000062A90000}"/>
    <cellStyle name="Total 3 5 2" xfId="15053" xr:uid="{00000000-0005-0000-0000-000063A90000}"/>
    <cellStyle name="Total 3 5 2 2" xfId="44065" xr:uid="{00000000-0005-0000-0000-000064A90000}"/>
    <cellStyle name="Total 3 5 3" xfId="15054" xr:uid="{00000000-0005-0000-0000-000065A90000}"/>
    <cellStyle name="Total 3 5 4" xfId="15055" xr:uid="{00000000-0005-0000-0000-000066A90000}"/>
    <cellStyle name="Total 3 5 5" xfId="17535" xr:uid="{00000000-0005-0000-0000-000067A90000}"/>
    <cellStyle name="Total 3 5 6" xfId="19177" xr:uid="{00000000-0005-0000-0000-000068A90000}"/>
    <cellStyle name="Total 3 5 7" xfId="38109" xr:uid="{00000000-0005-0000-0000-000069A90000}"/>
    <cellStyle name="Total 3 6" xfId="15056" xr:uid="{00000000-0005-0000-0000-00006AA90000}"/>
    <cellStyle name="Total 3 6 2" xfId="44066" xr:uid="{00000000-0005-0000-0000-00006BA90000}"/>
    <cellStyle name="Total 3 6 3" xfId="38110" xr:uid="{00000000-0005-0000-0000-00006CA90000}"/>
    <cellStyle name="Total 3 7" xfId="15057" xr:uid="{00000000-0005-0000-0000-00006DA90000}"/>
    <cellStyle name="Total 3 7 2" xfId="44067" xr:uid="{00000000-0005-0000-0000-00006EA90000}"/>
    <cellStyle name="Total 3 7 3" xfId="38111" xr:uid="{00000000-0005-0000-0000-00006FA90000}"/>
    <cellStyle name="Total 3 8" xfId="15058" xr:uid="{00000000-0005-0000-0000-000070A90000}"/>
    <cellStyle name="Total 3 8 2" xfId="44068" xr:uid="{00000000-0005-0000-0000-000071A90000}"/>
    <cellStyle name="Total 3 8 3" xfId="38112" xr:uid="{00000000-0005-0000-0000-000072A90000}"/>
    <cellStyle name="Total 3 9" xfId="17523" xr:uid="{00000000-0005-0000-0000-000073A90000}"/>
    <cellStyle name="Total 3 9 2" xfId="44069" xr:uid="{00000000-0005-0000-0000-000074A90000}"/>
    <cellStyle name="Total 3 9 3" xfId="38113" xr:uid="{00000000-0005-0000-0000-000075A90000}"/>
    <cellStyle name="Total 4" xfId="7914" xr:uid="{00000000-0005-0000-0000-000076A90000}"/>
    <cellStyle name="Total 4 10" xfId="38115" xr:uid="{00000000-0005-0000-0000-000077A90000}"/>
    <cellStyle name="Total 4 10 2" xfId="44071" xr:uid="{00000000-0005-0000-0000-000078A90000}"/>
    <cellStyle name="Total 4 11" xfId="38116" xr:uid="{00000000-0005-0000-0000-000079A90000}"/>
    <cellStyle name="Total 4 11 2" xfId="44072" xr:uid="{00000000-0005-0000-0000-00007AA90000}"/>
    <cellStyle name="Total 4 12" xfId="38117" xr:uid="{00000000-0005-0000-0000-00007BA90000}"/>
    <cellStyle name="Total 4 12 2" xfId="44073" xr:uid="{00000000-0005-0000-0000-00007CA90000}"/>
    <cellStyle name="Total 4 13" xfId="38118" xr:uid="{00000000-0005-0000-0000-00007DA90000}"/>
    <cellStyle name="Total 4 13 2" xfId="44074" xr:uid="{00000000-0005-0000-0000-00007EA90000}"/>
    <cellStyle name="Total 4 14" xfId="38119" xr:uid="{00000000-0005-0000-0000-00007FA90000}"/>
    <cellStyle name="Total 4 14 2" xfId="44075" xr:uid="{00000000-0005-0000-0000-000080A90000}"/>
    <cellStyle name="Total 4 15" xfId="38120" xr:uid="{00000000-0005-0000-0000-000081A90000}"/>
    <cellStyle name="Total 4 15 2" xfId="44076" xr:uid="{00000000-0005-0000-0000-000082A90000}"/>
    <cellStyle name="Total 4 16" xfId="38121" xr:uid="{00000000-0005-0000-0000-000083A90000}"/>
    <cellStyle name="Total 4 16 2" xfId="44077" xr:uid="{00000000-0005-0000-0000-000084A90000}"/>
    <cellStyle name="Total 4 17" xfId="38122" xr:uid="{00000000-0005-0000-0000-000085A90000}"/>
    <cellStyle name="Total 4 17 2" xfId="44078" xr:uid="{00000000-0005-0000-0000-000086A90000}"/>
    <cellStyle name="Total 4 18" xfId="38123" xr:uid="{00000000-0005-0000-0000-000087A90000}"/>
    <cellStyle name="Total 4 18 2" xfId="44079" xr:uid="{00000000-0005-0000-0000-000088A90000}"/>
    <cellStyle name="Total 4 19" xfId="38124" xr:uid="{00000000-0005-0000-0000-000089A90000}"/>
    <cellStyle name="Total 4 19 2" xfId="44080" xr:uid="{00000000-0005-0000-0000-00008AA90000}"/>
    <cellStyle name="Total 4 2" xfId="7915" xr:uid="{00000000-0005-0000-0000-00008BA90000}"/>
    <cellStyle name="Total 4 2 10" xfId="38125" xr:uid="{00000000-0005-0000-0000-00008CA90000}"/>
    <cellStyle name="Total 4 2 2" xfId="7916" xr:uid="{00000000-0005-0000-0000-00008DA90000}"/>
    <cellStyle name="Total 4 2 2 2" xfId="7917" xr:uid="{00000000-0005-0000-0000-00008EA90000}"/>
    <cellStyle name="Total 4 2 2 2 2" xfId="15059" xr:uid="{00000000-0005-0000-0000-00008FA90000}"/>
    <cellStyle name="Total 4 2 2 2 3" xfId="15060" xr:uid="{00000000-0005-0000-0000-000090A90000}"/>
    <cellStyle name="Total 4 2 2 2 4" xfId="15061" xr:uid="{00000000-0005-0000-0000-000091A90000}"/>
    <cellStyle name="Total 4 2 2 2 5" xfId="17537" xr:uid="{00000000-0005-0000-0000-000092A90000}"/>
    <cellStyle name="Total 4 2 2 2 6" xfId="19179" xr:uid="{00000000-0005-0000-0000-000093A90000}"/>
    <cellStyle name="Total 4 2 2 2 7" xfId="44082" xr:uid="{00000000-0005-0000-0000-000094A90000}"/>
    <cellStyle name="Total 4 2 2 3" xfId="7918" xr:uid="{00000000-0005-0000-0000-000095A90000}"/>
    <cellStyle name="Total 4 2 2 3 2" xfId="15062" xr:uid="{00000000-0005-0000-0000-000096A90000}"/>
    <cellStyle name="Total 4 2 2 3 3" xfId="15063" xr:uid="{00000000-0005-0000-0000-000097A90000}"/>
    <cellStyle name="Total 4 2 2 3 4" xfId="15064" xr:uid="{00000000-0005-0000-0000-000098A90000}"/>
    <cellStyle name="Total 4 2 2 3 5" xfId="17538" xr:uid="{00000000-0005-0000-0000-000099A90000}"/>
    <cellStyle name="Total 4 2 2 3 6" xfId="19180" xr:uid="{00000000-0005-0000-0000-00009AA90000}"/>
    <cellStyle name="Total 4 2 2 4" xfId="15065" xr:uid="{00000000-0005-0000-0000-00009BA90000}"/>
    <cellStyle name="Total 4 2 2 5" xfId="15066" xr:uid="{00000000-0005-0000-0000-00009CA90000}"/>
    <cellStyle name="Total 4 2 2 6" xfId="15067" xr:uid="{00000000-0005-0000-0000-00009DA90000}"/>
    <cellStyle name="Total 4 2 2 7" xfId="17536" xr:uid="{00000000-0005-0000-0000-00009EA90000}"/>
    <cellStyle name="Total 4 2 2 8" xfId="19178" xr:uid="{00000000-0005-0000-0000-00009FA90000}"/>
    <cellStyle name="Total 4 2 2 9" xfId="38126" xr:uid="{00000000-0005-0000-0000-0000A0A90000}"/>
    <cellStyle name="Total 4 2 3" xfId="7919" xr:uid="{00000000-0005-0000-0000-0000A1A90000}"/>
    <cellStyle name="Total 4 2 3 2" xfId="15068" xr:uid="{00000000-0005-0000-0000-0000A2A90000}"/>
    <cellStyle name="Total 4 2 3 3" xfId="15069" xr:uid="{00000000-0005-0000-0000-0000A3A90000}"/>
    <cellStyle name="Total 4 2 3 4" xfId="15070" xr:uid="{00000000-0005-0000-0000-0000A4A90000}"/>
    <cellStyle name="Total 4 2 3 5" xfId="17539" xr:uid="{00000000-0005-0000-0000-0000A5A90000}"/>
    <cellStyle name="Total 4 2 3 6" xfId="19181" xr:uid="{00000000-0005-0000-0000-0000A6A90000}"/>
    <cellStyle name="Total 4 2 3 7" xfId="44081" xr:uid="{00000000-0005-0000-0000-0000A7A90000}"/>
    <cellStyle name="Total 4 2 4" xfId="7920" xr:uid="{00000000-0005-0000-0000-0000A8A90000}"/>
    <cellStyle name="Total 4 2 4 2" xfId="15071" xr:uid="{00000000-0005-0000-0000-0000A9A90000}"/>
    <cellStyle name="Total 4 2 4 3" xfId="15072" xr:uid="{00000000-0005-0000-0000-0000AAA90000}"/>
    <cellStyle name="Total 4 2 4 4" xfId="15073" xr:uid="{00000000-0005-0000-0000-0000ABA90000}"/>
    <cellStyle name="Total 4 2 4 5" xfId="17540" xr:uid="{00000000-0005-0000-0000-0000ACA90000}"/>
    <cellStyle name="Total 4 2 4 6" xfId="19182" xr:uid="{00000000-0005-0000-0000-0000ADA90000}"/>
    <cellStyle name="Total 4 2 5" xfId="15074" xr:uid="{00000000-0005-0000-0000-0000AEA90000}"/>
    <cellStyle name="Total 4 2 6" xfId="15075" xr:uid="{00000000-0005-0000-0000-0000AFA90000}"/>
    <cellStyle name="Total 4 2 7" xfId="15076" xr:uid="{00000000-0005-0000-0000-0000B0A90000}"/>
    <cellStyle name="Total 4 2 8" xfId="16087" xr:uid="{00000000-0005-0000-0000-0000B1A90000}"/>
    <cellStyle name="Total 4 2 9" xfId="18081" xr:uid="{00000000-0005-0000-0000-0000B2A90000}"/>
    <cellStyle name="Total 4 20" xfId="38127" xr:uid="{00000000-0005-0000-0000-0000B3A90000}"/>
    <cellStyle name="Total 4 20 2" xfId="44083" xr:uid="{00000000-0005-0000-0000-0000B4A90000}"/>
    <cellStyle name="Total 4 21" xfId="38128" xr:uid="{00000000-0005-0000-0000-0000B5A90000}"/>
    <cellStyle name="Total 4 21 2" xfId="44084" xr:uid="{00000000-0005-0000-0000-0000B6A90000}"/>
    <cellStyle name="Total 4 22" xfId="38129" xr:uid="{00000000-0005-0000-0000-0000B7A90000}"/>
    <cellStyle name="Total 4 22 2" xfId="44085" xr:uid="{00000000-0005-0000-0000-0000B8A90000}"/>
    <cellStyle name="Total 4 23" xfId="38130" xr:uid="{00000000-0005-0000-0000-0000B9A90000}"/>
    <cellStyle name="Total 4 23 2" xfId="44086" xr:uid="{00000000-0005-0000-0000-0000BAA90000}"/>
    <cellStyle name="Total 4 24" xfId="38131" xr:uid="{00000000-0005-0000-0000-0000BBA90000}"/>
    <cellStyle name="Total 4 24 2" xfId="44087" xr:uid="{00000000-0005-0000-0000-0000BCA90000}"/>
    <cellStyle name="Total 4 25" xfId="38132" xr:uid="{00000000-0005-0000-0000-0000BDA90000}"/>
    <cellStyle name="Total 4 25 2" xfId="38133" xr:uid="{00000000-0005-0000-0000-0000BEA90000}"/>
    <cellStyle name="Total 4 25 2 2" xfId="44089" xr:uid="{00000000-0005-0000-0000-0000BFA90000}"/>
    <cellStyle name="Total 4 25 3" xfId="44088" xr:uid="{00000000-0005-0000-0000-0000C0A90000}"/>
    <cellStyle name="Total 4 26" xfId="38134" xr:uid="{00000000-0005-0000-0000-0000C1A90000}"/>
    <cellStyle name="Total 4 26 2" xfId="44090" xr:uid="{00000000-0005-0000-0000-0000C2A90000}"/>
    <cellStyle name="Total 4 27" xfId="38135" xr:uid="{00000000-0005-0000-0000-0000C3A90000}"/>
    <cellStyle name="Total 4 27 2" xfId="44091" xr:uid="{00000000-0005-0000-0000-0000C4A90000}"/>
    <cellStyle name="Total 4 28" xfId="38136" xr:uid="{00000000-0005-0000-0000-0000C5A90000}"/>
    <cellStyle name="Total 4 29" xfId="44070" xr:uid="{00000000-0005-0000-0000-0000C6A90000}"/>
    <cellStyle name="Total 4 3" xfId="7921" xr:uid="{00000000-0005-0000-0000-0000C7A90000}"/>
    <cellStyle name="Total 4 3 10" xfId="38137" xr:uid="{00000000-0005-0000-0000-0000C8A90000}"/>
    <cellStyle name="Total 4 3 2" xfId="7922" xr:uid="{00000000-0005-0000-0000-0000C9A90000}"/>
    <cellStyle name="Total 4 3 2 2" xfId="7923" xr:uid="{00000000-0005-0000-0000-0000CAA90000}"/>
    <cellStyle name="Total 4 3 2 2 2" xfId="15077" xr:uid="{00000000-0005-0000-0000-0000CBA90000}"/>
    <cellStyle name="Total 4 3 2 2 3" xfId="15078" xr:uid="{00000000-0005-0000-0000-0000CCA90000}"/>
    <cellStyle name="Total 4 3 2 2 4" xfId="15079" xr:uid="{00000000-0005-0000-0000-0000CDA90000}"/>
    <cellStyle name="Total 4 3 2 2 5" xfId="17542" xr:uid="{00000000-0005-0000-0000-0000CEA90000}"/>
    <cellStyle name="Total 4 3 2 2 6" xfId="19184" xr:uid="{00000000-0005-0000-0000-0000CFA90000}"/>
    <cellStyle name="Total 4 3 2 3" xfId="7924" xr:uid="{00000000-0005-0000-0000-0000D0A90000}"/>
    <cellStyle name="Total 4 3 2 3 2" xfId="15080" xr:uid="{00000000-0005-0000-0000-0000D1A90000}"/>
    <cellStyle name="Total 4 3 2 3 3" xfId="15081" xr:uid="{00000000-0005-0000-0000-0000D2A90000}"/>
    <cellStyle name="Total 4 3 2 3 4" xfId="15082" xr:uid="{00000000-0005-0000-0000-0000D3A90000}"/>
    <cellStyle name="Total 4 3 2 3 5" xfId="17543" xr:uid="{00000000-0005-0000-0000-0000D4A90000}"/>
    <cellStyle name="Total 4 3 2 3 6" xfId="19185" xr:uid="{00000000-0005-0000-0000-0000D5A90000}"/>
    <cellStyle name="Total 4 3 2 4" xfId="15083" xr:uid="{00000000-0005-0000-0000-0000D6A90000}"/>
    <cellStyle name="Total 4 3 2 5" xfId="15084" xr:uid="{00000000-0005-0000-0000-0000D7A90000}"/>
    <cellStyle name="Total 4 3 2 6" xfId="15085" xr:uid="{00000000-0005-0000-0000-0000D8A90000}"/>
    <cellStyle name="Total 4 3 2 7" xfId="17541" xr:uid="{00000000-0005-0000-0000-0000D9A90000}"/>
    <cellStyle name="Total 4 3 2 8" xfId="19183" xr:uid="{00000000-0005-0000-0000-0000DAA90000}"/>
    <cellStyle name="Total 4 3 2 9" xfId="44092" xr:uid="{00000000-0005-0000-0000-0000DBA90000}"/>
    <cellStyle name="Total 4 3 3" xfId="7925" xr:uid="{00000000-0005-0000-0000-0000DCA90000}"/>
    <cellStyle name="Total 4 3 3 2" xfId="15086" xr:uid="{00000000-0005-0000-0000-0000DDA90000}"/>
    <cellStyle name="Total 4 3 3 3" xfId="15087" xr:uid="{00000000-0005-0000-0000-0000DEA90000}"/>
    <cellStyle name="Total 4 3 3 4" xfId="15088" xr:uid="{00000000-0005-0000-0000-0000DFA90000}"/>
    <cellStyle name="Total 4 3 3 5" xfId="17544" xr:uid="{00000000-0005-0000-0000-0000E0A90000}"/>
    <cellStyle name="Total 4 3 3 6" xfId="19186" xr:uid="{00000000-0005-0000-0000-0000E1A90000}"/>
    <cellStyle name="Total 4 3 4" xfId="7926" xr:uid="{00000000-0005-0000-0000-0000E2A90000}"/>
    <cellStyle name="Total 4 3 4 2" xfId="15089" xr:uid="{00000000-0005-0000-0000-0000E3A90000}"/>
    <cellStyle name="Total 4 3 4 3" xfId="15090" xr:uid="{00000000-0005-0000-0000-0000E4A90000}"/>
    <cellStyle name="Total 4 3 4 4" xfId="15091" xr:uid="{00000000-0005-0000-0000-0000E5A90000}"/>
    <cellStyle name="Total 4 3 4 5" xfId="17545" xr:uid="{00000000-0005-0000-0000-0000E6A90000}"/>
    <cellStyle name="Total 4 3 4 6" xfId="19187" xr:uid="{00000000-0005-0000-0000-0000E7A90000}"/>
    <cellStyle name="Total 4 3 5" xfId="15092" xr:uid="{00000000-0005-0000-0000-0000E8A90000}"/>
    <cellStyle name="Total 4 3 6" xfId="15093" xr:uid="{00000000-0005-0000-0000-0000E9A90000}"/>
    <cellStyle name="Total 4 3 7" xfId="15094" xr:uid="{00000000-0005-0000-0000-0000EAA90000}"/>
    <cellStyle name="Total 4 3 8" xfId="16088" xr:uid="{00000000-0005-0000-0000-0000EBA90000}"/>
    <cellStyle name="Total 4 3 9" xfId="15634" xr:uid="{00000000-0005-0000-0000-0000ECA90000}"/>
    <cellStyle name="Total 4 30" xfId="38114" xr:uid="{00000000-0005-0000-0000-0000EDA90000}"/>
    <cellStyle name="Total 4 4" xfId="15095" xr:uid="{00000000-0005-0000-0000-0000EEA90000}"/>
    <cellStyle name="Total 4 4 2" xfId="44093" xr:uid="{00000000-0005-0000-0000-0000EFA90000}"/>
    <cellStyle name="Total 4 4 3" xfId="38138" xr:uid="{00000000-0005-0000-0000-0000F0A90000}"/>
    <cellStyle name="Total 4 5" xfId="38139" xr:uid="{00000000-0005-0000-0000-0000F1A90000}"/>
    <cellStyle name="Total 4 5 2" xfId="44094" xr:uid="{00000000-0005-0000-0000-0000F2A90000}"/>
    <cellStyle name="Total 4 6" xfId="38140" xr:uid="{00000000-0005-0000-0000-0000F3A90000}"/>
    <cellStyle name="Total 4 6 2" xfId="44095" xr:uid="{00000000-0005-0000-0000-0000F4A90000}"/>
    <cellStyle name="Total 4 7" xfId="38141" xr:uid="{00000000-0005-0000-0000-0000F5A90000}"/>
    <cellStyle name="Total 4 7 2" xfId="44096" xr:uid="{00000000-0005-0000-0000-0000F6A90000}"/>
    <cellStyle name="Total 4 8" xfId="38142" xr:uid="{00000000-0005-0000-0000-0000F7A90000}"/>
    <cellStyle name="Total 4 8 2" xfId="44097" xr:uid="{00000000-0005-0000-0000-0000F8A90000}"/>
    <cellStyle name="Total 4 9" xfId="38143" xr:uid="{00000000-0005-0000-0000-0000F9A90000}"/>
    <cellStyle name="Total 4 9 2" xfId="44098" xr:uid="{00000000-0005-0000-0000-0000FAA90000}"/>
    <cellStyle name="Total 5" xfId="7927" xr:uid="{00000000-0005-0000-0000-0000FBA90000}"/>
    <cellStyle name="Total 5 10" xfId="38145" xr:uid="{00000000-0005-0000-0000-0000FCA90000}"/>
    <cellStyle name="Total 5 10 2" xfId="44100" xr:uid="{00000000-0005-0000-0000-0000FDA90000}"/>
    <cellStyle name="Total 5 11" xfId="38146" xr:uid="{00000000-0005-0000-0000-0000FEA90000}"/>
    <cellStyle name="Total 5 11 2" xfId="44101" xr:uid="{00000000-0005-0000-0000-0000FFA90000}"/>
    <cellStyle name="Total 5 12" xfId="38147" xr:uid="{00000000-0005-0000-0000-000000AA0000}"/>
    <cellStyle name="Total 5 12 2" xfId="44102" xr:uid="{00000000-0005-0000-0000-000001AA0000}"/>
    <cellStyle name="Total 5 13" xfId="38148" xr:uid="{00000000-0005-0000-0000-000002AA0000}"/>
    <cellStyle name="Total 5 13 2" xfId="44103" xr:uid="{00000000-0005-0000-0000-000003AA0000}"/>
    <cellStyle name="Total 5 14" xfId="38149" xr:uid="{00000000-0005-0000-0000-000004AA0000}"/>
    <cellStyle name="Total 5 14 2" xfId="44104" xr:uid="{00000000-0005-0000-0000-000005AA0000}"/>
    <cellStyle name="Total 5 15" xfId="38150" xr:uid="{00000000-0005-0000-0000-000006AA0000}"/>
    <cellStyle name="Total 5 15 2" xfId="44105" xr:uid="{00000000-0005-0000-0000-000007AA0000}"/>
    <cellStyle name="Total 5 16" xfId="38151" xr:uid="{00000000-0005-0000-0000-000008AA0000}"/>
    <cellStyle name="Total 5 16 2" xfId="44106" xr:uid="{00000000-0005-0000-0000-000009AA0000}"/>
    <cellStyle name="Total 5 17" xfId="38152" xr:uid="{00000000-0005-0000-0000-00000AAA0000}"/>
    <cellStyle name="Total 5 17 2" xfId="44107" xr:uid="{00000000-0005-0000-0000-00000BAA0000}"/>
    <cellStyle name="Total 5 18" xfId="38153" xr:uid="{00000000-0005-0000-0000-00000CAA0000}"/>
    <cellStyle name="Total 5 18 2" xfId="44108" xr:uid="{00000000-0005-0000-0000-00000DAA0000}"/>
    <cellStyle name="Total 5 19" xfId="38154" xr:uid="{00000000-0005-0000-0000-00000EAA0000}"/>
    <cellStyle name="Total 5 19 2" xfId="44109" xr:uid="{00000000-0005-0000-0000-00000FAA0000}"/>
    <cellStyle name="Total 5 2" xfId="7928" xr:uid="{00000000-0005-0000-0000-000010AA0000}"/>
    <cellStyle name="Total 5 2 10" xfId="38155" xr:uid="{00000000-0005-0000-0000-000011AA0000}"/>
    <cellStyle name="Total 5 2 2" xfId="7929" xr:uid="{00000000-0005-0000-0000-000012AA0000}"/>
    <cellStyle name="Total 5 2 2 2" xfId="7930" xr:uid="{00000000-0005-0000-0000-000013AA0000}"/>
    <cellStyle name="Total 5 2 2 2 2" xfId="15096" xr:uid="{00000000-0005-0000-0000-000014AA0000}"/>
    <cellStyle name="Total 5 2 2 2 3" xfId="15097" xr:uid="{00000000-0005-0000-0000-000015AA0000}"/>
    <cellStyle name="Total 5 2 2 2 4" xfId="15098" xr:uid="{00000000-0005-0000-0000-000016AA0000}"/>
    <cellStyle name="Total 5 2 2 2 5" xfId="17547" xr:uid="{00000000-0005-0000-0000-000017AA0000}"/>
    <cellStyle name="Total 5 2 2 2 6" xfId="19189" xr:uid="{00000000-0005-0000-0000-000018AA0000}"/>
    <cellStyle name="Total 5 2 2 3" xfId="7931" xr:uid="{00000000-0005-0000-0000-000019AA0000}"/>
    <cellStyle name="Total 5 2 2 3 2" xfId="15099" xr:uid="{00000000-0005-0000-0000-00001AAA0000}"/>
    <cellStyle name="Total 5 2 2 3 3" xfId="15100" xr:uid="{00000000-0005-0000-0000-00001BAA0000}"/>
    <cellStyle name="Total 5 2 2 3 4" xfId="15101" xr:uid="{00000000-0005-0000-0000-00001CAA0000}"/>
    <cellStyle name="Total 5 2 2 3 5" xfId="17548" xr:uid="{00000000-0005-0000-0000-00001DAA0000}"/>
    <cellStyle name="Total 5 2 2 3 6" xfId="19190" xr:uid="{00000000-0005-0000-0000-00001EAA0000}"/>
    <cellStyle name="Total 5 2 2 4" xfId="15102" xr:uid="{00000000-0005-0000-0000-00001FAA0000}"/>
    <cellStyle name="Total 5 2 2 5" xfId="15103" xr:uid="{00000000-0005-0000-0000-000020AA0000}"/>
    <cellStyle name="Total 5 2 2 6" xfId="15104" xr:uid="{00000000-0005-0000-0000-000021AA0000}"/>
    <cellStyle name="Total 5 2 2 7" xfId="17546" xr:uid="{00000000-0005-0000-0000-000022AA0000}"/>
    <cellStyle name="Total 5 2 2 8" xfId="19188" xr:uid="{00000000-0005-0000-0000-000023AA0000}"/>
    <cellStyle name="Total 5 2 2 9" xfId="44110" xr:uid="{00000000-0005-0000-0000-000024AA0000}"/>
    <cellStyle name="Total 5 2 3" xfId="7932" xr:uid="{00000000-0005-0000-0000-000025AA0000}"/>
    <cellStyle name="Total 5 2 3 2" xfId="15105" xr:uid="{00000000-0005-0000-0000-000026AA0000}"/>
    <cellStyle name="Total 5 2 3 3" xfId="15106" xr:uid="{00000000-0005-0000-0000-000027AA0000}"/>
    <cellStyle name="Total 5 2 3 4" xfId="15107" xr:uid="{00000000-0005-0000-0000-000028AA0000}"/>
    <cellStyle name="Total 5 2 3 5" xfId="17549" xr:uid="{00000000-0005-0000-0000-000029AA0000}"/>
    <cellStyle name="Total 5 2 3 6" xfId="19191" xr:uid="{00000000-0005-0000-0000-00002AAA0000}"/>
    <cellStyle name="Total 5 2 4" xfId="7933" xr:uid="{00000000-0005-0000-0000-00002BAA0000}"/>
    <cellStyle name="Total 5 2 4 2" xfId="15108" xr:uid="{00000000-0005-0000-0000-00002CAA0000}"/>
    <cellStyle name="Total 5 2 4 3" xfId="15109" xr:uid="{00000000-0005-0000-0000-00002DAA0000}"/>
    <cellStyle name="Total 5 2 4 4" xfId="15110" xr:uid="{00000000-0005-0000-0000-00002EAA0000}"/>
    <cellStyle name="Total 5 2 4 5" xfId="17550" xr:uid="{00000000-0005-0000-0000-00002FAA0000}"/>
    <cellStyle name="Total 5 2 4 6" xfId="19192" xr:uid="{00000000-0005-0000-0000-000030AA0000}"/>
    <cellStyle name="Total 5 2 5" xfId="15111" xr:uid="{00000000-0005-0000-0000-000031AA0000}"/>
    <cellStyle name="Total 5 2 6" xfId="15112" xr:uid="{00000000-0005-0000-0000-000032AA0000}"/>
    <cellStyle name="Total 5 2 7" xfId="15113" xr:uid="{00000000-0005-0000-0000-000033AA0000}"/>
    <cellStyle name="Total 5 2 8" xfId="16089" xr:uid="{00000000-0005-0000-0000-000034AA0000}"/>
    <cellStyle name="Total 5 2 9" xfId="15633" xr:uid="{00000000-0005-0000-0000-000035AA0000}"/>
    <cellStyle name="Total 5 20" xfId="38156" xr:uid="{00000000-0005-0000-0000-000036AA0000}"/>
    <cellStyle name="Total 5 20 2" xfId="44111" xr:uid="{00000000-0005-0000-0000-000037AA0000}"/>
    <cellStyle name="Total 5 21" xfId="38157" xr:uid="{00000000-0005-0000-0000-000038AA0000}"/>
    <cellStyle name="Total 5 21 2" xfId="44112" xr:uid="{00000000-0005-0000-0000-000039AA0000}"/>
    <cellStyle name="Total 5 22" xfId="38158" xr:uid="{00000000-0005-0000-0000-00003AAA0000}"/>
    <cellStyle name="Total 5 22 2" xfId="44113" xr:uid="{00000000-0005-0000-0000-00003BAA0000}"/>
    <cellStyle name="Total 5 23" xfId="38159" xr:uid="{00000000-0005-0000-0000-00003CAA0000}"/>
    <cellStyle name="Total 5 23 2" xfId="44114" xr:uid="{00000000-0005-0000-0000-00003DAA0000}"/>
    <cellStyle name="Total 5 24" xfId="38160" xr:uid="{00000000-0005-0000-0000-00003EAA0000}"/>
    <cellStyle name="Total 5 24 2" xfId="44115" xr:uid="{00000000-0005-0000-0000-00003FAA0000}"/>
    <cellStyle name="Total 5 25" xfId="38161" xr:uid="{00000000-0005-0000-0000-000040AA0000}"/>
    <cellStyle name="Total 5 25 2" xfId="44116" xr:uid="{00000000-0005-0000-0000-000041AA0000}"/>
    <cellStyle name="Total 5 26" xfId="38162" xr:uid="{00000000-0005-0000-0000-000042AA0000}"/>
    <cellStyle name="Total 5 27" xfId="44099" xr:uid="{00000000-0005-0000-0000-000043AA0000}"/>
    <cellStyle name="Total 5 28" xfId="38144" xr:uid="{00000000-0005-0000-0000-000044AA0000}"/>
    <cellStyle name="Total 5 3" xfId="7934" xr:uid="{00000000-0005-0000-0000-000045AA0000}"/>
    <cellStyle name="Total 5 3 10" xfId="38163" xr:uid="{00000000-0005-0000-0000-000046AA0000}"/>
    <cellStyle name="Total 5 3 2" xfId="7935" xr:uid="{00000000-0005-0000-0000-000047AA0000}"/>
    <cellStyle name="Total 5 3 2 2" xfId="7936" xr:uid="{00000000-0005-0000-0000-000048AA0000}"/>
    <cellStyle name="Total 5 3 2 2 2" xfId="15114" xr:uid="{00000000-0005-0000-0000-000049AA0000}"/>
    <cellStyle name="Total 5 3 2 2 3" xfId="15115" xr:uid="{00000000-0005-0000-0000-00004AAA0000}"/>
    <cellStyle name="Total 5 3 2 2 4" xfId="15116" xr:uid="{00000000-0005-0000-0000-00004BAA0000}"/>
    <cellStyle name="Total 5 3 2 2 5" xfId="17552" xr:uid="{00000000-0005-0000-0000-00004CAA0000}"/>
    <cellStyle name="Total 5 3 2 2 6" xfId="19194" xr:uid="{00000000-0005-0000-0000-00004DAA0000}"/>
    <cellStyle name="Total 5 3 2 3" xfId="7937" xr:uid="{00000000-0005-0000-0000-00004EAA0000}"/>
    <cellStyle name="Total 5 3 2 3 2" xfId="15117" xr:uid="{00000000-0005-0000-0000-00004FAA0000}"/>
    <cellStyle name="Total 5 3 2 3 3" xfId="15118" xr:uid="{00000000-0005-0000-0000-000050AA0000}"/>
    <cellStyle name="Total 5 3 2 3 4" xfId="15119" xr:uid="{00000000-0005-0000-0000-000051AA0000}"/>
    <cellStyle name="Total 5 3 2 3 5" xfId="17553" xr:uid="{00000000-0005-0000-0000-000052AA0000}"/>
    <cellStyle name="Total 5 3 2 3 6" xfId="19195" xr:uid="{00000000-0005-0000-0000-000053AA0000}"/>
    <cellStyle name="Total 5 3 2 4" xfId="15120" xr:uid="{00000000-0005-0000-0000-000054AA0000}"/>
    <cellStyle name="Total 5 3 2 5" xfId="15121" xr:uid="{00000000-0005-0000-0000-000055AA0000}"/>
    <cellStyle name="Total 5 3 2 6" xfId="15122" xr:uid="{00000000-0005-0000-0000-000056AA0000}"/>
    <cellStyle name="Total 5 3 2 7" xfId="17551" xr:uid="{00000000-0005-0000-0000-000057AA0000}"/>
    <cellStyle name="Total 5 3 2 8" xfId="19193" xr:uid="{00000000-0005-0000-0000-000058AA0000}"/>
    <cellStyle name="Total 5 3 2 9" xfId="44117" xr:uid="{00000000-0005-0000-0000-000059AA0000}"/>
    <cellStyle name="Total 5 3 3" xfId="7938" xr:uid="{00000000-0005-0000-0000-00005AAA0000}"/>
    <cellStyle name="Total 5 3 3 2" xfId="15123" xr:uid="{00000000-0005-0000-0000-00005BAA0000}"/>
    <cellStyle name="Total 5 3 3 3" xfId="15124" xr:uid="{00000000-0005-0000-0000-00005CAA0000}"/>
    <cellStyle name="Total 5 3 3 4" xfId="15125" xr:uid="{00000000-0005-0000-0000-00005DAA0000}"/>
    <cellStyle name="Total 5 3 3 5" xfId="17554" xr:uid="{00000000-0005-0000-0000-00005EAA0000}"/>
    <cellStyle name="Total 5 3 3 6" xfId="19196" xr:uid="{00000000-0005-0000-0000-00005FAA0000}"/>
    <cellStyle name="Total 5 3 4" xfId="7939" xr:uid="{00000000-0005-0000-0000-000060AA0000}"/>
    <cellStyle name="Total 5 3 4 2" xfId="15126" xr:uid="{00000000-0005-0000-0000-000061AA0000}"/>
    <cellStyle name="Total 5 3 4 3" xfId="15127" xr:uid="{00000000-0005-0000-0000-000062AA0000}"/>
    <cellStyle name="Total 5 3 4 4" xfId="15128" xr:uid="{00000000-0005-0000-0000-000063AA0000}"/>
    <cellStyle name="Total 5 3 4 5" xfId="17555" xr:uid="{00000000-0005-0000-0000-000064AA0000}"/>
    <cellStyle name="Total 5 3 4 6" xfId="19197" xr:uid="{00000000-0005-0000-0000-000065AA0000}"/>
    <cellStyle name="Total 5 3 5" xfId="15129" xr:uid="{00000000-0005-0000-0000-000066AA0000}"/>
    <cellStyle name="Total 5 3 6" xfId="15130" xr:uid="{00000000-0005-0000-0000-000067AA0000}"/>
    <cellStyle name="Total 5 3 7" xfId="15131" xr:uid="{00000000-0005-0000-0000-000068AA0000}"/>
    <cellStyle name="Total 5 3 8" xfId="16090" xr:uid="{00000000-0005-0000-0000-000069AA0000}"/>
    <cellStyle name="Total 5 3 9" xfId="15632" xr:uid="{00000000-0005-0000-0000-00006AAA0000}"/>
    <cellStyle name="Total 5 4" xfId="15132" xr:uid="{00000000-0005-0000-0000-00006BAA0000}"/>
    <cellStyle name="Total 5 4 2" xfId="44118" xr:uid="{00000000-0005-0000-0000-00006CAA0000}"/>
    <cellStyle name="Total 5 4 3" xfId="38164" xr:uid="{00000000-0005-0000-0000-00006DAA0000}"/>
    <cellStyle name="Total 5 5" xfId="38165" xr:uid="{00000000-0005-0000-0000-00006EAA0000}"/>
    <cellStyle name="Total 5 5 2" xfId="44119" xr:uid="{00000000-0005-0000-0000-00006FAA0000}"/>
    <cellStyle name="Total 5 6" xfId="38166" xr:uid="{00000000-0005-0000-0000-000070AA0000}"/>
    <cellStyle name="Total 5 6 2" xfId="44120" xr:uid="{00000000-0005-0000-0000-000071AA0000}"/>
    <cellStyle name="Total 5 7" xfId="38167" xr:uid="{00000000-0005-0000-0000-000072AA0000}"/>
    <cellStyle name="Total 5 7 2" xfId="44121" xr:uid="{00000000-0005-0000-0000-000073AA0000}"/>
    <cellStyle name="Total 5 8" xfId="38168" xr:uid="{00000000-0005-0000-0000-000074AA0000}"/>
    <cellStyle name="Total 5 8 2" xfId="44122" xr:uid="{00000000-0005-0000-0000-000075AA0000}"/>
    <cellStyle name="Total 5 9" xfId="38169" xr:uid="{00000000-0005-0000-0000-000076AA0000}"/>
    <cellStyle name="Total 5 9 2" xfId="44123" xr:uid="{00000000-0005-0000-0000-000077AA0000}"/>
    <cellStyle name="Total 6" xfId="7940" xr:uid="{00000000-0005-0000-0000-000078AA0000}"/>
    <cellStyle name="Total 6 10" xfId="38171" xr:uid="{00000000-0005-0000-0000-000079AA0000}"/>
    <cellStyle name="Total 6 10 2" xfId="44125" xr:uid="{00000000-0005-0000-0000-00007AAA0000}"/>
    <cellStyle name="Total 6 11" xfId="38172" xr:uid="{00000000-0005-0000-0000-00007BAA0000}"/>
    <cellStyle name="Total 6 11 2" xfId="44126" xr:uid="{00000000-0005-0000-0000-00007CAA0000}"/>
    <cellStyle name="Total 6 12" xfId="38173" xr:uid="{00000000-0005-0000-0000-00007DAA0000}"/>
    <cellStyle name="Total 6 12 2" xfId="44127" xr:uid="{00000000-0005-0000-0000-00007EAA0000}"/>
    <cellStyle name="Total 6 13" xfId="38174" xr:uid="{00000000-0005-0000-0000-00007FAA0000}"/>
    <cellStyle name="Total 6 13 2" xfId="44128" xr:uid="{00000000-0005-0000-0000-000080AA0000}"/>
    <cellStyle name="Total 6 14" xfId="38175" xr:uid="{00000000-0005-0000-0000-000081AA0000}"/>
    <cellStyle name="Total 6 14 2" xfId="44129" xr:uid="{00000000-0005-0000-0000-000082AA0000}"/>
    <cellStyle name="Total 6 15" xfId="38176" xr:uid="{00000000-0005-0000-0000-000083AA0000}"/>
    <cellStyle name="Total 6 15 2" xfId="44130" xr:uid="{00000000-0005-0000-0000-000084AA0000}"/>
    <cellStyle name="Total 6 16" xfId="38177" xr:uid="{00000000-0005-0000-0000-000085AA0000}"/>
    <cellStyle name="Total 6 16 2" xfId="44131" xr:uid="{00000000-0005-0000-0000-000086AA0000}"/>
    <cellStyle name="Total 6 17" xfId="38178" xr:uid="{00000000-0005-0000-0000-000087AA0000}"/>
    <cellStyle name="Total 6 17 2" xfId="44132" xr:uid="{00000000-0005-0000-0000-000088AA0000}"/>
    <cellStyle name="Total 6 18" xfId="38179" xr:uid="{00000000-0005-0000-0000-000089AA0000}"/>
    <cellStyle name="Total 6 18 2" xfId="44133" xr:uid="{00000000-0005-0000-0000-00008AAA0000}"/>
    <cellStyle name="Total 6 19" xfId="38180" xr:uid="{00000000-0005-0000-0000-00008BAA0000}"/>
    <cellStyle name="Total 6 19 2" xfId="44134" xr:uid="{00000000-0005-0000-0000-00008CAA0000}"/>
    <cellStyle name="Total 6 2" xfId="7941" xr:uid="{00000000-0005-0000-0000-00008DAA0000}"/>
    <cellStyle name="Total 6 2 10" xfId="38181" xr:uid="{00000000-0005-0000-0000-00008EAA0000}"/>
    <cellStyle name="Total 6 2 2" xfId="7942" xr:uid="{00000000-0005-0000-0000-00008FAA0000}"/>
    <cellStyle name="Total 6 2 2 2" xfId="7943" xr:uid="{00000000-0005-0000-0000-000090AA0000}"/>
    <cellStyle name="Total 6 2 2 2 2" xfId="15133" xr:uid="{00000000-0005-0000-0000-000091AA0000}"/>
    <cellStyle name="Total 6 2 2 2 3" xfId="15134" xr:uid="{00000000-0005-0000-0000-000092AA0000}"/>
    <cellStyle name="Total 6 2 2 2 4" xfId="15135" xr:uid="{00000000-0005-0000-0000-000093AA0000}"/>
    <cellStyle name="Total 6 2 2 2 5" xfId="17557" xr:uid="{00000000-0005-0000-0000-000094AA0000}"/>
    <cellStyle name="Total 6 2 2 2 6" xfId="19199" xr:uid="{00000000-0005-0000-0000-000095AA0000}"/>
    <cellStyle name="Total 6 2 2 3" xfId="7944" xr:uid="{00000000-0005-0000-0000-000096AA0000}"/>
    <cellStyle name="Total 6 2 2 3 2" xfId="15136" xr:uid="{00000000-0005-0000-0000-000097AA0000}"/>
    <cellStyle name="Total 6 2 2 3 3" xfId="15137" xr:uid="{00000000-0005-0000-0000-000098AA0000}"/>
    <cellStyle name="Total 6 2 2 3 4" xfId="15138" xr:uid="{00000000-0005-0000-0000-000099AA0000}"/>
    <cellStyle name="Total 6 2 2 3 5" xfId="17558" xr:uid="{00000000-0005-0000-0000-00009AAA0000}"/>
    <cellStyle name="Total 6 2 2 3 6" xfId="19200" xr:uid="{00000000-0005-0000-0000-00009BAA0000}"/>
    <cellStyle name="Total 6 2 2 4" xfId="15139" xr:uid="{00000000-0005-0000-0000-00009CAA0000}"/>
    <cellStyle name="Total 6 2 2 5" xfId="15140" xr:uid="{00000000-0005-0000-0000-00009DAA0000}"/>
    <cellStyle name="Total 6 2 2 6" xfId="15141" xr:uid="{00000000-0005-0000-0000-00009EAA0000}"/>
    <cellStyle name="Total 6 2 2 7" xfId="17556" xr:uid="{00000000-0005-0000-0000-00009FAA0000}"/>
    <cellStyle name="Total 6 2 2 8" xfId="19198" xr:uid="{00000000-0005-0000-0000-0000A0AA0000}"/>
    <cellStyle name="Total 6 2 2 9" xfId="44135" xr:uid="{00000000-0005-0000-0000-0000A1AA0000}"/>
    <cellStyle name="Total 6 2 3" xfId="7945" xr:uid="{00000000-0005-0000-0000-0000A2AA0000}"/>
    <cellStyle name="Total 6 2 3 2" xfId="15142" xr:uid="{00000000-0005-0000-0000-0000A3AA0000}"/>
    <cellStyle name="Total 6 2 3 3" xfId="15143" xr:uid="{00000000-0005-0000-0000-0000A4AA0000}"/>
    <cellStyle name="Total 6 2 3 4" xfId="15144" xr:uid="{00000000-0005-0000-0000-0000A5AA0000}"/>
    <cellStyle name="Total 6 2 3 5" xfId="17559" xr:uid="{00000000-0005-0000-0000-0000A6AA0000}"/>
    <cellStyle name="Total 6 2 3 6" xfId="19201" xr:uid="{00000000-0005-0000-0000-0000A7AA0000}"/>
    <cellStyle name="Total 6 2 4" xfId="7946" xr:uid="{00000000-0005-0000-0000-0000A8AA0000}"/>
    <cellStyle name="Total 6 2 4 2" xfId="15145" xr:uid="{00000000-0005-0000-0000-0000A9AA0000}"/>
    <cellStyle name="Total 6 2 4 3" xfId="15146" xr:uid="{00000000-0005-0000-0000-0000AAAA0000}"/>
    <cellStyle name="Total 6 2 4 4" xfId="15147" xr:uid="{00000000-0005-0000-0000-0000ABAA0000}"/>
    <cellStyle name="Total 6 2 4 5" xfId="17560" xr:uid="{00000000-0005-0000-0000-0000ACAA0000}"/>
    <cellStyle name="Total 6 2 4 6" xfId="19202" xr:uid="{00000000-0005-0000-0000-0000ADAA0000}"/>
    <cellStyle name="Total 6 2 5" xfId="15148" xr:uid="{00000000-0005-0000-0000-0000AEAA0000}"/>
    <cellStyle name="Total 6 2 6" xfId="15149" xr:uid="{00000000-0005-0000-0000-0000AFAA0000}"/>
    <cellStyle name="Total 6 2 7" xfId="15150" xr:uid="{00000000-0005-0000-0000-0000B0AA0000}"/>
    <cellStyle name="Total 6 2 8" xfId="16091" xr:uid="{00000000-0005-0000-0000-0000B1AA0000}"/>
    <cellStyle name="Total 6 2 9" xfId="15631" xr:uid="{00000000-0005-0000-0000-0000B2AA0000}"/>
    <cellStyle name="Total 6 20" xfId="38182" xr:uid="{00000000-0005-0000-0000-0000B3AA0000}"/>
    <cellStyle name="Total 6 20 2" xfId="44136" xr:uid="{00000000-0005-0000-0000-0000B4AA0000}"/>
    <cellStyle name="Total 6 21" xfId="38183" xr:uid="{00000000-0005-0000-0000-0000B5AA0000}"/>
    <cellStyle name="Total 6 21 2" xfId="44137" xr:uid="{00000000-0005-0000-0000-0000B6AA0000}"/>
    <cellStyle name="Total 6 22" xfId="38184" xr:uid="{00000000-0005-0000-0000-0000B7AA0000}"/>
    <cellStyle name="Total 6 22 2" xfId="44138" xr:uid="{00000000-0005-0000-0000-0000B8AA0000}"/>
    <cellStyle name="Total 6 23" xfId="38185" xr:uid="{00000000-0005-0000-0000-0000B9AA0000}"/>
    <cellStyle name="Total 6 23 2" xfId="44139" xr:uid="{00000000-0005-0000-0000-0000BAAA0000}"/>
    <cellStyle name="Total 6 24" xfId="38186" xr:uid="{00000000-0005-0000-0000-0000BBAA0000}"/>
    <cellStyle name="Total 6 24 2" xfId="44140" xr:uid="{00000000-0005-0000-0000-0000BCAA0000}"/>
    <cellStyle name="Total 6 25" xfId="38187" xr:uid="{00000000-0005-0000-0000-0000BDAA0000}"/>
    <cellStyle name="Total 6 25 2" xfId="44141" xr:uid="{00000000-0005-0000-0000-0000BEAA0000}"/>
    <cellStyle name="Total 6 26" xfId="44124" xr:uid="{00000000-0005-0000-0000-0000BFAA0000}"/>
    <cellStyle name="Total 6 27" xfId="38170" xr:uid="{00000000-0005-0000-0000-0000C0AA0000}"/>
    <cellStyle name="Total 6 3" xfId="7947" xr:uid="{00000000-0005-0000-0000-0000C1AA0000}"/>
    <cellStyle name="Total 6 3 10" xfId="38188" xr:uid="{00000000-0005-0000-0000-0000C2AA0000}"/>
    <cellStyle name="Total 6 3 2" xfId="7948" xr:uid="{00000000-0005-0000-0000-0000C3AA0000}"/>
    <cellStyle name="Total 6 3 2 2" xfId="7949" xr:uid="{00000000-0005-0000-0000-0000C4AA0000}"/>
    <cellStyle name="Total 6 3 2 2 2" xfId="15151" xr:uid="{00000000-0005-0000-0000-0000C5AA0000}"/>
    <cellStyle name="Total 6 3 2 2 3" xfId="15152" xr:uid="{00000000-0005-0000-0000-0000C6AA0000}"/>
    <cellStyle name="Total 6 3 2 2 4" xfId="15153" xr:uid="{00000000-0005-0000-0000-0000C7AA0000}"/>
    <cellStyle name="Total 6 3 2 2 5" xfId="17562" xr:uid="{00000000-0005-0000-0000-0000C8AA0000}"/>
    <cellStyle name="Total 6 3 2 2 6" xfId="19204" xr:uid="{00000000-0005-0000-0000-0000C9AA0000}"/>
    <cellStyle name="Total 6 3 2 3" xfId="7950" xr:uid="{00000000-0005-0000-0000-0000CAAA0000}"/>
    <cellStyle name="Total 6 3 2 3 2" xfId="15154" xr:uid="{00000000-0005-0000-0000-0000CBAA0000}"/>
    <cellStyle name="Total 6 3 2 3 3" xfId="15155" xr:uid="{00000000-0005-0000-0000-0000CCAA0000}"/>
    <cellStyle name="Total 6 3 2 3 4" xfId="15156" xr:uid="{00000000-0005-0000-0000-0000CDAA0000}"/>
    <cellStyle name="Total 6 3 2 3 5" xfId="17563" xr:uid="{00000000-0005-0000-0000-0000CEAA0000}"/>
    <cellStyle name="Total 6 3 2 3 6" xfId="19205" xr:uid="{00000000-0005-0000-0000-0000CFAA0000}"/>
    <cellStyle name="Total 6 3 2 4" xfId="15157" xr:uid="{00000000-0005-0000-0000-0000D0AA0000}"/>
    <cellStyle name="Total 6 3 2 5" xfId="15158" xr:uid="{00000000-0005-0000-0000-0000D1AA0000}"/>
    <cellStyle name="Total 6 3 2 6" xfId="15159" xr:uid="{00000000-0005-0000-0000-0000D2AA0000}"/>
    <cellStyle name="Total 6 3 2 7" xfId="17561" xr:uid="{00000000-0005-0000-0000-0000D3AA0000}"/>
    <cellStyle name="Total 6 3 2 8" xfId="19203" xr:uid="{00000000-0005-0000-0000-0000D4AA0000}"/>
    <cellStyle name="Total 6 3 2 9" xfId="44142" xr:uid="{00000000-0005-0000-0000-0000D5AA0000}"/>
    <cellStyle name="Total 6 3 3" xfId="7951" xr:uid="{00000000-0005-0000-0000-0000D6AA0000}"/>
    <cellStyle name="Total 6 3 3 2" xfId="15160" xr:uid="{00000000-0005-0000-0000-0000D7AA0000}"/>
    <cellStyle name="Total 6 3 3 3" xfId="15161" xr:uid="{00000000-0005-0000-0000-0000D8AA0000}"/>
    <cellStyle name="Total 6 3 3 4" xfId="15162" xr:uid="{00000000-0005-0000-0000-0000D9AA0000}"/>
    <cellStyle name="Total 6 3 3 5" xfId="17564" xr:uid="{00000000-0005-0000-0000-0000DAAA0000}"/>
    <cellStyle name="Total 6 3 3 6" xfId="19206" xr:uid="{00000000-0005-0000-0000-0000DBAA0000}"/>
    <cellStyle name="Total 6 3 4" xfId="7952" xr:uid="{00000000-0005-0000-0000-0000DCAA0000}"/>
    <cellStyle name="Total 6 3 4 2" xfId="15163" xr:uid="{00000000-0005-0000-0000-0000DDAA0000}"/>
    <cellStyle name="Total 6 3 4 3" xfId="15164" xr:uid="{00000000-0005-0000-0000-0000DEAA0000}"/>
    <cellStyle name="Total 6 3 4 4" xfId="15165" xr:uid="{00000000-0005-0000-0000-0000DFAA0000}"/>
    <cellStyle name="Total 6 3 4 5" xfId="17565" xr:uid="{00000000-0005-0000-0000-0000E0AA0000}"/>
    <cellStyle name="Total 6 3 4 6" xfId="19207" xr:uid="{00000000-0005-0000-0000-0000E1AA0000}"/>
    <cellStyle name="Total 6 3 5" xfId="15166" xr:uid="{00000000-0005-0000-0000-0000E2AA0000}"/>
    <cellStyle name="Total 6 3 6" xfId="15167" xr:uid="{00000000-0005-0000-0000-0000E3AA0000}"/>
    <cellStyle name="Total 6 3 7" xfId="15168" xr:uid="{00000000-0005-0000-0000-0000E4AA0000}"/>
    <cellStyle name="Total 6 3 8" xfId="16092" xr:uid="{00000000-0005-0000-0000-0000E5AA0000}"/>
    <cellStyle name="Total 6 3 9" xfId="15630" xr:uid="{00000000-0005-0000-0000-0000E6AA0000}"/>
    <cellStyle name="Total 6 4" xfId="38189" xr:uid="{00000000-0005-0000-0000-0000E7AA0000}"/>
    <cellStyle name="Total 6 4 2" xfId="44143" xr:uid="{00000000-0005-0000-0000-0000E8AA0000}"/>
    <cellStyle name="Total 6 5" xfId="38190" xr:uid="{00000000-0005-0000-0000-0000E9AA0000}"/>
    <cellStyle name="Total 6 5 2" xfId="44144" xr:uid="{00000000-0005-0000-0000-0000EAAA0000}"/>
    <cellStyle name="Total 6 6" xfId="38191" xr:uid="{00000000-0005-0000-0000-0000EBAA0000}"/>
    <cellStyle name="Total 6 6 2" xfId="44145" xr:uid="{00000000-0005-0000-0000-0000ECAA0000}"/>
    <cellStyle name="Total 6 7" xfId="38192" xr:uid="{00000000-0005-0000-0000-0000EDAA0000}"/>
    <cellStyle name="Total 6 7 2" xfId="44146" xr:uid="{00000000-0005-0000-0000-0000EEAA0000}"/>
    <cellStyle name="Total 6 8" xfId="38193" xr:uid="{00000000-0005-0000-0000-0000EFAA0000}"/>
    <cellStyle name="Total 6 8 2" xfId="44147" xr:uid="{00000000-0005-0000-0000-0000F0AA0000}"/>
    <cellStyle name="Total 6 9" xfId="38194" xr:uid="{00000000-0005-0000-0000-0000F1AA0000}"/>
    <cellStyle name="Total 6 9 2" xfId="44148" xr:uid="{00000000-0005-0000-0000-0000F2AA0000}"/>
    <cellStyle name="Total 7" xfId="7953" xr:uid="{00000000-0005-0000-0000-0000F3AA0000}"/>
    <cellStyle name="Total 7 2" xfId="7954" xr:uid="{00000000-0005-0000-0000-0000F4AA0000}"/>
    <cellStyle name="Total 7 2 10" xfId="38196" xr:uid="{00000000-0005-0000-0000-0000F5AA0000}"/>
    <cellStyle name="Total 7 2 2" xfId="7955" xr:uid="{00000000-0005-0000-0000-0000F6AA0000}"/>
    <cellStyle name="Total 7 2 2 2" xfId="7956" xr:uid="{00000000-0005-0000-0000-0000F7AA0000}"/>
    <cellStyle name="Total 7 2 2 2 2" xfId="15169" xr:uid="{00000000-0005-0000-0000-0000F8AA0000}"/>
    <cellStyle name="Total 7 2 2 2 3" xfId="15170" xr:uid="{00000000-0005-0000-0000-0000F9AA0000}"/>
    <cellStyle name="Total 7 2 2 2 4" xfId="15171" xr:uid="{00000000-0005-0000-0000-0000FAAA0000}"/>
    <cellStyle name="Total 7 2 2 2 5" xfId="17567" xr:uid="{00000000-0005-0000-0000-0000FBAA0000}"/>
    <cellStyle name="Total 7 2 2 2 6" xfId="19209" xr:uid="{00000000-0005-0000-0000-0000FCAA0000}"/>
    <cellStyle name="Total 7 2 2 3" xfId="7957" xr:uid="{00000000-0005-0000-0000-0000FDAA0000}"/>
    <cellStyle name="Total 7 2 2 3 2" xfId="15172" xr:uid="{00000000-0005-0000-0000-0000FEAA0000}"/>
    <cellStyle name="Total 7 2 2 3 3" xfId="15173" xr:uid="{00000000-0005-0000-0000-0000FFAA0000}"/>
    <cellStyle name="Total 7 2 2 3 4" xfId="15174" xr:uid="{00000000-0005-0000-0000-000000AB0000}"/>
    <cellStyle name="Total 7 2 2 3 5" xfId="17568" xr:uid="{00000000-0005-0000-0000-000001AB0000}"/>
    <cellStyle name="Total 7 2 2 3 6" xfId="19210" xr:uid="{00000000-0005-0000-0000-000002AB0000}"/>
    <cellStyle name="Total 7 2 2 4" xfId="15175" xr:uid="{00000000-0005-0000-0000-000003AB0000}"/>
    <cellStyle name="Total 7 2 2 5" xfId="15176" xr:uid="{00000000-0005-0000-0000-000004AB0000}"/>
    <cellStyle name="Total 7 2 2 6" xfId="15177" xr:uid="{00000000-0005-0000-0000-000005AB0000}"/>
    <cellStyle name="Total 7 2 2 7" xfId="17566" xr:uid="{00000000-0005-0000-0000-000006AB0000}"/>
    <cellStyle name="Total 7 2 2 8" xfId="19208" xr:uid="{00000000-0005-0000-0000-000007AB0000}"/>
    <cellStyle name="Total 7 2 2 9" xfId="44150" xr:uid="{00000000-0005-0000-0000-000008AB0000}"/>
    <cellStyle name="Total 7 2 3" xfId="7958" xr:uid="{00000000-0005-0000-0000-000009AB0000}"/>
    <cellStyle name="Total 7 2 3 2" xfId="15178" xr:uid="{00000000-0005-0000-0000-00000AAB0000}"/>
    <cellStyle name="Total 7 2 3 3" xfId="15179" xr:uid="{00000000-0005-0000-0000-00000BAB0000}"/>
    <cellStyle name="Total 7 2 3 4" xfId="15180" xr:uid="{00000000-0005-0000-0000-00000CAB0000}"/>
    <cellStyle name="Total 7 2 3 5" xfId="17569" xr:uid="{00000000-0005-0000-0000-00000DAB0000}"/>
    <cellStyle name="Total 7 2 3 6" xfId="19211" xr:uid="{00000000-0005-0000-0000-00000EAB0000}"/>
    <cellStyle name="Total 7 2 4" xfId="7959" xr:uid="{00000000-0005-0000-0000-00000FAB0000}"/>
    <cellStyle name="Total 7 2 4 2" xfId="15181" xr:uid="{00000000-0005-0000-0000-000010AB0000}"/>
    <cellStyle name="Total 7 2 4 3" xfId="15182" xr:uid="{00000000-0005-0000-0000-000011AB0000}"/>
    <cellStyle name="Total 7 2 4 4" xfId="15183" xr:uid="{00000000-0005-0000-0000-000012AB0000}"/>
    <cellStyle name="Total 7 2 4 5" xfId="17570" xr:uid="{00000000-0005-0000-0000-000013AB0000}"/>
    <cellStyle name="Total 7 2 4 6" xfId="19212" xr:uid="{00000000-0005-0000-0000-000014AB0000}"/>
    <cellStyle name="Total 7 2 5" xfId="15184" xr:uid="{00000000-0005-0000-0000-000015AB0000}"/>
    <cellStyle name="Total 7 2 6" xfId="15185" xr:uid="{00000000-0005-0000-0000-000016AB0000}"/>
    <cellStyle name="Total 7 2 7" xfId="15186" xr:uid="{00000000-0005-0000-0000-000017AB0000}"/>
    <cellStyle name="Total 7 2 8" xfId="16093" xr:uid="{00000000-0005-0000-0000-000018AB0000}"/>
    <cellStyle name="Total 7 2 9" xfId="15629" xr:uid="{00000000-0005-0000-0000-000019AB0000}"/>
    <cellStyle name="Total 7 3" xfId="7960" xr:uid="{00000000-0005-0000-0000-00001AAB0000}"/>
    <cellStyle name="Total 7 3 10" xfId="38197" xr:uid="{00000000-0005-0000-0000-00001BAB0000}"/>
    <cellStyle name="Total 7 3 2" xfId="7961" xr:uid="{00000000-0005-0000-0000-00001CAB0000}"/>
    <cellStyle name="Total 7 3 2 2" xfId="7962" xr:uid="{00000000-0005-0000-0000-00001DAB0000}"/>
    <cellStyle name="Total 7 3 2 2 2" xfId="15187" xr:uid="{00000000-0005-0000-0000-00001EAB0000}"/>
    <cellStyle name="Total 7 3 2 2 3" xfId="15188" xr:uid="{00000000-0005-0000-0000-00001FAB0000}"/>
    <cellStyle name="Total 7 3 2 2 4" xfId="15189" xr:uid="{00000000-0005-0000-0000-000020AB0000}"/>
    <cellStyle name="Total 7 3 2 2 5" xfId="17572" xr:uid="{00000000-0005-0000-0000-000021AB0000}"/>
    <cellStyle name="Total 7 3 2 2 6" xfId="19214" xr:uid="{00000000-0005-0000-0000-000022AB0000}"/>
    <cellStyle name="Total 7 3 2 3" xfId="7963" xr:uid="{00000000-0005-0000-0000-000023AB0000}"/>
    <cellStyle name="Total 7 3 2 3 2" xfId="15190" xr:uid="{00000000-0005-0000-0000-000024AB0000}"/>
    <cellStyle name="Total 7 3 2 3 3" xfId="15191" xr:uid="{00000000-0005-0000-0000-000025AB0000}"/>
    <cellStyle name="Total 7 3 2 3 4" xfId="15192" xr:uid="{00000000-0005-0000-0000-000026AB0000}"/>
    <cellStyle name="Total 7 3 2 3 5" xfId="17573" xr:uid="{00000000-0005-0000-0000-000027AB0000}"/>
    <cellStyle name="Total 7 3 2 3 6" xfId="19215" xr:uid="{00000000-0005-0000-0000-000028AB0000}"/>
    <cellStyle name="Total 7 3 2 4" xfId="15193" xr:uid="{00000000-0005-0000-0000-000029AB0000}"/>
    <cellStyle name="Total 7 3 2 5" xfId="15194" xr:uid="{00000000-0005-0000-0000-00002AAB0000}"/>
    <cellStyle name="Total 7 3 2 6" xfId="15195" xr:uid="{00000000-0005-0000-0000-00002BAB0000}"/>
    <cellStyle name="Total 7 3 2 7" xfId="17571" xr:uid="{00000000-0005-0000-0000-00002CAB0000}"/>
    <cellStyle name="Total 7 3 2 8" xfId="19213" xr:uid="{00000000-0005-0000-0000-00002DAB0000}"/>
    <cellStyle name="Total 7 3 2 9" xfId="44151" xr:uid="{00000000-0005-0000-0000-00002EAB0000}"/>
    <cellStyle name="Total 7 3 3" xfId="7964" xr:uid="{00000000-0005-0000-0000-00002FAB0000}"/>
    <cellStyle name="Total 7 3 3 2" xfId="15196" xr:uid="{00000000-0005-0000-0000-000030AB0000}"/>
    <cellStyle name="Total 7 3 3 3" xfId="15197" xr:uid="{00000000-0005-0000-0000-000031AB0000}"/>
    <cellStyle name="Total 7 3 3 4" xfId="15198" xr:uid="{00000000-0005-0000-0000-000032AB0000}"/>
    <cellStyle name="Total 7 3 3 5" xfId="17574" xr:uid="{00000000-0005-0000-0000-000033AB0000}"/>
    <cellStyle name="Total 7 3 3 6" xfId="19216" xr:uid="{00000000-0005-0000-0000-000034AB0000}"/>
    <cellStyle name="Total 7 3 4" xfId="7965" xr:uid="{00000000-0005-0000-0000-000035AB0000}"/>
    <cellStyle name="Total 7 3 4 2" xfId="15199" xr:uid="{00000000-0005-0000-0000-000036AB0000}"/>
    <cellStyle name="Total 7 3 4 3" xfId="15200" xr:uid="{00000000-0005-0000-0000-000037AB0000}"/>
    <cellStyle name="Total 7 3 4 4" xfId="15201" xr:uid="{00000000-0005-0000-0000-000038AB0000}"/>
    <cellStyle name="Total 7 3 4 5" xfId="17575" xr:uid="{00000000-0005-0000-0000-000039AB0000}"/>
    <cellStyle name="Total 7 3 4 6" xfId="19217" xr:uid="{00000000-0005-0000-0000-00003AAB0000}"/>
    <cellStyle name="Total 7 3 5" xfId="15202" xr:uid="{00000000-0005-0000-0000-00003BAB0000}"/>
    <cellStyle name="Total 7 3 6" xfId="15203" xr:uid="{00000000-0005-0000-0000-00003CAB0000}"/>
    <cellStyle name="Total 7 3 7" xfId="15204" xr:uid="{00000000-0005-0000-0000-00003DAB0000}"/>
    <cellStyle name="Total 7 3 8" xfId="16094" xr:uid="{00000000-0005-0000-0000-00003EAB0000}"/>
    <cellStyle name="Total 7 3 9" xfId="15628" xr:uid="{00000000-0005-0000-0000-00003FAB0000}"/>
    <cellStyle name="Total 7 4" xfId="15205" xr:uid="{00000000-0005-0000-0000-000040AB0000}"/>
    <cellStyle name="Total 7 4 2" xfId="44152" xr:uid="{00000000-0005-0000-0000-000041AB0000}"/>
    <cellStyle name="Total 7 4 3" xfId="38198" xr:uid="{00000000-0005-0000-0000-000042AB0000}"/>
    <cellStyle name="Total 7 5" xfId="15206" xr:uid="{00000000-0005-0000-0000-000043AB0000}"/>
    <cellStyle name="Total 7 5 2" xfId="44153" xr:uid="{00000000-0005-0000-0000-000044AB0000}"/>
    <cellStyle name="Total 7 5 3" xfId="38199" xr:uid="{00000000-0005-0000-0000-000045AB0000}"/>
    <cellStyle name="Total 7 6" xfId="15207" xr:uid="{00000000-0005-0000-0000-000046AB0000}"/>
    <cellStyle name="Total 7 6 2" xfId="44154" xr:uid="{00000000-0005-0000-0000-000047AB0000}"/>
    <cellStyle name="Total 7 6 3" xfId="38200" xr:uid="{00000000-0005-0000-0000-000048AB0000}"/>
    <cellStyle name="Total 7 7" xfId="18094" xr:uid="{00000000-0005-0000-0000-000049AB0000}"/>
    <cellStyle name="Total 7 7 2" xfId="44149" xr:uid="{00000000-0005-0000-0000-00004AAB0000}"/>
    <cellStyle name="Total 7 8" xfId="19250" xr:uid="{00000000-0005-0000-0000-00004BAB0000}"/>
    <cellStyle name="Total 7 9" xfId="38195" xr:uid="{00000000-0005-0000-0000-00004CAB0000}"/>
    <cellStyle name="Total 8" xfId="7966" xr:uid="{00000000-0005-0000-0000-00004DAB0000}"/>
    <cellStyle name="Total 8 2" xfId="7967" xr:uid="{00000000-0005-0000-0000-00004EAB0000}"/>
    <cellStyle name="Total 8 2 10" xfId="38202" xr:uid="{00000000-0005-0000-0000-00004FAB0000}"/>
    <cellStyle name="Total 8 2 2" xfId="7968" xr:uid="{00000000-0005-0000-0000-000050AB0000}"/>
    <cellStyle name="Total 8 2 2 2" xfId="7969" xr:uid="{00000000-0005-0000-0000-000051AB0000}"/>
    <cellStyle name="Total 8 2 2 2 2" xfId="15208" xr:uid="{00000000-0005-0000-0000-000052AB0000}"/>
    <cellStyle name="Total 8 2 2 2 3" xfId="15209" xr:uid="{00000000-0005-0000-0000-000053AB0000}"/>
    <cellStyle name="Total 8 2 2 2 4" xfId="15210" xr:uid="{00000000-0005-0000-0000-000054AB0000}"/>
    <cellStyle name="Total 8 2 2 2 5" xfId="17577" xr:uid="{00000000-0005-0000-0000-000055AB0000}"/>
    <cellStyle name="Total 8 2 2 2 6" xfId="19219" xr:uid="{00000000-0005-0000-0000-000056AB0000}"/>
    <cellStyle name="Total 8 2 2 3" xfId="7970" xr:uid="{00000000-0005-0000-0000-000057AB0000}"/>
    <cellStyle name="Total 8 2 2 3 2" xfId="15211" xr:uid="{00000000-0005-0000-0000-000058AB0000}"/>
    <cellStyle name="Total 8 2 2 3 3" xfId="15212" xr:uid="{00000000-0005-0000-0000-000059AB0000}"/>
    <cellStyle name="Total 8 2 2 3 4" xfId="15213" xr:uid="{00000000-0005-0000-0000-00005AAB0000}"/>
    <cellStyle name="Total 8 2 2 3 5" xfId="17578" xr:uid="{00000000-0005-0000-0000-00005BAB0000}"/>
    <cellStyle name="Total 8 2 2 3 6" xfId="19220" xr:uid="{00000000-0005-0000-0000-00005CAB0000}"/>
    <cellStyle name="Total 8 2 2 4" xfId="15214" xr:uid="{00000000-0005-0000-0000-00005DAB0000}"/>
    <cellStyle name="Total 8 2 2 5" xfId="15215" xr:uid="{00000000-0005-0000-0000-00005EAB0000}"/>
    <cellStyle name="Total 8 2 2 6" xfId="15216" xr:uid="{00000000-0005-0000-0000-00005FAB0000}"/>
    <cellStyle name="Total 8 2 2 7" xfId="17576" xr:uid="{00000000-0005-0000-0000-000060AB0000}"/>
    <cellStyle name="Total 8 2 2 8" xfId="19218" xr:uid="{00000000-0005-0000-0000-000061AB0000}"/>
    <cellStyle name="Total 8 2 2 9" xfId="44156" xr:uid="{00000000-0005-0000-0000-000062AB0000}"/>
    <cellStyle name="Total 8 2 3" xfId="7971" xr:uid="{00000000-0005-0000-0000-000063AB0000}"/>
    <cellStyle name="Total 8 2 3 2" xfId="15217" xr:uid="{00000000-0005-0000-0000-000064AB0000}"/>
    <cellStyle name="Total 8 2 3 3" xfId="15218" xr:uid="{00000000-0005-0000-0000-000065AB0000}"/>
    <cellStyle name="Total 8 2 3 4" xfId="15219" xr:uid="{00000000-0005-0000-0000-000066AB0000}"/>
    <cellStyle name="Total 8 2 3 5" xfId="17579" xr:uid="{00000000-0005-0000-0000-000067AB0000}"/>
    <cellStyle name="Total 8 2 3 6" xfId="19221" xr:uid="{00000000-0005-0000-0000-000068AB0000}"/>
    <cellStyle name="Total 8 2 4" xfId="7972" xr:uid="{00000000-0005-0000-0000-000069AB0000}"/>
    <cellStyle name="Total 8 2 4 2" xfId="15220" xr:uid="{00000000-0005-0000-0000-00006AAB0000}"/>
    <cellStyle name="Total 8 2 4 3" xfId="15221" xr:uid="{00000000-0005-0000-0000-00006BAB0000}"/>
    <cellStyle name="Total 8 2 4 4" xfId="15222" xr:uid="{00000000-0005-0000-0000-00006CAB0000}"/>
    <cellStyle name="Total 8 2 4 5" xfId="17580" xr:uid="{00000000-0005-0000-0000-00006DAB0000}"/>
    <cellStyle name="Total 8 2 4 6" xfId="19222" xr:uid="{00000000-0005-0000-0000-00006EAB0000}"/>
    <cellStyle name="Total 8 2 5" xfId="15223" xr:uid="{00000000-0005-0000-0000-00006FAB0000}"/>
    <cellStyle name="Total 8 2 6" xfId="15224" xr:uid="{00000000-0005-0000-0000-000070AB0000}"/>
    <cellStyle name="Total 8 2 7" xfId="15225" xr:uid="{00000000-0005-0000-0000-000071AB0000}"/>
    <cellStyle name="Total 8 2 8" xfId="16095" xr:uid="{00000000-0005-0000-0000-000072AB0000}"/>
    <cellStyle name="Total 8 2 9" xfId="15627" xr:uid="{00000000-0005-0000-0000-000073AB0000}"/>
    <cellStyle name="Total 8 3" xfId="7973" xr:uid="{00000000-0005-0000-0000-000074AB0000}"/>
    <cellStyle name="Total 8 3 10" xfId="38203" xr:uid="{00000000-0005-0000-0000-000075AB0000}"/>
    <cellStyle name="Total 8 3 2" xfId="7974" xr:uid="{00000000-0005-0000-0000-000076AB0000}"/>
    <cellStyle name="Total 8 3 2 2" xfId="7975" xr:uid="{00000000-0005-0000-0000-000077AB0000}"/>
    <cellStyle name="Total 8 3 2 2 2" xfId="15226" xr:uid="{00000000-0005-0000-0000-000078AB0000}"/>
    <cellStyle name="Total 8 3 2 2 3" xfId="15227" xr:uid="{00000000-0005-0000-0000-000079AB0000}"/>
    <cellStyle name="Total 8 3 2 2 4" xfId="15228" xr:uid="{00000000-0005-0000-0000-00007AAB0000}"/>
    <cellStyle name="Total 8 3 2 2 5" xfId="17582" xr:uid="{00000000-0005-0000-0000-00007BAB0000}"/>
    <cellStyle name="Total 8 3 2 2 6" xfId="19224" xr:uid="{00000000-0005-0000-0000-00007CAB0000}"/>
    <cellStyle name="Total 8 3 2 3" xfId="7976" xr:uid="{00000000-0005-0000-0000-00007DAB0000}"/>
    <cellStyle name="Total 8 3 2 3 2" xfId="15229" xr:uid="{00000000-0005-0000-0000-00007EAB0000}"/>
    <cellStyle name="Total 8 3 2 3 3" xfId="15230" xr:uid="{00000000-0005-0000-0000-00007FAB0000}"/>
    <cellStyle name="Total 8 3 2 3 4" xfId="15231" xr:uid="{00000000-0005-0000-0000-000080AB0000}"/>
    <cellStyle name="Total 8 3 2 3 5" xfId="17583" xr:uid="{00000000-0005-0000-0000-000081AB0000}"/>
    <cellStyle name="Total 8 3 2 3 6" xfId="19225" xr:uid="{00000000-0005-0000-0000-000082AB0000}"/>
    <cellStyle name="Total 8 3 2 4" xfId="15232" xr:uid="{00000000-0005-0000-0000-000083AB0000}"/>
    <cellStyle name="Total 8 3 2 5" xfId="15233" xr:uid="{00000000-0005-0000-0000-000084AB0000}"/>
    <cellStyle name="Total 8 3 2 6" xfId="15234" xr:uid="{00000000-0005-0000-0000-000085AB0000}"/>
    <cellStyle name="Total 8 3 2 7" xfId="17581" xr:uid="{00000000-0005-0000-0000-000086AB0000}"/>
    <cellStyle name="Total 8 3 2 8" xfId="19223" xr:uid="{00000000-0005-0000-0000-000087AB0000}"/>
    <cellStyle name="Total 8 3 2 9" xfId="44157" xr:uid="{00000000-0005-0000-0000-000088AB0000}"/>
    <cellStyle name="Total 8 3 3" xfId="7977" xr:uid="{00000000-0005-0000-0000-000089AB0000}"/>
    <cellStyle name="Total 8 3 3 2" xfId="15235" xr:uid="{00000000-0005-0000-0000-00008AAB0000}"/>
    <cellStyle name="Total 8 3 3 3" xfId="15236" xr:uid="{00000000-0005-0000-0000-00008BAB0000}"/>
    <cellStyle name="Total 8 3 3 4" xfId="15237" xr:uid="{00000000-0005-0000-0000-00008CAB0000}"/>
    <cellStyle name="Total 8 3 3 5" xfId="17584" xr:uid="{00000000-0005-0000-0000-00008DAB0000}"/>
    <cellStyle name="Total 8 3 3 6" xfId="19226" xr:uid="{00000000-0005-0000-0000-00008EAB0000}"/>
    <cellStyle name="Total 8 3 4" xfId="7978" xr:uid="{00000000-0005-0000-0000-00008FAB0000}"/>
    <cellStyle name="Total 8 3 4 2" xfId="15238" xr:uid="{00000000-0005-0000-0000-000090AB0000}"/>
    <cellStyle name="Total 8 3 4 3" xfId="15239" xr:uid="{00000000-0005-0000-0000-000091AB0000}"/>
    <cellStyle name="Total 8 3 4 4" xfId="15240" xr:uid="{00000000-0005-0000-0000-000092AB0000}"/>
    <cellStyle name="Total 8 3 4 5" xfId="17585" xr:uid="{00000000-0005-0000-0000-000093AB0000}"/>
    <cellStyle name="Total 8 3 4 6" xfId="19227" xr:uid="{00000000-0005-0000-0000-000094AB0000}"/>
    <cellStyle name="Total 8 3 5" xfId="15241" xr:uid="{00000000-0005-0000-0000-000095AB0000}"/>
    <cellStyle name="Total 8 3 6" xfId="15242" xr:uid="{00000000-0005-0000-0000-000096AB0000}"/>
    <cellStyle name="Total 8 3 7" xfId="15243" xr:uid="{00000000-0005-0000-0000-000097AB0000}"/>
    <cellStyle name="Total 8 3 8" xfId="16096" xr:uid="{00000000-0005-0000-0000-000098AB0000}"/>
    <cellStyle name="Total 8 3 9" xfId="15626" xr:uid="{00000000-0005-0000-0000-000099AB0000}"/>
    <cellStyle name="Total 8 4" xfId="15244" xr:uid="{00000000-0005-0000-0000-00009AAB0000}"/>
    <cellStyle name="Total 8 4 2" xfId="44158" xr:uid="{00000000-0005-0000-0000-00009BAB0000}"/>
    <cellStyle name="Total 8 4 3" xfId="38204" xr:uid="{00000000-0005-0000-0000-00009CAB0000}"/>
    <cellStyle name="Total 8 5" xfId="15245" xr:uid="{00000000-0005-0000-0000-00009DAB0000}"/>
    <cellStyle name="Total 8 5 2" xfId="44159" xr:uid="{00000000-0005-0000-0000-00009EAB0000}"/>
    <cellStyle name="Total 8 5 3" xfId="38205" xr:uid="{00000000-0005-0000-0000-00009FAB0000}"/>
    <cellStyle name="Total 8 6" xfId="15246" xr:uid="{00000000-0005-0000-0000-0000A0AB0000}"/>
    <cellStyle name="Total 8 6 2" xfId="44160" xr:uid="{00000000-0005-0000-0000-0000A1AB0000}"/>
    <cellStyle name="Total 8 6 3" xfId="38206" xr:uid="{00000000-0005-0000-0000-0000A2AB0000}"/>
    <cellStyle name="Total 8 7" xfId="16058" xr:uid="{00000000-0005-0000-0000-0000A3AB0000}"/>
    <cellStyle name="Total 8 7 2" xfId="44155" xr:uid="{00000000-0005-0000-0000-0000A4AB0000}"/>
    <cellStyle name="Total 8 8" xfId="15660" xr:uid="{00000000-0005-0000-0000-0000A5AB0000}"/>
    <cellStyle name="Total 8 9" xfId="38201" xr:uid="{00000000-0005-0000-0000-0000A6AB0000}"/>
    <cellStyle name="Total 9" xfId="38207" xr:uid="{00000000-0005-0000-0000-0000A7AB0000}"/>
    <cellStyle name="Total 9 2" xfId="7979" xr:uid="{00000000-0005-0000-0000-0000A8AB0000}"/>
    <cellStyle name="Total 9 2 10" xfId="38208" xr:uid="{00000000-0005-0000-0000-0000A9AB0000}"/>
    <cellStyle name="Total 9 2 2" xfId="7980" xr:uid="{00000000-0005-0000-0000-0000AAAB0000}"/>
    <cellStyle name="Total 9 2 2 2" xfId="7981" xr:uid="{00000000-0005-0000-0000-0000ABAB0000}"/>
    <cellStyle name="Total 9 2 2 2 2" xfId="15247" xr:uid="{00000000-0005-0000-0000-0000ACAB0000}"/>
    <cellStyle name="Total 9 2 2 2 3" xfId="15248" xr:uid="{00000000-0005-0000-0000-0000ADAB0000}"/>
    <cellStyle name="Total 9 2 2 2 4" xfId="15249" xr:uid="{00000000-0005-0000-0000-0000AEAB0000}"/>
    <cellStyle name="Total 9 2 2 2 5" xfId="17587" xr:uid="{00000000-0005-0000-0000-0000AFAB0000}"/>
    <cellStyle name="Total 9 2 2 2 6" xfId="19229" xr:uid="{00000000-0005-0000-0000-0000B0AB0000}"/>
    <cellStyle name="Total 9 2 2 3" xfId="7982" xr:uid="{00000000-0005-0000-0000-0000B1AB0000}"/>
    <cellStyle name="Total 9 2 2 3 2" xfId="15250" xr:uid="{00000000-0005-0000-0000-0000B2AB0000}"/>
    <cellStyle name="Total 9 2 2 3 3" xfId="15251" xr:uid="{00000000-0005-0000-0000-0000B3AB0000}"/>
    <cellStyle name="Total 9 2 2 3 4" xfId="15252" xr:uid="{00000000-0005-0000-0000-0000B4AB0000}"/>
    <cellStyle name="Total 9 2 2 3 5" xfId="17588" xr:uid="{00000000-0005-0000-0000-0000B5AB0000}"/>
    <cellStyle name="Total 9 2 2 3 6" xfId="19230" xr:uid="{00000000-0005-0000-0000-0000B6AB0000}"/>
    <cellStyle name="Total 9 2 2 4" xfId="15253" xr:uid="{00000000-0005-0000-0000-0000B7AB0000}"/>
    <cellStyle name="Total 9 2 2 5" xfId="15254" xr:uid="{00000000-0005-0000-0000-0000B8AB0000}"/>
    <cellStyle name="Total 9 2 2 6" xfId="15255" xr:uid="{00000000-0005-0000-0000-0000B9AB0000}"/>
    <cellStyle name="Total 9 2 2 7" xfId="17586" xr:uid="{00000000-0005-0000-0000-0000BAAB0000}"/>
    <cellStyle name="Total 9 2 2 8" xfId="19228" xr:uid="{00000000-0005-0000-0000-0000BBAB0000}"/>
    <cellStyle name="Total 9 2 2 9" xfId="44162" xr:uid="{00000000-0005-0000-0000-0000BCAB0000}"/>
    <cellStyle name="Total 9 2 3" xfId="7983" xr:uid="{00000000-0005-0000-0000-0000BDAB0000}"/>
    <cellStyle name="Total 9 2 3 2" xfId="15256" xr:uid="{00000000-0005-0000-0000-0000BEAB0000}"/>
    <cellStyle name="Total 9 2 3 3" xfId="15257" xr:uid="{00000000-0005-0000-0000-0000BFAB0000}"/>
    <cellStyle name="Total 9 2 3 4" xfId="15258" xr:uid="{00000000-0005-0000-0000-0000C0AB0000}"/>
    <cellStyle name="Total 9 2 3 5" xfId="17589" xr:uid="{00000000-0005-0000-0000-0000C1AB0000}"/>
    <cellStyle name="Total 9 2 3 6" xfId="19231" xr:uid="{00000000-0005-0000-0000-0000C2AB0000}"/>
    <cellStyle name="Total 9 2 4" xfId="7984" xr:uid="{00000000-0005-0000-0000-0000C3AB0000}"/>
    <cellStyle name="Total 9 2 4 2" xfId="15259" xr:uid="{00000000-0005-0000-0000-0000C4AB0000}"/>
    <cellStyle name="Total 9 2 4 3" xfId="15260" xr:uid="{00000000-0005-0000-0000-0000C5AB0000}"/>
    <cellStyle name="Total 9 2 4 4" xfId="15261" xr:uid="{00000000-0005-0000-0000-0000C6AB0000}"/>
    <cellStyle name="Total 9 2 4 5" xfId="17590" xr:uid="{00000000-0005-0000-0000-0000C7AB0000}"/>
    <cellStyle name="Total 9 2 4 6" xfId="19232" xr:uid="{00000000-0005-0000-0000-0000C8AB0000}"/>
    <cellStyle name="Total 9 2 5" xfId="15262" xr:uid="{00000000-0005-0000-0000-0000C9AB0000}"/>
    <cellStyle name="Total 9 2 6" xfId="15263" xr:uid="{00000000-0005-0000-0000-0000CAAB0000}"/>
    <cellStyle name="Total 9 2 7" xfId="15264" xr:uid="{00000000-0005-0000-0000-0000CBAB0000}"/>
    <cellStyle name="Total 9 2 8" xfId="16097" xr:uid="{00000000-0005-0000-0000-0000CCAB0000}"/>
    <cellStyle name="Total 9 2 9" xfId="15625" xr:uid="{00000000-0005-0000-0000-0000CDAB0000}"/>
    <cellStyle name="Total 9 3" xfId="7985" xr:uid="{00000000-0005-0000-0000-0000CEAB0000}"/>
    <cellStyle name="Total 9 3 10" xfId="38209" xr:uid="{00000000-0005-0000-0000-0000CFAB0000}"/>
    <cellStyle name="Total 9 3 2" xfId="7986" xr:uid="{00000000-0005-0000-0000-0000D0AB0000}"/>
    <cellStyle name="Total 9 3 2 2" xfId="7987" xr:uid="{00000000-0005-0000-0000-0000D1AB0000}"/>
    <cellStyle name="Total 9 3 2 2 2" xfId="15265" xr:uid="{00000000-0005-0000-0000-0000D2AB0000}"/>
    <cellStyle name="Total 9 3 2 2 3" xfId="15266" xr:uid="{00000000-0005-0000-0000-0000D3AB0000}"/>
    <cellStyle name="Total 9 3 2 2 4" xfId="15267" xr:uid="{00000000-0005-0000-0000-0000D4AB0000}"/>
    <cellStyle name="Total 9 3 2 2 5" xfId="17592" xr:uid="{00000000-0005-0000-0000-0000D5AB0000}"/>
    <cellStyle name="Total 9 3 2 2 6" xfId="19234" xr:uid="{00000000-0005-0000-0000-0000D6AB0000}"/>
    <cellStyle name="Total 9 3 2 3" xfId="7988" xr:uid="{00000000-0005-0000-0000-0000D7AB0000}"/>
    <cellStyle name="Total 9 3 2 3 2" xfId="15268" xr:uid="{00000000-0005-0000-0000-0000D8AB0000}"/>
    <cellStyle name="Total 9 3 2 3 3" xfId="15269" xr:uid="{00000000-0005-0000-0000-0000D9AB0000}"/>
    <cellStyle name="Total 9 3 2 3 4" xfId="15270" xr:uid="{00000000-0005-0000-0000-0000DAAB0000}"/>
    <cellStyle name="Total 9 3 2 3 5" xfId="17593" xr:uid="{00000000-0005-0000-0000-0000DBAB0000}"/>
    <cellStyle name="Total 9 3 2 3 6" xfId="19235" xr:uid="{00000000-0005-0000-0000-0000DCAB0000}"/>
    <cellStyle name="Total 9 3 2 4" xfId="15271" xr:uid="{00000000-0005-0000-0000-0000DDAB0000}"/>
    <cellStyle name="Total 9 3 2 5" xfId="15272" xr:uid="{00000000-0005-0000-0000-0000DEAB0000}"/>
    <cellStyle name="Total 9 3 2 6" xfId="15273" xr:uid="{00000000-0005-0000-0000-0000DFAB0000}"/>
    <cellStyle name="Total 9 3 2 7" xfId="17591" xr:uid="{00000000-0005-0000-0000-0000E0AB0000}"/>
    <cellStyle name="Total 9 3 2 8" xfId="19233" xr:uid="{00000000-0005-0000-0000-0000E1AB0000}"/>
    <cellStyle name="Total 9 3 2 9" xfId="44163" xr:uid="{00000000-0005-0000-0000-0000E2AB0000}"/>
    <cellStyle name="Total 9 3 3" xfId="7989" xr:uid="{00000000-0005-0000-0000-0000E3AB0000}"/>
    <cellStyle name="Total 9 3 3 2" xfId="15274" xr:uid="{00000000-0005-0000-0000-0000E4AB0000}"/>
    <cellStyle name="Total 9 3 3 3" xfId="15275" xr:uid="{00000000-0005-0000-0000-0000E5AB0000}"/>
    <cellStyle name="Total 9 3 3 4" xfId="15276" xr:uid="{00000000-0005-0000-0000-0000E6AB0000}"/>
    <cellStyle name="Total 9 3 3 5" xfId="17594" xr:uid="{00000000-0005-0000-0000-0000E7AB0000}"/>
    <cellStyle name="Total 9 3 3 6" xfId="19236" xr:uid="{00000000-0005-0000-0000-0000E8AB0000}"/>
    <cellStyle name="Total 9 3 4" xfId="7990" xr:uid="{00000000-0005-0000-0000-0000E9AB0000}"/>
    <cellStyle name="Total 9 3 4 2" xfId="15277" xr:uid="{00000000-0005-0000-0000-0000EAAB0000}"/>
    <cellStyle name="Total 9 3 4 3" xfId="15278" xr:uid="{00000000-0005-0000-0000-0000EBAB0000}"/>
    <cellStyle name="Total 9 3 4 4" xfId="15279" xr:uid="{00000000-0005-0000-0000-0000ECAB0000}"/>
    <cellStyle name="Total 9 3 4 5" xfId="17595" xr:uid="{00000000-0005-0000-0000-0000EDAB0000}"/>
    <cellStyle name="Total 9 3 4 6" xfId="19237" xr:uid="{00000000-0005-0000-0000-0000EEAB0000}"/>
    <cellStyle name="Total 9 3 5" xfId="15280" xr:uid="{00000000-0005-0000-0000-0000EFAB0000}"/>
    <cellStyle name="Total 9 3 6" xfId="15281" xr:uid="{00000000-0005-0000-0000-0000F0AB0000}"/>
    <cellStyle name="Total 9 3 7" xfId="15282" xr:uid="{00000000-0005-0000-0000-0000F1AB0000}"/>
    <cellStyle name="Total 9 3 8" xfId="16098" xr:uid="{00000000-0005-0000-0000-0000F2AB0000}"/>
    <cellStyle name="Total 9 3 9" xfId="15624" xr:uid="{00000000-0005-0000-0000-0000F3AB0000}"/>
    <cellStyle name="Total 9 4" xfId="38210" xr:uid="{00000000-0005-0000-0000-0000F4AB0000}"/>
    <cellStyle name="Total 9 4 2" xfId="44164" xr:uid="{00000000-0005-0000-0000-0000F5AB0000}"/>
    <cellStyle name="Total 9 5" xfId="38211" xr:uid="{00000000-0005-0000-0000-0000F6AB0000}"/>
    <cellStyle name="Total 9 5 2" xfId="44165" xr:uid="{00000000-0005-0000-0000-0000F7AB0000}"/>
    <cellStyle name="Total 9 6" xfId="38212" xr:uid="{00000000-0005-0000-0000-0000F8AB0000}"/>
    <cellStyle name="Total 9 6 2" xfId="44166" xr:uid="{00000000-0005-0000-0000-0000F9AB0000}"/>
    <cellStyle name="Total 9 7" xfId="44161" xr:uid="{00000000-0005-0000-0000-0000FAAB0000}"/>
    <cellStyle name="Unprot" xfId="7991" xr:uid="{00000000-0005-0000-0000-0000FBAB0000}"/>
    <cellStyle name="Unprot 2" xfId="7992" xr:uid="{00000000-0005-0000-0000-0000FCAB0000}"/>
    <cellStyle name="Unprot 2 2" xfId="38214" xr:uid="{00000000-0005-0000-0000-0000FDAB0000}"/>
    <cellStyle name="Unprot 2 2 2" xfId="44168" xr:uid="{00000000-0005-0000-0000-0000FEAB0000}"/>
    <cellStyle name="Unprot 2 3" xfId="44167" xr:uid="{00000000-0005-0000-0000-0000FFAB0000}"/>
    <cellStyle name="Unprot 2 4" xfId="38213" xr:uid="{00000000-0005-0000-0000-000000AC0000}"/>
    <cellStyle name="Unprot 3" xfId="38215" xr:uid="{00000000-0005-0000-0000-000001AC0000}"/>
    <cellStyle name="Unprot 3 2" xfId="38216" xr:uid="{00000000-0005-0000-0000-000002AC0000}"/>
    <cellStyle name="Unprot 3 2 2" xfId="44170" xr:uid="{00000000-0005-0000-0000-000003AC0000}"/>
    <cellStyle name="Unprot 3 3" xfId="44169" xr:uid="{00000000-0005-0000-0000-000004AC0000}"/>
    <cellStyle name="Unprot 4" xfId="38217" xr:uid="{00000000-0005-0000-0000-000005AC0000}"/>
    <cellStyle name="Unprot 4 2" xfId="38218" xr:uid="{00000000-0005-0000-0000-000006AC0000}"/>
    <cellStyle name="Unprot 4 2 2" xfId="44172" xr:uid="{00000000-0005-0000-0000-000007AC0000}"/>
    <cellStyle name="Unprot 4 3" xfId="44171" xr:uid="{00000000-0005-0000-0000-000008AC0000}"/>
    <cellStyle name="Unprot 5" xfId="38219" xr:uid="{00000000-0005-0000-0000-000009AC0000}"/>
    <cellStyle name="Unprot 5 2" xfId="44173" xr:uid="{00000000-0005-0000-0000-00000AAC0000}"/>
    <cellStyle name="Unprot 6" xfId="38220" xr:uid="{00000000-0005-0000-0000-00000BAC0000}"/>
    <cellStyle name="Unprot 6 2" xfId="44174" xr:uid="{00000000-0005-0000-0000-00000CAC0000}"/>
    <cellStyle name="Unprot 7" xfId="38221" xr:uid="{00000000-0005-0000-0000-00000DAC0000}"/>
    <cellStyle name="Unprot 7 2" xfId="44175" xr:uid="{00000000-0005-0000-0000-00000EAC0000}"/>
    <cellStyle name="Unprot 8" xfId="38222" xr:uid="{00000000-0005-0000-0000-00000FAC0000}"/>
    <cellStyle name="Unprot 8 2" xfId="44176" xr:uid="{00000000-0005-0000-0000-000010AC0000}"/>
    <cellStyle name="Unprot$" xfId="7993" xr:uid="{00000000-0005-0000-0000-000011AC0000}"/>
    <cellStyle name="Unprot$ 2" xfId="38223" xr:uid="{00000000-0005-0000-0000-000012AC0000}"/>
    <cellStyle name="Unprot$ 2 2" xfId="38224" xr:uid="{00000000-0005-0000-0000-000013AC0000}"/>
    <cellStyle name="Unprot$ 2 2 2" xfId="44178" xr:uid="{00000000-0005-0000-0000-000014AC0000}"/>
    <cellStyle name="Unprot$ 2 3" xfId="38225" xr:uid="{00000000-0005-0000-0000-000015AC0000}"/>
    <cellStyle name="Unprot$ 2 3 2" xfId="44179" xr:uid="{00000000-0005-0000-0000-000016AC0000}"/>
    <cellStyle name="Unprot$ 2 4" xfId="38226" xr:uid="{00000000-0005-0000-0000-000017AC0000}"/>
    <cellStyle name="Unprot$ 2 4 2" xfId="44180" xr:uid="{00000000-0005-0000-0000-000018AC0000}"/>
    <cellStyle name="Unprot$ 2 5" xfId="44177" xr:uid="{00000000-0005-0000-0000-000019AC0000}"/>
    <cellStyle name="Unprot$ 3" xfId="38227" xr:uid="{00000000-0005-0000-0000-00001AAC0000}"/>
    <cellStyle name="Unprot$ 3 2" xfId="44181" xr:uid="{00000000-0005-0000-0000-00001BAC0000}"/>
    <cellStyle name="Unprot$ 4" xfId="38228" xr:uid="{00000000-0005-0000-0000-00001CAC0000}"/>
    <cellStyle name="Unprot$ 4 2" xfId="44182" xr:uid="{00000000-0005-0000-0000-00001DAC0000}"/>
    <cellStyle name="Unprot$ 5" xfId="38229" xr:uid="{00000000-0005-0000-0000-00001EAC0000}"/>
    <cellStyle name="Unprot$ 5 2" xfId="44183" xr:uid="{00000000-0005-0000-0000-00001FAC0000}"/>
    <cellStyle name="Unprot$ 6" xfId="38230" xr:uid="{00000000-0005-0000-0000-000020AC0000}"/>
    <cellStyle name="Unprot$ 6 2" xfId="38231" xr:uid="{00000000-0005-0000-0000-000021AC0000}"/>
    <cellStyle name="Unprot$ 6 2 2" xfId="44185" xr:uid="{00000000-0005-0000-0000-000022AC0000}"/>
    <cellStyle name="Unprot$ 6 3" xfId="38232" xr:uid="{00000000-0005-0000-0000-000023AC0000}"/>
    <cellStyle name="Unprot$ 6 3 2" xfId="44186" xr:uid="{00000000-0005-0000-0000-000024AC0000}"/>
    <cellStyle name="Unprot$ 6 4" xfId="44184" xr:uid="{00000000-0005-0000-0000-000025AC0000}"/>
    <cellStyle name="Unprot$ 7" xfId="38233" xr:uid="{00000000-0005-0000-0000-000026AC0000}"/>
    <cellStyle name="Unprot$ 7 2" xfId="44187" xr:uid="{00000000-0005-0000-0000-000027AC0000}"/>
    <cellStyle name="Unprot$ 8" xfId="38234" xr:uid="{00000000-0005-0000-0000-000028AC0000}"/>
    <cellStyle name="Unprot$ 8 2" xfId="44188" xr:uid="{00000000-0005-0000-0000-000029AC0000}"/>
    <cellStyle name="Unprot$ 9" xfId="38235" xr:uid="{00000000-0005-0000-0000-00002AAC0000}"/>
    <cellStyle name="Unprot$ 9 2" xfId="44189" xr:uid="{00000000-0005-0000-0000-00002BAC0000}"/>
    <cellStyle name="Unprot_2011 ERRA Nov Cost Model_v2" xfId="38236" xr:uid="{00000000-0005-0000-0000-00002CAC0000}"/>
    <cellStyle name="Unprotect" xfId="7994" xr:uid="{00000000-0005-0000-0000-00002DAC0000}"/>
    <cellStyle name="Unprotect 2" xfId="38237" xr:uid="{00000000-0005-0000-0000-00002EAC0000}"/>
    <cellStyle name="Unprotect 2 2" xfId="44190" xr:uid="{00000000-0005-0000-0000-00002FAC0000}"/>
    <cellStyle name="Unprotect 3" xfId="38238" xr:uid="{00000000-0005-0000-0000-000030AC0000}"/>
    <cellStyle name="Unprotect 3 2" xfId="44191" xr:uid="{00000000-0005-0000-0000-000031AC0000}"/>
    <cellStyle name="Unprotect 4" xfId="38239" xr:uid="{00000000-0005-0000-0000-000032AC0000}"/>
    <cellStyle name="Unprotect 4 2" xfId="44192" xr:uid="{00000000-0005-0000-0000-000033AC0000}"/>
    <cellStyle name="Unprotected" xfId="38240" xr:uid="{00000000-0005-0000-0000-000034AC0000}"/>
    <cellStyle name="Unprotected 2" xfId="38241" xr:uid="{00000000-0005-0000-0000-000035AC0000}"/>
    <cellStyle name="Unprotected 3" xfId="44193" xr:uid="{00000000-0005-0000-0000-000036AC0000}"/>
    <cellStyle name="User_Defined_A" xfId="38242" xr:uid="{00000000-0005-0000-0000-000037AC0000}"/>
    <cellStyle name="UserInput" xfId="38243" xr:uid="{00000000-0005-0000-0000-000038AC0000}"/>
    <cellStyle name="UserInput (no border)" xfId="38244" xr:uid="{00000000-0005-0000-0000-000039AC0000}"/>
    <cellStyle name="UserInput (no border) 2" xfId="38245" xr:uid="{00000000-0005-0000-0000-00003AAC0000}"/>
    <cellStyle name="UserInput (no border) 2 2" xfId="44196" xr:uid="{00000000-0005-0000-0000-00003BAC0000}"/>
    <cellStyle name="UserInput (no border) 3" xfId="44195" xr:uid="{00000000-0005-0000-0000-00003CAC0000}"/>
    <cellStyle name="UserInput (no border) Lrg" xfId="38246" xr:uid="{00000000-0005-0000-0000-00003DAC0000}"/>
    <cellStyle name="UserInput (no border) Lrg 2" xfId="44197" xr:uid="{00000000-0005-0000-0000-00003EAC0000}"/>
    <cellStyle name="UserInput (no border)_Counterparties" xfId="38247" xr:uid="{00000000-0005-0000-0000-00003FAC0000}"/>
    <cellStyle name="UserInput (no border, left)" xfId="38248" xr:uid="{00000000-0005-0000-0000-000040AC0000}"/>
    <cellStyle name="UserInput (no border, left) 2" xfId="38249" xr:uid="{00000000-0005-0000-0000-000041AC0000}"/>
    <cellStyle name="UserInput (no border, left) 2 2" xfId="44199" xr:uid="{00000000-0005-0000-0000-000042AC0000}"/>
    <cellStyle name="UserInput (no border, left) 3" xfId="44198" xr:uid="{00000000-0005-0000-0000-000043AC0000}"/>
    <cellStyle name="UserInput (no border, no font)" xfId="38250" xr:uid="{00000000-0005-0000-0000-000044AC0000}"/>
    <cellStyle name="UserInput (no border, no font) 2" xfId="38251" xr:uid="{00000000-0005-0000-0000-000045AC0000}"/>
    <cellStyle name="UserInput (no border, no font) 2 2" xfId="44201" xr:uid="{00000000-0005-0000-0000-000046AC0000}"/>
    <cellStyle name="UserInput (no border, no font) 3" xfId="44200" xr:uid="{00000000-0005-0000-0000-000047AC0000}"/>
    <cellStyle name="UserInput (no border,bold)" xfId="38252" xr:uid="{00000000-0005-0000-0000-000048AC0000}"/>
    <cellStyle name="UserInput (no border,bold) 2" xfId="44202" xr:uid="{00000000-0005-0000-0000-000049AC0000}"/>
    <cellStyle name="UserInput (white)" xfId="38253" xr:uid="{00000000-0005-0000-0000-00004AAC0000}"/>
    <cellStyle name="UserInput (white) 2" xfId="38254" xr:uid="{00000000-0005-0000-0000-00004BAC0000}"/>
    <cellStyle name="UserInput (white) 2 2" xfId="44204" xr:uid="{00000000-0005-0000-0000-00004CAC0000}"/>
    <cellStyle name="UserInput (white) 3" xfId="44203" xr:uid="{00000000-0005-0000-0000-00004DAC0000}"/>
    <cellStyle name="UserInput 10" xfId="38255" xr:uid="{00000000-0005-0000-0000-00004EAC0000}"/>
    <cellStyle name="UserInput 10 2" xfId="44205" xr:uid="{00000000-0005-0000-0000-00004FAC0000}"/>
    <cellStyle name="UserInput 11" xfId="38256" xr:uid="{00000000-0005-0000-0000-000050AC0000}"/>
    <cellStyle name="UserInput 11 2" xfId="44206" xr:uid="{00000000-0005-0000-0000-000051AC0000}"/>
    <cellStyle name="UserInput 12" xfId="38257" xr:uid="{00000000-0005-0000-0000-000052AC0000}"/>
    <cellStyle name="UserInput 12 2" xfId="44207" xr:uid="{00000000-0005-0000-0000-000053AC0000}"/>
    <cellStyle name="UserInput 13" xfId="38258" xr:uid="{00000000-0005-0000-0000-000054AC0000}"/>
    <cellStyle name="UserInput 13 2" xfId="44208" xr:uid="{00000000-0005-0000-0000-000055AC0000}"/>
    <cellStyle name="UserInput 14" xfId="38259" xr:uid="{00000000-0005-0000-0000-000056AC0000}"/>
    <cellStyle name="UserInput 14 2" xfId="44209" xr:uid="{00000000-0005-0000-0000-000057AC0000}"/>
    <cellStyle name="UserInput 15" xfId="44194" xr:uid="{00000000-0005-0000-0000-000058AC0000}"/>
    <cellStyle name="UserInput 16" xfId="44321" xr:uid="{00000000-0005-0000-0000-000059AC0000}"/>
    <cellStyle name="UserInput 17" xfId="43381" xr:uid="{00000000-0005-0000-0000-00005AAC0000}"/>
    <cellStyle name="UserInput 2" xfId="38260" xr:uid="{00000000-0005-0000-0000-00005BAC0000}"/>
    <cellStyle name="UserInput 2 2" xfId="44210" xr:uid="{00000000-0005-0000-0000-00005CAC0000}"/>
    <cellStyle name="UserInput 3" xfId="38261" xr:uid="{00000000-0005-0000-0000-00005DAC0000}"/>
    <cellStyle name="UserInput 3 2" xfId="44211" xr:uid="{00000000-0005-0000-0000-00005EAC0000}"/>
    <cellStyle name="UserInput 4" xfId="38262" xr:uid="{00000000-0005-0000-0000-00005FAC0000}"/>
    <cellStyle name="UserInput 4 2" xfId="44212" xr:uid="{00000000-0005-0000-0000-000060AC0000}"/>
    <cellStyle name="UserInput 5" xfId="38263" xr:uid="{00000000-0005-0000-0000-000061AC0000}"/>
    <cellStyle name="UserInput 5 2" xfId="44213" xr:uid="{00000000-0005-0000-0000-000062AC0000}"/>
    <cellStyle name="UserInput 6" xfId="38264" xr:uid="{00000000-0005-0000-0000-000063AC0000}"/>
    <cellStyle name="UserInput 6 2" xfId="44214" xr:uid="{00000000-0005-0000-0000-000064AC0000}"/>
    <cellStyle name="UserInput 7" xfId="38265" xr:uid="{00000000-0005-0000-0000-000065AC0000}"/>
    <cellStyle name="UserInput 7 2" xfId="44215" xr:uid="{00000000-0005-0000-0000-000066AC0000}"/>
    <cellStyle name="UserInput 8" xfId="38266" xr:uid="{00000000-0005-0000-0000-000067AC0000}"/>
    <cellStyle name="UserInput 8 2" xfId="44216" xr:uid="{00000000-0005-0000-0000-000068AC0000}"/>
    <cellStyle name="UserInput 9" xfId="38267" xr:uid="{00000000-0005-0000-0000-000069AC0000}"/>
    <cellStyle name="UserInput 9 2" xfId="44217" xr:uid="{00000000-0005-0000-0000-00006AAC0000}"/>
    <cellStyle name="UserInput_04-06 Production Month" xfId="38268" xr:uid="{00000000-0005-0000-0000-00006BAC0000}"/>
    <cellStyle name="Value" xfId="7995" xr:uid="{00000000-0005-0000-0000-00006CAC0000}"/>
    <cellStyle name="Value 2" xfId="38269" xr:uid="{00000000-0005-0000-0000-00006DAC0000}"/>
    <cellStyle name="Value 2 2" xfId="44218" xr:uid="{00000000-0005-0000-0000-00006EAC0000}"/>
    <cellStyle name="Value 3" xfId="38270" xr:uid="{00000000-0005-0000-0000-00006FAC0000}"/>
    <cellStyle name="Value 3 2" xfId="44219" xr:uid="{00000000-0005-0000-0000-000070AC0000}"/>
    <cellStyle name="Vert18" xfId="38271" xr:uid="{00000000-0005-0000-0000-000071AC0000}"/>
    <cellStyle name="Vert18 2" xfId="38272" xr:uid="{00000000-0005-0000-0000-000072AC0000}"/>
    <cellStyle name="Vert18 2 2" xfId="44221" xr:uid="{00000000-0005-0000-0000-000073AC0000}"/>
    <cellStyle name="Vert18 3" xfId="44220" xr:uid="{00000000-0005-0000-0000-000074AC0000}"/>
    <cellStyle name="Vert26" xfId="38273" xr:uid="{00000000-0005-0000-0000-000075AC0000}"/>
    <cellStyle name="Vert26 2" xfId="44222" xr:uid="{00000000-0005-0000-0000-000076AC0000}"/>
    <cellStyle name="Währung [0]_Compiling Utility Macros" xfId="38274" xr:uid="{00000000-0005-0000-0000-000077AC0000}"/>
    <cellStyle name="Währung_Compiling Utility Macros" xfId="38275" xr:uid="{00000000-0005-0000-0000-000078AC0000}"/>
    <cellStyle name="Warning Text" xfId="44336" builtinId="11" customBuiltin="1"/>
    <cellStyle name="Warning Text 10" xfId="38276" xr:uid="{00000000-0005-0000-0000-00007AAC0000}"/>
    <cellStyle name="Warning Text 10 2" xfId="7996" xr:uid="{00000000-0005-0000-0000-00007BAC0000}"/>
    <cellStyle name="Warning Text 10 2 2" xfId="44223" xr:uid="{00000000-0005-0000-0000-00007CAC0000}"/>
    <cellStyle name="Warning Text 10 3" xfId="7997" xr:uid="{00000000-0005-0000-0000-00007DAC0000}"/>
    <cellStyle name="Warning Text 11" xfId="38277" xr:uid="{00000000-0005-0000-0000-00007EAC0000}"/>
    <cellStyle name="Warning Text 11 2" xfId="7998" xr:uid="{00000000-0005-0000-0000-00007FAC0000}"/>
    <cellStyle name="Warning Text 11 3" xfId="7999" xr:uid="{00000000-0005-0000-0000-000080AC0000}"/>
    <cellStyle name="Warning Text 12" xfId="38278" xr:uid="{00000000-0005-0000-0000-000081AC0000}"/>
    <cellStyle name="Warning Text 12 2" xfId="8000" xr:uid="{00000000-0005-0000-0000-000082AC0000}"/>
    <cellStyle name="Warning Text 12 3" xfId="8001" xr:uid="{00000000-0005-0000-0000-000083AC0000}"/>
    <cellStyle name="Warning Text 13 2" xfId="8002" xr:uid="{00000000-0005-0000-0000-000084AC0000}"/>
    <cellStyle name="Warning Text 13 3" xfId="8003" xr:uid="{00000000-0005-0000-0000-000085AC0000}"/>
    <cellStyle name="Warning Text 14 2" xfId="8004" xr:uid="{00000000-0005-0000-0000-000086AC0000}"/>
    <cellStyle name="Warning Text 14 3" xfId="8005" xr:uid="{00000000-0005-0000-0000-000087AC0000}"/>
    <cellStyle name="Warning Text 15" xfId="8006" xr:uid="{00000000-0005-0000-0000-000088AC0000}"/>
    <cellStyle name="Warning Text 15 2" xfId="8007" xr:uid="{00000000-0005-0000-0000-000089AC0000}"/>
    <cellStyle name="Warning Text 15 3" xfId="8008" xr:uid="{00000000-0005-0000-0000-00008AAC0000}"/>
    <cellStyle name="Warning Text 15 4" xfId="8009" xr:uid="{00000000-0005-0000-0000-00008BAC0000}"/>
    <cellStyle name="Warning Text 15 5" xfId="8010" xr:uid="{00000000-0005-0000-0000-00008CAC0000}"/>
    <cellStyle name="Warning Text 15 6" xfId="8011" xr:uid="{00000000-0005-0000-0000-00008DAC0000}"/>
    <cellStyle name="Warning Text 15 7" xfId="8012" xr:uid="{00000000-0005-0000-0000-00008EAC0000}"/>
    <cellStyle name="Warning Text 16" xfId="8013" xr:uid="{00000000-0005-0000-0000-00008FAC0000}"/>
    <cellStyle name="Warning Text 17" xfId="8014" xr:uid="{00000000-0005-0000-0000-000090AC0000}"/>
    <cellStyle name="Warning Text 18" xfId="8015" xr:uid="{00000000-0005-0000-0000-000091AC0000}"/>
    <cellStyle name="Warning Text 19" xfId="8016" xr:uid="{00000000-0005-0000-0000-000092AC0000}"/>
    <cellStyle name="Warning Text 2" xfId="8017" xr:uid="{00000000-0005-0000-0000-000093AC0000}"/>
    <cellStyle name="Warning Text 2 2" xfId="8018" xr:uid="{00000000-0005-0000-0000-000094AC0000}"/>
    <cellStyle name="Warning Text 2 2 2" xfId="38280" xr:uid="{00000000-0005-0000-0000-000095AC0000}"/>
    <cellStyle name="Warning Text 2 2 2 2" xfId="44225" xr:uid="{00000000-0005-0000-0000-000096AC0000}"/>
    <cellStyle name="Warning Text 2 2 3" xfId="38281" xr:uid="{00000000-0005-0000-0000-000097AC0000}"/>
    <cellStyle name="Warning Text 2 2 3 2" xfId="44226" xr:uid="{00000000-0005-0000-0000-000098AC0000}"/>
    <cellStyle name="Warning Text 2 2 4" xfId="44224" xr:uid="{00000000-0005-0000-0000-000099AC0000}"/>
    <cellStyle name="Warning Text 2 2 5" xfId="38279" xr:uid="{00000000-0005-0000-0000-00009AAC0000}"/>
    <cellStyle name="Warning Text 2 3" xfId="8019" xr:uid="{00000000-0005-0000-0000-00009BAC0000}"/>
    <cellStyle name="Warning Text 2 3 2" xfId="44227" xr:uid="{00000000-0005-0000-0000-00009CAC0000}"/>
    <cellStyle name="Warning Text 2 3 3" xfId="38282" xr:uid="{00000000-0005-0000-0000-00009DAC0000}"/>
    <cellStyle name="Warning Text 2 4" xfId="38283" xr:uid="{00000000-0005-0000-0000-00009EAC0000}"/>
    <cellStyle name="Warning Text 2 4 2" xfId="44228" xr:uid="{00000000-0005-0000-0000-00009FAC0000}"/>
    <cellStyle name="Warning Text 2 5" xfId="38284" xr:uid="{00000000-0005-0000-0000-0000A0AC0000}"/>
    <cellStyle name="Warning Text 2 5 2" xfId="44229" xr:uid="{00000000-0005-0000-0000-0000A1AC0000}"/>
    <cellStyle name="Warning Text 2 6" xfId="38285" xr:uid="{00000000-0005-0000-0000-0000A2AC0000}"/>
    <cellStyle name="Warning Text 2 6 2" xfId="44230" xr:uid="{00000000-0005-0000-0000-0000A3AC0000}"/>
    <cellStyle name="Warning Text 2 7" xfId="38286" xr:uid="{00000000-0005-0000-0000-0000A4AC0000}"/>
    <cellStyle name="Warning Text 2 7 2" xfId="44231" xr:uid="{00000000-0005-0000-0000-0000A5AC0000}"/>
    <cellStyle name="Warning Text 2 8" xfId="38287" xr:uid="{00000000-0005-0000-0000-0000A6AC0000}"/>
    <cellStyle name="Warning Text 2 8 2" xfId="44232" xr:uid="{00000000-0005-0000-0000-0000A7AC0000}"/>
    <cellStyle name="Warning Text 20" xfId="8020" xr:uid="{00000000-0005-0000-0000-0000A8AC0000}"/>
    <cellStyle name="Warning Text 21" xfId="8021" xr:uid="{00000000-0005-0000-0000-0000A9AC0000}"/>
    <cellStyle name="Warning Text 22" xfId="8022" xr:uid="{00000000-0005-0000-0000-0000AAAC0000}"/>
    <cellStyle name="Warning Text 3" xfId="8023" xr:uid="{00000000-0005-0000-0000-0000ABAC0000}"/>
    <cellStyle name="Warning Text 3 2" xfId="8024" xr:uid="{00000000-0005-0000-0000-0000ACAC0000}"/>
    <cellStyle name="Warning Text 3 2 2" xfId="38290" xr:uid="{00000000-0005-0000-0000-0000ADAC0000}"/>
    <cellStyle name="Warning Text 3 2 2 2" xfId="44235" xr:uid="{00000000-0005-0000-0000-0000AEAC0000}"/>
    <cellStyle name="Warning Text 3 2 3" xfId="44234" xr:uid="{00000000-0005-0000-0000-0000AFAC0000}"/>
    <cellStyle name="Warning Text 3 2 4" xfId="38289" xr:uid="{00000000-0005-0000-0000-0000B0AC0000}"/>
    <cellStyle name="Warning Text 3 3" xfId="8025" xr:uid="{00000000-0005-0000-0000-0000B1AC0000}"/>
    <cellStyle name="Warning Text 3 3 2" xfId="44236" xr:uid="{00000000-0005-0000-0000-0000B2AC0000}"/>
    <cellStyle name="Warning Text 3 3 3" xfId="38291" xr:uid="{00000000-0005-0000-0000-0000B3AC0000}"/>
    <cellStyle name="Warning Text 3 4" xfId="38292" xr:uid="{00000000-0005-0000-0000-0000B4AC0000}"/>
    <cellStyle name="Warning Text 3 5" xfId="44233" xr:uid="{00000000-0005-0000-0000-0000B5AC0000}"/>
    <cellStyle name="Warning Text 3 6" xfId="38288" xr:uid="{00000000-0005-0000-0000-0000B6AC0000}"/>
    <cellStyle name="Warning Text 4" xfId="8026" xr:uid="{00000000-0005-0000-0000-0000B7AC0000}"/>
    <cellStyle name="Warning Text 4 2" xfId="8027" xr:uid="{00000000-0005-0000-0000-0000B8AC0000}"/>
    <cellStyle name="Warning Text 4 2 2" xfId="38295" xr:uid="{00000000-0005-0000-0000-0000B9AC0000}"/>
    <cellStyle name="Warning Text 4 2 2 2" xfId="44239" xr:uid="{00000000-0005-0000-0000-0000BAAC0000}"/>
    <cellStyle name="Warning Text 4 2 3" xfId="44238" xr:uid="{00000000-0005-0000-0000-0000BBAC0000}"/>
    <cellStyle name="Warning Text 4 2 4" xfId="38294" xr:uid="{00000000-0005-0000-0000-0000BCAC0000}"/>
    <cellStyle name="Warning Text 4 3" xfId="8028" xr:uid="{00000000-0005-0000-0000-0000BDAC0000}"/>
    <cellStyle name="Warning Text 4 3 2" xfId="44240" xr:uid="{00000000-0005-0000-0000-0000BEAC0000}"/>
    <cellStyle name="Warning Text 4 3 3" xfId="38296" xr:uid="{00000000-0005-0000-0000-0000BFAC0000}"/>
    <cellStyle name="Warning Text 4 4" xfId="38297" xr:uid="{00000000-0005-0000-0000-0000C0AC0000}"/>
    <cellStyle name="Warning Text 4 5" xfId="44237" xr:uid="{00000000-0005-0000-0000-0000C1AC0000}"/>
    <cellStyle name="Warning Text 4 6" xfId="38293" xr:uid="{00000000-0005-0000-0000-0000C2AC0000}"/>
    <cellStyle name="Warning Text 5" xfId="8029" xr:uid="{00000000-0005-0000-0000-0000C3AC0000}"/>
    <cellStyle name="Warning Text 5 2" xfId="8030" xr:uid="{00000000-0005-0000-0000-0000C4AC0000}"/>
    <cellStyle name="Warning Text 5 2 2" xfId="38299" xr:uid="{00000000-0005-0000-0000-0000C5AC0000}"/>
    <cellStyle name="Warning Text 5 3" xfId="8031" xr:uid="{00000000-0005-0000-0000-0000C6AC0000}"/>
    <cellStyle name="Warning Text 5 3 2" xfId="44241" xr:uid="{00000000-0005-0000-0000-0000C7AC0000}"/>
    <cellStyle name="Warning Text 5 4" xfId="38298" xr:uid="{00000000-0005-0000-0000-0000C8AC0000}"/>
    <cellStyle name="Warning Text 6" xfId="38300" xr:uid="{00000000-0005-0000-0000-0000C9AC0000}"/>
    <cellStyle name="Warning Text 6 2" xfId="8032" xr:uid="{00000000-0005-0000-0000-0000CAAC0000}"/>
    <cellStyle name="Warning Text 6 2 2" xfId="44242" xr:uid="{00000000-0005-0000-0000-0000CBAC0000}"/>
    <cellStyle name="Warning Text 6 3" xfId="8033" xr:uid="{00000000-0005-0000-0000-0000CCAC0000}"/>
    <cellStyle name="Warning Text 7" xfId="38301" xr:uid="{00000000-0005-0000-0000-0000CDAC0000}"/>
    <cellStyle name="Warning Text 7 2" xfId="8034" xr:uid="{00000000-0005-0000-0000-0000CEAC0000}"/>
    <cellStyle name="Warning Text 7 2 2" xfId="44243" xr:uid="{00000000-0005-0000-0000-0000CFAC0000}"/>
    <cellStyle name="Warning Text 7 3" xfId="8035" xr:uid="{00000000-0005-0000-0000-0000D0AC0000}"/>
    <cellStyle name="Warning Text 8" xfId="38302" xr:uid="{00000000-0005-0000-0000-0000D1AC0000}"/>
    <cellStyle name="Warning Text 8 2" xfId="8036" xr:uid="{00000000-0005-0000-0000-0000D2AC0000}"/>
    <cellStyle name="Warning Text 8 2 2" xfId="44244" xr:uid="{00000000-0005-0000-0000-0000D3AC0000}"/>
    <cellStyle name="Warning Text 8 3" xfId="8037" xr:uid="{00000000-0005-0000-0000-0000D4AC0000}"/>
    <cellStyle name="Warning Text 9" xfId="38303" xr:uid="{00000000-0005-0000-0000-0000D5AC0000}"/>
    <cellStyle name="Warning Text 9 2" xfId="8038" xr:uid="{00000000-0005-0000-0000-0000D6AC0000}"/>
    <cellStyle name="Warning Text 9 2 2" xfId="44245" xr:uid="{00000000-0005-0000-0000-0000D7AC0000}"/>
    <cellStyle name="Warning Text 9 3" xfId="8039" xr:uid="{00000000-0005-0000-0000-0000D8AC0000}"/>
    <cellStyle name="Year" xfId="38304" xr:uid="{00000000-0005-0000-0000-0000D9AC0000}"/>
    <cellStyle name="Year 2" xfId="38305" xr:uid="{00000000-0005-0000-0000-0000DAAC0000}"/>
    <cellStyle name="Year 3" xfId="44246" xr:uid="{00000000-0005-0000-0000-0000DBAC0000}"/>
    <cellStyle name="Yellow" xfId="38306" xr:uid="{00000000-0005-0000-0000-0000DCAC0000}"/>
    <cellStyle name="⠠散瑮牥搩 䠀礀瀀攀爀氀椀渀欀" xfId="38307" xr:uid="{00000000-0005-0000-0000-0000DDAC0000}"/>
    <cellStyle name="⠠散瑮牥搩 䠀礀瀀攀爀氀椀渀欀 2" xfId="44247" xr:uid="{00000000-0005-0000-0000-0000DEAC0000}"/>
    <cellStyle name="⠠敬瑦爩搩 䠀礀瀀攀爀氀椀" xfId="38308" xr:uid="{00000000-0005-0000-0000-0000DFAC0000}"/>
    <cellStyle name="⠠敬瑦爩搩 䠀礀瀀攀爀氀椀 2" xfId="44248" xr:uid="{00000000-0005-0000-0000-0000E0AC0000}"/>
    <cellStyle name="⠠楲桧⥴搩 䠀礀瀀攀爀氀椀渀" xfId="38309" xr:uid="{00000000-0005-0000-0000-0000E1AC0000}"/>
    <cellStyle name="⠠楲桧⥴搩 䠀礀瀀攀爀氀椀渀 2" xfId="44249" xr:uid="{00000000-0005-0000-0000-0000E2AC0000}"/>
    <cellStyle name="ㅧ氲畣慬楴湯䡳礀" xfId="38310" xr:uid="{00000000-0005-0000-0000-0000E3AC0000}"/>
    <cellStyle name="ㅧ氲畣慬楴湯䡳礀 2" xfId="44250" xr:uid="{00000000-0005-0000-0000-0000E4AC0000}"/>
    <cellStyle name="㉧氲畣慬楴湯䡳礀" xfId="38311" xr:uid="{00000000-0005-0000-0000-0000E5AC0000}"/>
    <cellStyle name="㉧氲畣慬楴湯䡳礀 2" xfId="44251" xr:uid="{00000000-0005-0000-0000-0000E6AC0000}"/>
    <cellStyle name="匠祴敬弱䍃R礀瀀攀爀氀椀渀欀" xfId="38312" xr:uid="{00000000-0005-0000-0000-0000E7AC0000}"/>
    <cellStyle name="匠祴敬弱䍃R礀瀀攀爀氀椀渀欀 2" xfId="44252" xr:uid="{00000000-0005-0000-0000-0000E8AC0000}"/>
    <cellStyle name="匠祴敬琱嵎⡜␢⌢⌬〣〮⥜〰〰〰" xfId="38313" xr:uid="{00000000-0005-0000-0000-0000E9AC0000}"/>
    <cellStyle name="匠祴敬琱嵎⡜␢⌢⌬〣〮⥜〰〰〰 2" xfId="44253" xr:uid="{00000000-0005-0000-0000-0000EAAC0000}"/>
    <cellStyle name="匠祴敬琲嵎⡜␢⌢⌬〣〮⥜〰〰〰" xfId="38314" xr:uid="{00000000-0005-0000-0000-0000EBAC0000}"/>
    <cellStyle name="匠祴敬琲嵎⡜␢⌢⌬〣〮⥜〰〰〰 2" xfId="44254" xr:uid="{00000000-0005-0000-0000-0000ECAC0000}"/>
    <cellStyle name="匠祴敬琳嵎⡜␢⌢⌬〣〮⥜〰〰〰" xfId="38315" xr:uid="{00000000-0005-0000-0000-0000EDAC0000}"/>
    <cellStyle name="匠祴敬琳嵎⡜␢⌢⌬〣〮⥜〰〰〰 2" xfId="44255" xr:uid="{00000000-0005-0000-0000-0000EEAC0000}"/>
    <cellStyle name="匠祴敬琴嵎⡜␢⌢⌬〣〮⥜〰〰〰" xfId="38316" xr:uid="{00000000-0005-0000-0000-0000EFAC0000}"/>
    <cellStyle name="匠祴敬琴嵎⡜␢⌢⌬〣〮⥜〰〰〰 2" xfId="44256" xr:uid="{00000000-0005-0000-0000-0000F0AC0000}"/>
    <cellStyle name="匠祴敬琵嵎⡜␢⌢⌬〣〮⥜〰〰〰" xfId="38317" xr:uid="{00000000-0005-0000-0000-0000F1AC0000}"/>
    <cellStyle name="匠祴敬琵嵎⡜␢⌢⌬〣〮⥜〰〰〰 2" xfId="44257" xr:uid="{00000000-0005-0000-0000-0000F2AC0000}"/>
    <cellStyle name="匠祴敬琶嵎⡜␢⌢⌬〣〮⥜〰〰〰" xfId="38318" xr:uid="{00000000-0005-0000-0000-0000F3AC0000}"/>
    <cellStyle name="匠祴敬琶嵎⡜␢⌢⌬〣〮⥜〰〰〰 2" xfId="44258" xr:uid="{00000000-0005-0000-0000-0000F4AC0000}"/>
    <cellStyle name="匠祴敬琷嵎⡜␢⌢⌬〣〮⥜〰〰〰" xfId="38319" xr:uid="{00000000-0005-0000-0000-0000F5AC0000}"/>
    <cellStyle name="匠祴敬琷嵎⡜␢⌢⌬〣〮⥜〰〰〰 2" xfId="44259" xr:uid="{00000000-0005-0000-0000-0000F6AC0000}"/>
    <cellStyle name="匠祴敬琸嵎⡜␢⌢⌬〣〮⥜〰〰〰" xfId="38320" xr:uid="{00000000-0005-0000-0000-0000F7AC0000}"/>
    <cellStyle name="匠祴敬琸嵎⡜␢⌢⌬〣〮⥜〰〰〰 2" xfId="44260" xr:uid="{00000000-0005-0000-0000-0000F8AC0000}"/>
    <cellStyle name="弰䍃敒琸嵎⡜␢⌢⌬" xfId="38321" xr:uid="{00000000-0005-0000-0000-0000F9AC0000}"/>
    <cellStyle name="弰䍃敒琸嵎⡜␢⌢⌬ 2" xfId="44261" xr:uid="{00000000-0005-0000-0000-0000FAAC0000}"/>
    <cellStyle name="彤偅⁌䅄䅔剃 嬀　崀" xfId="38322" xr:uid="{00000000-0005-0000-0000-0000FBAC0000}"/>
    <cellStyle name="彤偅⁌䅄䅔剃 嬀　崀 2" xfId="44262" xr:uid="{00000000-0005-0000-0000-0000FCAC0000}"/>
    <cellStyle name="愀 嬀　崀" xfId="38323" xr:uid="{00000000-0005-0000-0000-0000FDAC0000}"/>
    <cellStyle name="愀 嬀　崀 2" xfId="44263" xr:uid="{00000000-0005-0000-0000-0000FEAC0000}"/>
    <cellStyle name="愠楬湧敭瑮嵎⡜␢⌢⌬〣〮⥜〰〰〰" xfId="38324" xr:uid="{00000000-0005-0000-0000-0000FFAC0000}"/>
    <cellStyle name="愠楬湧敭瑮嵎⡜␢⌢⌬〣〮⥜〰〰〰 2" xfId="44264" xr:uid="{00000000-0005-0000-0000-000000AD0000}"/>
    <cellStyle name="慴椠灮瑵䍟剃礀 嬀　" xfId="38325" xr:uid="{00000000-0005-0000-0000-000001AD0000}"/>
    <cellStyle name="慴椠灮瑵䍟剃礀 嬀　 2" xfId="44265" xr:uid="{00000000-0005-0000-0000-000002AD0000}"/>
    <cellStyle name="损污畣慬楴湯䡳礀瀀攀爀氀椀渀欀" xfId="38326" xr:uid="{00000000-0005-0000-0000-000003AD0000}"/>
    <cellStyle name="损污畣慬楴湯䡳礀瀀攀爀氀椀渀欀 2" xfId="44266" xr:uid="{00000000-0005-0000-0000-000004AD0000}"/>
    <cellStyle name="⁥敎⁷潒慭" xfId="38327" xr:uid="{00000000-0005-0000-0000-000005AD0000}"/>
    <cellStyle name="⁥敎⁷潒慭 2" xfId="44267" xr:uid="{00000000-0005-0000-0000-000006AD0000}"/>
    <cellStyle name="⁳敎⁷潒慭彮䍃牒瘬散瑮牥 敬瑦" xfId="38328" xr:uid="{00000000-0005-0000-0000-000007AD0000}"/>
    <cellStyle name="⁳敎⁷潒慭彮䍃牒瘬散瑮牥 敬瑦 2" xfId="44268" xr:uid="{00000000-0005-0000-0000-000008AD0000}"/>
    <cellStyle name="敬瑦洩弩䍃R礀瀀攀爀氀椀渀" xfId="38329" xr:uid="{00000000-0005-0000-0000-000009AD0000}"/>
    <cellStyle name="敬瑦洩弩䍃R礀瀀攀爀氀椀渀 2" xfId="44269" xr:uid="{00000000-0005-0000-0000-00000AAD0000}"/>
    <cellStyle name="整椠灮瑵" xfId="38330" xr:uid="{00000000-0005-0000-0000-00000BAD0000}"/>
    <cellStyle name="整椠灮瑵 2" xfId="44270" xr:uid="{00000000-0005-0000-0000-00000CAD0000}"/>
    <cellStyle name="整氠湯瑧䍟剃礀 嬀" xfId="38331" xr:uid="{00000000-0005-0000-0000-00000DAD0000}"/>
    <cellStyle name="整氠湯瑧䍟剃礀 嬀 2" xfId="44271" xr:uid="{00000000-0005-0000-0000-00000EAD0000}"/>
    <cellStyle name="整猠潨瑲䍟剃礀 嬀　" xfId="38332" xr:uid="{00000000-0005-0000-0000-00000FAD0000}"/>
    <cellStyle name="整猠潨瑲䍟剃礀 嬀　 2" xfId="44272" xr:uid="{00000000-0005-0000-0000-000010AD0000}"/>
    <cellStyle name="整䕟䱐䐠呁剁礀 嬀　崀" xfId="38333" xr:uid="{00000000-0005-0000-0000-000011AD0000}"/>
    <cellStyle name="整䕟䱐䐠呁剁礀 嬀　崀 2" xfId="44273" xr:uid="{00000000-0005-0000-0000-000012AD0000}"/>
    <cellStyle name="敹䕟䱐" xfId="38334" xr:uid="{00000000-0005-0000-0000-000013AD0000}"/>
    <cellStyle name="敹䕟䱐 2" xfId="44274" xr:uid="{00000000-0005-0000-0000-000014AD0000}"/>
    <cellStyle name="桝瑩⥥弩䍃R礀瀀" xfId="38335" xr:uid="{00000000-0005-0000-0000-000015AD0000}"/>
    <cellStyle name="桝瑩⥥弩䍃R礀瀀 2" xfId="44275" xr:uid="{00000000-0005-0000-0000-000016AD0000}"/>
    <cellStyle name="桝瑩⥥弩䍃R礀瀀攀" xfId="38336" xr:uid="{00000000-0005-0000-0000-000017AD0000}"/>
    <cellStyle name="桝瑩⥥弩䍃R礀瀀攀 2" xfId="44276" xr:uid="{00000000-0005-0000-0000-000018AD0000}"/>
    <cellStyle name="桷瑩⥥弩䍃R礀瀀攀爀氀椀渀欀" xfId="38337" xr:uid="{00000000-0005-0000-0000-000019AD0000}"/>
    <cellStyle name="桷瑩⥥弩䍃R礀瀀攀爀氀椀渀欀 2" xfId="44277" xr:uid="{00000000-0005-0000-0000-00001AAD0000}"/>
    <cellStyle name="業摤敬弩䍃R礀瀀攀爀氀椀渀欀" xfId="38338" xr:uid="{00000000-0005-0000-0000-00001BAD0000}"/>
    <cellStyle name="業摤敬弩䍃R礀瀀攀爀氀椀渀欀 2" xfId="44278" xr:uid="{00000000-0005-0000-0000-00001CAD0000}"/>
    <cellStyle name="楲桧⥴弩䍃R礀瀀攀爀氀椀渀欀" xfId="38339" xr:uid="{00000000-0005-0000-0000-00001DAD0000}"/>
    <cellStyle name="楲桧⥴弩䍃R礀瀀攀爀氀椀渀欀 2" xfId="44279" xr:uid="{00000000-0005-0000-0000-00001EAD0000}"/>
    <cellStyle name="氀漀眀攀搀 " xfId="38340" xr:uid="{00000000-0005-0000-0000-00001FAD0000}"/>
    <cellStyle name="氀漀眀攀搀  2" xfId="44280" xr:uid="{00000000-0005-0000-0000-000020AD0000}"/>
    <cellStyle name="⁧氱畣慬楴湯䡳礀瀀" xfId="38341" xr:uid="{00000000-0005-0000-0000-000021AD0000}"/>
    <cellStyle name="⁧氱畣慬楴湯䡳礀瀀 2" xfId="44281" xr:uid="{00000000-0005-0000-0000-000022AD0000}"/>
    <cellStyle name="⁧氲畣慬楴湯䡳礀瀀" xfId="38342" xr:uid="{00000000-0005-0000-0000-000023AD0000}"/>
    <cellStyle name="⁧氲畣慬楴湯䡳礀瀀 2" xfId="44282" xr:uid="{00000000-0005-0000-0000-000024AD0000}"/>
    <cellStyle name="汮⁹戨瑯潴⁭慴汢⥥攀爀氀椀渀欀" xfId="38343" xr:uid="{00000000-0005-0000-0000-000025AD0000}"/>
    <cellStyle name="汮⁹戨瑯潴⁭慴汢⥥攀爀氀椀渀欀 2" xfId="44283" xr:uid="{00000000-0005-0000-0000-000026AD0000}"/>
    <cellStyle name="汮⁹挨污⥣⁭慴汢⥥攀爀氀椀渀欀" xfId="38344" xr:uid="{00000000-0005-0000-0000-000027AD0000}"/>
    <cellStyle name="汮⁹挨污⥣⁭慴汢⥥攀爀氀椀渀欀 2" xfId="44284" xr:uid="{00000000-0005-0000-0000-000028AD0000}"/>
    <cellStyle name="汮⁹挨污Ᵽ氠晥⥴⥥攀爀氀椀渀欀" xfId="38345" xr:uid="{00000000-0005-0000-0000-000029AD0000}"/>
    <cellStyle name="汮⁹挨污Ᵽ氠晥⥴⥥攀爀氀椀渀欀 2" xfId="44285" xr:uid="{00000000-0005-0000-0000-00002AAD0000}"/>
    <cellStyle name="汮⁹挨污Ᵽ渠⁯潢摲牥爩氀椀渀欀" xfId="38346" xr:uid="{00000000-0005-0000-0000-00002BAD0000}"/>
    <cellStyle name="汮⁹挨污Ᵽ渠⁯潢摲牥爩氀椀渀欀 2" xfId="44286" xr:uid="{00000000-0005-0000-0000-00002CAD0000}"/>
    <cellStyle name="汮⁹栨慥敤⥲⁯潢摲牥爩氀椀渀欀" xfId="38347" xr:uid="{00000000-0005-0000-0000-00002DAD0000}"/>
    <cellStyle name="汮⁹栨慥敤⥲⁯潢摲牥爩氀椀渀欀 2" xfId="44287" xr:uid="{00000000-0005-0000-0000-00002EAD0000}"/>
    <cellStyle name="汮⁹栨慥敤Ⱳ挠湥整⥲爩氀椀渀欀" xfId="38348" xr:uid="{00000000-0005-0000-0000-00002FAD0000}"/>
    <cellStyle name="汮⁹栨慥敤Ⱳ挠湥整⥲爩氀椀渀欀 2" xfId="44288" xr:uid="{00000000-0005-0000-0000-000030AD0000}"/>
    <cellStyle name="汮⁹栨慥敤Ⱳ氠晥⥴⥲爩氀椀渀欀" xfId="38349" xr:uid="{00000000-0005-0000-0000-000031AD0000}"/>
    <cellStyle name="汮⁹栨慥敤Ⱳ氠晥⥴⥲爩氀椀渀欀 2" xfId="44289" xr:uid="{00000000-0005-0000-0000-000032AD0000}"/>
    <cellStyle name="汮⁹栨慥敤Ⱳ渠⁯潢摲牥‬敬瑦欩" xfId="38350" xr:uid="{00000000-0005-0000-0000-000033AD0000}"/>
    <cellStyle name="汮⁹栨慥敤Ⱳ渠⁯潢摲牥‬敬瑦欩 2" xfId="44290" xr:uid="{00000000-0005-0000-0000-000034AD0000}"/>
    <cellStyle name="汮⁹栨慥敤Ⱳ渠⁯潢摲牥氩椀渀欀" xfId="38351" xr:uid="{00000000-0005-0000-0000-000035AD0000}"/>
    <cellStyle name="汮⁹栨慥敤Ⱳ渠⁯潢摲牥氩椀渀欀 2" xfId="44291" xr:uid="{00000000-0005-0000-0000-000036AD0000}"/>
    <cellStyle name="汮⁹氨晥⥴Ⱳ渠⁯潢摲牥‬敬瑦欩" xfId="38352" xr:uid="{00000000-0005-0000-0000-000037AD0000}"/>
    <cellStyle name="汮⁹氨晥⥴Ⱳ渠⁯潢摲牥‬敬瑦欩 2" xfId="44292" xr:uid="{00000000-0005-0000-0000-000038AD0000}"/>
    <cellStyle name="汮⁹渨慯楬湧爩瘬散瑮牥 敬瑦欩" xfId="38353" xr:uid="{00000000-0005-0000-0000-000039AD0000}"/>
    <cellStyle name="汮⁹渨慯楬湧爩瘬散瑮牥 敬瑦欩 2" xfId="44293" xr:uid="{00000000-0005-0000-0000-00003AAD0000}"/>
    <cellStyle name="汮⁹渨⁯潢摲牥 潢摲牥‬敬瑦欩" xfId="38354" xr:uid="{00000000-0005-0000-0000-00003BAD0000}"/>
    <cellStyle name="汮⁹渨⁯潢摲牥 潢摲牥‬敬瑦欩 2" xfId="44294" xr:uid="{00000000-0005-0000-0000-00003CAD0000}"/>
    <cellStyle name="汮⁹渨⁯潢摲牥瘬散瑮牥 敬瑦欩" xfId="38355" xr:uid="{00000000-0005-0000-0000-00003DAD0000}"/>
    <cellStyle name="汮⁹渨⁯潢摲牥瘬散瑮牥 敬瑦欩 2" xfId="44295" xr:uid="{00000000-0005-0000-0000-00003EAD0000}"/>
    <cellStyle name="汮⁹牬慧楬湧爩瘬散瑮牥 敬" xfId="38356" xr:uid="{00000000-0005-0000-0000-00003FAD0000}"/>
    <cellStyle name="汮⁹牬慧楬湧爩瘬散瑮牥 敬 2" xfId="44296" xr:uid="{00000000-0005-0000-0000-000040AD0000}"/>
    <cellStyle name="汮摹〠〮0䌀R礀瀀" xfId="38357" xr:uid="{00000000-0005-0000-0000-000041AD0000}"/>
    <cellStyle name="汮摹〠〮0䌀R礀瀀 2" xfId="44297" xr:uid="{00000000-0005-0000-0000-000042AD0000}"/>
    <cellStyle name="潢瑴浯弩䍃R礀瀀攀爀氀椀渀欀" xfId="38358" xr:uid="{00000000-0005-0000-0000-000043AD0000}"/>
    <cellStyle name="潢瑴浯弩䍃R礀瀀攀爀氀椀渀欀 2" xfId="44298" xr:uid="{00000000-0005-0000-0000-000044AD0000}"/>
    <cellStyle name="潴⥰⥴弩䍃R礀瀀攀爀氀椀" xfId="38359" xr:uid="{00000000-0005-0000-0000-000045AD0000}"/>
    <cellStyle name="潴⥰⥴弩䍃R礀瀀攀爀氀椀 2" xfId="44299" xr:uid="{00000000-0005-0000-0000-000046AD0000}"/>
    <cellStyle name="爀氀椀渀欀" xfId="38360" xr:uid="{00000000-0005-0000-0000-000047AD0000}"/>
    <cellStyle name="爀氀椀渀欀 2" xfId="44300" xr:uid="{00000000-0005-0000-0000-000048AD0000}"/>
    <cellStyle name="牥慤嵹渀欀" xfId="38361" xr:uid="{00000000-0005-0000-0000-000049AD0000}"/>
    <cellStyle name="牥慤嵹渀欀 2" xfId="44301" xr:uid="{00000000-0005-0000-0000-00004AAD0000}"/>
    <cellStyle name="牥湉異⁴渨⁯潢摲牥 牌瑧牥 敬瑦欩" xfId="38362" xr:uid="{00000000-0005-0000-0000-00004BAD0000}"/>
    <cellStyle name="牥湉異⁴渨⁯潢摲牥 牌瑧牥 敬瑦欩 2" xfId="44302" xr:uid="{00000000-0005-0000-0000-00004CAD0000}"/>
    <cellStyle name="牥湉異⁴渨⁯潢摲牥戬汯⥤湯⥴敬瑦欩" xfId="38363" xr:uid="{00000000-0005-0000-0000-00004DAD0000}"/>
    <cellStyle name="牥湉異⁴渨⁯潢摲牥戬汯⥤湯⥴敬瑦欩 2" xfId="44303" xr:uid="{00000000-0005-0000-0000-00004EAD0000}"/>
    <cellStyle name="牥湉異⁴渨⁯潢摲牥‬敬瑦爩 敬瑦欩" xfId="38364" xr:uid="{00000000-0005-0000-0000-00004FAD0000}"/>
    <cellStyle name="牥湉異⁴渨⁯潢摲牥‬敬瑦爩 敬瑦欩 2" xfId="44304" xr:uid="{00000000-0005-0000-0000-000050AD0000}"/>
    <cellStyle name="牥湉異⁴渨⁯潢摲牥‬潮映湯⥴敬瑦欩" xfId="38365" xr:uid="{00000000-0005-0000-0000-000051AD0000}"/>
    <cellStyle name="牥湉異⁴渨⁯潢摲牥‬潮映湯⥴敬瑦欩 2" xfId="44305" xr:uid="{00000000-0005-0000-0000-000052AD0000}"/>
    <cellStyle name="牥湉異⁴渨⁯潢摲牥瘩散瑮牥 敬瑦欩" xfId="38366" xr:uid="{00000000-0005-0000-0000-000053AD0000}"/>
    <cellStyle name="牥湉異⁴渨⁯潢摲牥瘩散瑮牥 敬瑦欩 2" xfId="44306" xr:uid="{00000000-0005-0000-0000-000054AD0000}"/>
    <cellStyle name="牥湉異⁴潒慭彮䍃牒" xfId="38367" xr:uid="{00000000-0005-0000-0000-000055AD0000}"/>
    <cellStyle name="牥湉異⁴潒慭彮䍃牒 2" xfId="44307" xr:uid="{00000000-0005-0000-0000-000056AD0000}"/>
    <cellStyle name="牥湉異⁴眨楨整搩牥戬汯⥤湯⥴敬瑦欩" xfId="38368" xr:uid="{00000000-0005-0000-0000-000057AD0000}"/>
    <cellStyle name="牥湉異⁴眨楨整搩牥戬汯⥤湯⥴敬瑦欩 2" xfId="44308" xr:uid="{00000000-0005-0000-0000-000058AD0000}"/>
    <cellStyle name="牥湉異彴慣捬汵瑡潩獮汯⥤湯⥴敬瑦欩" xfId="38369" xr:uid="{00000000-0005-0000-0000-000059AD0000}"/>
    <cellStyle name="牥湉異彴慣捬汵瑡潩獮汯⥤湯⥴敬瑦欩 2" xfId="44309" xr:uid="{00000000-0005-0000-0000-00005AAD0000}"/>
    <cellStyle name="牧祥洩弩䍃R礀瀀攀爀氀椀渀" xfId="38370" xr:uid="{00000000-0005-0000-0000-00005BAD0000}"/>
    <cellStyle name="牧祥洩弩䍃R礀瀀攀爀氀椀渀 2" xfId="44310" xr:uid="{00000000-0005-0000-0000-00005CAD0000}"/>
    <cellStyle name="牮慤嵹渀欀" xfId="38371" xr:uid="{00000000-0005-0000-0000-00005DAD0000}"/>
    <cellStyle name="牮慤嵹渀欀 2" xfId="44311" xr:uid="{00000000-0005-0000-0000-00005EAD0000}"/>
    <cellStyle name="瑡摥〠〮0䌀R礀瀀攀爀氀椀渀欀" xfId="38372" xr:uid="{00000000-0005-0000-0000-00005FAD0000}"/>
    <cellStyle name="瑡摥〠〮0䌀R礀瀀攀爀氀椀渀欀 2" xfId="44312" xr:uid="{00000000-0005-0000-0000-000060AD0000}"/>
    <cellStyle name="異彴慣捬汵瑡" xfId="38373" xr:uid="{00000000-0005-0000-0000-000061AD0000}"/>
    <cellStyle name="異彴慣捬汵瑡 2" xfId="44313" xr:uid="{00000000-0005-0000-0000-000062AD0000}"/>
    <cellStyle name="祣⸠〰䍟剃" xfId="38374" xr:uid="{00000000-0005-0000-0000-000063AD0000}"/>
    <cellStyle name="祣⸠〰䍟剃 2" xfId="44314" xr:uid="{00000000-0005-0000-0000-000064AD0000}"/>
    <cellStyle name="祣攰渀挀礀 嬀　崀" xfId="38375" xr:uid="{00000000-0005-0000-0000-000065AD0000}"/>
    <cellStyle name="祣攰渀挀礀 嬀　崀 2" xfId="44315" xr:uid="{00000000-0005-0000-0000-000066AD0000}"/>
    <cellStyle name="䑆㈠〰〶‱䕒佃嵎⡜␢⌢⌬〣〮⥜〰〰" xfId="38376" xr:uid="{00000000-0005-0000-0000-000067AD0000}"/>
    <cellStyle name="䑆㈠〰〶‱䕒佃嵎⡜␢⌢⌬〣〮⥜〰〰 2" xfId="44316" xr:uid="{00000000-0005-0000-0000-000068AD0000}"/>
    <cellStyle name="䕤䱐䐠呁剁" xfId="38377" xr:uid="{00000000-0005-0000-0000-000069AD0000}"/>
    <cellStyle name="䕤䱐䐠呁剁 2" xfId="44317" xr:uid="{00000000-0005-0000-0000-00006AAD0000}"/>
    <cellStyle name="⁤䰰䐠呁剁礀 " xfId="38378" xr:uid="{00000000-0005-0000-0000-00006BAD0000}"/>
    <cellStyle name="⁤䰰䐠呁剁礀  2" xfId="44318" xr:uid="{00000000-0005-0000-0000-00006CAD0000}"/>
    <cellStyle name="䱐" xfId="38379" xr:uid="{00000000-0005-0000-0000-00006DAD0000}"/>
    <cellStyle name="䱐 2" xfId="44319" xr:uid="{00000000-0005-0000-0000-00006EAD0000}"/>
  </cellStyles>
  <dxfs count="8">
    <dxf>
      <fill>
        <patternFill>
          <bgColor rgb="FF92D05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C000"/>
        </patternFill>
      </fill>
    </dxf>
    <dxf>
      <font>
        <color rgb="FF9C5700"/>
      </font>
      <fill>
        <patternFill>
          <bgColor rgb="FFFFEB9C"/>
        </patternFill>
      </fill>
    </dxf>
    <dxf>
      <fill>
        <patternFill>
          <bgColor theme="7" tint="0.79998168889431442"/>
        </patternFill>
      </fill>
    </dxf>
  </dxfs>
  <tableStyles count="1" defaultTableStyle="TableStyleMedium2" defaultPivotStyle="PivotStyleLight16">
    <tableStyle name="Resource Adequacy" table="0" count="1" xr9:uid="{00000000-0011-0000-FFFF-FFFF00000000}">
      <tableStyleElement type="firstColumnStripe" dxfId="7"/>
    </tableStyle>
  </tableStyles>
  <colors>
    <mruColors>
      <color rgb="FF36A393"/>
      <color rgb="FFFDB727"/>
      <color rgb="FF0F5A7C"/>
      <color rgb="FFFFFF99"/>
      <color rgb="FF4D4D4F"/>
      <color rgb="FFFF7C8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3.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4.xml"/><Relationship Id="rId77"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5.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78"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externalLink" Target="externalLinks/externalLink6.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5592535</xdr:colOff>
      <xdr:row>0</xdr:row>
      <xdr:rowOff>81643</xdr:rowOff>
    </xdr:from>
    <xdr:to>
      <xdr:col>0</xdr:col>
      <xdr:colOff>8098942</xdr:colOff>
      <xdr:row>0</xdr:row>
      <xdr:rowOff>636937</xdr:rowOff>
    </xdr:to>
    <xdr:pic>
      <xdr:nvPicPr>
        <xdr:cNvPr id="2" name="Picture 1" descr="CARB Logo" title="CARB Logo">
          <a:extLst>
            <a:ext uri="{FF2B5EF4-FFF2-40B4-BE49-F238E27FC236}">
              <a16:creationId xmlns:a16="http://schemas.microsoft.com/office/drawing/2014/main" id="{C97276DD-EC3C-4373-A1B0-2A0B6AEE4E7D}"/>
            </a:ext>
          </a:extLst>
        </xdr:cNvPr>
        <xdr:cNvPicPr>
          <a:picLocks noChangeAspect="1"/>
        </xdr:cNvPicPr>
      </xdr:nvPicPr>
      <xdr:blipFill>
        <a:blip xmlns:r="http://schemas.openxmlformats.org/officeDocument/2006/relationships" r:embed="rId1"/>
        <a:stretch>
          <a:fillRect/>
        </a:stretch>
      </xdr:blipFill>
      <xdr:spPr>
        <a:xfrm>
          <a:off x="5592535" y="81643"/>
          <a:ext cx="2748342" cy="560374"/>
        </a:xfrm>
        <a:prstGeom prst="rect">
          <a:avLst/>
        </a:prstGeom>
      </xdr:spPr>
    </xdr:pic>
    <xdr:clientData/>
  </xdr:twoCellAnchor>
  <xdr:twoCellAnchor editAs="oneCell">
    <xdr:from>
      <xdr:col>0</xdr:col>
      <xdr:colOff>5592535</xdr:colOff>
      <xdr:row>0</xdr:row>
      <xdr:rowOff>81643</xdr:rowOff>
    </xdr:from>
    <xdr:to>
      <xdr:col>0</xdr:col>
      <xdr:colOff>8095132</xdr:colOff>
      <xdr:row>0</xdr:row>
      <xdr:rowOff>635032</xdr:rowOff>
    </xdr:to>
    <xdr:pic>
      <xdr:nvPicPr>
        <xdr:cNvPr id="3" name="Picture 2" descr="CARB Logo" title="CARB Logo">
          <a:extLst>
            <a:ext uri="{FF2B5EF4-FFF2-40B4-BE49-F238E27FC236}">
              <a16:creationId xmlns:a16="http://schemas.microsoft.com/office/drawing/2014/main" id="{63600E67-8E94-47CB-8792-CECB57B86A03}"/>
            </a:ext>
          </a:extLst>
        </xdr:cNvPr>
        <xdr:cNvPicPr>
          <a:picLocks noChangeAspect="1"/>
        </xdr:cNvPicPr>
      </xdr:nvPicPr>
      <xdr:blipFill>
        <a:blip xmlns:r="http://schemas.openxmlformats.org/officeDocument/2006/relationships" r:embed="rId1"/>
        <a:stretch>
          <a:fillRect/>
        </a:stretch>
      </xdr:blipFill>
      <xdr:spPr>
        <a:xfrm>
          <a:off x="5590630" y="83548"/>
          <a:ext cx="2504502" cy="551484"/>
        </a:xfrm>
        <a:prstGeom prst="rect">
          <a:avLst/>
        </a:prstGeom>
      </xdr:spPr>
    </xdr:pic>
    <xdr:clientData/>
  </xdr:twoCellAnchor>
  <xdr:twoCellAnchor editAs="oneCell">
    <xdr:from>
      <xdr:col>0</xdr:col>
      <xdr:colOff>5592535</xdr:colOff>
      <xdr:row>0</xdr:row>
      <xdr:rowOff>81643</xdr:rowOff>
    </xdr:from>
    <xdr:to>
      <xdr:col>0</xdr:col>
      <xdr:colOff>8098942</xdr:colOff>
      <xdr:row>0</xdr:row>
      <xdr:rowOff>631222</xdr:rowOff>
    </xdr:to>
    <xdr:pic>
      <xdr:nvPicPr>
        <xdr:cNvPr id="4" name="Picture 3" descr="CARB Logo" title="CARB Logo">
          <a:extLst>
            <a:ext uri="{FF2B5EF4-FFF2-40B4-BE49-F238E27FC236}">
              <a16:creationId xmlns:a16="http://schemas.microsoft.com/office/drawing/2014/main" id="{27060BF8-147C-4945-A667-A514371AE916}"/>
            </a:ext>
          </a:extLst>
        </xdr:cNvPr>
        <xdr:cNvPicPr>
          <a:picLocks noChangeAspect="1"/>
        </xdr:cNvPicPr>
      </xdr:nvPicPr>
      <xdr:blipFill>
        <a:blip xmlns:r="http://schemas.openxmlformats.org/officeDocument/2006/relationships" r:embed="rId1"/>
        <a:stretch>
          <a:fillRect/>
        </a:stretch>
      </xdr:blipFill>
      <xdr:spPr>
        <a:xfrm>
          <a:off x="5590630" y="83548"/>
          <a:ext cx="2508312" cy="547674"/>
        </a:xfrm>
        <a:prstGeom prst="rect">
          <a:avLst/>
        </a:prstGeom>
      </xdr:spPr>
    </xdr:pic>
    <xdr:clientData/>
  </xdr:twoCellAnchor>
  <xdr:twoCellAnchor editAs="oneCell">
    <xdr:from>
      <xdr:col>0</xdr:col>
      <xdr:colOff>5592535</xdr:colOff>
      <xdr:row>0</xdr:row>
      <xdr:rowOff>81643</xdr:rowOff>
    </xdr:from>
    <xdr:to>
      <xdr:col>0</xdr:col>
      <xdr:colOff>8095132</xdr:colOff>
      <xdr:row>0</xdr:row>
      <xdr:rowOff>627412</xdr:rowOff>
    </xdr:to>
    <xdr:pic>
      <xdr:nvPicPr>
        <xdr:cNvPr id="5" name="Picture 4" descr="CARB Logo" title="CARB Logo">
          <a:extLst>
            <a:ext uri="{FF2B5EF4-FFF2-40B4-BE49-F238E27FC236}">
              <a16:creationId xmlns:a16="http://schemas.microsoft.com/office/drawing/2014/main" id="{CE93202C-DD16-4ED0-931B-FF14CCB579E3}"/>
            </a:ext>
          </a:extLst>
        </xdr:cNvPr>
        <xdr:cNvPicPr>
          <a:picLocks noChangeAspect="1"/>
        </xdr:cNvPicPr>
      </xdr:nvPicPr>
      <xdr:blipFill>
        <a:blip xmlns:r="http://schemas.openxmlformats.org/officeDocument/2006/relationships" r:embed="rId1"/>
        <a:stretch>
          <a:fillRect/>
        </a:stretch>
      </xdr:blipFill>
      <xdr:spPr>
        <a:xfrm>
          <a:off x="5590630" y="83548"/>
          <a:ext cx="2504502" cy="5438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EC09%20demand-price%20forms-final-12-17.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004-10-25_DEMAND_FORM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ser\Rates\2021IEPR\lsetables\CED%202021%20Baseline%20Forecast%20-%20LSE%20and%20BA%20Tables%20Mid%20Demand%20Case%20linked.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V1_+2015+Liberty+Utilities_Workbook+1+EPE+Importers+and+Exporters.xlsm"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SPPCWorkbook_1_EPE_Importers_and_Exporters_v3_2013.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revisedEnergyandPeakforecastbyL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 val="2013-2020 EDU Allocation"/>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1.1"/>
      <sheetName val="Form1.2"/>
      <sheetName val="Form1.3"/>
      <sheetName val="Form1.4"/>
      <sheetName val="Form1.5"/>
      <sheetName val="Form1.6"/>
      <sheetName val="Form1.7"/>
      <sheetName val="Form2.1"/>
      <sheetName val="Form2.2"/>
      <sheetName val="Form2.3"/>
      <sheetName val="Form2.4"/>
      <sheetName val="Form3.1a"/>
      <sheetName val="Form3.1b"/>
      <sheetName val="Form3.2"/>
      <sheetName val="Form3.3"/>
      <sheetName val="Form3.4"/>
    </sheetNames>
    <sheetDataSet>
      <sheetData sheetId="0"/>
      <sheetData sheetId="1">
        <row r="3">
          <cell r="C3"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seforecastbydesc2"/>
      <sheetName val="CED2021_form_14"/>
      <sheetName val="CED 2021 Hourly Forecast - _ann"/>
      <sheetName val="Sheet6"/>
      <sheetName val="pouforminput"/>
      <sheetName val="recode"/>
      <sheetName val="List of Forms"/>
      <sheetName val="Form 1.1c"/>
      <sheetName val="Form 1.5a"/>
      <sheetName val="Form 1.5b"/>
      <sheetName val="Form 1.5c"/>
      <sheetName val="Form 1.5d"/>
      <sheetName val="Form 1.5e"/>
      <sheetName val="peakmult"/>
      <sheetName val="ABAN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CAISO Sales"/>
      <sheetName val="Unspec Imports"/>
      <sheetName val="Spec Imports"/>
      <sheetName val="RPS Adjust"/>
      <sheetName val="REC Serial"/>
      <sheetName val="QE Adjust"/>
      <sheetName val="Unspec Exports"/>
      <sheetName val="Spec Exports"/>
      <sheetName val="Wheeled"/>
      <sheetName val="POR.POD"/>
      <sheetName val="EF List"/>
      <sheetName val="Other 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C6" t="str">
            <v/>
          </cell>
        </row>
        <row r="7">
          <cell r="C7" t="str">
            <v/>
          </cell>
        </row>
        <row r="8">
          <cell r="C8" t="str">
            <v/>
          </cell>
        </row>
        <row r="9">
          <cell r="C9" t="str">
            <v/>
          </cell>
        </row>
        <row r="10">
          <cell r="C10" t="str">
            <v/>
          </cell>
        </row>
        <row r="11">
          <cell r="C11" t="str">
            <v/>
          </cell>
        </row>
        <row r="12">
          <cell r="C12" t="str">
            <v/>
          </cell>
        </row>
        <row r="13">
          <cell r="C13" t="str">
            <v/>
          </cell>
        </row>
        <row r="14">
          <cell r="C14" t="str">
            <v/>
          </cell>
        </row>
        <row r="15">
          <cell r="C15" t="str">
            <v/>
          </cell>
        </row>
        <row r="16">
          <cell r="C16" t="str">
            <v/>
          </cell>
        </row>
        <row r="17">
          <cell r="C17" t="str">
            <v/>
          </cell>
        </row>
        <row r="18">
          <cell r="C18" t="str">
            <v/>
          </cell>
        </row>
        <row r="19">
          <cell r="C19" t="str">
            <v/>
          </cell>
        </row>
        <row r="20">
          <cell r="C20" t="str">
            <v/>
          </cell>
        </row>
        <row r="21">
          <cell r="C21" t="str">
            <v/>
          </cell>
        </row>
        <row r="22">
          <cell r="C22" t="str">
            <v/>
          </cell>
        </row>
        <row r="23">
          <cell r="C23" t="str">
            <v/>
          </cell>
        </row>
        <row r="24">
          <cell r="C24" t="str">
            <v/>
          </cell>
        </row>
        <row r="25">
          <cell r="C25" t="str">
            <v/>
          </cell>
        </row>
        <row r="26">
          <cell r="C26" t="str">
            <v/>
          </cell>
        </row>
        <row r="27">
          <cell r="C27" t="str">
            <v/>
          </cell>
        </row>
        <row r="28">
          <cell r="C28" t="str">
            <v/>
          </cell>
        </row>
        <row r="29">
          <cell r="C29" t="str">
            <v/>
          </cell>
        </row>
        <row r="30">
          <cell r="C30" t="str">
            <v/>
          </cell>
        </row>
        <row r="31">
          <cell r="C31" t="str">
            <v/>
          </cell>
        </row>
        <row r="32">
          <cell r="C32" t="str">
            <v/>
          </cell>
        </row>
        <row r="33">
          <cell r="C33" t="str">
            <v/>
          </cell>
        </row>
        <row r="34">
          <cell r="C34" t="str">
            <v/>
          </cell>
        </row>
        <row r="35">
          <cell r="C35" t="str">
            <v/>
          </cell>
        </row>
        <row r="36">
          <cell r="C36" t="str">
            <v/>
          </cell>
        </row>
        <row r="37">
          <cell r="C37" t="str">
            <v/>
          </cell>
        </row>
        <row r="38">
          <cell r="C38" t="str">
            <v/>
          </cell>
        </row>
        <row r="39">
          <cell r="C39" t="str">
            <v/>
          </cell>
        </row>
        <row r="40">
          <cell r="C40" t="str">
            <v/>
          </cell>
        </row>
        <row r="41">
          <cell r="C41" t="str">
            <v/>
          </cell>
        </row>
        <row r="42">
          <cell r="C42" t="str">
            <v/>
          </cell>
        </row>
        <row r="43">
          <cell r="C43" t="str">
            <v/>
          </cell>
        </row>
        <row r="44">
          <cell r="C44" t="str">
            <v/>
          </cell>
        </row>
        <row r="45">
          <cell r="C45" t="str">
            <v/>
          </cell>
        </row>
        <row r="46">
          <cell r="C46" t="str">
            <v/>
          </cell>
        </row>
        <row r="47">
          <cell r="C47" t="str">
            <v/>
          </cell>
        </row>
        <row r="48">
          <cell r="C48" t="str">
            <v/>
          </cell>
        </row>
        <row r="49">
          <cell r="C49" t="str">
            <v/>
          </cell>
        </row>
        <row r="50">
          <cell r="C50" t="str">
            <v/>
          </cell>
        </row>
        <row r="51">
          <cell r="C51" t="str">
            <v/>
          </cell>
        </row>
        <row r="52">
          <cell r="C52" t="str">
            <v/>
          </cell>
        </row>
        <row r="53">
          <cell r="C53" t="str">
            <v/>
          </cell>
        </row>
        <row r="54">
          <cell r="C54" t="str">
            <v/>
          </cell>
        </row>
        <row r="55">
          <cell r="C55" t="str">
            <v/>
          </cell>
        </row>
        <row r="56">
          <cell r="C56" t="str">
            <v/>
          </cell>
        </row>
        <row r="57">
          <cell r="C57" t="str">
            <v/>
          </cell>
        </row>
        <row r="58">
          <cell r="C58" t="str">
            <v/>
          </cell>
        </row>
        <row r="59">
          <cell r="C59" t="str">
            <v/>
          </cell>
        </row>
        <row r="60">
          <cell r="C60" t="str">
            <v/>
          </cell>
        </row>
        <row r="61">
          <cell r="C61" t="str">
            <v/>
          </cell>
        </row>
        <row r="62">
          <cell r="C62" t="str">
            <v/>
          </cell>
        </row>
        <row r="63">
          <cell r="C63" t="str">
            <v/>
          </cell>
        </row>
        <row r="64">
          <cell r="C64" t="str">
            <v/>
          </cell>
        </row>
        <row r="65">
          <cell r="C65" t="str">
            <v/>
          </cell>
        </row>
        <row r="66">
          <cell r="C66" t="str">
            <v/>
          </cell>
        </row>
        <row r="67">
          <cell r="C67" t="str">
            <v/>
          </cell>
        </row>
        <row r="68">
          <cell r="C68" t="str">
            <v/>
          </cell>
        </row>
        <row r="69">
          <cell r="C69" t="str">
            <v/>
          </cell>
        </row>
        <row r="70">
          <cell r="C70" t="str">
            <v/>
          </cell>
        </row>
        <row r="71">
          <cell r="C71" t="str">
            <v/>
          </cell>
        </row>
        <row r="72">
          <cell r="C72" t="str">
            <v/>
          </cell>
        </row>
        <row r="73">
          <cell r="C73" t="str">
            <v/>
          </cell>
        </row>
        <row r="74">
          <cell r="C74" t="str">
            <v/>
          </cell>
        </row>
        <row r="75">
          <cell r="C75" t="str">
            <v/>
          </cell>
        </row>
        <row r="76">
          <cell r="C76" t="str">
            <v/>
          </cell>
        </row>
        <row r="77">
          <cell r="C77" t="str">
            <v/>
          </cell>
        </row>
        <row r="78">
          <cell r="C78" t="str">
            <v/>
          </cell>
        </row>
        <row r="79">
          <cell r="C79" t="str">
            <v/>
          </cell>
        </row>
        <row r="80">
          <cell r="C80" t="str">
            <v/>
          </cell>
        </row>
        <row r="81">
          <cell r="C81" t="str">
            <v/>
          </cell>
        </row>
        <row r="82">
          <cell r="C82" t="str">
            <v/>
          </cell>
        </row>
        <row r="83">
          <cell r="C83" t="str">
            <v/>
          </cell>
        </row>
        <row r="84">
          <cell r="C84" t="str">
            <v/>
          </cell>
        </row>
        <row r="85">
          <cell r="C85" t="str">
            <v/>
          </cell>
        </row>
        <row r="86">
          <cell r="C86" t="str">
            <v/>
          </cell>
        </row>
        <row r="87">
          <cell r="C87" t="str">
            <v/>
          </cell>
        </row>
        <row r="88">
          <cell r="C88" t="str">
            <v/>
          </cell>
        </row>
        <row r="89">
          <cell r="C89" t="str">
            <v/>
          </cell>
        </row>
        <row r="90">
          <cell r="C90" t="str">
            <v/>
          </cell>
        </row>
        <row r="91">
          <cell r="C91" t="str">
            <v/>
          </cell>
        </row>
        <row r="92">
          <cell r="C92" t="str">
            <v/>
          </cell>
        </row>
        <row r="93">
          <cell r="C93" t="str">
            <v/>
          </cell>
        </row>
        <row r="94">
          <cell r="C94" t="str">
            <v/>
          </cell>
        </row>
        <row r="95">
          <cell r="C95" t="str">
            <v/>
          </cell>
        </row>
        <row r="96">
          <cell r="C96" t="str">
            <v/>
          </cell>
        </row>
        <row r="97">
          <cell r="C97" t="str">
            <v/>
          </cell>
        </row>
        <row r="98">
          <cell r="C98" t="str">
            <v/>
          </cell>
        </row>
        <row r="99">
          <cell r="C99" t="str">
            <v/>
          </cell>
        </row>
        <row r="100">
          <cell r="C100" t="str">
            <v/>
          </cell>
        </row>
        <row r="101">
          <cell r="C101" t="str">
            <v/>
          </cell>
        </row>
        <row r="102">
          <cell r="C102" t="str">
            <v/>
          </cell>
        </row>
        <row r="103">
          <cell r="C103" t="str">
            <v/>
          </cell>
        </row>
        <row r="104">
          <cell r="C104" t="str">
            <v/>
          </cell>
        </row>
        <row r="105">
          <cell r="C105" t="str">
            <v/>
          </cell>
        </row>
        <row r="106">
          <cell r="C106" t="str">
            <v/>
          </cell>
        </row>
        <row r="107">
          <cell r="C107" t="str">
            <v/>
          </cell>
        </row>
        <row r="108">
          <cell r="C108" t="str">
            <v/>
          </cell>
        </row>
        <row r="109">
          <cell r="C109" t="str">
            <v/>
          </cell>
        </row>
        <row r="110">
          <cell r="C110" t="str">
            <v/>
          </cell>
        </row>
        <row r="111">
          <cell r="C111" t="str">
            <v/>
          </cell>
        </row>
        <row r="112">
          <cell r="C112" t="str">
            <v/>
          </cell>
        </row>
        <row r="113">
          <cell r="C113" t="str">
            <v/>
          </cell>
        </row>
        <row r="114">
          <cell r="C114" t="str">
            <v/>
          </cell>
        </row>
        <row r="115">
          <cell r="C115" t="str">
            <v/>
          </cell>
        </row>
        <row r="116">
          <cell r="C116" t="str">
            <v/>
          </cell>
        </row>
        <row r="117">
          <cell r="C117" t="str">
            <v/>
          </cell>
        </row>
        <row r="118">
          <cell r="C118" t="str">
            <v/>
          </cell>
        </row>
        <row r="119">
          <cell r="C119" t="str">
            <v/>
          </cell>
        </row>
        <row r="120">
          <cell r="C120" t="str">
            <v/>
          </cell>
        </row>
        <row r="121">
          <cell r="C121" t="str">
            <v/>
          </cell>
        </row>
        <row r="122">
          <cell r="C122" t="str">
            <v/>
          </cell>
        </row>
        <row r="123">
          <cell r="C123" t="str">
            <v/>
          </cell>
        </row>
        <row r="124">
          <cell r="C124" t="str">
            <v/>
          </cell>
        </row>
        <row r="125">
          <cell r="C125" t="str">
            <v/>
          </cell>
        </row>
        <row r="126">
          <cell r="C126" t="str">
            <v/>
          </cell>
        </row>
        <row r="127">
          <cell r="C127" t="str">
            <v/>
          </cell>
        </row>
        <row r="128">
          <cell r="C128" t="str">
            <v/>
          </cell>
        </row>
        <row r="129">
          <cell r="C129" t="str">
            <v/>
          </cell>
        </row>
        <row r="130">
          <cell r="C130" t="str">
            <v/>
          </cell>
        </row>
        <row r="131">
          <cell r="C131" t="str">
            <v/>
          </cell>
        </row>
        <row r="132">
          <cell r="C132" t="str">
            <v/>
          </cell>
        </row>
        <row r="133">
          <cell r="C133" t="str">
            <v/>
          </cell>
        </row>
        <row r="134">
          <cell r="C134" t="str">
            <v/>
          </cell>
        </row>
        <row r="135">
          <cell r="C135" t="str">
            <v/>
          </cell>
        </row>
        <row r="136">
          <cell r="C136" t="str">
            <v/>
          </cell>
        </row>
        <row r="137">
          <cell r="C137" t="str">
            <v/>
          </cell>
        </row>
        <row r="138">
          <cell r="C138" t="str">
            <v/>
          </cell>
        </row>
        <row r="139">
          <cell r="C139" t="str">
            <v/>
          </cell>
        </row>
        <row r="140">
          <cell r="C140" t="str">
            <v/>
          </cell>
        </row>
        <row r="141">
          <cell r="C141" t="str">
            <v/>
          </cell>
        </row>
        <row r="142">
          <cell r="C142" t="str">
            <v/>
          </cell>
        </row>
        <row r="143">
          <cell r="C143" t="str">
            <v/>
          </cell>
        </row>
        <row r="144">
          <cell r="C144" t="str">
            <v/>
          </cell>
        </row>
        <row r="145">
          <cell r="C145" t="str">
            <v/>
          </cell>
        </row>
        <row r="146">
          <cell r="C146" t="str">
            <v/>
          </cell>
        </row>
        <row r="147">
          <cell r="C147" t="str">
            <v/>
          </cell>
        </row>
        <row r="148">
          <cell r="C148" t="str">
            <v/>
          </cell>
        </row>
        <row r="149">
          <cell r="C149" t="str">
            <v/>
          </cell>
        </row>
        <row r="150">
          <cell r="C150" t="str">
            <v/>
          </cell>
        </row>
        <row r="151">
          <cell r="C151" t="str">
            <v/>
          </cell>
        </row>
        <row r="152">
          <cell r="C152" t="str">
            <v/>
          </cell>
        </row>
        <row r="153">
          <cell r="C153" t="str">
            <v/>
          </cell>
        </row>
        <row r="154">
          <cell r="C154" t="str">
            <v/>
          </cell>
        </row>
        <row r="155">
          <cell r="C155" t="str">
            <v/>
          </cell>
        </row>
        <row r="156">
          <cell r="C156" t="str">
            <v/>
          </cell>
        </row>
        <row r="157">
          <cell r="C157" t="str">
            <v/>
          </cell>
        </row>
        <row r="158">
          <cell r="C158" t="str">
            <v/>
          </cell>
        </row>
        <row r="159">
          <cell r="C159" t="str">
            <v/>
          </cell>
        </row>
        <row r="160">
          <cell r="C160" t="str">
            <v/>
          </cell>
        </row>
        <row r="161">
          <cell r="C161" t="str">
            <v/>
          </cell>
        </row>
        <row r="162">
          <cell r="C162" t="str">
            <v/>
          </cell>
        </row>
        <row r="163">
          <cell r="C163" t="str">
            <v/>
          </cell>
        </row>
        <row r="164">
          <cell r="C164" t="str">
            <v/>
          </cell>
        </row>
        <row r="165">
          <cell r="C165" t="str">
            <v/>
          </cell>
        </row>
        <row r="166">
          <cell r="C166" t="str">
            <v/>
          </cell>
        </row>
        <row r="167">
          <cell r="C167" t="str">
            <v/>
          </cell>
        </row>
        <row r="168">
          <cell r="C168" t="str">
            <v/>
          </cell>
        </row>
        <row r="169">
          <cell r="C169" t="str">
            <v/>
          </cell>
        </row>
        <row r="170">
          <cell r="C170" t="str">
            <v/>
          </cell>
        </row>
        <row r="171">
          <cell r="C171" t="str">
            <v/>
          </cell>
        </row>
        <row r="172">
          <cell r="C172" t="str">
            <v/>
          </cell>
        </row>
        <row r="173">
          <cell r="C173" t="str">
            <v/>
          </cell>
        </row>
        <row r="174">
          <cell r="C174" t="str">
            <v/>
          </cell>
        </row>
        <row r="175">
          <cell r="C175" t="str">
            <v/>
          </cell>
        </row>
        <row r="176">
          <cell r="C176" t="str">
            <v/>
          </cell>
        </row>
        <row r="177">
          <cell r="C177" t="str">
            <v/>
          </cell>
        </row>
        <row r="178">
          <cell r="C178" t="str">
            <v/>
          </cell>
        </row>
        <row r="179">
          <cell r="C179" t="str">
            <v/>
          </cell>
        </row>
        <row r="180">
          <cell r="C180" t="str">
            <v/>
          </cell>
        </row>
        <row r="181">
          <cell r="C181" t="str">
            <v/>
          </cell>
        </row>
        <row r="182">
          <cell r="C182" t="str">
            <v/>
          </cell>
        </row>
        <row r="183">
          <cell r="C183" t="str">
            <v/>
          </cell>
        </row>
        <row r="184">
          <cell r="C184" t="str">
            <v/>
          </cell>
        </row>
        <row r="185">
          <cell r="C185" t="str">
            <v/>
          </cell>
        </row>
        <row r="186">
          <cell r="C186" t="str">
            <v/>
          </cell>
        </row>
        <row r="187">
          <cell r="C187" t="str">
            <v/>
          </cell>
        </row>
        <row r="188">
          <cell r="C188" t="str">
            <v/>
          </cell>
        </row>
        <row r="189">
          <cell r="C189" t="str">
            <v/>
          </cell>
        </row>
        <row r="190">
          <cell r="C190" t="str">
            <v/>
          </cell>
        </row>
        <row r="191">
          <cell r="C191" t="str">
            <v/>
          </cell>
        </row>
        <row r="192">
          <cell r="C192" t="str">
            <v/>
          </cell>
        </row>
        <row r="193">
          <cell r="C193" t="str">
            <v/>
          </cell>
        </row>
        <row r="194">
          <cell r="C194" t="str">
            <v/>
          </cell>
        </row>
        <row r="195">
          <cell r="C195" t="str">
            <v/>
          </cell>
        </row>
        <row r="196">
          <cell r="C196" t="str">
            <v/>
          </cell>
        </row>
        <row r="197">
          <cell r="C197" t="str">
            <v/>
          </cell>
        </row>
        <row r="198">
          <cell r="C198" t="str">
            <v/>
          </cell>
        </row>
        <row r="199">
          <cell r="C199" t="str">
            <v/>
          </cell>
        </row>
        <row r="200">
          <cell r="C200" t="str">
            <v/>
          </cell>
        </row>
        <row r="201">
          <cell r="C201" t="str">
            <v/>
          </cell>
        </row>
        <row r="202">
          <cell r="C202" t="str">
            <v/>
          </cell>
        </row>
        <row r="203">
          <cell r="C203" t="str">
            <v/>
          </cell>
        </row>
        <row r="204">
          <cell r="C204" t="str">
            <v/>
          </cell>
        </row>
        <row r="205">
          <cell r="C205" t="str">
            <v/>
          </cell>
        </row>
        <row r="206">
          <cell r="C206" t="str">
            <v/>
          </cell>
        </row>
        <row r="207">
          <cell r="C207" t="str">
            <v/>
          </cell>
        </row>
        <row r="208">
          <cell r="C208" t="str">
            <v/>
          </cell>
        </row>
        <row r="209">
          <cell r="C209" t="str">
            <v/>
          </cell>
        </row>
        <row r="210">
          <cell r="C210" t="str">
            <v/>
          </cell>
        </row>
        <row r="211">
          <cell r="C211" t="str">
            <v/>
          </cell>
        </row>
        <row r="212">
          <cell r="C212" t="str">
            <v/>
          </cell>
        </row>
        <row r="213">
          <cell r="C213" t="str">
            <v/>
          </cell>
        </row>
        <row r="214">
          <cell r="C214" t="str">
            <v/>
          </cell>
        </row>
        <row r="215">
          <cell r="C215" t="str">
            <v/>
          </cell>
        </row>
        <row r="216">
          <cell r="C216" t="str">
            <v/>
          </cell>
        </row>
        <row r="217">
          <cell r="C217" t="str">
            <v/>
          </cell>
        </row>
        <row r="218">
          <cell r="C218" t="str">
            <v/>
          </cell>
        </row>
        <row r="219">
          <cell r="C219" t="str">
            <v/>
          </cell>
        </row>
        <row r="220">
          <cell r="C220" t="str">
            <v/>
          </cell>
        </row>
        <row r="221">
          <cell r="C221" t="str">
            <v/>
          </cell>
        </row>
        <row r="222">
          <cell r="C222" t="str">
            <v/>
          </cell>
        </row>
        <row r="223">
          <cell r="C223" t="str">
            <v/>
          </cell>
        </row>
        <row r="224">
          <cell r="C224" t="str">
            <v/>
          </cell>
        </row>
        <row r="225">
          <cell r="C225" t="str">
            <v/>
          </cell>
        </row>
        <row r="226">
          <cell r="C226" t="str">
            <v/>
          </cell>
        </row>
        <row r="227">
          <cell r="C227" t="str">
            <v/>
          </cell>
        </row>
        <row r="228">
          <cell r="C228" t="str">
            <v/>
          </cell>
        </row>
        <row r="229">
          <cell r="C229" t="str">
            <v/>
          </cell>
        </row>
        <row r="230">
          <cell r="C230" t="str">
            <v/>
          </cell>
        </row>
        <row r="231">
          <cell r="C231" t="str">
            <v/>
          </cell>
        </row>
        <row r="232">
          <cell r="C232" t="str">
            <v/>
          </cell>
        </row>
        <row r="233">
          <cell r="C233" t="str">
            <v/>
          </cell>
        </row>
        <row r="234">
          <cell r="C234" t="str">
            <v/>
          </cell>
        </row>
        <row r="235">
          <cell r="C235" t="str">
            <v/>
          </cell>
        </row>
        <row r="236">
          <cell r="C236" t="str">
            <v/>
          </cell>
        </row>
        <row r="237">
          <cell r="C237" t="str">
            <v/>
          </cell>
        </row>
        <row r="238">
          <cell r="C238" t="str">
            <v/>
          </cell>
        </row>
        <row r="239">
          <cell r="C239" t="str">
            <v/>
          </cell>
        </row>
        <row r="240">
          <cell r="C240" t="str">
            <v/>
          </cell>
        </row>
        <row r="241">
          <cell r="C241" t="str">
            <v/>
          </cell>
        </row>
        <row r="242">
          <cell r="C242" t="str">
            <v/>
          </cell>
        </row>
        <row r="243">
          <cell r="C243" t="str">
            <v/>
          </cell>
        </row>
        <row r="244">
          <cell r="C244" t="str">
            <v/>
          </cell>
        </row>
        <row r="245">
          <cell r="C245" t="str">
            <v/>
          </cell>
        </row>
        <row r="246">
          <cell r="C246" t="str">
            <v/>
          </cell>
        </row>
        <row r="247">
          <cell r="C247" t="str">
            <v/>
          </cell>
        </row>
        <row r="248">
          <cell r="C248" t="str">
            <v/>
          </cell>
        </row>
        <row r="249">
          <cell r="C249" t="str">
            <v/>
          </cell>
        </row>
        <row r="250">
          <cell r="C250" t="str">
            <v/>
          </cell>
        </row>
        <row r="251">
          <cell r="C251" t="str">
            <v/>
          </cell>
        </row>
        <row r="252">
          <cell r="C252" t="str">
            <v/>
          </cell>
        </row>
        <row r="253">
          <cell r="C253" t="str">
            <v/>
          </cell>
        </row>
        <row r="254">
          <cell r="C254" t="str">
            <v/>
          </cell>
        </row>
        <row r="255">
          <cell r="C255" t="str">
            <v/>
          </cell>
        </row>
        <row r="256">
          <cell r="C256" t="str">
            <v/>
          </cell>
        </row>
        <row r="257">
          <cell r="C257" t="str">
            <v/>
          </cell>
        </row>
        <row r="258">
          <cell r="C258" t="str">
            <v/>
          </cell>
        </row>
        <row r="259">
          <cell r="C259" t="str">
            <v/>
          </cell>
        </row>
        <row r="260">
          <cell r="C260" t="str">
            <v/>
          </cell>
        </row>
        <row r="261">
          <cell r="C261" t="str">
            <v/>
          </cell>
        </row>
        <row r="262">
          <cell r="C262" t="str">
            <v/>
          </cell>
        </row>
        <row r="263">
          <cell r="C263" t="str">
            <v/>
          </cell>
        </row>
        <row r="264">
          <cell r="C264" t="str">
            <v/>
          </cell>
        </row>
        <row r="265">
          <cell r="C265" t="str">
            <v/>
          </cell>
        </row>
        <row r="266">
          <cell r="C266" t="str">
            <v/>
          </cell>
        </row>
        <row r="267">
          <cell r="C267" t="str">
            <v/>
          </cell>
        </row>
        <row r="268">
          <cell r="C268" t="str">
            <v/>
          </cell>
        </row>
        <row r="269">
          <cell r="C269" t="str">
            <v/>
          </cell>
        </row>
        <row r="270">
          <cell r="C270" t="str">
            <v/>
          </cell>
        </row>
        <row r="271">
          <cell r="C271" t="str">
            <v/>
          </cell>
        </row>
        <row r="272">
          <cell r="C272" t="str">
            <v/>
          </cell>
        </row>
        <row r="273">
          <cell r="C273" t="str">
            <v/>
          </cell>
        </row>
        <row r="274">
          <cell r="C274" t="str">
            <v/>
          </cell>
        </row>
        <row r="275">
          <cell r="C275" t="str">
            <v/>
          </cell>
        </row>
        <row r="276">
          <cell r="C276" t="str">
            <v/>
          </cell>
        </row>
        <row r="277">
          <cell r="C277" t="str">
            <v/>
          </cell>
        </row>
        <row r="278">
          <cell r="C278" t="str">
            <v/>
          </cell>
        </row>
        <row r="279">
          <cell r="C279" t="str">
            <v/>
          </cell>
        </row>
        <row r="280">
          <cell r="C280" t="str">
            <v/>
          </cell>
        </row>
        <row r="281">
          <cell r="C281" t="str">
            <v/>
          </cell>
        </row>
        <row r="282">
          <cell r="C282" t="str">
            <v/>
          </cell>
        </row>
        <row r="283">
          <cell r="C283" t="str">
            <v/>
          </cell>
        </row>
        <row r="284">
          <cell r="C284" t="str">
            <v/>
          </cell>
        </row>
        <row r="285">
          <cell r="C285" t="str">
            <v/>
          </cell>
        </row>
        <row r="286">
          <cell r="C286" t="str">
            <v/>
          </cell>
        </row>
        <row r="287">
          <cell r="C287" t="str">
            <v/>
          </cell>
        </row>
        <row r="288">
          <cell r="C288" t="str">
            <v/>
          </cell>
        </row>
        <row r="289">
          <cell r="C289" t="str">
            <v/>
          </cell>
        </row>
        <row r="290">
          <cell r="C290" t="str">
            <v/>
          </cell>
        </row>
        <row r="291">
          <cell r="C291" t="str">
            <v/>
          </cell>
        </row>
        <row r="292">
          <cell r="C292" t="str">
            <v/>
          </cell>
        </row>
        <row r="293">
          <cell r="C293" t="str">
            <v/>
          </cell>
        </row>
        <row r="294">
          <cell r="C294" t="str">
            <v/>
          </cell>
        </row>
        <row r="295">
          <cell r="C295" t="str">
            <v/>
          </cell>
        </row>
        <row r="296">
          <cell r="C296" t="str">
            <v/>
          </cell>
        </row>
        <row r="297">
          <cell r="C297" t="str">
            <v/>
          </cell>
        </row>
        <row r="298">
          <cell r="C298" t="str">
            <v/>
          </cell>
        </row>
        <row r="299">
          <cell r="C299" t="str">
            <v/>
          </cell>
        </row>
        <row r="300">
          <cell r="C300" t="str">
            <v/>
          </cell>
        </row>
        <row r="301">
          <cell r="C301" t="str">
            <v/>
          </cell>
        </row>
        <row r="302">
          <cell r="C302" t="str">
            <v/>
          </cell>
        </row>
        <row r="303">
          <cell r="C303" t="str">
            <v/>
          </cell>
        </row>
        <row r="304">
          <cell r="C304" t="str">
            <v/>
          </cell>
        </row>
        <row r="305">
          <cell r="C305" t="str">
            <v/>
          </cell>
        </row>
        <row r="306">
          <cell r="C306" t="str">
            <v/>
          </cell>
        </row>
        <row r="307">
          <cell r="C307" t="str">
            <v/>
          </cell>
        </row>
        <row r="308">
          <cell r="C308" t="str">
            <v/>
          </cell>
        </row>
        <row r="309">
          <cell r="C309" t="str">
            <v/>
          </cell>
        </row>
        <row r="310">
          <cell r="C310" t="str">
            <v/>
          </cell>
        </row>
        <row r="311">
          <cell r="C311" t="str">
            <v/>
          </cell>
        </row>
        <row r="312">
          <cell r="C312" t="str">
            <v/>
          </cell>
        </row>
        <row r="313">
          <cell r="C313" t="str">
            <v/>
          </cell>
        </row>
        <row r="314">
          <cell r="C314" t="str">
            <v/>
          </cell>
        </row>
        <row r="315">
          <cell r="C315" t="str">
            <v/>
          </cell>
        </row>
        <row r="316">
          <cell r="C316" t="str">
            <v/>
          </cell>
        </row>
        <row r="317">
          <cell r="C317" t="str">
            <v/>
          </cell>
        </row>
        <row r="318">
          <cell r="C318" t="str">
            <v/>
          </cell>
        </row>
        <row r="319">
          <cell r="C319" t="str">
            <v/>
          </cell>
        </row>
        <row r="320">
          <cell r="C320" t="str">
            <v/>
          </cell>
        </row>
        <row r="321">
          <cell r="C321" t="str">
            <v/>
          </cell>
        </row>
        <row r="322">
          <cell r="C322" t="str">
            <v/>
          </cell>
        </row>
        <row r="323">
          <cell r="C323" t="str">
            <v/>
          </cell>
        </row>
        <row r="324">
          <cell r="C324" t="str">
            <v/>
          </cell>
        </row>
        <row r="325">
          <cell r="C325" t="str">
            <v/>
          </cell>
        </row>
        <row r="326">
          <cell r="C326" t="str">
            <v/>
          </cell>
        </row>
        <row r="327">
          <cell r="C327" t="str">
            <v/>
          </cell>
        </row>
        <row r="328">
          <cell r="C328" t="str">
            <v/>
          </cell>
        </row>
        <row r="329">
          <cell r="C329" t="str">
            <v/>
          </cell>
        </row>
        <row r="330">
          <cell r="C330" t="str">
            <v/>
          </cell>
        </row>
        <row r="331">
          <cell r="C331" t="str">
            <v/>
          </cell>
        </row>
        <row r="332">
          <cell r="C332" t="str">
            <v/>
          </cell>
        </row>
        <row r="333">
          <cell r="C333" t="str">
            <v/>
          </cell>
        </row>
        <row r="334">
          <cell r="C334" t="str">
            <v/>
          </cell>
        </row>
        <row r="335">
          <cell r="C335" t="str">
            <v/>
          </cell>
        </row>
        <row r="336">
          <cell r="C336" t="str">
            <v/>
          </cell>
        </row>
        <row r="337">
          <cell r="C337" t="str">
            <v/>
          </cell>
        </row>
        <row r="338">
          <cell r="C338" t="str">
            <v/>
          </cell>
        </row>
        <row r="339">
          <cell r="C339" t="str">
            <v/>
          </cell>
        </row>
        <row r="340">
          <cell r="C340" t="str">
            <v/>
          </cell>
        </row>
        <row r="341">
          <cell r="C341" t="str">
            <v/>
          </cell>
        </row>
        <row r="342">
          <cell r="C342" t="str">
            <v/>
          </cell>
        </row>
        <row r="343">
          <cell r="C343" t="str">
            <v/>
          </cell>
        </row>
        <row r="344">
          <cell r="C344" t="str">
            <v/>
          </cell>
        </row>
        <row r="345">
          <cell r="C345" t="str">
            <v/>
          </cell>
        </row>
        <row r="346">
          <cell r="C346" t="str">
            <v/>
          </cell>
        </row>
        <row r="347">
          <cell r="C347" t="str">
            <v/>
          </cell>
        </row>
        <row r="348">
          <cell r="C348" t="str">
            <v/>
          </cell>
        </row>
        <row r="349">
          <cell r="C349" t="str">
            <v/>
          </cell>
        </row>
        <row r="350">
          <cell r="C350" t="str">
            <v/>
          </cell>
        </row>
        <row r="351">
          <cell r="C351" t="str">
            <v/>
          </cell>
        </row>
        <row r="352">
          <cell r="C352" t="str">
            <v/>
          </cell>
        </row>
        <row r="353">
          <cell r="C353" t="str">
            <v/>
          </cell>
        </row>
        <row r="354">
          <cell r="C354" t="str">
            <v/>
          </cell>
        </row>
        <row r="355">
          <cell r="C355" t="str">
            <v/>
          </cell>
        </row>
        <row r="356">
          <cell r="C356" t="str">
            <v/>
          </cell>
        </row>
        <row r="357">
          <cell r="C357" t="str">
            <v/>
          </cell>
        </row>
        <row r="358">
          <cell r="C358" t="str">
            <v/>
          </cell>
        </row>
        <row r="359">
          <cell r="C359" t="str">
            <v/>
          </cell>
        </row>
        <row r="360">
          <cell r="C360" t="str">
            <v/>
          </cell>
        </row>
        <row r="361">
          <cell r="C361" t="str">
            <v/>
          </cell>
        </row>
        <row r="362">
          <cell r="C362" t="str">
            <v/>
          </cell>
        </row>
        <row r="363">
          <cell r="C363" t="str">
            <v/>
          </cell>
        </row>
        <row r="364">
          <cell r="C364" t="str">
            <v/>
          </cell>
        </row>
        <row r="365">
          <cell r="C365" t="str">
            <v/>
          </cell>
        </row>
        <row r="366">
          <cell r="C366" t="str">
            <v/>
          </cell>
        </row>
        <row r="367">
          <cell r="C367" t="str">
            <v/>
          </cell>
        </row>
        <row r="368">
          <cell r="C368" t="str">
            <v/>
          </cell>
        </row>
        <row r="369">
          <cell r="C369" t="str">
            <v/>
          </cell>
        </row>
        <row r="370">
          <cell r="C370" t="str">
            <v/>
          </cell>
        </row>
        <row r="371">
          <cell r="C371" t="str">
            <v/>
          </cell>
        </row>
        <row r="372">
          <cell r="C372" t="str">
            <v/>
          </cell>
        </row>
        <row r="373">
          <cell r="C373" t="str">
            <v/>
          </cell>
        </row>
        <row r="374">
          <cell r="C374" t="str">
            <v/>
          </cell>
        </row>
        <row r="375">
          <cell r="C375" t="str">
            <v/>
          </cell>
        </row>
        <row r="376">
          <cell r="C376" t="str">
            <v/>
          </cell>
        </row>
        <row r="377">
          <cell r="C377" t="str">
            <v/>
          </cell>
        </row>
        <row r="378">
          <cell r="C378" t="str">
            <v/>
          </cell>
        </row>
        <row r="379">
          <cell r="C379" t="str">
            <v/>
          </cell>
        </row>
        <row r="380">
          <cell r="C380" t="str">
            <v/>
          </cell>
        </row>
        <row r="381">
          <cell r="C381" t="str">
            <v/>
          </cell>
        </row>
        <row r="382">
          <cell r="C382" t="str">
            <v/>
          </cell>
        </row>
        <row r="383">
          <cell r="C383" t="str">
            <v/>
          </cell>
        </row>
        <row r="384">
          <cell r="C384" t="str">
            <v/>
          </cell>
        </row>
        <row r="385">
          <cell r="C385" t="str">
            <v/>
          </cell>
        </row>
        <row r="386">
          <cell r="C386" t="str">
            <v/>
          </cell>
        </row>
        <row r="387">
          <cell r="C387" t="str">
            <v/>
          </cell>
        </row>
        <row r="388">
          <cell r="C388" t="str">
            <v/>
          </cell>
        </row>
        <row r="389">
          <cell r="C389" t="str">
            <v/>
          </cell>
        </row>
        <row r="390">
          <cell r="C390" t="str">
            <v/>
          </cell>
        </row>
        <row r="391">
          <cell r="C391" t="str">
            <v/>
          </cell>
        </row>
        <row r="392">
          <cell r="C392" t="str">
            <v/>
          </cell>
        </row>
        <row r="393">
          <cell r="C393" t="str">
            <v/>
          </cell>
        </row>
        <row r="394">
          <cell r="C394" t="str">
            <v/>
          </cell>
        </row>
        <row r="395">
          <cell r="C395" t="str">
            <v/>
          </cell>
        </row>
        <row r="396">
          <cell r="C396" t="str">
            <v/>
          </cell>
        </row>
        <row r="397">
          <cell r="C397" t="str">
            <v/>
          </cell>
        </row>
        <row r="398">
          <cell r="C398" t="str">
            <v/>
          </cell>
        </row>
        <row r="399">
          <cell r="C399" t="str">
            <v/>
          </cell>
        </row>
        <row r="400">
          <cell r="C400" t="str">
            <v/>
          </cell>
        </row>
        <row r="401">
          <cell r="C401" t="str">
            <v/>
          </cell>
        </row>
        <row r="402">
          <cell r="C402" t="str">
            <v/>
          </cell>
        </row>
        <row r="403">
          <cell r="C403" t="str">
            <v/>
          </cell>
        </row>
        <row r="404">
          <cell r="C404" t="str">
            <v/>
          </cell>
        </row>
        <row r="405">
          <cell r="C405" t="str">
            <v/>
          </cell>
        </row>
        <row r="406">
          <cell r="C406" t="str">
            <v/>
          </cell>
        </row>
        <row r="407">
          <cell r="C407" t="str">
            <v/>
          </cell>
        </row>
        <row r="408">
          <cell r="C408" t="str">
            <v/>
          </cell>
        </row>
        <row r="409">
          <cell r="C409" t="str">
            <v/>
          </cell>
        </row>
        <row r="410">
          <cell r="C410" t="str">
            <v/>
          </cell>
        </row>
        <row r="411">
          <cell r="C411" t="str">
            <v/>
          </cell>
        </row>
        <row r="412">
          <cell r="C412" t="str">
            <v/>
          </cell>
        </row>
        <row r="413">
          <cell r="C413" t="str">
            <v/>
          </cell>
        </row>
        <row r="414">
          <cell r="C414" t="str">
            <v/>
          </cell>
        </row>
        <row r="415">
          <cell r="C415" t="str">
            <v/>
          </cell>
        </row>
        <row r="416">
          <cell r="C416" t="str">
            <v/>
          </cell>
        </row>
        <row r="417">
          <cell r="C417" t="str">
            <v/>
          </cell>
        </row>
        <row r="418">
          <cell r="C418" t="str">
            <v/>
          </cell>
        </row>
        <row r="419">
          <cell r="C419" t="str">
            <v/>
          </cell>
        </row>
        <row r="420">
          <cell r="C420" t="str">
            <v/>
          </cell>
        </row>
        <row r="421">
          <cell r="C421" t="str">
            <v/>
          </cell>
        </row>
        <row r="422">
          <cell r="C422" t="str">
            <v/>
          </cell>
        </row>
        <row r="423">
          <cell r="C423" t="str">
            <v/>
          </cell>
        </row>
        <row r="424">
          <cell r="C424" t="str">
            <v/>
          </cell>
        </row>
        <row r="425">
          <cell r="C425" t="str">
            <v/>
          </cell>
        </row>
        <row r="426">
          <cell r="C426" t="str">
            <v/>
          </cell>
        </row>
        <row r="427">
          <cell r="C427" t="str">
            <v/>
          </cell>
        </row>
        <row r="428">
          <cell r="C428" t="str">
            <v/>
          </cell>
        </row>
        <row r="429">
          <cell r="C429" t="str">
            <v/>
          </cell>
        </row>
        <row r="430">
          <cell r="C430" t="str">
            <v/>
          </cell>
        </row>
        <row r="431">
          <cell r="C431" t="str">
            <v/>
          </cell>
        </row>
        <row r="432">
          <cell r="C432" t="str">
            <v/>
          </cell>
        </row>
        <row r="433">
          <cell r="C433" t="str">
            <v/>
          </cell>
        </row>
        <row r="434">
          <cell r="C434" t="str">
            <v/>
          </cell>
        </row>
        <row r="435">
          <cell r="C435" t="str">
            <v/>
          </cell>
        </row>
        <row r="436">
          <cell r="C436" t="str">
            <v/>
          </cell>
        </row>
        <row r="437">
          <cell r="C437" t="str">
            <v/>
          </cell>
        </row>
        <row r="438">
          <cell r="C438" t="str">
            <v/>
          </cell>
        </row>
        <row r="439">
          <cell r="C439" t="str">
            <v/>
          </cell>
        </row>
        <row r="440">
          <cell r="C440" t="str">
            <v/>
          </cell>
        </row>
        <row r="441">
          <cell r="C441" t="str">
            <v/>
          </cell>
        </row>
        <row r="442">
          <cell r="C442" t="str">
            <v/>
          </cell>
        </row>
        <row r="443">
          <cell r="C443" t="str">
            <v/>
          </cell>
        </row>
        <row r="444">
          <cell r="C444" t="str">
            <v/>
          </cell>
        </row>
        <row r="445">
          <cell r="C445" t="str">
            <v/>
          </cell>
        </row>
        <row r="446">
          <cell r="C446" t="str">
            <v/>
          </cell>
        </row>
        <row r="447">
          <cell r="C447" t="str">
            <v/>
          </cell>
        </row>
        <row r="448">
          <cell r="C448" t="str">
            <v/>
          </cell>
        </row>
        <row r="449">
          <cell r="C449" t="str">
            <v/>
          </cell>
        </row>
        <row r="450">
          <cell r="C450" t="str">
            <v/>
          </cell>
        </row>
        <row r="451">
          <cell r="C451" t="str">
            <v/>
          </cell>
        </row>
        <row r="452">
          <cell r="C452" t="str">
            <v/>
          </cell>
        </row>
        <row r="453">
          <cell r="C453" t="str">
            <v/>
          </cell>
        </row>
        <row r="454">
          <cell r="C454" t="str">
            <v/>
          </cell>
        </row>
        <row r="455">
          <cell r="C455" t="str">
            <v/>
          </cell>
        </row>
        <row r="456">
          <cell r="C456" t="str">
            <v/>
          </cell>
        </row>
        <row r="457">
          <cell r="C457" t="str">
            <v/>
          </cell>
        </row>
        <row r="458">
          <cell r="C458" t="str">
            <v/>
          </cell>
        </row>
        <row r="459">
          <cell r="C459" t="str">
            <v/>
          </cell>
        </row>
        <row r="460">
          <cell r="C460" t="str">
            <v/>
          </cell>
        </row>
        <row r="461">
          <cell r="C461" t="str">
            <v/>
          </cell>
        </row>
        <row r="462">
          <cell r="C462" t="str">
            <v/>
          </cell>
        </row>
        <row r="463">
          <cell r="C463" t="str">
            <v/>
          </cell>
        </row>
        <row r="464">
          <cell r="C464" t="str">
            <v/>
          </cell>
        </row>
        <row r="465">
          <cell r="C465" t="str">
            <v/>
          </cell>
        </row>
        <row r="466">
          <cell r="C466" t="str">
            <v/>
          </cell>
        </row>
        <row r="467">
          <cell r="C467" t="str">
            <v/>
          </cell>
        </row>
        <row r="468">
          <cell r="C468" t="str">
            <v/>
          </cell>
        </row>
        <row r="469">
          <cell r="C469" t="str">
            <v/>
          </cell>
        </row>
        <row r="470">
          <cell r="C470" t="str">
            <v/>
          </cell>
        </row>
        <row r="471">
          <cell r="C471" t="str">
            <v/>
          </cell>
        </row>
        <row r="472">
          <cell r="C472" t="str">
            <v/>
          </cell>
        </row>
        <row r="473">
          <cell r="C473" t="str">
            <v/>
          </cell>
        </row>
        <row r="474">
          <cell r="C474" t="str">
            <v/>
          </cell>
        </row>
        <row r="475">
          <cell r="C475" t="str">
            <v/>
          </cell>
        </row>
        <row r="476">
          <cell r="C476" t="str">
            <v/>
          </cell>
        </row>
        <row r="477">
          <cell r="C477" t="str">
            <v/>
          </cell>
        </row>
        <row r="478">
          <cell r="C478" t="str">
            <v/>
          </cell>
        </row>
        <row r="479">
          <cell r="C479" t="str">
            <v/>
          </cell>
        </row>
        <row r="480">
          <cell r="C480" t="str">
            <v/>
          </cell>
        </row>
        <row r="481">
          <cell r="C481" t="str">
            <v/>
          </cell>
        </row>
        <row r="482">
          <cell r="C482" t="str">
            <v/>
          </cell>
        </row>
        <row r="483">
          <cell r="C483" t="str">
            <v/>
          </cell>
        </row>
        <row r="484">
          <cell r="C484" t="str">
            <v/>
          </cell>
        </row>
        <row r="485">
          <cell r="C485" t="str">
            <v/>
          </cell>
        </row>
        <row r="486">
          <cell r="C486" t="str">
            <v/>
          </cell>
        </row>
        <row r="487">
          <cell r="C487" t="str">
            <v/>
          </cell>
        </row>
        <row r="488">
          <cell r="C488" t="str">
            <v/>
          </cell>
        </row>
        <row r="489">
          <cell r="C489" t="str">
            <v/>
          </cell>
        </row>
        <row r="490">
          <cell r="C490" t="str">
            <v/>
          </cell>
        </row>
        <row r="491">
          <cell r="C491" t="str">
            <v/>
          </cell>
        </row>
        <row r="492">
          <cell r="C492" t="str">
            <v/>
          </cell>
        </row>
        <row r="493">
          <cell r="C493" t="str">
            <v/>
          </cell>
        </row>
        <row r="494">
          <cell r="C494" t="str">
            <v/>
          </cell>
        </row>
        <row r="495">
          <cell r="C495" t="str">
            <v/>
          </cell>
        </row>
        <row r="496">
          <cell r="C496" t="str">
            <v/>
          </cell>
        </row>
        <row r="497">
          <cell r="C497" t="str">
            <v/>
          </cell>
        </row>
        <row r="498">
          <cell r="C498" t="str">
            <v/>
          </cell>
        </row>
        <row r="499">
          <cell r="C499" t="str">
            <v/>
          </cell>
        </row>
        <row r="500">
          <cell r="C500" t="str">
            <v/>
          </cell>
        </row>
        <row r="501">
          <cell r="C501" t="str">
            <v/>
          </cell>
        </row>
        <row r="502">
          <cell r="C502" t="str">
            <v/>
          </cell>
        </row>
        <row r="503">
          <cell r="C503" t="str">
            <v/>
          </cell>
        </row>
        <row r="504">
          <cell r="C504" t="str">
            <v/>
          </cell>
        </row>
        <row r="505">
          <cell r="C505" t="str">
            <v/>
          </cell>
        </row>
        <row r="506">
          <cell r="C506" t="str">
            <v/>
          </cell>
        </row>
        <row r="507">
          <cell r="C507" t="str">
            <v/>
          </cell>
        </row>
        <row r="508">
          <cell r="C508" t="str">
            <v/>
          </cell>
        </row>
        <row r="509">
          <cell r="C509" t="str">
            <v/>
          </cell>
        </row>
        <row r="510">
          <cell r="C510" t="str">
            <v/>
          </cell>
        </row>
        <row r="511">
          <cell r="C511" t="str">
            <v/>
          </cell>
        </row>
        <row r="512">
          <cell r="C512" t="str">
            <v/>
          </cell>
        </row>
        <row r="513">
          <cell r="C513" t="str">
            <v/>
          </cell>
        </row>
        <row r="514">
          <cell r="C514" t="str">
            <v/>
          </cell>
        </row>
        <row r="515">
          <cell r="C515" t="str">
            <v/>
          </cell>
        </row>
        <row r="516">
          <cell r="C516" t="str">
            <v/>
          </cell>
        </row>
        <row r="517">
          <cell r="C517" t="str">
            <v/>
          </cell>
        </row>
        <row r="518">
          <cell r="C518" t="str">
            <v/>
          </cell>
        </row>
        <row r="519">
          <cell r="C519" t="str">
            <v/>
          </cell>
        </row>
        <row r="520">
          <cell r="C520" t="str">
            <v/>
          </cell>
        </row>
        <row r="521">
          <cell r="C521" t="str">
            <v/>
          </cell>
        </row>
        <row r="522">
          <cell r="C522" t="str">
            <v/>
          </cell>
        </row>
        <row r="523">
          <cell r="C523" t="str">
            <v/>
          </cell>
        </row>
        <row r="524">
          <cell r="C524" t="str">
            <v/>
          </cell>
        </row>
        <row r="525">
          <cell r="C525" t="str">
            <v/>
          </cell>
        </row>
        <row r="526">
          <cell r="C526" t="str">
            <v/>
          </cell>
        </row>
        <row r="527">
          <cell r="C527" t="str">
            <v/>
          </cell>
        </row>
        <row r="528">
          <cell r="C528" t="str">
            <v/>
          </cell>
        </row>
        <row r="529">
          <cell r="C529" t="str">
            <v/>
          </cell>
        </row>
        <row r="530">
          <cell r="C530" t="str">
            <v/>
          </cell>
        </row>
        <row r="531">
          <cell r="C531" t="str">
            <v/>
          </cell>
        </row>
        <row r="532">
          <cell r="C532" t="str">
            <v/>
          </cell>
        </row>
        <row r="533">
          <cell r="C533" t="str">
            <v/>
          </cell>
        </row>
        <row r="534">
          <cell r="C534" t="str">
            <v/>
          </cell>
        </row>
        <row r="535">
          <cell r="C535" t="str">
            <v/>
          </cell>
        </row>
        <row r="536">
          <cell r="C536" t="str">
            <v/>
          </cell>
        </row>
        <row r="537">
          <cell r="C537" t="str">
            <v/>
          </cell>
        </row>
        <row r="538">
          <cell r="C538" t="str">
            <v/>
          </cell>
        </row>
        <row r="539">
          <cell r="C539" t="str">
            <v/>
          </cell>
        </row>
        <row r="540">
          <cell r="C540" t="str">
            <v/>
          </cell>
        </row>
        <row r="541">
          <cell r="C541" t="str">
            <v/>
          </cell>
        </row>
        <row r="542">
          <cell r="C542" t="str">
            <v/>
          </cell>
        </row>
        <row r="543">
          <cell r="C543" t="str">
            <v/>
          </cell>
        </row>
        <row r="544">
          <cell r="C544" t="str">
            <v/>
          </cell>
        </row>
        <row r="545">
          <cell r="C545" t="str">
            <v/>
          </cell>
        </row>
        <row r="546">
          <cell r="C546" t="str">
            <v/>
          </cell>
        </row>
        <row r="547">
          <cell r="C547" t="str">
            <v/>
          </cell>
        </row>
        <row r="548">
          <cell r="C548" t="str">
            <v/>
          </cell>
        </row>
        <row r="549">
          <cell r="C549" t="str">
            <v/>
          </cell>
        </row>
        <row r="550">
          <cell r="C550" t="str">
            <v/>
          </cell>
        </row>
        <row r="551">
          <cell r="C551" t="str">
            <v/>
          </cell>
        </row>
        <row r="552">
          <cell r="C552" t="str">
            <v/>
          </cell>
        </row>
        <row r="553">
          <cell r="C553" t="str">
            <v/>
          </cell>
        </row>
        <row r="554">
          <cell r="C554" t="str">
            <v/>
          </cell>
        </row>
        <row r="555">
          <cell r="C555" t="str">
            <v/>
          </cell>
        </row>
        <row r="556">
          <cell r="C556" t="str">
            <v/>
          </cell>
        </row>
        <row r="557">
          <cell r="C557" t="str">
            <v/>
          </cell>
        </row>
        <row r="558">
          <cell r="C558" t="str">
            <v/>
          </cell>
        </row>
        <row r="559">
          <cell r="C559" t="str">
            <v/>
          </cell>
        </row>
        <row r="560">
          <cell r="C560" t="str">
            <v/>
          </cell>
        </row>
        <row r="561">
          <cell r="C561" t="str">
            <v/>
          </cell>
        </row>
        <row r="562">
          <cell r="C562" t="str">
            <v/>
          </cell>
        </row>
        <row r="563">
          <cell r="C563" t="str">
            <v/>
          </cell>
        </row>
        <row r="564">
          <cell r="C564" t="str">
            <v/>
          </cell>
        </row>
        <row r="565">
          <cell r="C565" t="str">
            <v/>
          </cell>
        </row>
        <row r="566">
          <cell r="C566" t="str">
            <v/>
          </cell>
        </row>
        <row r="567">
          <cell r="C567" t="str">
            <v/>
          </cell>
        </row>
        <row r="568">
          <cell r="C568" t="str">
            <v/>
          </cell>
        </row>
        <row r="569">
          <cell r="C569" t="str">
            <v/>
          </cell>
        </row>
        <row r="570">
          <cell r="C570" t="str">
            <v/>
          </cell>
        </row>
        <row r="571">
          <cell r="C571" t="str">
            <v/>
          </cell>
        </row>
        <row r="572">
          <cell r="C572" t="str">
            <v/>
          </cell>
        </row>
        <row r="573">
          <cell r="C573" t="str">
            <v/>
          </cell>
        </row>
        <row r="574">
          <cell r="C574" t="str">
            <v/>
          </cell>
        </row>
        <row r="575">
          <cell r="C575" t="str">
            <v/>
          </cell>
        </row>
        <row r="576">
          <cell r="C576" t="str">
            <v/>
          </cell>
        </row>
        <row r="577">
          <cell r="C577" t="str">
            <v/>
          </cell>
        </row>
        <row r="578">
          <cell r="C578" t="str">
            <v/>
          </cell>
        </row>
        <row r="579">
          <cell r="C579" t="str">
            <v/>
          </cell>
        </row>
        <row r="580">
          <cell r="C580" t="str">
            <v/>
          </cell>
        </row>
        <row r="581">
          <cell r="C581" t="str">
            <v/>
          </cell>
        </row>
        <row r="582">
          <cell r="C582" t="str">
            <v/>
          </cell>
        </row>
        <row r="583">
          <cell r="C583" t="str">
            <v/>
          </cell>
        </row>
        <row r="584">
          <cell r="C584" t="str">
            <v/>
          </cell>
        </row>
        <row r="585">
          <cell r="C585" t="str">
            <v/>
          </cell>
        </row>
        <row r="586">
          <cell r="C586" t="str">
            <v/>
          </cell>
        </row>
        <row r="587">
          <cell r="C587" t="str">
            <v/>
          </cell>
        </row>
        <row r="588">
          <cell r="C588" t="str">
            <v/>
          </cell>
        </row>
        <row r="589">
          <cell r="C589" t="str">
            <v/>
          </cell>
        </row>
        <row r="590">
          <cell r="C590" t="str">
            <v/>
          </cell>
        </row>
        <row r="591">
          <cell r="C591" t="str">
            <v/>
          </cell>
        </row>
        <row r="592">
          <cell r="C592" t="str">
            <v/>
          </cell>
        </row>
        <row r="593">
          <cell r="C593" t="str">
            <v/>
          </cell>
        </row>
        <row r="594">
          <cell r="C594" t="str">
            <v/>
          </cell>
        </row>
        <row r="595">
          <cell r="C595" t="str">
            <v/>
          </cell>
        </row>
        <row r="596">
          <cell r="C596" t="str">
            <v/>
          </cell>
        </row>
        <row r="597">
          <cell r="C597" t="str">
            <v/>
          </cell>
        </row>
        <row r="598">
          <cell r="C598" t="str">
            <v/>
          </cell>
        </row>
        <row r="599">
          <cell r="C599" t="str">
            <v/>
          </cell>
        </row>
        <row r="600">
          <cell r="C600" t="str">
            <v/>
          </cell>
        </row>
        <row r="601">
          <cell r="C601" t="str">
            <v/>
          </cell>
        </row>
        <row r="602">
          <cell r="C602" t="str">
            <v/>
          </cell>
        </row>
        <row r="603">
          <cell r="C603" t="str">
            <v/>
          </cell>
        </row>
        <row r="604">
          <cell r="C604" t="str">
            <v/>
          </cell>
        </row>
        <row r="605">
          <cell r="C605" t="str">
            <v/>
          </cell>
        </row>
        <row r="606">
          <cell r="C606" t="str">
            <v/>
          </cell>
        </row>
        <row r="607">
          <cell r="C607" t="str">
            <v/>
          </cell>
        </row>
        <row r="608">
          <cell r="C608" t="str">
            <v/>
          </cell>
        </row>
        <row r="609">
          <cell r="C609" t="str">
            <v/>
          </cell>
        </row>
        <row r="610">
          <cell r="C610" t="str">
            <v/>
          </cell>
        </row>
        <row r="611">
          <cell r="C611" t="str">
            <v/>
          </cell>
        </row>
        <row r="612">
          <cell r="C612" t="str">
            <v/>
          </cell>
        </row>
        <row r="613">
          <cell r="C613" t="str">
            <v/>
          </cell>
        </row>
        <row r="614">
          <cell r="C614" t="str">
            <v/>
          </cell>
        </row>
        <row r="615">
          <cell r="C615" t="str">
            <v/>
          </cell>
        </row>
        <row r="616">
          <cell r="C616" t="str">
            <v/>
          </cell>
        </row>
        <row r="617">
          <cell r="C617" t="str">
            <v/>
          </cell>
        </row>
        <row r="618">
          <cell r="C618" t="str">
            <v/>
          </cell>
        </row>
        <row r="619">
          <cell r="C619" t="str">
            <v/>
          </cell>
        </row>
        <row r="620">
          <cell r="C620" t="str">
            <v/>
          </cell>
        </row>
        <row r="621">
          <cell r="C621" t="str">
            <v/>
          </cell>
        </row>
        <row r="622">
          <cell r="C622" t="str">
            <v/>
          </cell>
        </row>
        <row r="623">
          <cell r="C623" t="str">
            <v/>
          </cell>
        </row>
        <row r="624">
          <cell r="C624" t="str">
            <v/>
          </cell>
        </row>
        <row r="625">
          <cell r="C625" t="str">
            <v/>
          </cell>
        </row>
        <row r="626">
          <cell r="C626" t="str">
            <v/>
          </cell>
        </row>
        <row r="627">
          <cell r="C627" t="str">
            <v/>
          </cell>
        </row>
        <row r="628">
          <cell r="C628" t="str">
            <v/>
          </cell>
        </row>
        <row r="629">
          <cell r="C629" t="str">
            <v/>
          </cell>
        </row>
        <row r="630">
          <cell r="C630" t="str">
            <v/>
          </cell>
        </row>
        <row r="631">
          <cell r="C631" t="str">
            <v/>
          </cell>
        </row>
        <row r="632">
          <cell r="C632" t="str">
            <v/>
          </cell>
        </row>
        <row r="633">
          <cell r="C633" t="str">
            <v/>
          </cell>
        </row>
        <row r="634">
          <cell r="C634" t="str">
            <v/>
          </cell>
        </row>
        <row r="635">
          <cell r="C635" t="str">
            <v/>
          </cell>
        </row>
        <row r="636">
          <cell r="C636" t="str">
            <v/>
          </cell>
        </row>
        <row r="637">
          <cell r="C637" t="str">
            <v/>
          </cell>
        </row>
        <row r="638">
          <cell r="C638" t="str">
            <v/>
          </cell>
        </row>
        <row r="639">
          <cell r="C639" t="str">
            <v/>
          </cell>
        </row>
        <row r="640">
          <cell r="C640" t="str">
            <v/>
          </cell>
        </row>
        <row r="641">
          <cell r="C641" t="str">
            <v/>
          </cell>
        </row>
        <row r="642">
          <cell r="C642" t="str">
            <v/>
          </cell>
        </row>
        <row r="643">
          <cell r="C643" t="str">
            <v/>
          </cell>
        </row>
        <row r="644">
          <cell r="C644" t="str">
            <v/>
          </cell>
        </row>
        <row r="645">
          <cell r="C645" t="str">
            <v/>
          </cell>
        </row>
        <row r="646">
          <cell r="C646" t="str">
            <v/>
          </cell>
        </row>
        <row r="647">
          <cell r="C647" t="str">
            <v/>
          </cell>
        </row>
        <row r="648">
          <cell r="C648" t="str">
            <v/>
          </cell>
        </row>
        <row r="649">
          <cell r="C649" t="str">
            <v/>
          </cell>
        </row>
        <row r="650">
          <cell r="C650" t="str">
            <v/>
          </cell>
        </row>
        <row r="651">
          <cell r="C651" t="str">
            <v/>
          </cell>
        </row>
        <row r="652">
          <cell r="C652" t="str">
            <v/>
          </cell>
        </row>
        <row r="653">
          <cell r="C653" t="str">
            <v/>
          </cell>
        </row>
        <row r="654">
          <cell r="C654" t="str">
            <v/>
          </cell>
        </row>
        <row r="655">
          <cell r="C655" t="str">
            <v/>
          </cell>
        </row>
        <row r="656">
          <cell r="C656" t="str">
            <v/>
          </cell>
        </row>
        <row r="657">
          <cell r="C657" t="str">
            <v/>
          </cell>
        </row>
        <row r="658">
          <cell r="C658" t="str">
            <v/>
          </cell>
        </row>
        <row r="659">
          <cell r="C659" t="str">
            <v/>
          </cell>
        </row>
        <row r="660">
          <cell r="C660" t="str">
            <v/>
          </cell>
        </row>
        <row r="661">
          <cell r="C661" t="str">
            <v/>
          </cell>
        </row>
        <row r="662">
          <cell r="C662" t="str">
            <v/>
          </cell>
        </row>
        <row r="663">
          <cell r="C663" t="str">
            <v/>
          </cell>
        </row>
        <row r="664">
          <cell r="C664" t="str">
            <v/>
          </cell>
        </row>
        <row r="665">
          <cell r="C665" t="str">
            <v/>
          </cell>
        </row>
        <row r="666">
          <cell r="C666" t="str">
            <v/>
          </cell>
        </row>
        <row r="667">
          <cell r="C667" t="str">
            <v/>
          </cell>
        </row>
        <row r="668">
          <cell r="C668" t="str">
            <v/>
          </cell>
        </row>
        <row r="669">
          <cell r="C669" t="str">
            <v/>
          </cell>
        </row>
        <row r="670">
          <cell r="C670" t="str">
            <v/>
          </cell>
        </row>
        <row r="671">
          <cell r="C671" t="str">
            <v/>
          </cell>
        </row>
        <row r="672">
          <cell r="C672" t="str">
            <v/>
          </cell>
        </row>
        <row r="673">
          <cell r="C673" t="str">
            <v/>
          </cell>
        </row>
        <row r="674">
          <cell r="C674" t="str">
            <v/>
          </cell>
        </row>
        <row r="675">
          <cell r="C675" t="str">
            <v/>
          </cell>
        </row>
        <row r="676">
          <cell r="C676" t="str">
            <v/>
          </cell>
        </row>
        <row r="677">
          <cell r="C677" t="str">
            <v/>
          </cell>
        </row>
        <row r="678">
          <cell r="C678" t="str">
            <v/>
          </cell>
        </row>
        <row r="679">
          <cell r="C679" t="str">
            <v/>
          </cell>
        </row>
        <row r="680">
          <cell r="C680" t="str">
            <v/>
          </cell>
        </row>
        <row r="681">
          <cell r="C681" t="str">
            <v/>
          </cell>
        </row>
        <row r="682">
          <cell r="C682" t="str">
            <v/>
          </cell>
        </row>
        <row r="683">
          <cell r="C683" t="str">
            <v/>
          </cell>
        </row>
        <row r="684">
          <cell r="C684" t="str">
            <v/>
          </cell>
        </row>
        <row r="685">
          <cell r="C685" t="str">
            <v/>
          </cell>
        </row>
        <row r="686">
          <cell r="C686" t="str">
            <v/>
          </cell>
        </row>
        <row r="687">
          <cell r="C687" t="str">
            <v/>
          </cell>
        </row>
        <row r="688">
          <cell r="C688" t="str">
            <v/>
          </cell>
        </row>
        <row r="689">
          <cell r="C689" t="str">
            <v/>
          </cell>
        </row>
        <row r="690">
          <cell r="C690" t="str">
            <v/>
          </cell>
        </row>
        <row r="691">
          <cell r="C691" t="str">
            <v/>
          </cell>
        </row>
        <row r="692">
          <cell r="C692" t="str">
            <v/>
          </cell>
        </row>
        <row r="693">
          <cell r="C693" t="str">
            <v/>
          </cell>
        </row>
        <row r="694">
          <cell r="C694" t="str">
            <v/>
          </cell>
        </row>
        <row r="695">
          <cell r="C695" t="str">
            <v/>
          </cell>
        </row>
        <row r="696">
          <cell r="C696" t="str">
            <v/>
          </cell>
        </row>
        <row r="697">
          <cell r="C697" t="str">
            <v/>
          </cell>
        </row>
        <row r="698">
          <cell r="C698" t="str">
            <v/>
          </cell>
        </row>
        <row r="699">
          <cell r="C699" t="str">
            <v/>
          </cell>
        </row>
        <row r="700">
          <cell r="C700" t="str">
            <v/>
          </cell>
        </row>
        <row r="701">
          <cell r="C701" t="str">
            <v/>
          </cell>
        </row>
        <row r="702">
          <cell r="C702" t="str">
            <v/>
          </cell>
        </row>
        <row r="703">
          <cell r="C703" t="str">
            <v/>
          </cell>
        </row>
        <row r="704">
          <cell r="C704" t="str">
            <v/>
          </cell>
        </row>
        <row r="705">
          <cell r="C705" t="str">
            <v/>
          </cell>
        </row>
        <row r="706">
          <cell r="C706" t="str">
            <v/>
          </cell>
        </row>
        <row r="707">
          <cell r="C707" t="str">
            <v/>
          </cell>
        </row>
        <row r="708">
          <cell r="C708" t="str">
            <v/>
          </cell>
        </row>
        <row r="709">
          <cell r="C709" t="str">
            <v/>
          </cell>
        </row>
        <row r="710">
          <cell r="C710" t="str">
            <v/>
          </cell>
        </row>
        <row r="711">
          <cell r="C711" t="str">
            <v/>
          </cell>
        </row>
        <row r="712">
          <cell r="C712" t="str">
            <v/>
          </cell>
        </row>
        <row r="713">
          <cell r="C713" t="str">
            <v/>
          </cell>
        </row>
        <row r="714">
          <cell r="C714" t="str">
            <v/>
          </cell>
        </row>
        <row r="715">
          <cell r="C715" t="str">
            <v/>
          </cell>
        </row>
        <row r="716">
          <cell r="C716" t="str">
            <v/>
          </cell>
        </row>
        <row r="717">
          <cell r="C717" t="str">
            <v/>
          </cell>
        </row>
        <row r="718">
          <cell r="C718" t="str">
            <v/>
          </cell>
        </row>
        <row r="719">
          <cell r="C719" t="str">
            <v/>
          </cell>
        </row>
        <row r="720">
          <cell r="C720" t="str">
            <v/>
          </cell>
        </row>
        <row r="721">
          <cell r="C721" t="str">
            <v/>
          </cell>
        </row>
        <row r="722">
          <cell r="C722" t="str">
            <v/>
          </cell>
        </row>
        <row r="723">
          <cell r="C723" t="str">
            <v/>
          </cell>
        </row>
        <row r="724">
          <cell r="C724" t="str">
            <v/>
          </cell>
        </row>
        <row r="725">
          <cell r="C725" t="str">
            <v/>
          </cell>
        </row>
        <row r="726">
          <cell r="C726" t="str">
            <v/>
          </cell>
        </row>
        <row r="727">
          <cell r="C727" t="str">
            <v/>
          </cell>
        </row>
        <row r="728">
          <cell r="C728" t="str">
            <v/>
          </cell>
        </row>
        <row r="729">
          <cell r="C729" t="str">
            <v/>
          </cell>
        </row>
        <row r="730">
          <cell r="C730" t="str">
            <v/>
          </cell>
        </row>
        <row r="731">
          <cell r="C731" t="str">
            <v/>
          </cell>
        </row>
        <row r="732">
          <cell r="C732" t="str">
            <v/>
          </cell>
        </row>
        <row r="733">
          <cell r="C733" t="str">
            <v/>
          </cell>
        </row>
        <row r="734">
          <cell r="C734" t="str">
            <v/>
          </cell>
        </row>
        <row r="735">
          <cell r="C735" t="str">
            <v/>
          </cell>
        </row>
        <row r="736">
          <cell r="C736" t="str">
            <v/>
          </cell>
        </row>
        <row r="737">
          <cell r="C737" t="str">
            <v/>
          </cell>
        </row>
        <row r="738">
          <cell r="C738" t="str">
            <v/>
          </cell>
        </row>
        <row r="739">
          <cell r="C739" t="str">
            <v/>
          </cell>
        </row>
        <row r="740">
          <cell r="C740" t="str">
            <v/>
          </cell>
        </row>
        <row r="741">
          <cell r="C741" t="str">
            <v/>
          </cell>
        </row>
        <row r="742">
          <cell r="C742" t="str">
            <v/>
          </cell>
        </row>
        <row r="743">
          <cell r="C743" t="str">
            <v/>
          </cell>
        </row>
        <row r="744">
          <cell r="C744" t="str">
            <v/>
          </cell>
        </row>
        <row r="745">
          <cell r="C745" t="str">
            <v/>
          </cell>
        </row>
        <row r="746">
          <cell r="C746" t="str">
            <v/>
          </cell>
        </row>
        <row r="747">
          <cell r="C747" t="str">
            <v/>
          </cell>
        </row>
        <row r="748">
          <cell r="C748" t="str">
            <v/>
          </cell>
        </row>
        <row r="749">
          <cell r="C749" t="str">
            <v/>
          </cell>
        </row>
        <row r="750">
          <cell r="C750" t="str">
            <v/>
          </cell>
        </row>
        <row r="751">
          <cell r="C751" t="str">
            <v/>
          </cell>
        </row>
        <row r="752">
          <cell r="C752" t="str">
            <v/>
          </cell>
        </row>
        <row r="753">
          <cell r="C753" t="str">
            <v/>
          </cell>
        </row>
        <row r="754">
          <cell r="C754" t="str">
            <v/>
          </cell>
        </row>
        <row r="755">
          <cell r="C755" t="str">
            <v/>
          </cell>
        </row>
        <row r="756">
          <cell r="C756" t="str">
            <v/>
          </cell>
        </row>
        <row r="757">
          <cell r="C757" t="str">
            <v/>
          </cell>
        </row>
        <row r="758">
          <cell r="C758" t="str">
            <v/>
          </cell>
        </row>
        <row r="759">
          <cell r="C759" t="str">
            <v/>
          </cell>
        </row>
        <row r="760">
          <cell r="C760" t="str">
            <v/>
          </cell>
        </row>
        <row r="761">
          <cell r="C761" t="str">
            <v/>
          </cell>
        </row>
        <row r="762">
          <cell r="C762" t="str">
            <v/>
          </cell>
        </row>
        <row r="763">
          <cell r="C763" t="str">
            <v/>
          </cell>
        </row>
        <row r="764">
          <cell r="C764" t="str">
            <v/>
          </cell>
        </row>
        <row r="765">
          <cell r="C765" t="str">
            <v/>
          </cell>
        </row>
        <row r="766">
          <cell r="C766" t="str">
            <v/>
          </cell>
        </row>
        <row r="767">
          <cell r="C767" t="str">
            <v/>
          </cell>
        </row>
        <row r="768">
          <cell r="C768" t="str">
            <v/>
          </cell>
        </row>
        <row r="769">
          <cell r="C769" t="str">
            <v/>
          </cell>
        </row>
        <row r="770">
          <cell r="C770" t="str">
            <v/>
          </cell>
        </row>
        <row r="771">
          <cell r="C771" t="str">
            <v/>
          </cell>
        </row>
        <row r="772">
          <cell r="C772" t="str">
            <v/>
          </cell>
        </row>
        <row r="773">
          <cell r="C773" t="str">
            <v/>
          </cell>
        </row>
        <row r="774">
          <cell r="C774" t="str">
            <v/>
          </cell>
        </row>
        <row r="775">
          <cell r="C775" t="str">
            <v/>
          </cell>
        </row>
        <row r="776">
          <cell r="C776" t="str">
            <v/>
          </cell>
        </row>
        <row r="777">
          <cell r="C777" t="str">
            <v/>
          </cell>
        </row>
        <row r="778">
          <cell r="C778" t="str">
            <v/>
          </cell>
        </row>
        <row r="779">
          <cell r="C779" t="str">
            <v/>
          </cell>
        </row>
        <row r="780">
          <cell r="C780" t="str">
            <v/>
          </cell>
        </row>
        <row r="781">
          <cell r="C781" t="str">
            <v/>
          </cell>
        </row>
        <row r="782">
          <cell r="C782" t="str">
            <v/>
          </cell>
        </row>
        <row r="783">
          <cell r="C783" t="str">
            <v/>
          </cell>
        </row>
        <row r="784">
          <cell r="C784" t="str">
            <v/>
          </cell>
        </row>
        <row r="785">
          <cell r="C785" t="str">
            <v/>
          </cell>
        </row>
        <row r="786">
          <cell r="C786" t="str">
            <v/>
          </cell>
        </row>
        <row r="787">
          <cell r="C787" t="str">
            <v/>
          </cell>
        </row>
        <row r="788">
          <cell r="C788" t="str">
            <v/>
          </cell>
        </row>
        <row r="789">
          <cell r="C789" t="str">
            <v/>
          </cell>
        </row>
        <row r="790">
          <cell r="C790" t="str">
            <v/>
          </cell>
        </row>
        <row r="791">
          <cell r="C791" t="str">
            <v/>
          </cell>
        </row>
        <row r="792">
          <cell r="C792" t="str">
            <v/>
          </cell>
        </row>
        <row r="793">
          <cell r="C793" t="str">
            <v/>
          </cell>
        </row>
        <row r="794">
          <cell r="C794" t="str">
            <v/>
          </cell>
        </row>
        <row r="795">
          <cell r="C795" t="str">
            <v/>
          </cell>
        </row>
        <row r="796">
          <cell r="C796" t="str">
            <v/>
          </cell>
        </row>
        <row r="797">
          <cell r="C797" t="str">
            <v/>
          </cell>
        </row>
        <row r="798">
          <cell r="C798" t="str">
            <v/>
          </cell>
        </row>
        <row r="799">
          <cell r="C799" t="str">
            <v/>
          </cell>
        </row>
        <row r="800">
          <cell r="C800" t="str">
            <v/>
          </cell>
        </row>
        <row r="801">
          <cell r="C801" t="str">
            <v/>
          </cell>
        </row>
        <row r="802">
          <cell r="C802" t="str">
            <v/>
          </cell>
        </row>
        <row r="803">
          <cell r="C803" t="str">
            <v/>
          </cell>
        </row>
        <row r="804">
          <cell r="C804" t="str">
            <v/>
          </cell>
        </row>
        <row r="805">
          <cell r="C805" t="str">
            <v/>
          </cell>
        </row>
        <row r="806">
          <cell r="C806" t="str">
            <v/>
          </cell>
        </row>
        <row r="807">
          <cell r="C807" t="str">
            <v/>
          </cell>
        </row>
        <row r="808">
          <cell r="C808" t="str">
            <v/>
          </cell>
        </row>
        <row r="809">
          <cell r="C809" t="str">
            <v/>
          </cell>
        </row>
        <row r="810">
          <cell r="C810" t="str">
            <v/>
          </cell>
        </row>
        <row r="811">
          <cell r="C811" t="str">
            <v/>
          </cell>
        </row>
        <row r="812">
          <cell r="C812" t="str">
            <v/>
          </cell>
        </row>
        <row r="813">
          <cell r="C813" t="str">
            <v/>
          </cell>
        </row>
        <row r="814">
          <cell r="C814" t="str">
            <v/>
          </cell>
        </row>
        <row r="815">
          <cell r="C815" t="str">
            <v/>
          </cell>
        </row>
        <row r="816">
          <cell r="C816" t="str">
            <v/>
          </cell>
        </row>
        <row r="817">
          <cell r="C817" t="str">
            <v/>
          </cell>
        </row>
        <row r="818">
          <cell r="C818" t="str">
            <v/>
          </cell>
        </row>
        <row r="819">
          <cell r="C819" t="str">
            <v/>
          </cell>
        </row>
        <row r="820">
          <cell r="C820" t="str">
            <v/>
          </cell>
        </row>
        <row r="821">
          <cell r="C821" t="str">
            <v/>
          </cell>
        </row>
        <row r="822">
          <cell r="C822" t="str">
            <v/>
          </cell>
        </row>
        <row r="823">
          <cell r="C823" t="str">
            <v/>
          </cell>
        </row>
        <row r="824">
          <cell r="C824" t="str">
            <v/>
          </cell>
        </row>
        <row r="825">
          <cell r="C825" t="str">
            <v/>
          </cell>
        </row>
        <row r="826">
          <cell r="C826" t="str">
            <v/>
          </cell>
        </row>
        <row r="827">
          <cell r="C827" t="str">
            <v/>
          </cell>
        </row>
        <row r="828">
          <cell r="C828" t="str">
            <v/>
          </cell>
        </row>
        <row r="829">
          <cell r="C829" t="str">
            <v/>
          </cell>
        </row>
        <row r="830">
          <cell r="C830" t="str">
            <v/>
          </cell>
        </row>
        <row r="831">
          <cell r="C831" t="str">
            <v/>
          </cell>
        </row>
        <row r="832">
          <cell r="C832" t="str">
            <v/>
          </cell>
        </row>
        <row r="833">
          <cell r="C833" t="str">
            <v/>
          </cell>
        </row>
        <row r="834">
          <cell r="C834" t="str">
            <v/>
          </cell>
        </row>
        <row r="835">
          <cell r="C835" t="str">
            <v/>
          </cell>
        </row>
        <row r="836">
          <cell r="C836" t="str">
            <v/>
          </cell>
        </row>
        <row r="837">
          <cell r="C837" t="str">
            <v/>
          </cell>
        </row>
        <row r="838">
          <cell r="C838" t="str">
            <v/>
          </cell>
        </row>
        <row r="839">
          <cell r="C839" t="str">
            <v/>
          </cell>
        </row>
        <row r="840">
          <cell r="C840" t="str">
            <v/>
          </cell>
        </row>
        <row r="841">
          <cell r="C841" t="str">
            <v/>
          </cell>
        </row>
        <row r="842">
          <cell r="C842" t="str">
            <v/>
          </cell>
        </row>
        <row r="843">
          <cell r="C843" t="str">
            <v/>
          </cell>
        </row>
        <row r="844">
          <cell r="C844" t="str">
            <v/>
          </cell>
        </row>
        <row r="845">
          <cell r="C845" t="str">
            <v/>
          </cell>
        </row>
        <row r="846">
          <cell r="C846" t="str">
            <v/>
          </cell>
        </row>
        <row r="847">
          <cell r="C847" t="str">
            <v/>
          </cell>
        </row>
        <row r="848">
          <cell r="C848" t="str">
            <v/>
          </cell>
        </row>
        <row r="849">
          <cell r="C849" t="str">
            <v/>
          </cell>
        </row>
        <row r="850">
          <cell r="C850" t="str">
            <v/>
          </cell>
        </row>
        <row r="851">
          <cell r="C851" t="str">
            <v/>
          </cell>
        </row>
        <row r="852">
          <cell r="C852" t="str">
            <v/>
          </cell>
        </row>
        <row r="853">
          <cell r="C853" t="str">
            <v/>
          </cell>
        </row>
        <row r="854">
          <cell r="C854" t="str">
            <v/>
          </cell>
        </row>
        <row r="855">
          <cell r="C855" t="str">
            <v/>
          </cell>
        </row>
        <row r="856">
          <cell r="C856" t="str">
            <v/>
          </cell>
        </row>
        <row r="857">
          <cell r="C857" t="str">
            <v/>
          </cell>
        </row>
        <row r="858">
          <cell r="C858" t="str">
            <v/>
          </cell>
        </row>
        <row r="859">
          <cell r="C859" t="str">
            <v/>
          </cell>
        </row>
        <row r="860">
          <cell r="C860" t="str">
            <v/>
          </cell>
        </row>
        <row r="861">
          <cell r="C861" t="str">
            <v/>
          </cell>
        </row>
        <row r="862">
          <cell r="C862" t="str">
            <v/>
          </cell>
        </row>
        <row r="863">
          <cell r="C863" t="str">
            <v/>
          </cell>
        </row>
        <row r="864">
          <cell r="C864" t="str">
            <v/>
          </cell>
        </row>
        <row r="865">
          <cell r="C865" t="str">
            <v/>
          </cell>
        </row>
        <row r="866">
          <cell r="C866" t="str">
            <v/>
          </cell>
        </row>
        <row r="867">
          <cell r="C867" t="str">
            <v/>
          </cell>
        </row>
        <row r="868">
          <cell r="C868" t="str">
            <v/>
          </cell>
        </row>
        <row r="869">
          <cell r="C869" t="str">
            <v/>
          </cell>
        </row>
        <row r="870">
          <cell r="C870" t="str">
            <v/>
          </cell>
        </row>
        <row r="871">
          <cell r="C871" t="str">
            <v/>
          </cell>
        </row>
        <row r="872">
          <cell r="C872" t="str">
            <v/>
          </cell>
        </row>
        <row r="873">
          <cell r="C873" t="str">
            <v/>
          </cell>
        </row>
        <row r="874">
          <cell r="C874" t="str">
            <v/>
          </cell>
        </row>
        <row r="875">
          <cell r="C875" t="str">
            <v/>
          </cell>
        </row>
        <row r="876">
          <cell r="C876" t="str">
            <v/>
          </cell>
        </row>
        <row r="877">
          <cell r="C877" t="str">
            <v/>
          </cell>
        </row>
        <row r="878">
          <cell r="C878" t="str">
            <v/>
          </cell>
        </row>
        <row r="879">
          <cell r="C879" t="str">
            <v/>
          </cell>
        </row>
        <row r="880">
          <cell r="C880" t="str">
            <v/>
          </cell>
        </row>
        <row r="881">
          <cell r="C881" t="str">
            <v/>
          </cell>
        </row>
        <row r="882">
          <cell r="C882" t="str">
            <v/>
          </cell>
        </row>
        <row r="883">
          <cell r="C883" t="str">
            <v/>
          </cell>
        </row>
        <row r="884">
          <cell r="C884" t="str">
            <v/>
          </cell>
        </row>
        <row r="885">
          <cell r="C885" t="str">
            <v/>
          </cell>
        </row>
        <row r="886">
          <cell r="C886" t="str">
            <v/>
          </cell>
        </row>
        <row r="887">
          <cell r="C887" t="str">
            <v/>
          </cell>
        </row>
        <row r="888">
          <cell r="C888" t="str">
            <v/>
          </cell>
        </row>
        <row r="889">
          <cell r="C889" t="str">
            <v/>
          </cell>
        </row>
        <row r="890">
          <cell r="C890" t="str">
            <v/>
          </cell>
        </row>
        <row r="891">
          <cell r="C891" t="str">
            <v/>
          </cell>
        </row>
        <row r="892">
          <cell r="C892" t="str">
            <v/>
          </cell>
        </row>
        <row r="893">
          <cell r="C893" t="str">
            <v/>
          </cell>
        </row>
        <row r="894">
          <cell r="C894" t="str">
            <v/>
          </cell>
        </row>
        <row r="895">
          <cell r="C895" t="str">
            <v/>
          </cell>
        </row>
        <row r="896">
          <cell r="C896" t="str">
            <v/>
          </cell>
        </row>
        <row r="897">
          <cell r="C897" t="str">
            <v/>
          </cell>
        </row>
        <row r="898">
          <cell r="C898" t="str">
            <v/>
          </cell>
        </row>
        <row r="899">
          <cell r="C899" t="str">
            <v/>
          </cell>
        </row>
        <row r="900">
          <cell r="C900" t="str">
            <v/>
          </cell>
        </row>
        <row r="901">
          <cell r="C901" t="str">
            <v/>
          </cell>
        </row>
        <row r="902">
          <cell r="C902" t="str">
            <v/>
          </cell>
        </row>
      </sheetData>
      <sheetData sheetId="17"/>
      <sheetData sheetId="18">
        <row r="2">
          <cell r="D2" t="str">
            <v>Scheduling Coordinator</v>
          </cell>
        </row>
        <row r="3">
          <cell r="D3" t="str">
            <v>Party to a Power Contract</v>
          </cell>
        </row>
        <row r="4">
          <cell r="D4" t="str">
            <v>Retail Provider</v>
          </cell>
        </row>
        <row r="5">
          <cell r="D5" t="str">
            <v>Generation Providing Entity (GPE)</v>
          </cell>
        </row>
        <row r="6">
          <cell r="D6" t="str">
            <v>Transmission Provider</v>
          </cell>
        </row>
        <row r="7">
          <cell r="D7" t="str">
            <v>Other</v>
          </cell>
        </row>
        <row r="20">
          <cell r="F20" t="str">
            <v>Other</v>
          </cell>
        </row>
        <row r="21">
          <cell r="F21" t="str">
            <v>3 Phases Renewables - 3006</v>
          </cell>
        </row>
        <row r="22">
          <cell r="F22" t="str">
            <v>Alameda Municipal Power - 3022</v>
          </cell>
        </row>
        <row r="23">
          <cell r="F23" t="str">
            <v>Anza Electric Cooperative - 104578</v>
          </cell>
        </row>
        <row r="24">
          <cell r="F24" t="str">
            <v>Arizona Electric Power Cooperative - 2098</v>
          </cell>
        </row>
        <row r="25">
          <cell r="F25" t="str">
            <v>Arizona Public Service Company - 104131</v>
          </cell>
        </row>
        <row r="26">
          <cell r="F26" t="str">
            <v>Azusa Light and Water - 3024</v>
          </cell>
        </row>
        <row r="27">
          <cell r="F27" t="str">
            <v>Barclays Capital - 2425</v>
          </cell>
        </row>
        <row r="28">
          <cell r="F28" t="str">
            <v>Bear Valley Electric Service (BVES) - 3000</v>
          </cell>
        </row>
        <row r="29">
          <cell r="F29" t="str">
            <v>Biggs Municipal Utilities - 3026</v>
          </cell>
        </row>
        <row r="30">
          <cell r="F30" t="str">
            <v>BNP Paribas Energy Trading GP - 2017</v>
          </cell>
        </row>
        <row r="31">
          <cell r="F31" t="str">
            <v>Bonneville Power Administration - AO/CS - 4000</v>
          </cell>
        </row>
        <row r="32">
          <cell r="F32" t="str">
            <v>Bonneville Power Administration - Marketer - 2044</v>
          </cell>
        </row>
        <row r="33">
          <cell r="F33" t="str">
            <v>BP Energy Company - 2113</v>
          </cell>
        </row>
        <row r="34">
          <cell r="F34" t="str">
            <v>Brookfield Energy Marketing LP - 104120</v>
          </cell>
        </row>
        <row r="35">
          <cell r="F35" t="str">
            <v>Burbank Water and Power - 3027</v>
          </cell>
        </row>
        <row r="36">
          <cell r="F36" t="str">
            <v>California Department of Water Resources (DWR), State Water Project - 3072</v>
          </cell>
        </row>
        <row r="37">
          <cell r="B37" t="str">
            <v>Alberta</v>
          </cell>
          <cell r="F37" t="str">
            <v>Calpine Corporation - 3010</v>
          </cell>
        </row>
        <row r="38">
          <cell r="B38" t="str">
            <v>Arizona</v>
          </cell>
          <cell r="F38" t="str">
            <v>Cargill Power Markets, LLC - 2214</v>
          </cell>
        </row>
        <row r="39">
          <cell r="B39" t="str">
            <v>Baja</v>
          </cell>
          <cell r="F39" t="str">
            <v>Central Arizona Water Conservation District - CAWCD - 104577</v>
          </cell>
        </row>
        <row r="40">
          <cell r="B40" t="str">
            <v>British Columbia</v>
          </cell>
          <cell r="F40" t="str">
            <v>Citigroup Energy Inc. - 2428</v>
          </cell>
        </row>
        <row r="41">
          <cell r="B41" t="str">
            <v>California</v>
          </cell>
          <cell r="F41" t="str">
            <v>City of Anaheim, Public Utilities Department, Anaheim City Hall West - 3023</v>
          </cell>
        </row>
        <row r="42">
          <cell r="B42" t="str">
            <v>Colorado</v>
          </cell>
          <cell r="F42" t="str">
            <v>City of Banning Electric Department - 3025</v>
          </cell>
        </row>
        <row r="43">
          <cell r="B43" t="str">
            <v>Idaho</v>
          </cell>
          <cell r="F43" t="str">
            <v>City of Cerritos - 3029</v>
          </cell>
        </row>
        <row r="44">
          <cell r="B44" t="str">
            <v>Montana</v>
          </cell>
          <cell r="F44" t="str">
            <v>City of Colton - EPE - 3031</v>
          </cell>
        </row>
        <row r="45">
          <cell r="B45" t="str">
            <v>Nevada</v>
          </cell>
          <cell r="F45" t="str">
            <v>City of Corona Dept. of Water &amp; Power - EPE - 3032</v>
          </cell>
        </row>
        <row r="46">
          <cell r="B46" t="str">
            <v>New Mexico</v>
          </cell>
          <cell r="F46" t="str">
            <v>City of Industry - 3030</v>
          </cell>
        </row>
        <row r="47">
          <cell r="B47" t="str">
            <v>Oregon</v>
          </cell>
          <cell r="F47" t="str">
            <v>City of Lompoc - 3041</v>
          </cell>
        </row>
        <row r="48">
          <cell r="B48" t="str">
            <v>South Dakota</v>
          </cell>
          <cell r="F48" t="str">
            <v>City of Needles - 3047</v>
          </cell>
        </row>
        <row r="49">
          <cell r="B49" t="str">
            <v>Utah</v>
          </cell>
          <cell r="F49" t="str">
            <v>City of Palo Alto - Electric Power Entity - 3048</v>
          </cell>
        </row>
        <row r="50">
          <cell r="B50" t="str">
            <v>Washington</v>
          </cell>
          <cell r="F50" t="str">
            <v>City of Riverside Public Utilities - 3056</v>
          </cell>
        </row>
        <row r="51">
          <cell r="B51" t="str">
            <v>Wyoming</v>
          </cell>
          <cell r="F51" t="str">
            <v>City of Shasta Lake - Electric - 3059</v>
          </cell>
        </row>
        <row r="52">
          <cell r="B52" t="str">
            <v>Other</v>
          </cell>
          <cell r="F52" t="str">
            <v>City of Ukiah, Electric Utilities Division - 3065</v>
          </cell>
        </row>
        <row r="53">
          <cell r="F53" t="str">
            <v>City of Vernon, Vernon Gas &amp; Electric - 3066</v>
          </cell>
        </row>
        <row r="54">
          <cell r="F54" t="str">
            <v>Comision Federal de Electricidad (CFE) - 104570</v>
          </cell>
        </row>
        <row r="55">
          <cell r="F55" t="str">
            <v>Commerce Energy, Inc. - 3011</v>
          </cell>
        </row>
        <row r="56">
          <cell r="F56" t="str">
            <v>Constellation NewEnergy, Inc. - 3012</v>
          </cell>
        </row>
        <row r="57">
          <cell r="F57" t="str">
            <v>CP Energy Marketing (US) Inc. (Capital Power) - 3102</v>
          </cell>
        </row>
        <row r="58">
          <cell r="F58" t="str">
            <v>DB Energy Trading LLC - 2231</v>
          </cell>
        </row>
        <row r="59">
          <cell r="F59" t="str">
            <v>Direct Energy Business, LLC (fka Strategic Energy) - 2264</v>
          </cell>
        </row>
        <row r="60">
          <cell r="F60" t="str">
            <v>Eastside Power Authority - 3033</v>
          </cell>
        </row>
        <row r="61">
          <cell r="F61" t="str">
            <v>EDF Industrial Power Services (CA), LLC - 104452</v>
          </cell>
        </row>
        <row r="62">
          <cell r="F62" t="str">
            <v>EDF Trading North America, LLC - 104067</v>
          </cell>
        </row>
        <row r="63">
          <cell r="F63" t="str">
            <v>Exelon Generation Company, LLC - 2078</v>
          </cell>
        </row>
        <row r="64">
          <cell r="F64" t="str">
            <v>Gexa Energy California, LLC - 104507</v>
          </cell>
        </row>
        <row r="65">
          <cell r="F65" t="str">
            <v>Gila River - Entegra Power Group - 104119</v>
          </cell>
        </row>
        <row r="66">
          <cell r="F66" t="str">
            <v>Glendale Water &amp; Power - 3034</v>
          </cell>
        </row>
        <row r="67">
          <cell r="F67" t="str">
            <v>Gridley Electric Utility - 3035</v>
          </cell>
        </row>
        <row r="68">
          <cell r="F68" t="str">
            <v>Guzman Power Markets 2014+ - 104473</v>
          </cell>
        </row>
        <row r="69">
          <cell r="F69" t="str">
            <v>Healdsburg Electric Dept. - 3036</v>
          </cell>
        </row>
        <row r="70">
          <cell r="F70" t="str">
            <v>Iberdrola Renewables - 2292</v>
          </cell>
        </row>
        <row r="71">
          <cell r="F71" t="str">
            <v>Imperial Irrigation District (IID) - 3038</v>
          </cell>
        </row>
        <row r="72">
          <cell r="F72" t="str">
            <v>J. Aron &amp; Company - 104335</v>
          </cell>
        </row>
        <row r="73">
          <cell r="F73" t="str">
            <v>J.P. Morgan Ventures Energy Corporation - 3077</v>
          </cell>
        </row>
        <row r="74">
          <cell r="F74" t="str">
            <v>Kirkwood Meadows PUD Powerhouse - 3001</v>
          </cell>
        </row>
        <row r="75">
          <cell r="F75" t="str">
            <v>La Rosita Power - Marketing - 104211</v>
          </cell>
        </row>
        <row r="76">
          <cell r="F76" t="str">
            <v>Lassen Municipal Utility District - 3039</v>
          </cell>
        </row>
        <row r="77">
          <cell r="F77" t="str">
            <v>Liberty Power Corporation - 104451</v>
          </cell>
        </row>
        <row r="78">
          <cell r="F78" t="str">
            <v>Liberty Utilities (CalPeco Electric) LLC - 104099</v>
          </cell>
        </row>
        <row r="79">
          <cell r="F79" t="str">
            <v>Lodi Electric Utility - 3040</v>
          </cell>
        </row>
        <row r="80">
          <cell r="F80" t="str">
            <v>Los Angeles Department of Water &amp; Power (LADWP) - 3042</v>
          </cell>
        </row>
        <row r="81">
          <cell r="F81" t="str">
            <v>Macquarie Energy LLC - 2112</v>
          </cell>
        </row>
        <row r="82">
          <cell r="F82" t="str">
            <v>MAG Energy Solutions, Inc. - 104573</v>
          </cell>
        </row>
        <row r="83">
          <cell r="F83" t="str">
            <v>Marin Clean Energy - 104463</v>
          </cell>
        </row>
        <row r="84">
          <cell r="F84" t="str">
            <v>Merced Irrigation District (MeID) - 3044</v>
          </cell>
        </row>
        <row r="85">
          <cell r="F85" t="str">
            <v>Merrill Lynch Commodities, Inc. - 2027</v>
          </cell>
        </row>
        <row r="86">
          <cell r="F86" t="str">
            <v>Metropolitan Water District of Southern California (MWD) - 2046</v>
          </cell>
        </row>
        <row r="87">
          <cell r="F87" t="str">
            <v>Modesto Irrigation District (MID) - 3045</v>
          </cell>
        </row>
        <row r="88">
          <cell r="F88" t="str">
            <v>Moreno Valley Utility (MVU) - 3046</v>
          </cell>
        </row>
        <row r="89">
          <cell r="F89" t="str">
            <v>Morgan Stanley Capital Group Inc. - EPE - 2369</v>
          </cell>
        </row>
        <row r="90">
          <cell r="F90" t="str">
            <v>Nevada Power Company (dba NV Energy) - 2388</v>
          </cell>
        </row>
        <row r="91">
          <cell r="F91" t="str">
            <v>Nextera Energy Power Marketing, LLC - 104225</v>
          </cell>
        </row>
        <row r="92">
          <cell r="F92" t="str">
            <v>Noble Americas Energy Solutions LLC - 3018</v>
          </cell>
        </row>
        <row r="93">
          <cell r="F93" t="str">
            <v>Noble Americas Gas &amp; Power Corporation - 2500</v>
          </cell>
        </row>
        <row r="94">
          <cell r="F94" t="str">
            <v>Northern California Power Agency (NCPA) - 2215</v>
          </cell>
        </row>
        <row r="95">
          <cell r="F95" t="str">
            <v>Pacific Gas and Electric Company (PG&amp;E) - Electric Power Entity - 3002</v>
          </cell>
        </row>
        <row r="96">
          <cell r="F96" t="str">
            <v>PacifiCorp - 3003</v>
          </cell>
        </row>
        <row r="97">
          <cell r="F97" t="str">
            <v>Pasadena Water and Power, 91101 - 3049</v>
          </cell>
        </row>
        <row r="98">
          <cell r="F98" t="str">
            <v>Pilot Power Group, Inc. - 3016</v>
          </cell>
        </row>
        <row r="99">
          <cell r="F99" t="str">
            <v>Pittsburg Power Company dba Island Energy - EPE - 5024</v>
          </cell>
        </row>
        <row r="100">
          <cell r="F100" t="str">
            <v>Plumas-Sierra REC - 3100</v>
          </cell>
        </row>
        <row r="101">
          <cell r="F101" t="str">
            <v>Port of Oakland - 3051</v>
          </cell>
        </row>
        <row r="102">
          <cell r="F102" t="str">
            <v>Port of Stockton, 95203 - 3052</v>
          </cell>
        </row>
        <row r="103">
          <cell r="F103" t="str">
            <v>Portland General Electric Company - 2127</v>
          </cell>
        </row>
        <row r="104">
          <cell r="F104" t="str">
            <v>Power and Water Resources Pooling Authority (PWRPA) - 3053</v>
          </cell>
        </row>
        <row r="105">
          <cell r="F105" t="str">
            <v>Powerex Corp - AO/CS - 3101</v>
          </cell>
        </row>
        <row r="106">
          <cell r="F106" t="str">
            <v>Powerex Corp. - Marketer - 2243</v>
          </cell>
        </row>
        <row r="107">
          <cell r="F107" t="str">
            <v>Puget Sound Energy - 104462</v>
          </cell>
        </row>
        <row r="108">
          <cell r="F108" t="str">
            <v>Rainbow Energy Marketing Corporation (REMC) - 104203</v>
          </cell>
        </row>
        <row r="109">
          <cell r="F109" t="str">
            <v>Rancho Cucamonga Municipal Utility - 3054</v>
          </cell>
        </row>
        <row r="110">
          <cell r="F110" t="str">
            <v>Redding Electric Utility - 3055</v>
          </cell>
        </row>
        <row r="111">
          <cell r="F111" t="str">
            <v>Roseville Electric - 3057</v>
          </cell>
        </row>
        <row r="112">
          <cell r="F112" t="str">
            <v>Sacramento Municipal Utility District (SMUD) - Electric Power Entity - 3058</v>
          </cell>
        </row>
        <row r="113">
          <cell r="F113" t="str">
            <v>Salt River Project - 104461</v>
          </cell>
        </row>
        <row r="114">
          <cell r="F114" t="str">
            <v>San Diego Gas &amp; Electric (SDG&amp;E) - Electric Power Entity - 3004</v>
          </cell>
        </row>
        <row r="115">
          <cell r="F115" t="str">
            <v>San Francisco Hetch Hetchy Water and Power, CCSF - 3028</v>
          </cell>
        </row>
        <row r="116">
          <cell r="F116" t="str">
            <v>Sempra Generation - 2060</v>
          </cell>
        </row>
        <row r="117">
          <cell r="F117" t="str">
            <v>Shell Energy North America (US), L.P. - 3081</v>
          </cell>
        </row>
        <row r="118">
          <cell r="F118" t="str">
            <v>Sierra Pacific Power Company (dba NV Energy) - Marketer - 2438</v>
          </cell>
        </row>
        <row r="119">
          <cell r="F119" t="str">
            <v>Silicon Valley Power (SVP), City of Santa Clara - 3061</v>
          </cell>
        </row>
        <row r="120">
          <cell r="F120" t="str">
            <v>Sonoma Clean Power (SCP) - 104537</v>
          </cell>
        </row>
        <row r="121">
          <cell r="F121" t="str">
            <v>Southern California Edison (SCE) - Electric Power Entity - 3005</v>
          </cell>
        </row>
        <row r="122">
          <cell r="F122" t="str">
            <v>Surprise Valley Electrification Corp. - 104579</v>
          </cell>
        </row>
        <row r="123">
          <cell r="F123" t="str">
            <v>Tenaska Power Services Co. - 104194</v>
          </cell>
        </row>
        <row r="124">
          <cell r="F124" t="str">
            <v>Terra-Gen Dixie Valley, LLC - 2427</v>
          </cell>
        </row>
        <row r="125">
          <cell r="F125" t="str">
            <v>The Energy Authority, Inc. - 2278</v>
          </cell>
        </row>
        <row r="126">
          <cell r="F126" t="str">
            <v>Tiger Natural Gas , Inc. - 5047</v>
          </cell>
        </row>
        <row r="127">
          <cell r="F127" t="str">
            <v>TransAlta Energy Marketing (US), Inc. - 2312</v>
          </cell>
        </row>
        <row r="128">
          <cell r="F128" t="str">
            <v>TransCanada Energy Sales Ltd. - 104230</v>
          </cell>
        </row>
        <row r="129">
          <cell r="F129" t="str">
            <v>Truckee Donner Public Utilities District - 3063</v>
          </cell>
        </row>
        <row r="130">
          <cell r="F130" t="str">
            <v>Turlock Irrigation District (TID) - 3064</v>
          </cell>
        </row>
        <row r="131">
          <cell r="F131" t="str">
            <v>Twin Eagle Resource Management, LLC - 104515</v>
          </cell>
        </row>
        <row r="132">
          <cell r="F132" t="str">
            <v>University of California, Office of the President - EPE - 104518</v>
          </cell>
        </row>
        <row r="133">
          <cell r="F133" t="str">
            <v>Valley Electric Association - 104510</v>
          </cell>
        </row>
        <row r="134">
          <cell r="F134" t="str">
            <v>Victorville Municipal Utility Services - 3067</v>
          </cell>
        </row>
        <row r="135">
          <cell r="F135" t="str">
            <v>Vitol Inc. - EPE - 104467</v>
          </cell>
        </row>
        <row r="136">
          <cell r="F136" t="str">
            <v>WAPA - Desert Southwest Region - 3078</v>
          </cell>
        </row>
        <row r="137">
          <cell r="F137" t="str">
            <v>WAPA - Sierra Nevada Region - 3079</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Unspec Imports"/>
      <sheetName val="Spec Imports"/>
      <sheetName val="RPS Adjust"/>
      <sheetName val="REC Serial"/>
      <sheetName val="QE Adjust"/>
      <sheetName val="Unspec Exports"/>
      <sheetName val="Spec Exports"/>
      <sheetName val="Wheeled"/>
      <sheetName val="Facility Reg Info"/>
      <sheetName val="POR.POD"/>
      <sheetName val="2013 EFs"/>
      <sheetName val="Other 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A2" t="str">
            <v>AB.BC</v>
          </cell>
        </row>
        <row r="3">
          <cell r="A3" t="str">
            <v>AB.MT.MATL</v>
          </cell>
        </row>
        <row r="4">
          <cell r="A4" t="str">
            <v>AB.SK.MC</v>
          </cell>
        </row>
        <row r="5">
          <cell r="A5" t="str">
            <v>AB.system</v>
          </cell>
        </row>
        <row r="6">
          <cell r="A6" t="str">
            <v>ABITIBI69</v>
          </cell>
        </row>
        <row r="7">
          <cell r="A7" t="str">
            <v>ABQ</v>
          </cell>
        </row>
        <row r="8">
          <cell r="A8" t="str">
            <v>ADAMS115</v>
          </cell>
        </row>
        <row r="9">
          <cell r="A9" t="str">
            <v>ADL</v>
          </cell>
        </row>
        <row r="10">
          <cell r="A10" t="str">
            <v>AFTON345</v>
          </cell>
        </row>
        <row r="11">
          <cell r="A11" t="str">
            <v>AFTS</v>
          </cell>
        </row>
        <row r="12">
          <cell r="A12" t="str">
            <v>AIR230</v>
          </cell>
        </row>
        <row r="13">
          <cell r="A13" t="str">
            <v>AIRPORT115</v>
          </cell>
        </row>
        <row r="14">
          <cell r="A14" t="str">
            <v>AIRWAY</v>
          </cell>
        </row>
        <row r="15">
          <cell r="A15" t="str">
            <v>ALAMOGORDO115</v>
          </cell>
        </row>
        <row r="16">
          <cell r="A16" t="str">
            <v>ALAMOGRDO115</v>
          </cell>
        </row>
        <row r="17">
          <cell r="A17" t="str">
            <v>Albany12Pac</v>
          </cell>
        </row>
        <row r="18">
          <cell r="A18" t="str">
            <v>ALCOAIntalco</v>
          </cell>
        </row>
        <row r="19">
          <cell r="A19" t="str">
            <v>ALCOATroutdl</v>
          </cell>
        </row>
        <row r="20">
          <cell r="A20" t="str">
            <v>ALCOAWenatch</v>
          </cell>
        </row>
        <row r="21">
          <cell r="A21" t="str">
            <v>ALEXANDER230</v>
          </cell>
        </row>
        <row r="22">
          <cell r="A22" t="str">
            <v>ALGO</v>
          </cell>
        </row>
        <row r="23">
          <cell r="A23" t="str">
            <v>ALIQUIDE449</v>
          </cell>
        </row>
        <row r="24">
          <cell r="A24" t="str">
            <v>Allston</v>
          </cell>
        </row>
        <row r="25">
          <cell r="A25" t="str">
            <v>AMBROSIA230</v>
          </cell>
        </row>
        <row r="26">
          <cell r="A26" t="str">
            <v>AMES</v>
          </cell>
        </row>
        <row r="27">
          <cell r="A27" t="str">
            <v>AMRAD115</v>
          </cell>
        </row>
        <row r="28">
          <cell r="A28" t="str">
            <v>AMRAD345</v>
          </cell>
        </row>
        <row r="29">
          <cell r="A29" t="str">
            <v>ANDK</v>
          </cell>
        </row>
        <row r="30">
          <cell r="A30" t="str">
            <v>ANTE</v>
          </cell>
        </row>
        <row r="31">
          <cell r="A31" t="str">
            <v>ANTELOPE</v>
          </cell>
        </row>
        <row r="32">
          <cell r="A32" t="str">
            <v>APACHE115</v>
          </cell>
        </row>
        <row r="33">
          <cell r="A33" t="str">
            <v>APACHE230</v>
          </cell>
        </row>
        <row r="34">
          <cell r="A34" t="str">
            <v>APRODUCTS449</v>
          </cell>
        </row>
        <row r="35">
          <cell r="A35" t="str">
            <v>ARH</v>
          </cell>
        </row>
        <row r="36">
          <cell r="A36" t="str">
            <v>ArlngtnWind</v>
          </cell>
        </row>
        <row r="37">
          <cell r="A37" t="str">
            <v>ArlngtnWinLD</v>
          </cell>
        </row>
        <row r="38">
          <cell r="A38" t="str">
            <v>ARTESIA345</v>
          </cell>
        </row>
        <row r="39">
          <cell r="A39" t="str">
            <v>ATL</v>
          </cell>
        </row>
        <row r="40">
          <cell r="A40" t="str">
            <v>Atofina</v>
          </cell>
        </row>
        <row r="41">
          <cell r="A41" t="str">
            <v>AU</v>
          </cell>
        </row>
        <row r="42">
          <cell r="A42" t="str">
            <v>AU115</v>
          </cell>
        </row>
        <row r="43">
          <cell r="A43" t="str">
            <v>AVA.BPAT</v>
          </cell>
        </row>
        <row r="44">
          <cell r="A44" t="str">
            <v>AVA.SYS</v>
          </cell>
        </row>
        <row r="45">
          <cell r="A45" t="str">
            <v>AVAPUD</v>
          </cell>
        </row>
        <row r="46">
          <cell r="A46" t="str">
            <v>AVAREMOTELD</v>
          </cell>
        </row>
        <row r="47">
          <cell r="A47" t="str">
            <v>AVAT.NWMT</v>
          </cell>
        </row>
        <row r="48">
          <cell r="A48" t="str">
            <v>AXBA</v>
          </cell>
        </row>
        <row r="49">
          <cell r="A49" t="str">
            <v>BANC.System</v>
          </cell>
        </row>
        <row r="50">
          <cell r="A50" t="str">
            <v>BANCSYS</v>
          </cell>
        </row>
        <row r="51">
          <cell r="A51" t="str">
            <v>BandonPac</v>
          </cell>
        </row>
        <row r="52">
          <cell r="A52" t="str">
            <v>BANNACK</v>
          </cell>
        </row>
        <row r="53">
          <cell r="A53" t="str">
            <v>BARR</v>
          </cell>
        </row>
        <row r="54">
          <cell r="A54" t="str">
            <v>BC.US.BORDER</v>
          </cell>
        </row>
        <row r="55">
          <cell r="A55" t="str">
            <v>BCHA.INT.SYS</v>
          </cell>
        </row>
        <row r="56">
          <cell r="A56" t="str">
            <v>BCHA.INTERNL</v>
          </cell>
        </row>
        <row r="57">
          <cell r="A57" t="str">
            <v>BCHA.LM.SYS</v>
          </cell>
        </row>
        <row r="58">
          <cell r="A58" t="str">
            <v>BCHA.LOSSES</v>
          </cell>
        </row>
        <row r="59">
          <cell r="A59" t="str">
            <v>BCHA.NTWK.LD</v>
          </cell>
        </row>
        <row r="60">
          <cell r="A60" t="str">
            <v>BCHA.SEL.LD</v>
          </cell>
        </row>
        <row r="61">
          <cell r="A61" t="str">
            <v>BCS.ORCH449</v>
          </cell>
        </row>
        <row r="62">
          <cell r="A62" t="str">
            <v>BCS.ROED449</v>
          </cell>
        </row>
        <row r="63">
          <cell r="A63" t="str">
            <v>BCSYS</v>
          </cell>
        </row>
        <row r="64">
          <cell r="A64" t="str">
            <v>BEAST</v>
          </cell>
        </row>
        <row r="65">
          <cell r="A65" t="str">
            <v>BELN</v>
          </cell>
        </row>
        <row r="66">
          <cell r="A66" t="str">
            <v>Benton</v>
          </cell>
        </row>
        <row r="67">
          <cell r="A67" t="str">
            <v>BentonREA</v>
          </cell>
        </row>
        <row r="68">
          <cell r="A68" t="str">
            <v>BERGIN115</v>
          </cell>
        </row>
        <row r="69">
          <cell r="A69" t="str">
            <v>Bethel</v>
          </cell>
        </row>
        <row r="70">
          <cell r="A70" t="str">
            <v>BeverlyPark</v>
          </cell>
        </row>
        <row r="71">
          <cell r="A71" t="str">
            <v>BHCE</v>
          </cell>
        </row>
        <row r="72">
          <cell r="A72" t="str">
            <v>BICKNELL230</v>
          </cell>
        </row>
        <row r="73">
          <cell r="A73" t="str">
            <v>BIGBEND</v>
          </cell>
        </row>
        <row r="74">
          <cell r="A74" t="str">
            <v>BigEddy</v>
          </cell>
        </row>
        <row r="75">
          <cell r="A75" t="str">
            <v>BigFork</v>
          </cell>
        </row>
        <row r="76">
          <cell r="A76" t="str">
            <v>BigHorn2</v>
          </cell>
        </row>
        <row r="77">
          <cell r="A77" t="str">
            <v>Biglow</v>
          </cell>
        </row>
        <row r="78">
          <cell r="A78" t="str">
            <v>BiglowLD</v>
          </cell>
        </row>
        <row r="79">
          <cell r="A79" t="str">
            <v>BKB</v>
          </cell>
        </row>
        <row r="80">
          <cell r="A80" t="str">
            <v>BLACKMESA230</v>
          </cell>
        </row>
        <row r="81">
          <cell r="A81" t="str">
            <v>BLAINE</v>
          </cell>
        </row>
        <row r="82">
          <cell r="A82" t="str">
            <v>BLLK</v>
          </cell>
        </row>
        <row r="83">
          <cell r="A83" t="str">
            <v>BLUE</v>
          </cell>
        </row>
        <row r="84">
          <cell r="A84" t="str">
            <v>BLY1_KNB1</v>
          </cell>
        </row>
        <row r="85">
          <cell r="A85" t="str">
            <v>BLY2_KNB2</v>
          </cell>
        </row>
        <row r="86">
          <cell r="A86" t="str">
            <v>BLYTHE161</v>
          </cell>
        </row>
        <row r="87">
          <cell r="A87" t="str">
            <v>BMGS</v>
          </cell>
        </row>
        <row r="88">
          <cell r="A88" t="str">
            <v>BMPR</v>
          </cell>
        </row>
        <row r="89">
          <cell r="A89" t="str">
            <v>Boardman</v>
          </cell>
        </row>
        <row r="90">
          <cell r="A90" t="str">
            <v>Boardman115</v>
          </cell>
        </row>
        <row r="91">
          <cell r="A91" t="str">
            <v>BODO</v>
          </cell>
        </row>
        <row r="92">
          <cell r="A92" t="str">
            <v>BOEING449</v>
          </cell>
        </row>
        <row r="93">
          <cell r="A93" t="str">
            <v>BONNEYBRO115</v>
          </cell>
        </row>
        <row r="94">
          <cell r="A94" t="str">
            <v>BOON</v>
          </cell>
        </row>
        <row r="95">
          <cell r="A95" t="str">
            <v>BORA</v>
          </cell>
        </row>
        <row r="96">
          <cell r="A96" t="str">
            <v>Boundary</v>
          </cell>
        </row>
        <row r="97">
          <cell r="A97" t="str">
            <v>BOYD</v>
          </cell>
        </row>
        <row r="98">
          <cell r="A98" t="str">
            <v>BOZ</v>
          </cell>
        </row>
        <row r="99">
          <cell r="A99" t="str">
            <v>BPAGEN</v>
          </cell>
        </row>
        <row r="100">
          <cell r="A100" t="str">
            <v>BPAPower</v>
          </cell>
        </row>
        <row r="101">
          <cell r="A101" t="str">
            <v>BPAPUNSCHD</v>
          </cell>
        </row>
        <row r="102">
          <cell r="A102" t="str">
            <v>BPASID</v>
          </cell>
        </row>
        <row r="103">
          <cell r="A103" t="str">
            <v>BPAT.CHPD</v>
          </cell>
        </row>
        <row r="104">
          <cell r="A104" t="str">
            <v>BPAT.DOPD</v>
          </cell>
        </row>
        <row r="105">
          <cell r="A105" t="str">
            <v>BPAT.GCPD</v>
          </cell>
        </row>
        <row r="106">
          <cell r="A106" t="str">
            <v>BPAT.NWMT</v>
          </cell>
        </row>
        <row r="107">
          <cell r="A107" t="str">
            <v>BPAT.PACW</v>
          </cell>
        </row>
        <row r="108">
          <cell r="A108" t="str">
            <v>BPAT.PGE</v>
          </cell>
        </row>
        <row r="109">
          <cell r="A109" t="str">
            <v>BPAT.PSEI</v>
          </cell>
        </row>
        <row r="110">
          <cell r="A110" t="str">
            <v>BPAT.SCL</v>
          </cell>
        </row>
        <row r="111">
          <cell r="A111" t="str">
            <v>BPAT.TPU</v>
          </cell>
        </row>
        <row r="112">
          <cell r="A112" t="str">
            <v>BPAT_Test</v>
          </cell>
        </row>
        <row r="113">
          <cell r="A113" t="str">
            <v>BPAT-CA-DEFAULT</v>
          </cell>
        </row>
        <row r="114">
          <cell r="A114" t="str">
            <v>BPATPUD</v>
          </cell>
        </row>
        <row r="115">
          <cell r="A115" t="str">
            <v>BPATRes</v>
          </cell>
        </row>
        <row r="116">
          <cell r="A116" t="str">
            <v>BPCherryPt</v>
          </cell>
        </row>
        <row r="117">
          <cell r="A117" t="str">
            <v>BPREFINRY449</v>
          </cell>
        </row>
        <row r="118">
          <cell r="A118" t="str">
            <v>BRAW1</v>
          </cell>
        </row>
        <row r="119">
          <cell r="A119" t="str">
            <v>BRDY</v>
          </cell>
        </row>
        <row r="120">
          <cell r="A120" t="str">
            <v>BROADVIEW</v>
          </cell>
        </row>
        <row r="121">
          <cell r="A121" t="str">
            <v>BRSS</v>
          </cell>
        </row>
        <row r="122">
          <cell r="A122" t="str">
            <v>BRVD</v>
          </cell>
        </row>
        <row r="123">
          <cell r="A123" t="str">
            <v>BSAN</v>
          </cell>
        </row>
        <row r="124">
          <cell r="A124" t="str">
            <v>BTHD</v>
          </cell>
        </row>
        <row r="125">
          <cell r="A125" t="str">
            <v>BUCKEYE230</v>
          </cell>
        </row>
        <row r="126">
          <cell r="A126" t="str">
            <v>BURBSYSTEM</v>
          </cell>
        </row>
        <row r="127">
          <cell r="A127" t="str">
            <v>BURL</v>
          </cell>
        </row>
        <row r="128">
          <cell r="A128" t="str">
            <v>BW230</v>
          </cell>
        </row>
        <row r="129">
          <cell r="A129" t="str">
            <v>BWAT</v>
          </cell>
        </row>
        <row r="130">
          <cell r="A130" t="str">
            <v>CABA</v>
          </cell>
        </row>
        <row r="131">
          <cell r="A131" t="str">
            <v>CALRIDGE</v>
          </cell>
        </row>
        <row r="132">
          <cell r="A132" t="str">
            <v>CANYONFERRY</v>
          </cell>
        </row>
        <row r="133">
          <cell r="A133" t="str">
            <v>CaptainJack</v>
          </cell>
        </row>
        <row r="134">
          <cell r="A134" t="str">
            <v>CARRDRAW</v>
          </cell>
        </row>
        <row r="135">
          <cell r="A135" t="str">
            <v>CASCADE</v>
          </cell>
        </row>
        <row r="136">
          <cell r="A136" t="str">
            <v>CCI</v>
          </cell>
        </row>
        <row r="137">
          <cell r="A137" t="str">
            <v>CCSF.SYSTEM</v>
          </cell>
        </row>
        <row r="138">
          <cell r="A138" t="str">
            <v>CCW</v>
          </cell>
        </row>
        <row r="139">
          <cell r="A139" t="str">
            <v>CDEL</v>
          </cell>
        </row>
        <row r="140">
          <cell r="A140" t="str">
            <v>CEDAR</v>
          </cell>
        </row>
        <row r="141">
          <cell r="A141" t="str">
            <v>CEDARFALLGEN</v>
          </cell>
        </row>
        <row r="142">
          <cell r="A142" t="str">
            <v>CEDARMTN500</v>
          </cell>
        </row>
        <row r="143">
          <cell r="A143" t="str">
            <v>Central</v>
          </cell>
        </row>
        <row r="144">
          <cell r="A144" t="str">
            <v>Centralia</v>
          </cell>
        </row>
        <row r="145">
          <cell r="A145" t="str">
            <v>CentraliaBR</v>
          </cell>
        </row>
        <row r="146">
          <cell r="A146" t="str">
            <v>CENTRALIACTY</v>
          </cell>
        </row>
        <row r="147">
          <cell r="A147" t="str">
            <v>CentraliaLD</v>
          </cell>
        </row>
        <row r="148">
          <cell r="A148" t="str">
            <v>CENTRALLINCN</v>
          </cell>
        </row>
        <row r="149">
          <cell r="A149" t="str">
            <v>CFEROA</v>
          </cell>
        </row>
        <row r="150">
          <cell r="A150" t="str">
            <v>CFETIJ</v>
          </cell>
        </row>
        <row r="151">
          <cell r="A151" t="str">
            <v>CGUL</v>
          </cell>
        </row>
        <row r="152">
          <cell r="A152" t="str">
            <v>CHAR</v>
          </cell>
        </row>
        <row r="153">
          <cell r="A153" t="str">
            <v>ChehalisPrLD</v>
          </cell>
        </row>
        <row r="154">
          <cell r="A154" t="str">
            <v>ChehalisPwr</v>
          </cell>
        </row>
        <row r="155">
          <cell r="A155" t="str">
            <v>CHELAN.AVA</v>
          </cell>
        </row>
        <row r="156">
          <cell r="A156" t="str">
            <v>CHOLLA230</v>
          </cell>
        </row>
        <row r="157">
          <cell r="A157" t="str">
            <v>CHOLLA345</v>
          </cell>
        </row>
        <row r="158">
          <cell r="A158" t="str">
            <v>CHOLLA500</v>
          </cell>
        </row>
        <row r="159">
          <cell r="A159" t="str">
            <v>CHOLLA69</v>
          </cell>
        </row>
        <row r="160">
          <cell r="A160" t="str">
            <v>CHPD</v>
          </cell>
        </row>
        <row r="161">
          <cell r="A161" t="str">
            <v>Clallam</v>
          </cell>
        </row>
        <row r="162">
          <cell r="A162" t="str">
            <v>CLAP</v>
          </cell>
        </row>
        <row r="163">
          <cell r="A163" t="str">
            <v>Clark</v>
          </cell>
        </row>
        <row r="164">
          <cell r="A164" t="str">
            <v>Clatskanie</v>
          </cell>
        </row>
        <row r="165">
          <cell r="A165" t="str">
            <v>CLAY</v>
          </cell>
        </row>
        <row r="166">
          <cell r="A166" t="str">
            <v>CLGN</v>
          </cell>
        </row>
        <row r="167">
          <cell r="A167" t="str">
            <v>CLYMER</v>
          </cell>
        </row>
        <row r="168">
          <cell r="A168" t="str">
            <v>COACH2</v>
          </cell>
        </row>
        <row r="169">
          <cell r="A169" t="str">
            <v>COBH</v>
          </cell>
        </row>
        <row r="170">
          <cell r="A170" t="str">
            <v>CoffinButte2</v>
          </cell>
        </row>
        <row r="171">
          <cell r="A171" t="str">
            <v>CO-GREEN</v>
          </cell>
        </row>
        <row r="172">
          <cell r="A172" t="str">
            <v>COL</v>
          </cell>
        </row>
        <row r="173">
          <cell r="A173" t="str">
            <v>ColFallsAlum</v>
          </cell>
        </row>
        <row r="174">
          <cell r="A174" t="str">
            <v>COLL</v>
          </cell>
        </row>
        <row r="175">
          <cell r="A175" t="str">
            <v>ColRidge</v>
          </cell>
        </row>
        <row r="176">
          <cell r="A176" t="str">
            <v>COLSTRIP</v>
          </cell>
        </row>
        <row r="177">
          <cell r="A177" t="str">
            <v>Columbia230</v>
          </cell>
        </row>
        <row r="178">
          <cell r="A178" t="str">
            <v>COLUMBIAREA</v>
          </cell>
        </row>
        <row r="179">
          <cell r="A179" t="str">
            <v>COMA</v>
          </cell>
        </row>
        <row r="180">
          <cell r="A180" t="str">
            <v>COMBINEHILLS</v>
          </cell>
        </row>
        <row r="181">
          <cell r="A181" t="str">
            <v>CondonWind</v>
          </cell>
        </row>
        <row r="182">
          <cell r="A182" t="str">
            <v>CONT.NW449</v>
          </cell>
        </row>
        <row r="183">
          <cell r="A183" t="str">
            <v>COOLIDGE</v>
          </cell>
        </row>
        <row r="184">
          <cell r="A184" t="str">
            <v>COOSPAC</v>
          </cell>
        </row>
        <row r="185">
          <cell r="A185" t="str">
            <v>COPPER230</v>
          </cell>
        </row>
        <row r="186">
          <cell r="A186" t="str">
            <v>CORONADO500</v>
          </cell>
        </row>
        <row r="187">
          <cell r="A187" t="str">
            <v>CORONADO69</v>
          </cell>
        </row>
        <row r="188">
          <cell r="A188" t="str">
            <v>Cowlitz</v>
          </cell>
        </row>
        <row r="189">
          <cell r="A189" t="str">
            <v>COYOTE115</v>
          </cell>
        </row>
        <row r="190">
          <cell r="A190" t="str">
            <v>CoyoteSprng1</v>
          </cell>
        </row>
        <row r="191">
          <cell r="A191" t="str">
            <v>CoyoteSprng2</v>
          </cell>
        </row>
        <row r="192">
          <cell r="A192" t="str">
            <v>COYSPR</v>
          </cell>
        </row>
        <row r="193">
          <cell r="A193" t="str">
            <v>CRAG</v>
          </cell>
        </row>
        <row r="194">
          <cell r="A194" t="str">
            <v>CRCSYS</v>
          </cell>
        </row>
        <row r="195">
          <cell r="A195" t="str">
            <v>CRG</v>
          </cell>
        </row>
        <row r="196">
          <cell r="A196" t="str">
            <v>CRGBUS5</v>
          </cell>
        </row>
        <row r="197">
          <cell r="A197" t="str">
            <v>Crossover</v>
          </cell>
        </row>
        <row r="198">
          <cell r="A198" t="str">
            <v>CRYSTAL500</v>
          </cell>
        </row>
        <row r="199">
          <cell r="A199" t="str">
            <v>CSPPGEN</v>
          </cell>
        </row>
        <row r="200">
          <cell r="A200" t="str">
            <v>CSUSYSTEM</v>
          </cell>
        </row>
        <row r="201">
          <cell r="A201" t="str">
            <v>CTW230</v>
          </cell>
        </row>
        <row r="202">
          <cell r="A202" t="str">
            <v>CVPGen</v>
          </cell>
        </row>
        <row r="203">
          <cell r="A203" t="str">
            <v>DALREED</v>
          </cell>
        </row>
        <row r="204">
          <cell r="A204" t="str">
            <v>DAVIS230</v>
          </cell>
        </row>
        <row r="205">
          <cell r="A205" t="str">
            <v>DEAA</v>
          </cell>
        </row>
        <row r="206">
          <cell r="A206" t="str">
            <v>DEER_CREEK</v>
          </cell>
        </row>
        <row r="207">
          <cell r="A207" t="str">
            <v>DELTA</v>
          </cell>
        </row>
        <row r="208">
          <cell r="A208" t="str">
            <v>DeMoss</v>
          </cell>
        </row>
        <row r="209">
          <cell r="A209" t="str">
            <v>DemossPac</v>
          </cell>
        </row>
        <row r="210">
          <cell r="A210" t="str">
            <v>DESERTBASIN</v>
          </cell>
        </row>
        <row r="211">
          <cell r="A211" t="str">
            <v>DESPWR</v>
          </cell>
        </row>
        <row r="212">
          <cell r="A212" t="str">
            <v>DEVERS230</v>
          </cell>
        </row>
        <row r="213">
          <cell r="A213" t="str">
            <v>DEVERS500</v>
          </cell>
        </row>
        <row r="214">
          <cell r="A214" t="str">
            <v>DISCBAY</v>
          </cell>
        </row>
        <row r="215">
          <cell r="A215" t="str">
            <v>DJ</v>
          </cell>
        </row>
        <row r="216">
          <cell r="A216" t="str">
            <v>DONAANA115</v>
          </cell>
        </row>
        <row r="217">
          <cell r="A217" t="str">
            <v>DOPD.CHPD</v>
          </cell>
        </row>
        <row r="218">
          <cell r="A218" t="str">
            <v>DOSCONDAD230</v>
          </cell>
        </row>
        <row r="219">
          <cell r="A219" t="str">
            <v>DRNCH</v>
          </cell>
        </row>
        <row r="220">
          <cell r="A220" t="str">
            <v>DRYCREEK</v>
          </cell>
        </row>
        <row r="221">
          <cell r="A221" t="str">
            <v>DRYFORK</v>
          </cell>
        </row>
        <row r="222">
          <cell r="A222" t="str">
            <v>DRYLAKEEAST</v>
          </cell>
        </row>
        <row r="223">
          <cell r="A223" t="str">
            <v>DRYLAKEWEST</v>
          </cell>
        </row>
        <row r="224">
          <cell r="A224" t="str">
            <v>DS2</v>
          </cell>
        </row>
        <row r="225">
          <cell r="A225" t="str">
            <v>DURA</v>
          </cell>
        </row>
        <row r="226">
          <cell r="A226" t="str">
            <v>EAST</v>
          </cell>
        </row>
        <row r="227">
          <cell r="A227" t="str">
            <v>EASTGEN</v>
          </cell>
        </row>
        <row r="228">
          <cell r="A228" t="str">
            <v>ECSS</v>
          </cell>
        </row>
        <row r="229">
          <cell r="A229" t="str">
            <v>EDDY230</v>
          </cell>
        </row>
        <row r="230">
          <cell r="A230" t="str">
            <v>EDDY345</v>
          </cell>
        </row>
        <row r="231">
          <cell r="A231" t="str">
            <v>EE1</v>
          </cell>
        </row>
        <row r="232">
          <cell r="A232" t="str">
            <v>EE2</v>
          </cell>
        </row>
        <row r="233">
          <cell r="A233" t="str">
            <v>EGAluminum</v>
          </cell>
        </row>
        <row r="234">
          <cell r="A234" t="str">
            <v>EIPOD</v>
          </cell>
        </row>
        <row r="235">
          <cell r="A235" t="str">
            <v>EIPOR</v>
          </cell>
        </row>
        <row r="236">
          <cell r="A236" t="str">
            <v>ELBU</v>
          </cell>
        </row>
        <row r="237">
          <cell r="A237" t="str">
            <v>ELD230SYS</v>
          </cell>
        </row>
        <row r="238">
          <cell r="A238" t="str">
            <v>ELD500SYS</v>
          </cell>
        </row>
        <row r="239">
          <cell r="A239" t="str">
            <v>ELDORADO230</v>
          </cell>
        </row>
        <row r="240">
          <cell r="A240" t="str">
            <v>ELDORADO500</v>
          </cell>
        </row>
        <row r="241">
          <cell r="A241" t="str">
            <v>Ellensburg</v>
          </cell>
        </row>
        <row r="242">
          <cell r="A242" t="str">
            <v>ELM</v>
          </cell>
        </row>
        <row r="243">
          <cell r="A243" t="str">
            <v>ELPA</v>
          </cell>
        </row>
        <row r="244">
          <cell r="A244" t="str">
            <v>ELV230</v>
          </cell>
        </row>
        <row r="245">
          <cell r="A245" t="str">
            <v>Emerald</v>
          </cell>
        </row>
        <row r="246">
          <cell r="A246" t="str">
            <v>EnergyNW</v>
          </cell>
        </row>
        <row r="247">
          <cell r="A247" t="str">
            <v>ENPR</v>
          </cell>
        </row>
        <row r="248">
          <cell r="A248" t="str">
            <v>ENPRISE.PUMP</v>
          </cell>
        </row>
        <row r="249">
          <cell r="A249" t="str">
            <v>EPE</v>
          </cell>
        </row>
        <row r="250">
          <cell r="A250" t="str">
            <v>EPE.CFE.JREZ</v>
          </cell>
        </row>
        <row r="251">
          <cell r="A251" t="str">
            <v>EPE.LOCALGEN</v>
          </cell>
        </row>
        <row r="252">
          <cell r="A252" t="str">
            <v>EPE.RESLOAD</v>
          </cell>
        </row>
        <row r="253">
          <cell r="A253" t="str">
            <v>EQUILON449</v>
          </cell>
        </row>
        <row r="254">
          <cell r="A254" t="str">
            <v>ETA115</v>
          </cell>
        </row>
        <row r="255">
          <cell r="A255" t="str">
            <v>EWEB</v>
          </cell>
        </row>
        <row r="256">
          <cell r="A256" t="str">
            <v>FALLRIVER</v>
          </cell>
        </row>
        <row r="257">
          <cell r="A257" t="str">
            <v>FBC.LAM.LD</v>
          </cell>
        </row>
        <row r="258">
          <cell r="A258" t="str">
            <v>FBC.OK.LD</v>
          </cell>
        </row>
        <row r="259">
          <cell r="A259" t="str">
            <v>FBC.PRI.LD</v>
          </cell>
        </row>
        <row r="260">
          <cell r="A260" t="str">
            <v>FERNDAL.PUMP</v>
          </cell>
        </row>
        <row r="261">
          <cell r="A261" t="str">
            <v>FGE</v>
          </cell>
        </row>
        <row r="262">
          <cell r="A262" t="str">
            <v>FinleyGen</v>
          </cell>
        </row>
        <row r="263">
          <cell r="A263" t="str">
            <v>FIY230</v>
          </cell>
        </row>
        <row r="264">
          <cell r="A264" t="str">
            <v>Flathead</v>
          </cell>
        </row>
        <row r="265">
          <cell r="A265" t="str">
            <v>FLN230</v>
          </cell>
        </row>
        <row r="266">
          <cell r="A266" t="str">
            <v>FLUP</v>
          </cell>
        </row>
        <row r="267">
          <cell r="A267" t="str">
            <v>FOL230</v>
          </cell>
        </row>
        <row r="268">
          <cell r="A268" t="str">
            <v>FON</v>
          </cell>
        </row>
        <row r="269">
          <cell r="A269" t="str">
            <v>ForestGrove</v>
          </cell>
        </row>
        <row r="270">
          <cell r="A270" t="str">
            <v>FOURCORNE230</v>
          </cell>
        </row>
        <row r="271">
          <cell r="A271" t="str">
            <v>FOURCORNE345</v>
          </cell>
        </row>
        <row r="272">
          <cell r="A272" t="str">
            <v>FOURCORNE500</v>
          </cell>
        </row>
        <row r="273">
          <cell r="A273" t="str">
            <v>FOURCORNE69</v>
          </cell>
        </row>
        <row r="274">
          <cell r="A274" t="str">
            <v>Franklin</v>
          </cell>
        </row>
        <row r="275">
          <cell r="A275" t="str">
            <v>FredricksoLD</v>
          </cell>
        </row>
        <row r="276">
          <cell r="A276" t="str">
            <v>Fredrickson</v>
          </cell>
        </row>
        <row r="277">
          <cell r="A277" t="str">
            <v>FrkPasGen</v>
          </cell>
        </row>
        <row r="278">
          <cell r="A278" t="str">
            <v>FULLER</v>
          </cell>
        </row>
        <row r="279">
          <cell r="A279" t="str">
            <v>FULLER115</v>
          </cell>
        </row>
        <row r="280">
          <cell r="A280" t="str">
            <v>FVAL</v>
          </cell>
        </row>
        <row r="281">
          <cell r="A281" t="str">
            <v>FWNP</v>
          </cell>
        </row>
        <row r="282">
          <cell r="A282" t="str">
            <v>GALLEGOS115</v>
          </cell>
        </row>
        <row r="283">
          <cell r="A283" t="str">
            <v>GALLUP1</v>
          </cell>
        </row>
        <row r="284">
          <cell r="A284" t="str">
            <v>GAR230NWMT</v>
          </cell>
        </row>
        <row r="285">
          <cell r="A285" t="str">
            <v>Garrison</v>
          </cell>
        </row>
        <row r="286">
          <cell r="A286" t="str">
            <v>GAVILANPK230</v>
          </cell>
        </row>
        <row r="287">
          <cell r="A287" t="str">
            <v>GCPD</v>
          </cell>
        </row>
        <row r="288">
          <cell r="A288" t="str">
            <v>GCPD.RoadM</v>
          </cell>
        </row>
        <row r="289">
          <cell r="A289" t="str">
            <v>GCPHA</v>
          </cell>
        </row>
        <row r="290">
          <cell r="A290" t="str">
            <v>GENE</v>
          </cell>
        </row>
        <row r="291">
          <cell r="A291" t="str">
            <v>GHPUD</v>
          </cell>
        </row>
        <row r="292">
          <cell r="A292" t="str">
            <v>GILA161</v>
          </cell>
        </row>
        <row r="293">
          <cell r="A293" t="str">
            <v>GILA230</v>
          </cell>
        </row>
        <row r="294">
          <cell r="A294" t="str">
            <v>GILA69</v>
          </cell>
        </row>
        <row r="295">
          <cell r="A295" t="str">
            <v>GILABEND230</v>
          </cell>
        </row>
        <row r="296">
          <cell r="A296" t="str">
            <v>GILARIVER500</v>
          </cell>
        </row>
        <row r="297">
          <cell r="A297" t="str">
            <v>GJCT</v>
          </cell>
        </row>
        <row r="298">
          <cell r="A298" t="str">
            <v>GLAD</v>
          </cell>
        </row>
        <row r="299">
          <cell r="A299" t="str">
            <v>GLAD115</v>
          </cell>
        </row>
        <row r="300">
          <cell r="A300" t="str">
            <v>GLADE115</v>
          </cell>
        </row>
        <row r="301">
          <cell r="A301" t="str">
            <v>GLENCANYON1</v>
          </cell>
        </row>
        <row r="302">
          <cell r="A302" t="str">
            <v>GLENCANYON2</v>
          </cell>
        </row>
        <row r="303">
          <cell r="A303" t="str">
            <v>GLENCANYON3</v>
          </cell>
        </row>
        <row r="304">
          <cell r="A304" t="str">
            <v>GLENCANYON69</v>
          </cell>
        </row>
        <row r="305">
          <cell r="A305" t="str">
            <v>GLWND1</v>
          </cell>
        </row>
        <row r="306">
          <cell r="A306" t="str">
            <v>GLWND2</v>
          </cell>
        </row>
        <row r="307">
          <cell r="A307" t="str">
            <v>GMS.MCA.REV</v>
          </cell>
        </row>
        <row r="308">
          <cell r="A308" t="str">
            <v>GoldendalCPN</v>
          </cell>
        </row>
        <row r="309">
          <cell r="A309" t="str">
            <v>Goldendale</v>
          </cell>
        </row>
        <row r="310">
          <cell r="A310" t="str">
            <v>GoldendaleAC</v>
          </cell>
        </row>
        <row r="311">
          <cell r="A311" t="str">
            <v>GON.IPP</v>
          </cell>
        </row>
        <row r="312">
          <cell r="A312" t="str">
            <v>GON.PAV</v>
          </cell>
        </row>
        <row r="313">
          <cell r="A313" t="str">
            <v>GOODNOEH1LD</v>
          </cell>
        </row>
        <row r="314">
          <cell r="A314" t="str">
            <v>GOODNOEHILL1</v>
          </cell>
        </row>
        <row r="315">
          <cell r="A315" t="str">
            <v>GOULD1</v>
          </cell>
        </row>
        <row r="316">
          <cell r="A316" t="str">
            <v>GOULD2</v>
          </cell>
        </row>
        <row r="317">
          <cell r="A317" t="str">
            <v>GPTOLEDO</v>
          </cell>
        </row>
        <row r="318">
          <cell r="A318" t="str">
            <v>GRANT.AVA</v>
          </cell>
        </row>
        <row r="319">
          <cell r="A319" t="str">
            <v>GREATFALLS</v>
          </cell>
        </row>
        <row r="320">
          <cell r="A320" t="str">
            <v>GREENLEE345</v>
          </cell>
        </row>
        <row r="321">
          <cell r="A321" t="str">
            <v>GRENLESWT345</v>
          </cell>
        </row>
        <row r="322">
          <cell r="A322" t="str">
            <v>Gresham</v>
          </cell>
        </row>
        <row r="323">
          <cell r="A323" t="str">
            <v>GRIFFITH230</v>
          </cell>
        </row>
        <row r="324">
          <cell r="A324" t="str">
            <v>GRIFFITH69</v>
          </cell>
        </row>
        <row r="325">
          <cell r="A325" t="str">
            <v>Grizzly</v>
          </cell>
        </row>
        <row r="326">
          <cell r="A326" t="str">
            <v>GSHN</v>
          </cell>
        </row>
        <row r="327">
          <cell r="A327" t="str">
            <v>GTFALLSNWMT</v>
          </cell>
        </row>
        <row r="328">
          <cell r="A328" t="str">
            <v>GUADALUPE345</v>
          </cell>
        </row>
        <row r="329">
          <cell r="A329" t="str">
            <v>H500</v>
          </cell>
        </row>
        <row r="330">
          <cell r="A330" t="str">
            <v>HA230</v>
          </cell>
        </row>
        <row r="331">
          <cell r="A331" t="str">
            <v>HA345</v>
          </cell>
        </row>
        <row r="332">
          <cell r="A332" t="str">
            <v>HA500</v>
          </cell>
        </row>
        <row r="333">
          <cell r="A333" t="str">
            <v>HACKBERRY230</v>
          </cell>
        </row>
        <row r="334">
          <cell r="A334" t="str">
            <v>HAIWEE</v>
          </cell>
        </row>
        <row r="335">
          <cell r="A335" t="str">
            <v>HARDIN</v>
          </cell>
        </row>
        <row r="336">
          <cell r="A336" t="str">
            <v>Harney</v>
          </cell>
        </row>
        <row r="337">
          <cell r="A337" t="str">
            <v>HarvestWind</v>
          </cell>
        </row>
        <row r="338">
          <cell r="A338" t="str">
            <v>HayCanyon</v>
          </cell>
        </row>
        <row r="339">
          <cell r="A339" t="str">
            <v>HayCanyonLD</v>
          </cell>
        </row>
        <row r="340">
          <cell r="A340" t="str">
            <v>HAYDEN115</v>
          </cell>
        </row>
        <row r="341">
          <cell r="A341" t="str">
            <v>HBRSOUTH</v>
          </cell>
        </row>
        <row r="342">
          <cell r="A342" t="str">
            <v>HCPR</v>
          </cell>
        </row>
        <row r="343">
          <cell r="A343" t="str">
            <v>HDN</v>
          </cell>
        </row>
        <row r="344">
          <cell r="A344" t="str">
            <v>HEADGATEROCK</v>
          </cell>
        </row>
        <row r="345">
          <cell r="A345" t="str">
            <v>HEBER69</v>
          </cell>
        </row>
        <row r="346">
          <cell r="A346" t="str">
            <v>HEBERSOUTH1</v>
          </cell>
        </row>
        <row r="347">
          <cell r="A347" t="str">
            <v>Heppner</v>
          </cell>
        </row>
        <row r="348">
          <cell r="A348" t="str">
            <v>HermistCPNLD</v>
          </cell>
        </row>
        <row r="349">
          <cell r="A349" t="str">
            <v>HermistonCPN</v>
          </cell>
        </row>
        <row r="350">
          <cell r="A350" t="str">
            <v>HermistonGen</v>
          </cell>
        </row>
        <row r="351">
          <cell r="A351" t="str">
            <v>HERN</v>
          </cell>
        </row>
        <row r="352">
          <cell r="A352" t="str">
            <v>HERN6</v>
          </cell>
        </row>
        <row r="353">
          <cell r="A353" t="str">
            <v>HGC</v>
          </cell>
        </row>
        <row r="354">
          <cell r="A354" t="str">
            <v>HGMA</v>
          </cell>
        </row>
        <row r="355">
          <cell r="A355" t="str">
            <v>HIDALGO115</v>
          </cell>
        </row>
        <row r="356">
          <cell r="A356" t="str">
            <v>HIDALGO345</v>
          </cell>
        </row>
        <row r="357">
          <cell r="A357" t="str">
            <v>HIGHLINE230</v>
          </cell>
        </row>
        <row r="358">
          <cell r="A358" t="str">
            <v>HILLTOP230</v>
          </cell>
        </row>
        <row r="359">
          <cell r="A359" t="str">
            <v>Hilltop345</v>
          </cell>
        </row>
        <row r="360">
          <cell r="A360" t="str">
            <v>HJ</v>
          </cell>
        </row>
        <row r="361">
          <cell r="A361" t="str">
            <v>HMWY</v>
          </cell>
        </row>
        <row r="362">
          <cell r="A362" t="str">
            <v>HNLK</v>
          </cell>
        </row>
        <row r="363">
          <cell r="A363" t="str">
            <v>HOGBACK</v>
          </cell>
        </row>
        <row r="364">
          <cell r="A364" t="str">
            <v>HOLLOMAN115</v>
          </cell>
        </row>
        <row r="365">
          <cell r="A365" t="str">
            <v>HOLLYWOOD115</v>
          </cell>
        </row>
        <row r="366">
          <cell r="A366" t="str">
            <v>HoodRiver</v>
          </cell>
        </row>
        <row r="367">
          <cell r="A367" t="str">
            <v>HOOVER230</v>
          </cell>
        </row>
        <row r="368">
          <cell r="A368" t="str">
            <v>Hopkins</v>
          </cell>
        </row>
        <row r="369">
          <cell r="A369" t="str">
            <v>HopkinsRidge</v>
          </cell>
        </row>
        <row r="370">
          <cell r="A370" t="str">
            <v>HrmistnCPNBS</v>
          </cell>
        </row>
        <row r="371">
          <cell r="A371" t="str">
            <v>HSP</v>
          </cell>
        </row>
        <row r="372">
          <cell r="A372" t="str">
            <v>HTSP</v>
          </cell>
        </row>
        <row r="373">
          <cell r="A373" t="str">
            <v>HTSP.AVA</v>
          </cell>
        </row>
        <row r="374">
          <cell r="A374" t="str">
            <v>HTSPNWMT</v>
          </cell>
        </row>
        <row r="375">
          <cell r="A375" t="str">
            <v>HUNTER</v>
          </cell>
        </row>
        <row r="376">
          <cell r="A376" t="str">
            <v>HUR230</v>
          </cell>
        </row>
        <row r="377">
          <cell r="A377" t="str">
            <v>HURR</v>
          </cell>
        </row>
        <row r="378">
          <cell r="A378" t="str">
            <v>IDNW</v>
          </cell>
        </row>
        <row r="379">
          <cell r="A379" t="str">
            <v>INEL</v>
          </cell>
        </row>
        <row r="380">
          <cell r="A380" t="str">
            <v>INT</v>
          </cell>
        </row>
        <row r="381">
          <cell r="A381" t="str">
            <v>INTEL449</v>
          </cell>
        </row>
        <row r="382">
          <cell r="A382" t="str">
            <v>INYO</v>
          </cell>
        </row>
        <row r="383">
          <cell r="A383" t="str">
            <v>IPCO</v>
          </cell>
        </row>
        <row r="384">
          <cell r="A384" t="str">
            <v>IPCOEAST</v>
          </cell>
        </row>
        <row r="385">
          <cell r="A385" t="str">
            <v>IPCOGEN</v>
          </cell>
        </row>
        <row r="386">
          <cell r="A386" t="str">
            <v>IPCOLOSS</v>
          </cell>
        </row>
        <row r="387">
          <cell r="A387" t="str">
            <v>IPCOSID</v>
          </cell>
        </row>
        <row r="388">
          <cell r="A388" t="str">
            <v>IPP</v>
          </cell>
        </row>
        <row r="389">
          <cell r="A389" t="str">
            <v>IPPgen</v>
          </cell>
        </row>
        <row r="390">
          <cell r="A390" t="str">
            <v>IPPUTAH</v>
          </cell>
        </row>
        <row r="391">
          <cell r="A391" t="str">
            <v>IRVINGTON138</v>
          </cell>
        </row>
        <row r="392">
          <cell r="A392" t="str">
            <v>IV230KV</v>
          </cell>
        </row>
        <row r="393">
          <cell r="A393" t="str">
            <v>IVGEO</v>
          </cell>
        </row>
        <row r="394">
          <cell r="A394" t="str">
            <v>IVGOULD</v>
          </cell>
        </row>
        <row r="395">
          <cell r="A395" t="str">
            <v>IVLY2</v>
          </cell>
        </row>
        <row r="396">
          <cell r="A396" t="str">
            <v>IVLY5</v>
          </cell>
        </row>
        <row r="397">
          <cell r="A397" t="str">
            <v>IVRR</v>
          </cell>
        </row>
        <row r="398">
          <cell r="A398" t="str">
            <v>IVSS5</v>
          </cell>
        </row>
        <row r="399">
          <cell r="A399" t="str">
            <v>IVTURBO</v>
          </cell>
        </row>
        <row r="400">
          <cell r="A400" t="str">
            <v>JBSN</v>
          </cell>
        </row>
        <row r="401">
          <cell r="A401" t="str">
            <v>JBWT</v>
          </cell>
        </row>
        <row r="402">
          <cell r="A402" t="str">
            <v>JEFF</v>
          </cell>
        </row>
        <row r="403">
          <cell r="A403" t="str">
            <v>JnprCnyn</v>
          </cell>
        </row>
        <row r="404">
          <cell r="A404" t="str">
            <v>JohnDay</v>
          </cell>
        </row>
        <row r="405">
          <cell r="A405" t="str">
            <v>JohnDayBR</v>
          </cell>
        </row>
        <row r="406">
          <cell r="A406" t="str">
            <v>JOJOBA500</v>
          </cell>
        </row>
        <row r="407">
          <cell r="A407" t="str">
            <v>JUAN</v>
          </cell>
        </row>
        <row r="408">
          <cell r="A408" t="str">
            <v>JUAREZ</v>
          </cell>
        </row>
        <row r="409">
          <cell r="A409" t="str">
            <v>Juniper2LD</v>
          </cell>
        </row>
        <row r="410">
          <cell r="A410" t="str">
            <v>JuniperWind</v>
          </cell>
        </row>
        <row r="411">
          <cell r="A411" t="str">
            <v>JuniperWinLD</v>
          </cell>
        </row>
        <row r="412">
          <cell r="A412" t="str">
            <v>KaiserBell</v>
          </cell>
        </row>
        <row r="413">
          <cell r="A413" t="str">
            <v>KaiserTac</v>
          </cell>
        </row>
        <row r="414">
          <cell r="A414" t="str">
            <v>KaiserTrent</v>
          </cell>
        </row>
        <row r="415">
          <cell r="A415" t="str">
            <v>KASIERBELL</v>
          </cell>
        </row>
        <row r="416">
          <cell r="A416" t="str">
            <v>KASIERTAC</v>
          </cell>
        </row>
        <row r="417">
          <cell r="A417" t="str">
            <v>KASIERTRENT</v>
          </cell>
        </row>
        <row r="418">
          <cell r="A418" t="str">
            <v>KAY-LHV</v>
          </cell>
        </row>
        <row r="419">
          <cell r="A419" t="str">
            <v>KEEN</v>
          </cell>
        </row>
        <row r="420">
          <cell r="A420" t="str">
            <v>KES230</v>
          </cell>
        </row>
        <row r="421">
          <cell r="A421" t="str">
            <v>KFallsGen</v>
          </cell>
        </row>
        <row r="422">
          <cell r="A422" t="str">
            <v>KFallsGenBR</v>
          </cell>
        </row>
        <row r="423">
          <cell r="A423" t="str">
            <v>KI</v>
          </cell>
        </row>
        <row r="424">
          <cell r="A424" t="str">
            <v>KITTITAS</v>
          </cell>
        </row>
        <row r="425">
          <cell r="A425" t="str">
            <v>KITTVAL</v>
          </cell>
        </row>
        <row r="426">
          <cell r="A426" t="str">
            <v>Klickitat</v>
          </cell>
        </row>
        <row r="427">
          <cell r="A427" t="str">
            <v>Klondike2SH</v>
          </cell>
        </row>
        <row r="428">
          <cell r="A428" t="str">
            <v>Klondike3SH</v>
          </cell>
        </row>
        <row r="429">
          <cell r="A429" t="str">
            <v>KlondikeSH</v>
          </cell>
        </row>
        <row r="430">
          <cell r="A430" t="str">
            <v>Klondke3aBPA</v>
          </cell>
        </row>
        <row r="431">
          <cell r="A431" t="str">
            <v>KNOB161</v>
          </cell>
        </row>
        <row r="432">
          <cell r="A432" t="str">
            <v>KNOX230</v>
          </cell>
        </row>
        <row r="433">
          <cell r="A433" t="str">
            <v>KPRT</v>
          </cell>
        </row>
        <row r="434">
          <cell r="A434" t="str">
            <v>KUTZ115</v>
          </cell>
        </row>
        <row r="435">
          <cell r="A435" t="str">
            <v>KYRENE230</v>
          </cell>
        </row>
        <row r="436">
          <cell r="A436" t="str">
            <v>KYRENE500</v>
          </cell>
        </row>
        <row r="437">
          <cell r="A437" t="str">
            <v>LAGBELLVELO</v>
          </cell>
        </row>
        <row r="438">
          <cell r="A438" t="str">
            <v>LaGrande</v>
          </cell>
        </row>
        <row r="439">
          <cell r="A439" t="str">
            <v>LAJU</v>
          </cell>
        </row>
        <row r="440">
          <cell r="A440" t="str">
            <v>Lake</v>
          </cell>
        </row>
        <row r="441">
          <cell r="A441" t="str">
            <v>LAMR</v>
          </cell>
        </row>
        <row r="442">
          <cell r="A442" t="str">
            <v>LAMR115</v>
          </cell>
        </row>
        <row r="443">
          <cell r="A443" t="str">
            <v>LAMR230</v>
          </cell>
        </row>
        <row r="444">
          <cell r="A444" t="str">
            <v>LAMR345</v>
          </cell>
        </row>
        <row r="445">
          <cell r="A445" t="str">
            <v>LAMS</v>
          </cell>
        </row>
        <row r="446">
          <cell r="A446" t="str">
            <v>LANCASTER</v>
          </cell>
        </row>
        <row r="447">
          <cell r="A447" t="str">
            <v>LancasterLD</v>
          </cell>
        </row>
        <row r="448">
          <cell r="A448" t="str">
            <v>LaPine230</v>
          </cell>
        </row>
        <row r="449">
          <cell r="A449" t="str">
            <v>LAPTNITS</v>
          </cell>
        </row>
        <row r="450">
          <cell r="A450" t="str">
            <v>LASANIMAS</v>
          </cell>
        </row>
        <row r="451">
          <cell r="A451" t="str">
            <v>LASCRCS115</v>
          </cell>
        </row>
        <row r="452">
          <cell r="A452" t="str">
            <v>LASYSTEM</v>
          </cell>
        </row>
        <row r="453">
          <cell r="A453" t="str">
            <v>LAUGHLINSYS</v>
          </cell>
        </row>
        <row r="454">
          <cell r="A454" t="str">
            <v>LCPDSYS</v>
          </cell>
        </row>
        <row r="455">
          <cell r="A455" t="str">
            <v>LeanJnpr2</v>
          </cell>
        </row>
        <row r="456">
          <cell r="A456" t="str">
            <v>LEATH</v>
          </cell>
        </row>
        <row r="457">
          <cell r="A457" t="str">
            <v>LewisPUD</v>
          </cell>
        </row>
        <row r="458">
          <cell r="A458" t="str">
            <v>LFG-Gen</v>
          </cell>
        </row>
        <row r="459">
          <cell r="A459" t="str">
            <v>LIBERTY230</v>
          </cell>
        </row>
        <row r="460">
          <cell r="A460" t="str">
            <v>LIMO</v>
          </cell>
        </row>
        <row r="461">
          <cell r="A461" t="str">
            <v>LINC</v>
          </cell>
        </row>
        <row r="462">
          <cell r="A462" t="str">
            <v>LINDEN69</v>
          </cell>
        </row>
        <row r="463">
          <cell r="A463" t="str">
            <v>LindenWind</v>
          </cell>
        </row>
        <row r="464">
          <cell r="A464" t="str">
            <v>LJAR115</v>
          </cell>
        </row>
        <row r="465">
          <cell r="A465" t="str">
            <v>LJAR69</v>
          </cell>
        </row>
        <row r="466">
          <cell r="A466" t="str">
            <v>LLL115</v>
          </cell>
        </row>
        <row r="467">
          <cell r="A467" t="str">
            <v>LOCAL.GEN</v>
          </cell>
        </row>
        <row r="468">
          <cell r="A468" t="str">
            <v>LOGAN</v>
          </cell>
        </row>
        <row r="469">
          <cell r="A469" t="str">
            <v>LOLO</v>
          </cell>
        </row>
        <row r="470">
          <cell r="A470" t="str">
            <v>LONEBUTTE230</v>
          </cell>
        </row>
        <row r="471">
          <cell r="A471" t="str">
            <v>LongviewAlum</v>
          </cell>
        </row>
        <row r="472">
          <cell r="A472" t="str">
            <v>LongviewFbr</v>
          </cell>
        </row>
        <row r="473">
          <cell r="A473" t="str">
            <v>LORDSBURG115</v>
          </cell>
        </row>
        <row r="474">
          <cell r="A474" t="str">
            <v>LOSBANOS230</v>
          </cell>
        </row>
        <row r="475">
          <cell r="A475" t="str">
            <v>LRS</v>
          </cell>
        </row>
        <row r="476">
          <cell r="A476" t="str">
            <v>LRS230</v>
          </cell>
        </row>
        <row r="477">
          <cell r="A477" t="str">
            <v>LRS345</v>
          </cell>
        </row>
        <row r="478">
          <cell r="A478" t="str">
            <v>LRS69</v>
          </cell>
        </row>
        <row r="479">
          <cell r="A479" t="str">
            <v>LSRwind1</v>
          </cell>
        </row>
        <row r="480">
          <cell r="A480" t="str">
            <v>LUGO</v>
          </cell>
        </row>
        <row r="481">
          <cell r="A481" t="str">
            <v>LUNA115</v>
          </cell>
        </row>
        <row r="482">
          <cell r="A482" t="str">
            <v>LUNA345</v>
          </cell>
        </row>
        <row r="483">
          <cell r="A483" t="str">
            <v>LYPK</v>
          </cell>
        </row>
        <row r="484">
          <cell r="A484" t="str">
            <v>M345</v>
          </cell>
        </row>
        <row r="485">
          <cell r="A485" t="str">
            <v>M500</v>
          </cell>
        </row>
        <row r="486">
          <cell r="A486" t="str">
            <v>MACHOSPRG345</v>
          </cell>
        </row>
        <row r="487">
          <cell r="A487" t="str">
            <v>Malin230</v>
          </cell>
        </row>
        <row r="488">
          <cell r="A488" t="str">
            <v>MALIN500</v>
          </cell>
        </row>
        <row r="489">
          <cell r="A489" t="str">
            <v>MALTA</v>
          </cell>
        </row>
        <row r="490">
          <cell r="A490" t="str">
            <v>MARANA115</v>
          </cell>
        </row>
        <row r="491">
          <cell r="A491" t="str">
            <v>MARBLE60</v>
          </cell>
        </row>
        <row r="492">
          <cell r="A492" t="str">
            <v>MARCHPT_GEN</v>
          </cell>
        </row>
        <row r="493">
          <cell r="A493" t="str">
            <v>MARKETPLACE</v>
          </cell>
        </row>
        <row r="494">
          <cell r="A494" t="str">
            <v>MasonPUD1</v>
          </cell>
        </row>
        <row r="495">
          <cell r="A495" t="str">
            <v>MasonPUD3</v>
          </cell>
        </row>
        <row r="496">
          <cell r="A496" t="str">
            <v>MATL.NWMT</v>
          </cell>
        </row>
        <row r="497">
          <cell r="A497" t="str">
            <v>MCCALL</v>
          </cell>
        </row>
        <row r="498">
          <cell r="A498" t="str">
            <v>MCCONNICO230</v>
          </cell>
        </row>
        <row r="499">
          <cell r="A499" t="str">
            <v>MCCULLOUG230</v>
          </cell>
        </row>
        <row r="500">
          <cell r="A500" t="str">
            <v>MCCULLOUG500</v>
          </cell>
        </row>
        <row r="501">
          <cell r="A501" t="str">
            <v>MCKINLEY345</v>
          </cell>
        </row>
        <row r="502">
          <cell r="A502" t="str">
            <v>McMinnville</v>
          </cell>
        </row>
        <row r="503">
          <cell r="A503" t="str">
            <v>MCNARY</v>
          </cell>
        </row>
        <row r="504">
          <cell r="A504" t="str">
            <v>MCNRYFSHWY</v>
          </cell>
        </row>
        <row r="505">
          <cell r="A505" t="str">
            <v>MCNRYFWKCP</v>
          </cell>
        </row>
        <row r="506">
          <cell r="A506" t="str">
            <v>MD#1-115</v>
          </cell>
        </row>
        <row r="507">
          <cell r="A507" t="str">
            <v>MD1</v>
          </cell>
        </row>
        <row r="508">
          <cell r="A508" t="str">
            <v>MD115</v>
          </cell>
        </row>
        <row r="509">
          <cell r="A509" t="str">
            <v>MDGT</v>
          </cell>
        </row>
        <row r="510">
          <cell r="A510" t="str">
            <v>MDSK</v>
          </cell>
        </row>
        <row r="511">
          <cell r="A511" t="str">
            <v>MDWP</v>
          </cell>
        </row>
        <row r="512">
          <cell r="A512" t="str">
            <v>MEAD 230</v>
          </cell>
        </row>
        <row r="513">
          <cell r="A513" t="str">
            <v>MEAD 500</v>
          </cell>
        </row>
        <row r="514">
          <cell r="A514" t="str">
            <v>MEAD230</v>
          </cell>
        </row>
        <row r="515">
          <cell r="A515" t="str">
            <v>MEAD500</v>
          </cell>
        </row>
        <row r="516">
          <cell r="A516" t="str">
            <v>MERCHANT230</v>
          </cell>
        </row>
        <row r="517">
          <cell r="A517" t="str">
            <v>MESQUITE230</v>
          </cell>
        </row>
        <row r="518">
          <cell r="A518" t="str">
            <v>MID.SYSTEM</v>
          </cell>
        </row>
        <row r="519">
          <cell r="A519" t="str">
            <v>MIDC</v>
          </cell>
        </row>
        <row r="520">
          <cell r="A520" t="str">
            <v>MIDCRemote</v>
          </cell>
        </row>
        <row r="521">
          <cell r="A521" t="str">
            <v>MIDW</v>
          </cell>
        </row>
        <row r="522">
          <cell r="A522" t="str">
            <v>MIDWAY</v>
          </cell>
        </row>
        <row r="523">
          <cell r="A523" t="str">
            <v>Midway230</v>
          </cell>
        </row>
        <row r="524">
          <cell r="A524" t="str">
            <v>MIMBRES115</v>
          </cell>
        </row>
        <row r="525">
          <cell r="A525" t="str">
            <v>MintFarm</v>
          </cell>
        </row>
        <row r="526">
          <cell r="A526" t="str">
            <v>MINTFARMGEN</v>
          </cell>
        </row>
        <row r="527">
          <cell r="A527" t="str">
            <v>MintFarmLD</v>
          </cell>
        </row>
        <row r="528">
          <cell r="A528" t="str">
            <v>MIR2</v>
          </cell>
        </row>
        <row r="529">
          <cell r="A529" t="str">
            <v>MIR9</v>
          </cell>
        </row>
        <row r="530">
          <cell r="A530" t="str">
            <v>MissionVly</v>
          </cell>
        </row>
        <row r="531">
          <cell r="A531" t="str">
            <v>MLCK</v>
          </cell>
        </row>
        <row r="532">
          <cell r="A532" t="str">
            <v>MM115</v>
          </cell>
        </row>
        <row r="533">
          <cell r="A533" t="str">
            <v>MNDK</v>
          </cell>
        </row>
        <row r="534">
          <cell r="A534" t="str">
            <v>MNHM</v>
          </cell>
        </row>
        <row r="535">
          <cell r="A535" t="str">
            <v>MOENKOPI500</v>
          </cell>
        </row>
        <row r="536">
          <cell r="A536" t="str">
            <v>MOHAVE</v>
          </cell>
        </row>
        <row r="537">
          <cell r="A537" t="str">
            <v>MOHAVE500</v>
          </cell>
        </row>
        <row r="538">
          <cell r="A538" t="str">
            <v>MONA</v>
          </cell>
        </row>
        <row r="539">
          <cell r="A539" t="str">
            <v>MONU</v>
          </cell>
        </row>
        <row r="540">
          <cell r="A540" t="str">
            <v>MORENCI230</v>
          </cell>
        </row>
        <row r="541">
          <cell r="A541" t="str">
            <v>MORGAN500</v>
          </cell>
        </row>
        <row r="542">
          <cell r="A542" t="str">
            <v>MORRIS115</v>
          </cell>
        </row>
        <row r="543">
          <cell r="A543" t="str">
            <v>MorrowPower</v>
          </cell>
        </row>
        <row r="544">
          <cell r="A544" t="str">
            <v>MPAC</v>
          </cell>
        </row>
        <row r="545">
          <cell r="A545" t="str">
            <v>MPP</v>
          </cell>
        </row>
        <row r="546">
          <cell r="A546" t="str">
            <v>MPSN</v>
          </cell>
        </row>
        <row r="547">
          <cell r="A547" t="str">
            <v>MSQUIT230</v>
          </cell>
        </row>
        <row r="548">
          <cell r="A548" t="str">
            <v>MTR</v>
          </cell>
        </row>
        <row r="549">
          <cell r="A549" t="str">
            <v>NAT230</v>
          </cell>
        </row>
        <row r="550">
          <cell r="A550" t="str">
            <v>NAVAJO230</v>
          </cell>
        </row>
        <row r="551">
          <cell r="A551" t="str">
            <v>NAVAJO500</v>
          </cell>
        </row>
        <row r="552">
          <cell r="A552" t="str">
            <v>NEA</v>
          </cell>
        </row>
        <row r="553">
          <cell r="A553" t="str">
            <v>NEC_SPV</v>
          </cell>
        </row>
        <row r="554">
          <cell r="A554" t="str">
            <v>NECOG</v>
          </cell>
        </row>
        <row r="555">
          <cell r="A555" t="str">
            <v>NEEDLESSYS</v>
          </cell>
        </row>
        <row r="556">
          <cell r="A556" t="str">
            <v>NEVPSYS</v>
          </cell>
        </row>
        <row r="557">
          <cell r="A557" t="str">
            <v>NEWPOINT</v>
          </cell>
        </row>
        <row r="558">
          <cell r="A558" t="str">
            <v>NFOR</v>
          </cell>
        </row>
        <row r="559">
          <cell r="A559" t="str">
            <v>NHAVASU230</v>
          </cell>
        </row>
        <row r="560">
          <cell r="A560" t="str">
            <v>NineCanyonW</v>
          </cell>
        </row>
        <row r="561">
          <cell r="A561" t="str">
            <v>NLEW</v>
          </cell>
        </row>
        <row r="562">
          <cell r="A562" t="str">
            <v>NML230</v>
          </cell>
        </row>
        <row r="563">
          <cell r="A563" t="str">
            <v>NOB</v>
          </cell>
        </row>
        <row r="564">
          <cell r="A564" t="str">
            <v>NOGALES115</v>
          </cell>
        </row>
        <row r="565">
          <cell r="A565" t="str">
            <v>NoName</v>
          </cell>
        </row>
        <row r="566">
          <cell r="A566" t="str">
            <v>North</v>
          </cell>
        </row>
        <row r="567">
          <cell r="A567" t="str">
            <v>NorthWasco</v>
          </cell>
        </row>
        <row r="568">
          <cell r="A568" t="str">
            <v>NORTHWEST</v>
          </cell>
        </row>
        <row r="569">
          <cell r="A569" t="str">
            <v>NORTON115</v>
          </cell>
        </row>
        <row r="570">
          <cell r="A570" t="str">
            <v>NOXON</v>
          </cell>
        </row>
        <row r="571">
          <cell r="A571" t="str">
            <v>NP15</v>
          </cell>
        </row>
        <row r="572">
          <cell r="A572" t="str">
            <v>NPSS</v>
          </cell>
        </row>
        <row r="573">
          <cell r="A573" t="str">
            <v>NRTHGILA500</v>
          </cell>
        </row>
        <row r="574">
          <cell r="A574" t="str">
            <v>NRTHGILA69</v>
          </cell>
        </row>
        <row r="575">
          <cell r="A575" t="str">
            <v>NUT</v>
          </cell>
        </row>
        <row r="576">
          <cell r="A576" t="str">
            <v>NWAluminum</v>
          </cell>
        </row>
        <row r="577">
          <cell r="A577" t="str">
            <v>NWH</v>
          </cell>
        </row>
        <row r="578">
          <cell r="A578" t="str">
            <v>NW-MT</v>
          </cell>
        </row>
        <row r="579">
          <cell r="A579" t="str">
            <v>NWMT.System</v>
          </cell>
        </row>
        <row r="580">
          <cell r="A580" t="str">
            <v>NYUM</v>
          </cell>
        </row>
        <row r="581">
          <cell r="A581" t="str">
            <v>OAKDALE</v>
          </cell>
        </row>
        <row r="582">
          <cell r="A582" t="str">
            <v>OBBLPR</v>
          </cell>
        </row>
        <row r="583">
          <cell r="A583" t="str">
            <v>OBN230</v>
          </cell>
        </row>
        <row r="584">
          <cell r="A584" t="str">
            <v>OBPRNORTH</v>
          </cell>
        </row>
        <row r="585">
          <cell r="A585" t="str">
            <v>OCOTILLO69</v>
          </cell>
        </row>
        <row r="586">
          <cell r="A586" t="str">
            <v>ODA230</v>
          </cell>
        </row>
        <row r="587">
          <cell r="A587" t="str">
            <v>ODA500</v>
          </cell>
        </row>
        <row r="588">
          <cell r="A588" t="str">
            <v>OGAL</v>
          </cell>
        </row>
        <row r="589">
          <cell r="A589" t="str">
            <v>OJO345</v>
          </cell>
        </row>
        <row r="590">
          <cell r="A590" t="str">
            <v>OKAN_D.S.</v>
          </cell>
        </row>
        <row r="591">
          <cell r="A591" t="str">
            <v>Okanogan</v>
          </cell>
        </row>
        <row r="592">
          <cell r="A592" t="str">
            <v>ORACLE115</v>
          </cell>
        </row>
        <row r="593">
          <cell r="A593" t="str">
            <v>ORACLEJUN115</v>
          </cell>
        </row>
        <row r="594">
          <cell r="A594" t="str">
            <v>ORCAS</v>
          </cell>
        </row>
        <row r="595">
          <cell r="A595" t="str">
            <v>OregonTrail</v>
          </cell>
        </row>
        <row r="596">
          <cell r="A596" t="str">
            <v>OreMet</v>
          </cell>
        </row>
        <row r="597">
          <cell r="A597" t="str">
            <v>ORM1</v>
          </cell>
        </row>
        <row r="598">
          <cell r="A598" t="str">
            <v>ORM2</v>
          </cell>
        </row>
        <row r="599">
          <cell r="A599" t="str">
            <v>ORME230</v>
          </cell>
        </row>
        <row r="600">
          <cell r="A600" t="str">
            <v>OROGRANDE115</v>
          </cell>
        </row>
        <row r="601">
          <cell r="A601" t="str">
            <v>OS</v>
          </cell>
        </row>
        <row r="602">
          <cell r="A602" t="str">
            <v>OSAGE</v>
          </cell>
        </row>
        <row r="603">
          <cell r="A603" t="str">
            <v>OTEC</v>
          </cell>
        </row>
        <row r="604">
          <cell r="A604" t="str">
            <v>OTECTAP</v>
          </cell>
        </row>
        <row r="605">
          <cell r="A605" t="str">
            <v>PACE</v>
          </cell>
        </row>
        <row r="606">
          <cell r="A606" t="str">
            <v>PACEN</v>
          </cell>
        </row>
        <row r="607">
          <cell r="A607" t="str">
            <v>PACES</v>
          </cell>
        </row>
        <row r="608">
          <cell r="A608" t="str">
            <v>PacificPUD</v>
          </cell>
        </row>
        <row r="609">
          <cell r="A609" t="str">
            <v>Packwood</v>
          </cell>
        </row>
        <row r="610">
          <cell r="A610" t="str">
            <v>PACW</v>
          </cell>
        </row>
        <row r="611">
          <cell r="A611" t="str">
            <v>PACW.PGE</v>
          </cell>
        </row>
        <row r="612">
          <cell r="A612" t="str">
            <v>PACWBDRL</v>
          </cell>
        </row>
        <row r="613">
          <cell r="A613" t="str">
            <v>PALOVERDE</v>
          </cell>
        </row>
        <row r="614">
          <cell r="A614" t="str">
            <v>PALOVERDE500</v>
          </cell>
        </row>
        <row r="615">
          <cell r="A615" t="str">
            <v>PANDA230</v>
          </cell>
        </row>
        <row r="616">
          <cell r="A616" t="str">
            <v>PARKER</v>
          </cell>
        </row>
        <row r="617">
          <cell r="A617" t="str">
            <v>PARKER161</v>
          </cell>
        </row>
        <row r="618">
          <cell r="A618" t="str">
            <v>PARKER230</v>
          </cell>
        </row>
        <row r="619">
          <cell r="A619" t="str">
            <v>PATH48GW</v>
          </cell>
        </row>
        <row r="620">
          <cell r="A620" t="str">
            <v>PATHC</v>
          </cell>
        </row>
        <row r="621">
          <cell r="A621" t="str">
            <v>PaTu</v>
          </cell>
        </row>
        <row r="622">
          <cell r="A622" t="str">
            <v>Pavant</v>
          </cell>
        </row>
        <row r="623">
          <cell r="A623" t="str">
            <v>PAWN</v>
          </cell>
        </row>
        <row r="624">
          <cell r="A624" t="str">
            <v>PAWNGEN</v>
          </cell>
        </row>
        <row r="625">
          <cell r="A625" t="str">
            <v>PEACOCK230</v>
          </cell>
        </row>
        <row r="626">
          <cell r="A626" t="str">
            <v>PebbleSprgLD</v>
          </cell>
        </row>
        <row r="627">
          <cell r="A627" t="str">
            <v>PebbleSprngs</v>
          </cell>
        </row>
        <row r="628">
          <cell r="A628" t="str">
            <v>PEGS</v>
          </cell>
        </row>
        <row r="629">
          <cell r="A629" t="str">
            <v>PendletonPac</v>
          </cell>
        </row>
        <row r="630">
          <cell r="A630" t="str">
            <v>PGAE.SYSTEM</v>
          </cell>
        </row>
        <row r="631">
          <cell r="A631" t="str">
            <v>PGE</v>
          </cell>
        </row>
        <row r="632">
          <cell r="A632" t="str">
            <v>PGE.BEAVER</v>
          </cell>
        </row>
        <row r="633">
          <cell r="A633" t="str">
            <v>PGE.COLSTRIP</v>
          </cell>
        </row>
        <row r="634">
          <cell r="A634" t="str">
            <v>PGE.COYSPR1</v>
          </cell>
        </row>
        <row r="635">
          <cell r="A635" t="str">
            <v>PGE.INTERNAL</v>
          </cell>
        </row>
        <row r="636">
          <cell r="A636" t="str">
            <v>PGE.MIDC</v>
          </cell>
        </row>
        <row r="637">
          <cell r="A637" t="str">
            <v>PGE.SLATT</v>
          </cell>
        </row>
        <row r="638">
          <cell r="A638" t="str">
            <v>PGE.TROJAN</v>
          </cell>
        </row>
        <row r="639">
          <cell r="A639" t="str">
            <v>PHDO</v>
          </cell>
        </row>
        <row r="640">
          <cell r="A640" t="str">
            <v>PHOENIX230</v>
          </cell>
        </row>
        <row r="641">
          <cell r="A641" t="str">
            <v>PICACHO115</v>
          </cell>
        </row>
        <row r="642">
          <cell r="A642" t="str">
            <v>PilotBute230</v>
          </cell>
        </row>
        <row r="643">
          <cell r="A643" t="str">
            <v>PILOTKNOB161</v>
          </cell>
        </row>
        <row r="644">
          <cell r="A644" t="str">
            <v>PINALWEST345</v>
          </cell>
        </row>
        <row r="645">
          <cell r="A645" t="str">
            <v>PINALWEST500</v>
          </cell>
        </row>
        <row r="646">
          <cell r="A646" t="str">
            <v>PINESTREET</v>
          </cell>
        </row>
        <row r="647">
          <cell r="A647" t="str">
            <v>PINPKAPS230</v>
          </cell>
        </row>
        <row r="648">
          <cell r="A648" t="str">
            <v>PINPKSRP230</v>
          </cell>
        </row>
        <row r="649">
          <cell r="A649" t="str">
            <v>PINTO</v>
          </cell>
        </row>
        <row r="650">
          <cell r="A650" t="str">
            <v>PLAY115</v>
          </cell>
        </row>
        <row r="651">
          <cell r="A651" t="str">
            <v>PLAY69</v>
          </cell>
        </row>
        <row r="652">
          <cell r="A652" t="str">
            <v>PM2</v>
          </cell>
        </row>
        <row r="653">
          <cell r="A653" t="str">
            <v>PNGC</v>
          </cell>
        </row>
        <row r="654">
          <cell r="A654" t="str">
            <v>PNPKWALC230</v>
          </cell>
        </row>
        <row r="655">
          <cell r="A655" t="str">
            <v>PON</v>
          </cell>
        </row>
        <row r="656">
          <cell r="A656" t="str">
            <v>PONC</v>
          </cell>
        </row>
        <row r="657">
          <cell r="A657" t="str">
            <v>Ponderosa230</v>
          </cell>
        </row>
        <row r="658">
          <cell r="A658" t="str">
            <v>Ponderosa500</v>
          </cell>
        </row>
        <row r="659">
          <cell r="A659" t="str">
            <v>POP</v>
          </cell>
        </row>
        <row r="660">
          <cell r="A660" t="str">
            <v>POPD</v>
          </cell>
        </row>
        <row r="661">
          <cell r="A661" t="str">
            <v>PortAngeles</v>
          </cell>
        </row>
        <row r="662">
          <cell r="A662" t="str">
            <v>PORTTOWNMILL</v>
          </cell>
        </row>
        <row r="663">
          <cell r="A663" t="str">
            <v>POWELL.RIVER</v>
          </cell>
        </row>
        <row r="664">
          <cell r="A664" t="str">
            <v>PPA.LD</v>
          </cell>
        </row>
        <row r="665">
          <cell r="A665" t="str">
            <v>PPMIBR</v>
          </cell>
        </row>
        <row r="666">
          <cell r="A666" t="str">
            <v>PriestRapids</v>
          </cell>
        </row>
        <row r="667">
          <cell r="A667" t="str">
            <v>PRPLD</v>
          </cell>
        </row>
        <row r="668">
          <cell r="A668" t="str">
            <v>PSA1LG</v>
          </cell>
        </row>
        <row r="669">
          <cell r="A669" t="str">
            <v>PSCMGW</v>
          </cell>
        </row>
        <row r="670">
          <cell r="A670" t="str">
            <v>PSCO</v>
          </cell>
        </row>
        <row r="671">
          <cell r="A671" t="str">
            <v>PSCOGEN</v>
          </cell>
        </row>
        <row r="672">
          <cell r="A672" t="str">
            <v>PSCOWSTATION</v>
          </cell>
        </row>
        <row r="673">
          <cell r="A673" t="str">
            <v>PSEI.SYSTEM</v>
          </cell>
        </row>
        <row r="674">
          <cell r="A674" t="str">
            <v>PTSN</v>
          </cell>
        </row>
        <row r="675">
          <cell r="A675" t="str">
            <v>PUMPKINBUTTE</v>
          </cell>
        </row>
        <row r="676">
          <cell r="A676" t="str">
            <v>PVWEST</v>
          </cell>
        </row>
        <row r="677">
          <cell r="A677" t="str">
            <v>PYGS</v>
          </cell>
        </row>
        <row r="678">
          <cell r="A678" t="str">
            <v>QUILCENE</v>
          </cell>
        </row>
        <row r="679">
          <cell r="A679" t="str">
            <v>RACEWAY230</v>
          </cell>
        </row>
        <row r="680">
          <cell r="A680" t="str">
            <v>Rainbow</v>
          </cell>
        </row>
        <row r="681">
          <cell r="A681" t="str">
            <v>RanchoSeco</v>
          </cell>
        </row>
        <row r="682">
          <cell r="A682" t="str">
            <v>RAW</v>
          </cell>
        </row>
        <row r="683">
          <cell r="A683" t="str">
            <v>RC</v>
          </cell>
        </row>
        <row r="684">
          <cell r="A684" t="str">
            <v>RC69</v>
          </cell>
        </row>
        <row r="685">
          <cell r="A685" t="str">
            <v>RCEAST</v>
          </cell>
        </row>
        <row r="686">
          <cell r="A686" t="str">
            <v>RCWEST</v>
          </cell>
        </row>
        <row r="687">
          <cell r="A687" t="str">
            <v>RDM230</v>
          </cell>
        </row>
        <row r="688">
          <cell r="A688" t="str">
            <v>RDM500</v>
          </cell>
        </row>
        <row r="689">
          <cell r="A689" t="str">
            <v>READER</v>
          </cell>
        </row>
        <row r="690">
          <cell r="A690" t="str">
            <v>REDB</v>
          </cell>
        </row>
        <row r="691">
          <cell r="A691" t="str">
            <v>REDBL</v>
          </cell>
        </row>
        <row r="692">
          <cell r="A692" t="str">
            <v>REDDR1</v>
          </cell>
        </row>
        <row r="693">
          <cell r="A693" t="str">
            <v>REDMESA115</v>
          </cell>
        </row>
        <row r="694">
          <cell r="A694" t="str">
            <v>REEVES115</v>
          </cell>
        </row>
        <row r="695">
          <cell r="A695" t="str">
            <v>Reston230</v>
          </cell>
        </row>
        <row r="696">
          <cell r="A696" t="str">
            <v>RFL</v>
          </cell>
        </row>
        <row r="697">
          <cell r="A697" t="str">
            <v>RGC.DC.LF115</v>
          </cell>
        </row>
        <row r="698">
          <cell r="A698" t="str">
            <v>RICHLAND</v>
          </cell>
        </row>
        <row r="699">
          <cell r="A699" t="str">
            <v>River</v>
          </cell>
        </row>
        <row r="700">
          <cell r="A700" t="str">
            <v>Riverbend</v>
          </cell>
        </row>
        <row r="701">
          <cell r="A701" t="str">
            <v>RNDVALLEY230</v>
          </cell>
        </row>
        <row r="702">
          <cell r="A702" t="str">
            <v>ROGERS230</v>
          </cell>
        </row>
        <row r="703">
          <cell r="A703" t="str">
            <v>RoundButte</v>
          </cell>
        </row>
        <row r="704">
          <cell r="A704" t="str">
            <v>ROUNDVLY230</v>
          </cell>
        </row>
        <row r="705">
          <cell r="A705" t="str">
            <v>RRP</v>
          </cell>
        </row>
        <row r="706">
          <cell r="A706" t="str">
            <v>RRPLD</v>
          </cell>
        </row>
        <row r="707">
          <cell r="A707" t="str">
            <v>RSC230</v>
          </cell>
        </row>
        <row r="708">
          <cell r="A708" t="str">
            <v>RUDD230</v>
          </cell>
        </row>
        <row r="709">
          <cell r="A709" t="str">
            <v>RUDD500</v>
          </cell>
        </row>
        <row r="710">
          <cell r="A710" t="str">
            <v>SADLBROKRNCH</v>
          </cell>
        </row>
        <row r="711">
          <cell r="A711" t="str">
            <v>SAGUARO115</v>
          </cell>
        </row>
        <row r="712">
          <cell r="A712" t="str">
            <v>SAGUARO230</v>
          </cell>
        </row>
        <row r="713">
          <cell r="A713" t="str">
            <v>SAGUARO500</v>
          </cell>
        </row>
        <row r="714">
          <cell r="A714" t="str">
            <v>SalemPac</v>
          </cell>
        </row>
        <row r="715">
          <cell r="A715" t="str">
            <v>SALV</v>
          </cell>
        </row>
        <row r="716">
          <cell r="A716" t="str">
            <v>SAMN</v>
          </cell>
        </row>
        <row r="717">
          <cell r="A717" t="str">
            <v>SANFELIPE92</v>
          </cell>
        </row>
        <row r="718">
          <cell r="A718" t="str">
            <v>SantiamPac</v>
          </cell>
        </row>
        <row r="719">
          <cell r="A719" t="str">
            <v>Satsop230</v>
          </cell>
        </row>
        <row r="720">
          <cell r="A720" t="str">
            <v>Satsop230LD</v>
          </cell>
        </row>
        <row r="721">
          <cell r="A721" t="str">
            <v>SB211LOAD</v>
          </cell>
        </row>
        <row r="722">
          <cell r="A722" t="str">
            <v>SCG</v>
          </cell>
        </row>
        <row r="723">
          <cell r="A723" t="str">
            <v>SCL.SYSTEM</v>
          </cell>
        </row>
        <row r="724">
          <cell r="A724" t="str">
            <v>SCSE</v>
          </cell>
        </row>
        <row r="725">
          <cell r="A725" t="str">
            <v>SCSW</v>
          </cell>
        </row>
        <row r="726">
          <cell r="A726" t="str">
            <v>SCUTBANK</v>
          </cell>
        </row>
        <row r="727">
          <cell r="A727" t="str">
            <v>SEATAC</v>
          </cell>
        </row>
        <row r="728">
          <cell r="A728" t="str">
            <v>SELIGMAN230</v>
          </cell>
        </row>
        <row r="729">
          <cell r="A729" t="str">
            <v>SGE</v>
          </cell>
        </row>
        <row r="730">
          <cell r="A730" t="str">
            <v>SGW</v>
          </cell>
        </row>
        <row r="731">
          <cell r="A731" t="str">
            <v>SHCK</v>
          </cell>
        </row>
        <row r="732">
          <cell r="A732" t="str">
            <v>SHERIDAN</v>
          </cell>
        </row>
        <row r="733">
          <cell r="A733" t="str">
            <v>SHIPROCK115</v>
          </cell>
        </row>
        <row r="734">
          <cell r="A734" t="str">
            <v>SHIPROCK345</v>
          </cell>
        </row>
        <row r="735">
          <cell r="A735" t="str">
            <v>SHOWLOW69</v>
          </cell>
        </row>
        <row r="736">
          <cell r="A736" t="str">
            <v>SHR2</v>
          </cell>
        </row>
        <row r="737">
          <cell r="A737" t="str">
            <v>Sidney</v>
          </cell>
        </row>
        <row r="738">
          <cell r="A738" t="str">
            <v>SIG</v>
          </cell>
        </row>
        <row r="739">
          <cell r="A739" t="str">
            <v>SILVERKIN230</v>
          </cell>
        </row>
        <row r="740">
          <cell r="A740" t="str">
            <v>SILVERKIN500</v>
          </cell>
        </row>
        <row r="741">
          <cell r="A741" t="str">
            <v>SILVERPEAK55</v>
          </cell>
        </row>
        <row r="742">
          <cell r="A742" t="str">
            <v>SJ345</v>
          </cell>
        </row>
        <row r="743">
          <cell r="A743" t="str">
            <v>Slatt</v>
          </cell>
        </row>
        <row r="744">
          <cell r="A744" t="str">
            <v>SLATT230</v>
          </cell>
        </row>
        <row r="745">
          <cell r="A745" t="str">
            <v>SLATT230LD</v>
          </cell>
        </row>
        <row r="746">
          <cell r="A746" t="str">
            <v>SLV230</v>
          </cell>
        </row>
        <row r="747">
          <cell r="A747" t="str">
            <v>SLVA</v>
          </cell>
        </row>
        <row r="748">
          <cell r="A748" t="str">
            <v>SmithCreek</v>
          </cell>
        </row>
        <row r="749">
          <cell r="A749" t="str">
            <v>SMLK</v>
          </cell>
        </row>
        <row r="750">
          <cell r="A750" t="str">
            <v>SMUD.System</v>
          </cell>
        </row>
        <row r="751">
          <cell r="A751" t="str">
            <v>SNOH.PUD</v>
          </cell>
        </row>
        <row r="752">
          <cell r="A752" t="str">
            <v>Snohomish</v>
          </cell>
        </row>
        <row r="753">
          <cell r="A753" t="str">
            <v>SNWASYS</v>
          </cell>
        </row>
        <row r="754">
          <cell r="A754" t="str">
            <v>SOCO</v>
          </cell>
        </row>
        <row r="755">
          <cell r="A755" t="str">
            <v>South</v>
          </cell>
        </row>
        <row r="756">
          <cell r="A756" t="str">
            <v>SOUTHLOOP345</v>
          </cell>
        </row>
        <row r="757">
          <cell r="A757" t="str">
            <v>SOUTHTOLTGEN</v>
          </cell>
        </row>
        <row r="758">
          <cell r="A758" t="str">
            <v>SP_Newsprint</v>
          </cell>
        </row>
        <row r="759">
          <cell r="A759" t="str">
            <v>SP15</v>
          </cell>
        </row>
        <row r="760">
          <cell r="A760" t="str">
            <v>SP-15</v>
          </cell>
        </row>
        <row r="761">
          <cell r="A761" t="str">
            <v>SpgfldGenFrm</v>
          </cell>
        </row>
        <row r="762">
          <cell r="A762" t="str">
            <v>SPGR</v>
          </cell>
        </row>
        <row r="763">
          <cell r="A763" t="str">
            <v>SPI_CABO_GEN</v>
          </cell>
        </row>
        <row r="764">
          <cell r="A764" t="str">
            <v>SPOKANEWASTE</v>
          </cell>
        </row>
        <row r="765">
          <cell r="A765" t="str">
            <v>SPPC</v>
          </cell>
        </row>
        <row r="766">
          <cell r="A766" t="str">
            <v>SpringCreek</v>
          </cell>
        </row>
        <row r="767">
          <cell r="A767" t="str">
            <v>SPRINGER345</v>
          </cell>
        </row>
        <row r="768">
          <cell r="A768" t="str">
            <v>Springfield</v>
          </cell>
        </row>
        <row r="769">
          <cell r="A769" t="str">
            <v>SRP-SYSTEM</v>
          </cell>
        </row>
        <row r="770">
          <cell r="A770" t="str">
            <v>SS4</v>
          </cell>
        </row>
        <row r="771">
          <cell r="A771" t="str">
            <v>ST.PAUL</v>
          </cell>
        </row>
        <row r="772">
          <cell r="A772" t="str">
            <v>STANDIFORD</v>
          </cell>
        </row>
        <row r="773">
          <cell r="A773" t="str">
            <v>StarPoint</v>
          </cell>
        </row>
        <row r="774">
          <cell r="A774" t="str">
            <v>StateLineBPA</v>
          </cell>
        </row>
        <row r="775">
          <cell r="A775" t="str">
            <v>STDM</v>
          </cell>
        </row>
        <row r="776">
          <cell r="A776" t="str">
            <v>STORLK115</v>
          </cell>
        </row>
        <row r="777">
          <cell r="A777" t="str">
            <v>STVRN</v>
          </cell>
        </row>
        <row r="778">
          <cell r="A778" t="str">
            <v>STY</v>
          </cell>
        </row>
        <row r="779">
          <cell r="A779" t="str">
            <v>SUGARLOAF500</v>
          </cell>
        </row>
        <row r="780">
          <cell r="A780" t="str">
            <v>SUGARLOAF69</v>
          </cell>
        </row>
        <row r="781">
          <cell r="A781" t="str">
            <v>SUMAS</v>
          </cell>
        </row>
        <row r="782">
          <cell r="A782" t="str">
            <v>SumFalls</v>
          </cell>
        </row>
        <row r="783">
          <cell r="A783" t="str">
            <v>SUMMERLAKENT</v>
          </cell>
        </row>
        <row r="784">
          <cell r="A784" t="str">
            <v>SUMMIT120</v>
          </cell>
        </row>
        <row r="785">
          <cell r="A785" t="str">
            <v>Sunbeam</v>
          </cell>
        </row>
        <row r="786">
          <cell r="A786" t="str">
            <v>SUNDANCE</v>
          </cell>
        </row>
        <row r="787">
          <cell r="A787" t="str">
            <v>SUPERIOR115</v>
          </cell>
        </row>
        <row r="788">
          <cell r="A788" t="str">
            <v>SWR</v>
          </cell>
        </row>
        <row r="789">
          <cell r="A789" t="str">
            <v>SYLMAR</v>
          </cell>
        </row>
        <row r="790">
          <cell r="A790" t="str">
            <v>TAIBAN</v>
          </cell>
        </row>
        <row r="791">
          <cell r="A791" t="str">
            <v>Talbot</v>
          </cell>
        </row>
        <row r="792">
          <cell r="A792" t="str">
            <v>TANNER.AL</v>
          </cell>
        </row>
        <row r="793">
          <cell r="A793" t="str">
            <v>TANNER.LB</v>
          </cell>
        </row>
        <row r="794">
          <cell r="A794" t="str">
            <v>TANNER.NB</v>
          </cell>
        </row>
        <row r="795">
          <cell r="A795" t="str">
            <v>TAOS</v>
          </cell>
        </row>
        <row r="796">
          <cell r="A796" t="str">
            <v>TENASKA_GEN</v>
          </cell>
        </row>
        <row r="797">
          <cell r="A797" t="str">
            <v>TENDOY</v>
          </cell>
        </row>
        <row r="798">
          <cell r="A798" t="str">
            <v>TESLA230</v>
          </cell>
        </row>
        <row r="799">
          <cell r="A799" t="str">
            <v>TESLA500</v>
          </cell>
        </row>
        <row r="800">
          <cell r="A800" t="str">
            <v>TESORO449</v>
          </cell>
        </row>
        <row r="801">
          <cell r="A801" t="str">
            <v>TESTTRACK230</v>
          </cell>
        </row>
        <row r="802">
          <cell r="A802" t="str">
            <v>TESTTRACK69</v>
          </cell>
        </row>
        <row r="803">
          <cell r="A803" t="str">
            <v>THORNYDALE46</v>
          </cell>
        </row>
        <row r="804">
          <cell r="A804" t="str">
            <v>TID.SYSTEM</v>
          </cell>
        </row>
        <row r="805">
          <cell r="A805" t="str">
            <v>TIETON</v>
          </cell>
        </row>
        <row r="806">
          <cell r="A806" t="str">
            <v>Tillamook</v>
          </cell>
        </row>
        <row r="807">
          <cell r="A807" t="str">
            <v>TMK</v>
          </cell>
        </row>
        <row r="808">
          <cell r="A808" t="str">
            <v>TNDY</v>
          </cell>
        </row>
        <row r="809">
          <cell r="A809" t="str">
            <v>TNPSYS</v>
          </cell>
        </row>
        <row r="810">
          <cell r="A810" t="str">
            <v>TOLUCA</v>
          </cell>
        </row>
        <row r="811">
          <cell r="A811" t="str">
            <v>TONGUERIVER</v>
          </cell>
        </row>
        <row r="812">
          <cell r="A812" t="str">
            <v>TOPOCK230</v>
          </cell>
        </row>
        <row r="813">
          <cell r="A813" t="str">
            <v>TOT2AGW</v>
          </cell>
        </row>
        <row r="814">
          <cell r="A814" t="str">
            <v>TOT3GS</v>
          </cell>
        </row>
        <row r="815">
          <cell r="A815" t="str">
            <v>TOT5GW</v>
          </cell>
        </row>
        <row r="816">
          <cell r="A816" t="str">
            <v>TOWNSEND</v>
          </cell>
        </row>
        <row r="817">
          <cell r="A817" t="str">
            <v>TPWR.STAR</v>
          </cell>
        </row>
        <row r="818">
          <cell r="A818" t="str">
            <v>TROJAN</v>
          </cell>
        </row>
        <row r="819">
          <cell r="A819" t="str">
            <v>TRONA</v>
          </cell>
        </row>
        <row r="820">
          <cell r="A820" t="str">
            <v>Troutdale</v>
          </cell>
        </row>
        <row r="821">
          <cell r="A821" t="str">
            <v>TRY230</v>
          </cell>
        </row>
        <row r="822">
          <cell r="A822" t="str">
            <v>TRY500</v>
          </cell>
        </row>
        <row r="823">
          <cell r="A823" t="str">
            <v>TRY69</v>
          </cell>
        </row>
        <row r="824">
          <cell r="A824" t="str">
            <v>TSGTWSTATION</v>
          </cell>
        </row>
        <row r="825">
          <cell r="A825" t="str">
            <v>Tuolumne</v>
          </cell>
        </row>
        <row r="826">
          <cell r="A826" t="str">
            <v>TURQUOISE115</v>
          </cell>
        </row>
        <row r="827">
          <cell r="A827" t="str">
            <v>UINTA</v>
          </cell>
        </row>
        <row r="828">
          <cell r="A828" t="str">
            <v>UPLC</v>
          </cell>
        </row>
        <row r="829">
          <cell r="A829" t="str">
            <v>UPSK</v>
          </cell>
        </row>
        <row r="830">
          <cell r="A830" t="str">
            <v>VAIL345</v>
          </cell>
        </row>
        <row r="831">
          <cell r="A831" t="str">
            <v>VAL115</v>
          </cell>
        </row>
        <row r="832">
          <cell r="A832" t="str">
            <v>Vansycle</v>
          </cell>
        </row>
        <row r="833">
          <cell r="A833" t="str">
            <v>VEASYS</v>
          </cell>
        </row>
        <row r="834">
          <cell r="A834" t="str">
            <v>VEF</v>
          </cell>
        </row>
        <row r="835">
          <cell r="A835" t="str">
            <v>Vera</v>
          </cell>
        </row>
        <row r="836">
          <cell r="A836" t="str">
            <v>VICTORVILLE</v>
          </cell>
        </row>
        <row r="837">
          <cell r="A837" t="str">
            <v>VILA</v>
          </cell>
        </row>
        <row r="838">
          <cell r="A838" t="str">
            <v>VNL</v>
          </cell>
        </row>
        <row r="839">
          <cell r="A839" t="str">
            <v>VUL</v>
          </cell>
        </row>
        <row r="840">
          <cell r="A840" t="str">
            <v>WACM-WEST</v>
          </cell>
        </row>
        <row r="841">
          <cell r="A841" t="str">
            <v>WACMWSTATION</v>
          </cell>
        </row>
        <row r="842">
          <cell r="A842" t="str">
            <v>WALC.SYS</v>
          </cell>
        </row>
        <row r="843">
          <cell r="A843" t="str">
            <v>WALLAWALLA</v>
          </cell>
        </row>
        <row r="844">
          <cell r="A844" t="str">
            <v>WALNUT</v>
          </cell>
        </row>
        <row r="845">
          <cell r="A845" t="str">
            <v>WALT</v>
          </cell>
        </row>
        <row r="846">
          <cell r="A846" t="str">
            <v>Wasco</v>
          </cell>
        </row>
        <row r="847">
          <cell r="A847" t="str">
            <v>WASN.SYSTEM</v>
          </cell>
        </row>
        <row r="848">
          <cell r="A848" t="str">
            <v>WEED</v>
          </cell>
        </row>
        <row r="849">
          <cell r="A849" t="str">
            <v>West</v>
          </cell>
        </row>
        <row r="850">
          <cell r="A850" t="str">
            <v>WESTLEY</v>
          </cell>
        </row>
        <row r="851">
          <cell r="A851" t="str">
            <v>WESTPHX230</v>
          </cell>
        </row>
        <row r="852">
          <cell r="A852" t="str">
            <v>WestValley</v>
          </cell>
        </row>
        <row r="853">
          <cell r="A853" t="str">
            <v>WESTWING230</v>
          </cell>
        </row>
        <row r="854">
          <cell r="A854" t="str">
            <v>WESTWING345</v>
          </cell>
        </row>
        <row r="855">
          <cell r="A855" t="str">
            <v>WESTWING500</v>
          </cell>
        </row>
        <row r="856">
          <cell r="A856" t="str">
            <v>Weyerhauser2</v>
          </cell>
        </row>
        <row r="857">
          <cell r="A857" t="str">
            <v>WFDE</v>
          </cell>
        </row>
        <row r="858">
          <cell r="A858" t="str">
            <v>Wheatfield</v>
          </cell>
        </row>
        <row r="859">
          <cell r="A859" t="str">
            <v>WheatfieldLD</v>
          </cell>
        </row>
        <row r="860">
          <cell r="A860" t="str">
            <v>WhtCrkWind</v>
          </cell>
        </row>
        <row r="861">
          <cell r="A861" t="str">
            <v>WhtCrkWindLD</v>
          </cell>
        </row>
        <row r="862">
          <cell r="A862" t="str">
            <v>WHY230</v>
          </cell>
        </row>
        <row r="863">
          <cell r="A863" t="str">
            <v>WILC</v>
          </cell>
        </row>
        <row r="864">
          <cell r="A864" t="str">
            <v>WILLARD115</v>
          </cell>
        </row>
        <row r="865">
          <cell r="A865" t="str">
            <v>WILLIAMS69</v>
          </cell>
        </row>
        <row r="866">
          <cell r="A866" t="str">
            <v>WillowCreek</v>
          </cell>
        </row>
        <row r="867">
          <cell r="A867" t="str">
            <v>WINCHESTR345</v>
          </cell>
        </row>
        <row r="868">
          <cell r="A868" t="str">
            <v>WINDRIDGE</v>
          </cell>
        </row>
        <row r="869">
          <cell r="A869" t="str">
            <v>WINTERHAVEN</v>
          </cell>
        </row>
        <row r="870">
          <cell r="A870" t="str">
            <v>WM115</v>
          </cell>
        </row>
        <row r="871">
          <cell r="A871" t="str">
            <v>WM345</v>
          </cell>
        </row>
        <row r="872">
          <cell r="A872" t="str">
            <v>WOODLANDTAP</v>
          </cell>
        </row>
        <row r="873">
          <cell r="A873" t="str">
            <v>WPE</v>
          </cell>
        </row>
        <row r="874">
          <cell r="A874" t="str">
            <v>WPEnergizer</v>
          </cell>
        </row>
        <row r="875">
          <cell r="A875" t="str">
            <v>WRAY</v>
          </cell>
        </row>
        <row r="876">
          <cell r="A876" t="str">
            <v>WRS</v>
          </cell>
        </row>
        <row r="877">
          <cell r="A877" t="str">
            <v>WSTAR</v>
          </cell>
        </row>
        <row r="878">
          <cell r="A878" t="str">
            <v>WY69</v>
          </cell>
        </row>
        <row r="879">
          <cell r="A879" t="str">
            <v>Wynoochee</v>
          </cell>
        </row>
        <row r="880">
          <cell r="A880" t="str">
            <v>WYOCENTRAL</v>
          </cell>
        </row>
        <row r="881">
          <cell r="A881" t="str">
            <v>WYODAK</v>
          </cell>
        </row>
        <row r="882">
          <cell r="A882" t="str">
            <v>WYOEAST</v>
          </cell>
        </row>
        <row r="883">
          <cell r="A883" t="str">
            <v>WYONORTH</v>
          </cell>
        </row>
        <row r="884">
          <cell r="A884" t="str">
            <v>YakamaDPGen</v>
          </cell>
        </row>
        <row r="885">
          <cell r="A885" t="str">
            <v>Yakima</v>
          </cell>
        </row>
        <row r="886">
          <cell r="A886" t="str">
            <v>YakimaPac</v>
          </cell>
        </row>
        <row r="887">
          <cell r="A887" t="str">
            <v>Yamsay230</v>
          </cell>
        </row>
        <row r="888">
          <cell r="A888" t="str">
            <v>YATH</v>
          </cell>
        </row>
        <row r="889">
          <cell r="A889" t="str">
            <v>YEW</v>
          </cell>
        </row>
        <row r="890">
          <cell r="A890" t="str">
            <v>YOCN</v>
          </cell>
        </row>
        <row r="891">
          <cell r="A891" t="str">
            <v>YT115</v>
          </cell>
        </row>
        <row r="892">
          <cell r="A892" t="str">
            <v>YTP</v>
          </cell>
        </row>
        <row r="893">
          <cell r="A893" t="str">
            <v>YTW</v>
          </cell>
        </row>
        <row r="894">
          <cell r="A894" t="str">
            <v>YUCCA</v>
          </cell>
        </row>
        <row r="895">
          <cell r="A895" t="str">
            <v>YUCCA69</v>
          </cell>
        </row>
        <row r="896">
          <cell r="A896" t="str">
            <v>ZP26</v>
          </cell>
        </row>
      </sheetData>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pks2008"/>
      <sheetName val="peakbyagency"/>
      <sheetName val="LU"/>
      <sheetName val="copkdata"/>
      <sheetName val="planreanel"/>
      <sheetName val="BApeakTable"/>
      <sheetName val="BApeakTable1in20"/>
      <sheetName val="BApeakTable1in10"/>
      <sheetName val="BApeakTable1in5"/>
      <sheetName val="BANELTable"/>
      <sheetName val="nelbyagency"/>
      <sheetName val="salesbyagency"/>
      <sheetName val="qfer"/>
      <sheetName val="baynb"/>
      <sheetName val="Sheet1"/>
    </sheetNames>
    <sheetDataSet>
      <sheetData sheetId="0"/>
      <sheetData sheetId="1"/>
      <sheetData sheetId="2"/>
      <sheetData sheetId="3"/>
      <sheetData sheetId="4">
        <row r="4">
          <cell r="B4">
            <v>2007</v>
          </cell>
        </row>
      </sheetData>
      <sheetData sheetId="5"/>
      <sheetData sheetId="6"/>
      <sheetData sheetId="7">
        <row r="93">
          <cell r="A93" t="str">
            <v>Control Area</v>
          </cell>
          <cell r="B93" t="str">
            <v>onein5</v>
          </cell>
          <cell r="C93" t="str">
            <v>1-in-10</v>
          </cell>
          <cell r="D93" t="str">
            <v>1-in-20</v>
          </cell>
        </row>
        <row r="94">
          <cell r="A94" t="str">
            <v>PGE</v>
          </cell>
          <cell r="B94">
            <v>1.0569999999999999</v>
          </cell>
          <cell r="C94">
            <v>1.073</v>
          </cell>
          <cell r="D94">
            <v>1.087</v>
          </cell>
        </row>
        <row r="95">
          <cell r="A95" t="str">
            <v>SCE</v>
          </cell>
          <cell r="B95">
            <v>1.0680000000000001</v>
          </cell>
          <cell r="C95">
            <v>1.0880000000000001</v>
          </cell>
          <cell r="D95">
            <v>1.1040000000000001</v>
          </cell>
        </row>
        <row r="96">
          <cell r="A96" t="str">
            <v>SDGE</v>
          </cell>
          <cell r="B96">
            <v>1.0780000000000001</v>
          </cell>
          <cell r="C96">
            <v>1.1000000000000001</v>
          </cell>
          <cell r="D96">
            <v>1.119</v>
          </cell>
        </row>
        <row r="97">
          <cell r="A97" t="str">
            <v>LADWP</v>
          </cell>
          <cell r="B97">
            <v>1.0663</v>
          </cell>
          <cell r="C97">
            <v>1.0851</v>
          </cell>
          <cell r="D97">
            <v>1.1013999999999999</v>
          </cell>
        </row>
        <row r="98">
          <cell r="A98" t="str">
            <v>SMUD</v>
          </cell>
          <cell r="B98">
            <v>1.0724899999999999</v>
          </cell>
          <cell r="C98">
            <v>1.09301</v>
          </cell>
          <cell r="D98">
            <v>1.11083</v>
          </cell>
        </row>
        <row r="99">
          <cell r="A99" t="str">
            <v>TID</v>
          </cell>
          <cell r="B99">
            <v>1.0527599999999999</v>
          </cell>
          <cell r="C99">
            <v>1.0677000000000001</v>
          </cell>
          <cell r="D99">
            <v>1.08066</v>
          </cell>
        </row>
        <row r="100">
          <cell r="A100" t="str">
            <v>IID</v>
          </cell>
          <cell r="B100">
            <v>1.0676000000000001</v>
          </cell>
          <cell r="C100">
            <v>1.0780000000000001</v>
          </cell>
          <cell r="D100">
            <v>1.117</v>
          </cell>
        </row>
        <row r="101">
          <cell r="A101" t="str">
            <v>LADWPBA</v>
          </cell>
          <cell r="B101">
            <v>1.07633</v>
          </cell>
          <cell r="C101">
            <v>1.0979399999999999</v>
          </cell>
          <cell r="D101">
            <v>1.1167</v>
          </cell>
        </row>
        <row r="102">
          <cell r="A102" t="str">
            <v>SMUDBA</v>
          </cell>
          <cell r="B102">
            <v>1.0710999999999999</v>
          </cell>
          <cell r="C102">
            <v>1.0912299999999999</v>
          </cell>
          <cell r="D102">
            <v>1.1087</v>
          </cell>
        </row>
        <row r="103">
          <cell r="A103" t="str">
            <v>TID</v>
          </cell>
          <cell r="B103">
            <v>1.0653900000000001</v>
          </cell>
          <cell r="C103">
            <v>1.0839000000000001</v>
          </cell>
          <cell r="D103">
            <v>1.0999699999999999</v>
          </cell>
        </row>
        <row r="104">
          <cell r="A104" t="str">
            <v>SP26</v>
          </cell>
          <cell r="B104">
            <v>1.0730999999999999</v>
          </cell>
          <cell r="C104">
            <v>1.09379</v>
          </cell>
          <cell r="D104">
            <v>1.11175</v>
          </cell>
        </row>
        <row r="105">
          <cell r="A105" t="str">
            <v>GBAY</v>
          </cell>
          <cell r="B105">
            <v>1.0579099999999999</v>
          </cell>
          <cell r="C105">
            <v>1.0743100000000001</v>
          </cell>
          <cell r="D105">
            <v>1.0885400000000001</v>
          </cell>
        </row>
        <row r="106">
          <cell r="A106" t="str">
            <v>BCVTOTAL</v>
          </cell>
          <cell r="B106">
            <v>1.054</v>
          </cell>
          <cell r="C106">
            <v>1.069</v>
          </cell>
          <cell r="D106">
            <v>1.0820000000000001</v>
          </cell>
        </row>
        <row r="107">
          <cell r="A107" t="str">
            <v>labasinlra</v>
          </cell>
          <cell r="B107">
            <v>1.077</v>
          </cell>
          <cell r="C107">
            <v>1.0980000000000001</v>
          </cell>
          <cell r="D107">
            <v>1.117</v>
          </cell>
        </row>
        <row r="108">
          <cell r="C108">
            <v>0</v>
          </cell>
        </row>
      </sheetData>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hyperlink" Target="https://www.bvesinc.com/assets/documents/efficiency-and-environment/bves_public_v1.pdf"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8.xml.rels><?xml version="1.0" encoding="UTF-8" standalone="yes"?>
<Relationships xmlns="http://schemas.openxmlformats.org/package/2006/relationships"><Relationship Id="rId3" Type="http://schemas.openxmlformats.org/officeDocument/2006/relationships/hyperlink" Target="https://www.pacificorp.com/content/dam/pcorp/documents/en/pacificorp/energy/integrated-resource-plan/2025-irp/2025_IRP_Update.pdf" TargetMode="External"/><Relationship Id="rId2" Type="http://schemas.openxmlformats.org/officeDocument/2006/relationships/hyperlink" Target="https://www.pacificorp.com/content/dam/pcorp/documents/en/pacificorp/energy/integrated-resource-plan/2025-irp/2025_IRP_Update.pdf" TargetMode="External"/><Relationship Id="rId1" Type="http://schemas.openxmlformats.org/officeDocument/2006/relationships/hyperlink" Target="https://www.pacificorp.com/content/dam/pcorp/documents/en/pacificorp/energy/integrated-resource-plan/2025-irp/2025_IRP_Update.pdf" TargetMode="External"/><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
  <sheetViews>
    <sheetView tabSelected="1" zoomScale="70" zoomScaleNormal="70" workbookViewId="0">
      <selection activeCell="A2" sqref="A2"/>
    </sheetView>
  </sheetViews>
  <sheetFormatPr defaultColWidth="8.7109375" defaultRowHeight="15.75"/>
  <cols>
    <col min="1" max="1" width="121.5703125" style="15" customWidth="1"/>
  </cols>
  <sheetData>
    <row r="1" spans="1:1" ht="51.6" customHeight="1">
      <c r="A1" s="204" t="s">
        <v>706</v>
      </c>
    </row>
    <row r="2" spans="1:1" ht="45.75">
      <c r="A2" s="205" t="s">
        <v>705</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0E2F1-8E57-4D47-9DF8-6728EEAA81CC}">
  <sheetPr codeName="Sheet38"/>
  <dimension ref="A1:L16"/>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8</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60">
      <c r="A3" s="130" t="s">
        <v>584</v>
      </c>
      <c r="B3" s="134">
        <f>98427.6165132743*(1+$H$8)</f>
        <v>100958.7851848875</v>
      </c>
      <c r="C3" s="134">
        <f>B3*(1+$H$8)</f>
        <v>103555.04549511914</v>
      </c>
      <c r="D3" s="134">
        <f>C3*(1+$H$8)</f>
        <v>106218.07134324963</v>
      </c>
      <c r="E3" s="134">
        <f>D3*(1+$H$8)</f>
        <v>108949.57967462276</v>
      </c>
      <c r="F3" s="141" t="s">
        <v>670</v>
      </c>
      <c r="H3" s="132">
        <v>0.95946199709706936</v>
      </c>
      <c r="I3" s="123" t="s">
        <v>676</v>
      </c>
    </row>
    <row r="4" spans="1:12" s="7" customFormat="1">
      <c r="A4" s="130" t="s">
        <v>217</v>
      </c>
      <c r="B4" s="134">
        <f>SUMIFS('Form 1.1c (CEC 2025a)'!G:G, 'Form 1.1c (CEC 2025a)'!$B:$B, "Anza Electric Cooperative, Inc.")*1000</f>
        <v>67767.645282756683</v>
      </c>
      <c r="C4" s="134">
        <f>SUMIFS('Form 1.1c (CEC 2025a)'!H:H, 'Form 1.1c (CEC 2025a)'!$B:$B, "Anza Electric Cooperative, Inc.")*1000</f>
        <v>71104.857390556281</v>
      </c>
      <c r="D4" s="134">
        <f>SUMIFS('Form 1.1c (CEC 2025a)'!I:I, 'Form 1.1c (CEC 2025a)'!$B:$B, "Anza Electric Cooperative, Inc.")*1000</f>
        <v>74853.053123816091</v>
      </c>
      <c r="E4" s="134">
        <f>SUMIFS('Form 1.1c (CEC 2025a)'!J:J, 'Form 1.1c (CEC 2025a)'!$B:$B, "Anza Electric Cooperative, Inc.")*1000</f>
        <v>78953.106017377111</v>
      </c>
      <c r="F4" s="123" t="s">
        <v>575</v>
      </c>
      <c r="H4" s="122">
        <f>0.15</f>
        <v>0.15</v>
      </c>
      <c r="I4" s="123" t="s">
        <v>498</v>
      </c>
    </row>
    <row r="5" spans="1:12" s="7" customFormat="1" ht="45">
      <c r="A5" s="130" t="s">
        <v>585</v>
      </c>
      <c r="B5" s="131">
        <f>B4*(1+$H$4)</f>
        <v>77932.792075170175</v>
      </c>
      <c r="C5" s="131">
        <f t="shared" ref="C5:E5" si="0">C4*(1+$H$4)</f>
        <v>81770.585999139716</v>
      </c>
      <c r="D5" s="131">
        <f t="shared" si="0"/>
        <v>86081.011092388493</v>
      </c>
      <c r="E5" s="131">
        <f t="shared" si="0"/>
        <v>90796.071919983675</v>
      </c>
      <c r="F5" s="123" t="s">
        <v>678</v>
      </c>
      <c r="H5" s="122">
        <f>0.07</f>
        <v>7.0000000000000007E-2</v>
      </c>
      <c r="I5" s="123" t="s">
        <v>499</v>
      </c>
    </row>
    <row r="6" spans="1:12" s="7" customFormat="1">
      <c r="A6" s="130" t="s">
        <v>500</v>
      </c>
      <c r="B6" s="131">
        <v>9014.3333333333339</v>
      </c>
      <c r="C6" s="131">
        <v>9014.3333333333339</v>
      </c>
      <c r="D6" s="131">
        <v>9014.3333333333339</v>
      </c>
      <c r="E6" s="131">
        <v>9014.3333333333339</v>
      </c>
      <c r="F6" s="133" t="s">
        <v>519</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3768.333333333333</v>
      </c>
      <c r="C8" s="131">
        <v>3768.333333333333</v>
      </c>
      <c r="D8" s="131">
        <v>3768.333333333333</v>
      </c>
      <c r="E8" s="131">
        <v>3768.333333333333</v>
      </c>
      <c r="F8" s="133" t="s">
        <v>519</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26429.381660275107</v>
      </c>
      <c r="C10" s="131">
        <f t="shared" si="1"/>
        <v>29152.991530128074</v>
      </c>
      <c r="D10" s="131">
        <f t="shared" si="1"/>
        <v>32186.812843240918</v>
      </c>
      <c r="E10" s="131">
        <f t="shared" si="1"/>
        <v>35528.897707819699</v>
      </c>
      <c r="F10" s="123" t="s">
        <v>587</v>
      </c>
      <c r="I10" s="12"/>
    </row>
    <row r="11" spans="1:12" s="7" customFormat="1" ht="30">
      <c r="A11" s="130" t="s">
        <v>505</v>
      </c>
      <c r="B11" s="131">
        <f t="shared" ref="B11:E11" si="2">MAX(B5-SUM(B6:B8,B10), B5*$H$6)</f>
        <v>38720.7437482284</v>
      </c>
      <c r="C11" s="131">
        <f t="shared" si="2"/>
        <v>39834.927802344973</v>
      </c>
      <c r="D11" s="131">
        <f t="shared" si="2"/>
        <v>41111.531582480908</v>
      </c>
      <c r="E11" s="131">
        <f t="shared" si="2"/>
        <v>42484.507545497312</v>
      </c>
      <c r="F11" s="123" t="s">
        <v>589</v>
      </c>
    </row>
    <row r="12" spans="1:12" s="7" customFormat="1" ht="46.5">
      <c r="A12" s="130" t="s">
        <v>507</v>
      </c>
      <c r="B12" s="131">
        <f>B6*$H$3+B11*$H$2</f>
        <v>25507.922090477332</v>
      </c>
      <c r="C12" s="131">
        <f>C6*$H$3+C11*$H$2</f>
        <v>25993.037827639688</v>
      </c>
      <c r="D12" s="131">
        <f>D6*$H$3+D11*$H$2</f>
        <v>26548.871113510868</v>
      </c>
      <c r="E12" s="131">
        <f>E6*$H$3+E11*$H$2</f>
        <v>27146.664847808213</v>
      </c>
      <c r="F12" s="136" t="s">
        <v>508</v>
      </c>
    </row>
    <row r="13" spans="1:12" s="7" customFormat="1" ht="72.400000000000006" customHeight="1">
      <c r="A13" s="130"/>
      <c r="B13" s="226" t="s">
        <v>557</v>
      </c>
      <c r="C13" s="227"/>
      <c r="D13" s="228"/>
      <c r="E13" s="137">
        <v>0</v>
      </c>
      <c r="F13" s="136" t="s">
        <v>686</v>
      </c>
    </row>
    <row r="14" spans="1:12" s="7" customFormat="1" ht="33">
      <c r="A14" s="130" t="s">
        <v>509</v>
      </c>
      <c r="B14" s="193">
        <f t="shared" ref="B14:E14" si="3">B12/B5</f>
        <v>0.32730666271873887</v>
      </c>
      <c r="C14" s="193">
        <f t="shared" si="3"/>
        <v>0.31787760244145924</v>
      </c>
      <c r="D14" s="193">
        <f t="shared" si="3"/>
        <v>0.30841727782468376</v>
      </c>
      <c r="E14" s="193">
        <f t="shared" si="3"/>
        <v>0.29898501415052292</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25507.922090477332</v>
      </c>
      <c r="C16" s="8">
        <f>C12-C15</f>
        <v>25993.037827639688</v>
      </c>
      <c r="D16" s="8">
        <f>D12-D15</f>
        <v>26548.871113510868</v>
      </c>
      <c r="E16" s="8">
        <f>E12-E15</f>
        <v>27146.664847808213</v>
      </c>
      <c r="F16" s="10" t="s">
        <v>514</v>
      </c>
      <c r="J16" s="7"/>
      <c r="K16" s="7"/>
      <c r="L16" s="7"/>
    </row>
  </sheetData>
  <mergeCells count="3">
    <mergeCell ref="B13:D13"/>
    <mergeCell ref="B1:F1"/>
    <mergeCell ref="H1:I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40ED-D83A-40B7-A04D-11F412C6E082}">
  <sheetPr codeName="Sheet39"/>
  <dimension ref="A1:L17"/>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15</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60">
      <c r="A3" s="130" t="s">
        <v>584</v>
      </c>
      <c r="B3" s="134">
        <f>255191.313019803*(1+$H$8)</f>
        <v>261753.82341744582</v>
      </c>
      <c r="C3" s="134">
        <f>B3*(1+$H$8)</f>
        <v>268485.09560485941</v>
      </c>
      <c r="D3" s="134">
        <f>C3*(1+$H$8)</f>
        <v>275389.46946723416</v>
      </c>
      <c r="E3" s="134">
        <f>D3*(1+$H$8)</f>
        <v>282471.39649442816</v>
      </c>
      <c r="F3" s="123" t="s">
        <v>669</v>
      </c>
      <c r="H3" s="132">
        <v>0.95946199709706936</v>
      </c>
      <c r="I3" s="123" t="s">
        <v>676</v>
      </c>
    </row>
    <row r="4" spans="1:12" s="7" customFormat="1">
      <c r="A4" s="130" t="s">
        <v>217</v>
      </c>
      <c r="B4" s="131">
        <f>SUMIFS('Form 1.1c (CEC 2025a)'!G:G, 'Form 1.1c (CEC 2025a)'!$B:$B, "Azusa Light and Water")*1000</f>
        <v>248746.48135780211</v>
      </c>
      <c r="C4" s="131">
        <f>SUMIFS('Form 1.1c (CEC 2025a)'!H:H, 'Form 1.1c (CEC 2025a)'!$B:$B, "Azusa Light and Water")*1000</f>
        <v>257682.46705329028</v>
      </c>
      <c r="D4" s="131">
        <f>SUMIFS('Form 1.1c (CEC 2025a)'!I:I, 'Form 1.1c (CEC 2025a)'!$B:$B, "Azusa Light and Water")*1000</f>
        <v>267688.98706378893</v>
      </c>
      <c r="E4" s="131">
        <f>SUMIFS('Form 1.1c (CEC 2025a)'!J:J, 'Form 1.1c (CEC 2025a)'!$B:$B, "Azusa Light and Water")*1000</f>
        <v>278548.40814598516</v>
      </c>
      <c r="F4" s="123" t="s">
        <v>575</v>
      </c>
      <c r="H4" s="122">
        <f>0.15</f>
        <v>0.15</v>
      </c>
      <c r="I4" s="123" t="s">
        <v>498</v>
      </c>
    </row>
    <row r="5" spans="1:12" s="7" customFormat="1" ht="30">
      <c r="A5" s="130" t="s">
        <v>585</v>
      </c>
      <c r="B5" s="131">
        <f t="shared" ref="B5:E5" si="0">IF(0&lt;(B4-B3),B4*(1+$H$5),B3)</f>
        <v>261753.82341744582</v>
      </c>
      <c r="C5" s="131">
        <f t="shared" si="0"/>
        <v>268485.09560485941</v>
      </c>
      <c r="D5" s="131">
        <f t="shared" si="0"/>
        <v>275389.46946723416</v>
      </c>
      <c r="E5" s="131">
        <f t="shared" si="0"/>
        <v>282471.39649442816</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18613.333333333332</v>
      </c>
      <c r="C7" s="131">
        <v>18613.333333333332</v>
      </c>
      <c r="D7" s="131">
        <v>18613.333333333332</v>
      </c>
      <c r="E7" s="131">
        <v>18613.333333333332</v>
      </c>
      <c r="F7" s="123" t="s">
        <v>565</v>
      </c>
      <c r="I7" s="12"/>
    </row>
    <row r="8" spans="1:12" s="7" customFormat="1" ht="30">
      <c r="A8" s="130" t="s">
        <v>502</v>
      </c>
      <c r="B8" s="134">
        <v>3266.666666666667</v>
      </c>
      <c r="C8" s="134">
        <v>3266.666666666667</v>
      </c>
      <c r="D8" s="134">
        <v>3266.666666666667</v>
      </c>
      <c r="E8" s="134">
        <v>3266.666666666667</v>
      </c>
      <c r="F8" s="123" t="s">
        <v>565</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97011.12772954283</v>
      </c>
      <c r="C10" s="131">
        <f t="shared" si="1"/>
        <v>105649.811491849</v>
      </c>
      <c r="D10" s="131">
        <f t="shared" si="1"/>
        <v>115106.26443742924</v>
      </c>
      <c r="E10" s="131">
        <f t="shared" si="1"/>
        <v>125346.78366569332</v>
      </c>
      <c r="F10" s="123" t="s">
        <v>587</v>
      </c>
    </row>
    <row r="11" spans="1:12" s="7" customFormat="1" ht="30">
      <c r="A11" s="130" t="s">
        <v>505</v>
      </c>
      <c r="B11" s="131">
        <f t="shared" ref="B11:E11" si="2">MAX(B5-SUM(B6:B8,B10), B5*$H$6)</f>
        <v>142862.69568790297</v>
      </c>
      <c r="C11" s="131">
        <f t="shared" si="2"/>
        <v>140955.28411301039</v>
      </c>
      <c r="D11" s="131">
        <f t="shared" si="2"/>
        <v>138403.2050298049</v>
      </c>
      <c r="E11" s="131">
        <f t="shared" si="2"/>
        <v>135244.61282873485</v>
      </c>
      <c r="F11" s="123" t="s">
        <v>589</v>
      </c>
    </row>
    <row r="12" spans="1:12" s="7" customFormat="1" ht="46.5">
      <c r="A12" s="130" t="s">
        <v>507</v>
      </c>
      <c r="B12" s="131">
        <f>B6*$H$3+B11*$H$2</f>
        <v>62202.417702512954</v>
      </c>
      <c r="C12" s="131">
        <f>C6*$H$3+C11*$H$2</f>
        <v>61371.930702804726</v>
      </c>
      <c r="D12" s="131">
        <f>D6*$H$3+D11*$H$2</f>
        <v>60260.755469977055</v>
      </c>
      <c r="E12" s="131">
        <f>E6*$H$3+E11*$H$2</f>
        <v>58885.504425631159</v>
      </c>
      <c r="F12" s="136" t="s">
        <v>508</v>
      </c>
    </row>
    <row r="13" spans="1:12" s="7" customFormat="1" ht="72.400000000000006" customHeight="1">
      <c r="A13" s="130"/>
      <c r="B13" s="226" t="s">
        <v>557</v>
      </c>
      <c r="C13" s="227"/>
      <c r="D13" s="228"/>
      <c r="E13" s="137">
        <v>0</v>
      </c>
      <c r="F13" s="136" t="s">
        <v>686</v>
      </c>
    </row>
    <row r="14" spans="1:12" s="7" customFormat="1" ht="33">
      <c r="A14" s="130" t="s">
        <v>509</v>
      </c>
      <c r="B14" s="193">
        <f t="shared" ref="B14:E14" si="3">B12/B5</f>
        <v>0.23763709309152037</v>
      </c>
      <c r="C14" s="193">
        <f t="shared" si="3"/>
        <v>0.22858598748113873</v>
      </c>
      <c r="D14" s="193">
        <f t="shared" si="3"/>
        <v>0.21882011533177698</v>
      </c>
      <c r="E14" s="193">
        <f t="shared" si="3"/>
        <v>0.20846537085319608</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62202.417702512954</v>
      </c>
      <c r="C16" s="8">
        <f>C12-C15</f>
        <v>61371.930702804726</v>
      </c>
      <c r="D16" s="8">
        <f>D12-D15</f>
        <v>60260.755469977055</v>
      </c>
      <c r="E16" s="8">
        <f>E12-E15</f>
        <v>58885.504425631159</v>
      </c>
      <c r="F16" s="10" t="s">
        <v>514</v>
      </c>
      <c r="J16" s="7"/>
      <c r="K16" s="7"/>
      <c r="L16" s="7"/>
    </row>
    <row r="17" spans="1:12">
      <c r="A17" s="9"/>
      <c r="B17" s="9"/>
      <c r="C17" s="9"/>
      <c r="D17" s="9"/>
      <c r="E17" s="9"/>
      <c r="J17" s="7"/>
      <c r="K17" s="7"/>
      <c r="L17" s="7"/>
    </row>
  </sheetData>
  <mergeCells count="3">
    <mergeCell ref="B13:D13"/>
    <mergeCell ref="B1:F1"/>
    <mergeCell ref="H1:I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E4E14-9633-4D2E-A36E-3D6CCBBF37B6}">
  <sheetPr codeName="Sheet41"/>
  <dimension ref="A1:L17"/>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16</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60">
      <c r="A3" s="130" t="s">
        <v>584</v>
      </c>
      <c r="B3" s="134">
        <f>164665.034249936*(1+$H$8)</f>
        <v>168899.56710532971</v>
      </c>
      <c r="C3" s="134">
        <f>B3*(1+$H$8)</f>
        <v>173242.99538339215</v>
      </c>
      <c r="D3" s="134">
        <f>C3*(1+$H$8)</f>
        <v>177698.11944333251</v>
      </c>
      <c r="E3" s="134">
        <f>D3*(1+$H$8)</f>
        <v>182267.81165851364</v>
      </c>
      <c r="F3" s="123" t="s">
        <v>669</v>
      </c>
      <c r="H3" s="132">
        <v>0.95946199709706936</v>
      </c>
      <c r="I3" s="123" t="s">
        <v>676</v>
      </c>
    </row>
    <row r="4" spans="1:12" s="7" customFormat="1">
      <c r="A4" s="130" t="s">
        <v>217</v>
      </c>
      <c r="B4" s="131">
        <f>SUMIFS('Form 1.1c (CEC 2025a)'!G:G, 'Form 1.1c (CEC 2025a)'!$B:$B, "Banning, City of")*1000</f>
        <v>159200.27288478534</v>
      </c>
      <c r="C4" s="131">
        <f>SUMIFS('Form 1.1c (CEC 2025a)'!H:H, 'Form 1.1c (CEC 2025a)'!$B:$B, "Banning, City of")*1000</f>
        <v>164986.33322502012</v>
      </c>
      <c r="D4" s="131">
        <f>SUMIFS('Form 1.1c (CEC 2025a)'!I:I, 'Form 1.1c (CEC 2025a)'!$B:$B, "Banning, City of")*1000</f>
        <v>171764.33013744847</v>
      </c>
      <c r="E4" s="131">
        <f>SUMIFS('Form 1.1c (CEC 2025a)'!J:J, 'Form 1.1c (CEC 2025a)'!$B:$B, "Banning, City of")*1000</f>
        <v>179026.64882221422</v>
      </c>
      <c r="F4" s="123" t="s">
        <v>575</v>
      </c>
      <c r="H4" s="122">
        <f>0.15</f>
        <v>0.15</v>
      </c>
      <c r="I4" s="123" t="s">
        <v>498</v>
      </c>
    </row>
    <row r="5" spans="1:12" s="7" customFormat="1" ht="30">
      <c r="A5" s="130" t="s">
        <v>585</v>
      </c>
      <c r="B5" s="131">
        <f t="shared" ref="B5:E5" si="0">IF(0&lt;(B4-B3),B4*(1+$H$5),B3)</f>
        <v>168899.56710532971</v>
      </c>
      <c r="C5" s="131">
        <f t="shared" si="0"/>
        <v>173242.99538339215</v>
      </c>
      <c r="D5" s="131">
        <f t="shared" si="0"/>
        <v>177698.11944333251</v>
      </c>
      <c r="E5" s="131">
        <f t="shared" si="0"/>
        <v>182267.81165851364</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18856.666666666664</v>
      </c>
      <c r="C7" s="131">
        <v>18856.666666666664</v>
      </c>
      <c r="D7" s="131">
        <v>18856.666666666664</v>
      </c>
      <c r="E7" s="131">
        <v>18856.666666666664</v>
      </c>
      <c r="F7" s="123" t="s">
        <v>565</v>
      </c>
      <c r="I7" s="12"/>
    </row>
    <row r="8" spans="1:12" s="7" customFormat="1" ht="30">
      <c r="A8" s="130" t="s">
        <v>502</v>
      </c>
      <c r="B8" s="134">
        <v>1243.3333333333333</v>
      </c>
      <c r="C8" s="134">
        <v>1243.3333333333333</v>
      </c>
      <c r="D8" s="134">
        <v>1243.3333333333333</v>
      </c>
      <c r="E8" s="134">
        <v>1243.3333333333333</v>
      </c>
      <c r="F8" s="123" t="s">
        <v>565</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62088.106425066289</v>
      </c>
      <c r="C10" s="131">
        <f t="shared" si="1"/>
        <v>67644.396622258238</v>
      </c>
      <c r="D10" s="131">
        <f t="shared" si="1"/>
        <v>73858.661959102843</v>
      </c>
      <c r="E10" s="131">
        <f t="shared" si="1"/>
        <v>80561.991969996408</v>
      </c>
      <c r="F10" s="123" t="s">
        <v>587</v>
      </c>
    </row>
    <row r="11" spans="1:12" s="7" customFormat="1" ht="30">
      <c r="A11" s="130" t="s">
        <v>505</v>
      </c>
      <c r="B11" s="131">
        <f t="shared" ref="B11:E11" si="2">MAX(B5-SUM(B6:B8,B10), B5*$H$6)</f>
        <v>86711.460680263423</v>
      </c>
      <c r="C11" s="131">
        <f t="shared" si="2"/>
        <v>85498.598761133908</v>
      </c>
      <c r="D11" s="131">
        <f t="shared" si="2"/>
        <v>83739.457484229672</v>
      </c>
      <c r="E11" s="131">
        <f t="shared" si="2"/>
        <v>81605.819688517237</v>
      </c>
      <c r="F11" s="123" t="s">
        <v>589</v>
      </c>
    </row>
    <row r="12" spans="1:12" s="7" customFormat="1" ht="46.5">
      <c r="A12" s="130" t="s">
        <v>507</v>
      </c>
      <c r="B12" s="131">
        <f>B6*$H$3+B11*$H$2</f>
        <v>37754.169980186693</v>
      </c>
      <c r="C12" s="131">
        <f>C6*$H$3+C11*$H$2</f>
        <v>37226.089900597704</v>
      </c>
      <c r="D12" s="131">
        <f>D6*$H$3+D11*$H$2</f>
        <v>36460.159788633602</v>
      </c>
      <c r="E12" s="131">
        <f>E6*$H$3+E11*$H$2</f>
        <v>35531.173892380408</v>
      </c>
      <c r="F12" s="136" t="s">
        <v>508</v>
      </c>
    </row>
    <row r="13" spans="1:12" s="7" customFormat="1" ht="72.400000000000006" customHeight="1">
      <c r="A13" s="130"/>
      <c r="B13" s="226" t="s">
        <v>557</v>
      </c>
      <c r="C13" s="227"/>
      <c r="D13" s="228"/>
      <c r="E13" s="137">
        <v>0</v>
      </c>
      <c r="F13" s="136" t="s">
        <v>686</v>
      </c>
    </row>
    <row r="14" spans="1:12" s="7" customFormat="1" ht="33">
      <c r="A14" s="130" t="s">
        <v>509</v>
      </c>
      <c r="B14" s="193">
        <f t="shared" ref="B14:E14" si="3">B12/B5</f>
        <v>0.22353029452492504</v>
      </c>
      <c r="C14" s="193">
        <f t="shared" si="3"/>
        <v>0.21487789343641403</v>
      </c>
      <c r="D14" s="193">
        <f t="shared" si="3"/>
        <v>0.20518033563242438</v>
      </c>
      <c r="E14" s="193">
        <f t="shared" si="3"/>
        <v>0.19493937831957706</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37754.169980186693</v>
      </c>
      <c r="C16" s="8">
        <f>C12-C15</f>
        <v>37226.089900597704</v>
      </c>
      <c r="D16" s="8">
        <f>D12-D15</f>
        <v>36460.159788633602</v>
      </c>
      <c r="E16" s="8">
        <f>E12-E15</f>
        <v>35531.173892380408</v>
      </c>
      <c r="F16" s="10" t="s">
        <v>514</v>
      </c>
      <c r="J16" s="7"/>
      <c r="K16" s="7"/>
      <c r="L16" s="7"/>
    </row>
    <row r="17" spans="1:12" s="1" customFormat="1">
      <c r="A17" s="9"/>
      <c r="B17" s="9"/>
      <c r="C17" s="9"/>
      <c r="D17" s="9"/>
      <c r="E17" s="9"/>
      <c r="G17"/>
      <c r="H17"/>
      <c r="I17"/>
      <c r="J17"/>
      <c r="K17"/>
      <c r="L17"/>
    </row>
  </sheetData>
  <mergeCells count="3">
    <mergeCell ref="B13:D13"/>
    <mergeCell ref="B1:F1"/>
    <mergeCell ref="H1:I1"/>
  </mergeCells>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5BAB0-54F9-442C-BF99-F32F9BF1D6A4}">
  <sheetPr codeName="Sheet42"/>
  <dimension ref="A1:N19"/>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4" s="7" customFormat="1" ht="29.1" customHeight="1">
      <c r="A1" s="125" t="s">
        <v>9</v>
      </c>
      <c r="B1" s="223" t="s">
        <v>671</v>
      </c>
      <c r="C1" s="224"/>
      <c r="D1" s="224"/>
      <c r="E1" s="224"/>
      <c r="F1" s="225"/>
      <c r="H1" s="229" t="s">
        <v>4</v>
      </c>
      <c r="I1" s="230"/>
      <c r="J1" s="2"/>
    </row>
    <row r="2" spans="1:14" s="7" customFormat="1" ht="33">
      <c r="A2" s="126" t="s">
        <v>496</v>
      </c>
      <c r="B2" s="127">
        <v>2027</v>
      </c>
      <c r="C2" s="127">
        <v>2028</v>
      </c>
      <c r="D2" s="127">
        <v>2029</v>
      </c>
      <c r="E2" s="128">
        <v>2030</v>
      </c>
      <c r="F2" s="129" t="s">
        <v>497</v>
      </c>
      <c r="H2" s="120">
        <v>0.43540000000000001</v>
      </c>
      <c r="I2" s="62" t="s">
        <v>7</v>
      </c>
    </row>
    <row r="3" spans="1:14" s="7" customFormat="1" ht="30">
      <c r="A3" s="130" t="s">
        <v>584</v>
      </c>
      <c r="B3" s="131">
        <f>B4/(1-$H$5)</f>
        <v>157376.38511208462</v>
      </c>
      <c r="C3" s="131">
        <f>C4/(1-$H$5)</f>
        <v>164433.77431280329</v>
      </c>
      <c r="D3" s="131">
        <f>D4/(1-$H$5)</f>
        <v>171322.01623025766</v>
      </c>
      <c r="E3" s="131">
        <f>E4/(1-$H$5)</f>
        <v>178867.53060262051</v>
      </c>
      <c r="F3" s="123" t="s">
        <v>594</v>
      </c>
      <c r="H3" s="132">
        <v>0.95946199709706936</v>
      </c>
      <c r="I3" s="123" t="s">
        <v>676</v>
      </c>
    </row>
    <row r="4" spans="1:14" s="7" customFormat="1">
      <c r="A4" s="130" t="s">
        <v>217</v>
      </c>
      <c r="B4" s="131">
        <f>SUMIFS('Form 1.1c (CEC 2025a)'!G:G, 'Form 1.1c (CEC 2025a)'!$B:$B, "Bear Valley Electric Service")*1000</f>
        <v>146360.03815423869</v>
      </c>
      <c r="C4" s="131">
        <f>SUMIFS('Form 1.1c (CEC 2025a)'!H:H, 'Form 1.1c (CEC 2025a)'!$B:$B, "Bear Valley Electric Service")*1000</f>
        <v>152923.41011090705</v>
      </c>
      <c r="D4" s="131">
        <f>SUMIFS('Form 1.1c (CEC 2025a)'!I:I, 'Form 1.1c (CEC 2025a)'!$B:$B, "Bear Valley Electric Service")*1000</f>
        <v>159329.47509413961</v>
      </c>
      <c r="E4" s="131">
        <f>SUMIFS('Form 1.1c (CEC 2025a)'!J:J, 'Form 1.1c (CEC 2025a)'!$B:$B, "Bear Valley Electric Service")*1000</f>
        <v>166346.80346043705</v>
      </c>
      <c r="F4" s="123" t="s">
        <v>575</v>
      </c>
      <c r="H4" s="122">
        <f>0.15</f>
        <v>0.15</v>
      </c>
      <c r="I4" s="123" t="s">
        <v>498</v>
      </c>
    </row>
    <row r="5" spans="1:14" s="7" customFormat="1" ht="30">
      <c r="A5" s="130" t="s">
        <v>585</v>
      </c>
      <c r="B5" s="131">
        <f t="shared" ref="B5:E5" si="0">IF(0&lt;(B4-B3),B4*(1+$H$5),B3)</f>
        <v>157376.38511208462</v>
      </c>
      <c r="C5" s="131">
        <f t="shared" si="0"/>
        <v>164433.77431280329</v>
      </c>
      <c r="D5" s="131">
        <f t="shared" si="0"/>
        <v>171322.01623025766</v>
      </c>
      <c r="E5" s="131">
        <f t="shared" si="0"/>
        <v>178867.53060262051</v>
      </c>
      <c r="F5" s="123" t="s">
        <v>586</v>
      </c>
      <c r="H5" s="122">
        <v>7.0000000000000007E-2</v>
      </c>
      <c r="I5" s="123" t="s">
        <v>499</v>
      </c>
    </row>
    <row r="6" spans="1:14" s="7" customFormat="1" ht="32.25">
      <c r="A6" s="130" t="s">
        <v>500</v>
      </c>
      <c r="B6" s="131">
        <v>0</v>
      </c>
      <c r="C6" s="131">
        <v>0</v>
      </c>
      <c r="D6" s="131">
        <v>0</v>
      </c>
      <c r="E6" s="131">
        <v>0</v>
      </c>
      <c r="F6" s="172" t="s">
        <v>592</v>
      </c>
      <c r="H6" s="124">
        <v>0.05</v>
      </c>
      <c r="I6" s="123" t="s">
        <v>516</v>
      </c>
    </row>
    <row r="7" spans="1:14" s="7" customFormat="1" ht="32.25">
      <c r="A7" s="130" t="s">
        <v>501</v>
      </c>
      <c r="B7" s="131">
        <v>0</v>
      </c>
      <c r="C7" s="131">
        <v>0</v>
      </c>
      <c r="D7" s="131">
        <v>0</v>
      </c>
      <c r="E7" s="131">
        <v>0</v>
      </c>
      <c r="F7" s="172" t="s">
        <v>591</v>
      </c>
      <c r="I7" s="12"/>
    </row>
    <row r="8" spans="1:14" s="7" customFormat="1" ht="32.25">
      <c r="A8" s="130" t="s">
        <v>502</v>
      </c>
      <c r="B8" s="131">
        <v>0</v>
      </c>
      <c r="C8" s="131">
        <v>0</v>
      </c>
      <c r="D8" s="131">
        <v>0</v>
      </c>
      <c r="E8" s="131">
        <v>0</v>
      </c>
      <c r="F8" s="172" t="s">
        <v>591</v>
      </c>
      <c r="H8" s="135">
        <f>SUMIFS('Form 1.5a (CEC 2025a)'!U:U, 'Form 1.5a (CEC 2025a)'!$B:$B, "Other SP15 LSEs - LA Basin")</f>
        <v>2.5716041506215204E-2</v>
      </c>
      <c r="I8" s="123" t="s">
        <v>579</v>
      </c>
    </row>
    <row r="9" spans="1:14" s="7" customFormat="1" ht="75">
      <c r="A9" s="130" t="s">
        <v>503</v>
      </c>
      <c r="B9" s="203">
        <v>0.39</v>
      </c>
      <c r="C9" s="203">
        <v>0.41</v>
      </c>
      <c r="D9" s="203">
        <v>0.43</v>
      </c>
      <c r="E9" s="203">
        <v>0.45</v>
      </c>
      <c r="F9" s="123" t="s">
        <v>690</v>
      </c>
      <c r="H9" s="16"/>
      <c r="I9" s="2"/>
    </row>
    <row r="10" spans="1:14" s="7" customFormat="1">
      <c r="A10" s="130" t="s">
        <v>504</v>
      </c>
      <c r="B10" s="131">
        <f t="shared" ref="B10:E10" si="1">B4*B9</f>
        <v>57080.41488015309</v>
      </c>
      <c r="C10" s="131">
        <f t="shared" si="1"/>
        <v>62698.598145471886</v>
      </c>
      <c r="D10" s="131">
        <f t="shared" si="1"/>
        <v>68511.674290480034</v>
      </c>
      <c r="E10" s="131">
        <f t="shared" si="1"/>
        <v>74856.061557196677</v>
      </c>
      <c r="F10" s="123" t="s">
        <v>587</v>
      </c>
      <c r="J10" s="168"/>
      <c r="K10" s="168"/>
      <c r="L10" s="168"/>
      <c r="M10" s="168"/>
      <c r="N10" s="169"/>
    </row>
    <row r="11" spans="1:14" s="7" customFormat="1" ht="30">
      <c r="A11" s="130" t="s">
        <v>505</v>
      </c>
      <c r="B11" s="131">
        <f t="shared" ref="B11:E11" si="2">MAX(B5-SUM(B6:B8,B10), B5*$H$6)</f>
        <v>100295.97023193154</v>
      </c>
      <c r="C11" s="131">
        <f t="shared" si="2"/>
        <v>101735.1761673314</v>
      </c>
      <c r="D11" s="131">
        <f t="shared" si="2"/>
        <v>102810.34193977763</v>
      </c>
      <c r="E11" s="131">
        <f t="shared" si="2"/>
        <v>104011.46904542383</v>
      </c>
      <c r="F11" s="123" t="s">
        <v>589</v>
      </c>
      <c r="J11" s="115"/>
      <c r="K11" s="115"/>
      <c r="L11" s="115"/>
      <c r="M11" s="115"/>
      <c r="N11" s="115"/>
    </row>
    <row r="12" spans="1:14" s="7" customFormat="1" ht="46.5">
      <c r="A12" s="130" t="s">
        <v>507</v>
      </c>
      <c r="B12" s="131">
        <f>B6*$H$3+B11*$H$2</f>
        <v>43668.865438982997</v>
      </c>
      <c r="C12" s="131">
        <f>C6*$H$3+C11*$H$2</f>
        <v>44295.495703256092</v>
      </c>
      <c r="D12" s="131">
        <f>D6*$H$3+D11*$H$2</f>
        <v>44763.622880579183</v>
      </c>
      <c r="E12" s="131">
        <f>E6*$H$3+E11*$H$2</f>
        <v>45286.593622377535</v>
      </c>
      <c r="F12" s="136" t="s">
        <v>508</v>
      </c>
      <c r="J12" s="115"/>
      <c r="K12" s="115"/>
      <c r="L12" s="115"/>
      <c r="M12" s="115"/>
      <c r="N12" s="115"/>
    </row>
    <row r="13" spans="1:14" s="7" customFormat="1" ht="72.400000000000006" customHeight="1">
      <c r="A13" s="130"/>
      <c r="B13" s="226" t="s">
        <v>557</v>
      </c>
      <c r="C13" s="227"/>
      <c r="D13" s="228"/>
      <c r="E13" s="137">
        <v>0</v>
      </c>
      <c r="F13" s="136" t="s">
        <v>686</v>
      </c>
      <c r="K13" s="115"/>
      <c r="L13" s="115"/>
      <c r="M13" s="115"/>
      <c r="N13" s="115"/>
    </row>
    <row r="14" spans="1:14" s="7" customFormat="1" ht="33">
      <c r="A14" s="130" t="s">
        <v>509</v>
      </c>
      <c r="B14" s="193">
        <f t="shared" ref="B14:E14" si="3">B12/B5</f>
        <v>0.27748042000000006</v>
      </c>
      <c r="C14" s="193">
        <f t="shared" si="3"/>
        <v>0.26938198000000002</v>
      </c>
      <c r="D14" s="193">
        <f t="shared" si="3"/>
        <v>0.26128354000000004</v>
      </c>
      <c r="E14" s="193">
        <f t="shared" si="3"/>
        <v>0.2531851</v>
      </c>
      <c r="F14" s="123" t="s">
        <v>588</v>
      </c>
    </row>
    <row r="15" spans="1:14" s="7" customFormat="1" ht="33.75" thickBot="1">
      <c r="A15" s="130" t="s">
        <v>511</v>
      </c>
      <c r="B15" s="138">
        <f>$E$13*B14</f>
        <v>0</v>
      </c>
      <c r="C15" s="138">
        <f>$E$13*C14</f>
        <v>0</v>
      </c>
      <c r="D15" s="138">
        <f>$E$13*D14</f>
        <v>0</v>
      </c>
      <c r="E15" s="138">
        <f>$E$13*E14</f>
        <v>0</v>
      </c>
      <c r="F15" s="123" t="s">
        <v>518</v>
      </c>
    </row>
    <row r="16" spans="1:14" ht="30.75" thickBot="1">
      <c r="A16" s="20" t="s">
        <v>513</v>
      </c>
      <c r="B16" s="8">
        <f>B12-B15</f>
        <v>43668.865438982997</v>
      </c>
      <c r="C16" s="8">
        <f>C12-C15</f>
        <v>44295.495703256092</v>
      </c>
      <c r="D16" s="8">
        <f>D12-D15</f>
        <v>44763.622880579183</v>
      </c>
      <c r="E16" s="8">
        <f>E12-E15</f>
        <v>45286.593622377535</v>
      </c>
      <c r="F16" s="10" t="s">
        <v>514</v>
      </c>
      <c r="H16" s="7"/>
      <c r="I16" s="7"/>
      <c r="J16" s="7"/>
      <c r="K16" s="7"/>
      <c r="L16" s="7"/>
    </row>
    <row r="17" spans="1:12">
      <c r="A17" s="13" t="s">
        <v>520</v>
      </c>
      <c r="B17" s="9"/>
      <c r="C17" s="9"/>
      <c r="D17" s="9"/>
      <c r="E17" s="9"/>
      <c r="J17" s="7"/>
      <c r="K17" s="7"/>
      <c r="L17" s="7"/>
    </row>
    <row r="18" spans="1:12" ht="17.25">
      <c r="A18" t="s">
        <v>521</v>
      </c>
      <c r="B18" s="9"/>
      <c r="C18" s="9"/>
      <c r="D18" s="9"/>
      <c r="E18" s="9"/>
      <c r="J18" s="7"/>
      <c r="K18" s="7"/>
      <c r="L18" s="7"/>
    </row>
    <row r="19" spans="1:12">
      <c r="A19" s="98" t="s">
        <v>522</v>
      </c>
    </row>
  </sheetData>
  <mergeCells count="3">
    <mergeCell ref="B13:D13"/>
    <mergeCell ref="B1:F1"/>
    <mergeCell ref="H1:I1"/>
  </mergeCells>
  <hyperlinks>
    <hyperlink ref="A19" r:id="rId1" xr:uid="{DDD903AE-C4F3-4169-B634-981D276DDCE6}"/>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8D81F-8D73-42EE-B371-28C24974C4D0}">
  <sheetPr codeName="Sheet43"/>
  <dimension ref="A1:I18"/>
  <sheetViews>
    <sheetView zoomScaleNormal="100" workbookViewId="0"/>
  </sheetViews>
  <sheetFormatPr defaultRowHeight="15"/>
  <cols>
    <col min="1" max="1" width="37.7109375" customWidth="1"/>
    <col min="6" max="6" width="49.28515625" customWidth="1"/>
    <col min="9" max="9" width="36.5703125" customWidth="1"/>
  </cols>
  <sheetData>
    <row r="1" spans="1:9" s="7" customFormat="1">
      <c r="A1" s="125" t="s">
        <v>17</v>
      </c>
      <c r="B1" s="223" t="s">
        <v>671</v>
      </c>
      <c r="C1" s="224"/>
      <c r="D1" s="224"/>
      <c r="E1" s="224"/>
      <c r="F1" s="225"/>
      <c r="H1" s="229" t="s">
        <v>4</v>
      </c>
      <c r="I1" s="230"/>
    </row>
    <row r="2" spans="1:9" s="7" customFormat="1" ht="30">
      <c r="A2" s="126" t="s">
        <v>496</v>
      </c>
      <c r="B2" s="127">
        <v>2027</v>
      </c>
      <c r="C2" s="127">
        <v>2028</v>
      </c>
      <c r="D2" s="127">
        <v>2029</v>
      </c>
      <c r="E2" s="128">
        <v>2030</v>
      </c>
      <c r="F2" s="129" t="s">
        <v>497</v>
      </c>
      <c r="H2" s="120">
        <v>0.43540000000000001</v>
      </c>
      <c r="I2" s="123" t="s">
        <v>523</v>
      </c>
    </row>
    <row r="3" spans="1:9" s="7" customFormat="1" ht="30">
      <c r="A3" s="130" t="s">
        <v>584</v>
      </c>
      <c r="B3" s="131">
        <v>15224.224</v>
      </c>
      <c r="C3" s="131">
        <v>15264.326999999999</v>
      </c>
      <c r="D3" s="131">
        <v>15304.786999999998</v>
      </c>
      <c r="E3" s="131">
        <v>15343.069</v>
      </c>
      <c r="F3" s="123" t="s">
        <v>561</v>
      </c>
      <c r="H3" s="132">
        <v>0.95946199709706936</v>
      </c>
      <c r="I3" s="123" t="s">
        <v>676</v>
      </c>
    </row>
    <row r="4" spans="1:9" s="7" customFormat="1">
      <c r="A4" s="130" t="s">
        <v>217</v>
      </c>
      <c r="B4" s="131">
        <f>SUMIFS('Form 1.1c (CEC 2025a)'!G:G, 'Form 1.1c (CEC 2025a)'!$B:$B, "Biggs Municipal Utilities")*1000</f>
        <v>11783.732274361189</v>
      </c>
      <c r="C4" s="131">
        <f>SUMIFS('Form 1.1c (CEC 2025a)'!H:H, 'Form 1.1c (CEC 2025a)'!$B:$B, "Biggs Municipal Utilities")*1000</f>
        <v>11988.191531764258</v>
      </c>
      <c r="D4" s="131">
        <f>SUMIFS('Form 1.1c (CEC 2025a)'!I:I, 'Form 1.1c (CEC 2025a)'!$B:$B, "Biggs Municipal Utilities")*1000</f>
        <v>12196.857229551324</v>
      </c>
      <c r="E4" s="131">
        <f>SUMIFS('Form 1.1c (CEC 2025a)'!J:J, 'Form 1.1c (CEC 2025a)'!$B:$B, "Biggs Municipal Utilities")*1000</f>
        <v>12441.879707582433</v>
      </c>
      <c r="F4" s="123" t="s">
        <v>575</v>
      </c>
      <c r="H4" s="122">
        <f>0.15</f>
        <v>0.15</v>
      </c>
      <c r="I4" s="120" t="s">
        <v>498</v>
      </c>
    </row>
    <row r="5" spans="1:9" s="7" customFormat="1" ht="45">
      <c r="A5" s="130" t="s">
        <v>585</v>
      </c>
      <c r="B5" s="131">
        <f>B4*(1+$H$4)</f>
        <v>13551.292115515367</v>
      </c>
      <c r="C5" s="131">
        <f t="shared" ref="C5:E5" si="0">C4*(1+$H$4)</f>
        <v>13786.420261528896</v>
      </c>
      <c r="D5" s="131">
        <f t="shared" si="0"/>
        <v>14026.385813984021</v>
      </c>
      <c r="E5" s="131">
        <f t="shared" si="0"/>
        <v>14308.161663719797</v>
      </c>
      <c r="F5" s="123" t="s">
        <v>678</v>
      </c>
      <c r="H5" s="122">
        <f>0.07</f>
        <v>7.0000000000000007E-2</v>
      </c>
      <c r="I5" s="123" t="s">
        <v>499</v>
      </c>
    </row>
    <row r="6" spans="1:9" s="7" customFormat="1">
      <c r="A6" s="130" t="s">
        <v>500</v>
      </c>
      <c r="B6" s="131">
        <v>0</v>
      </c>
      <c r="C6" s="131">
        <v>0</v>
      </c>
      <c r="D6" s="131">
        <v>0</v>
      </c>
      <c r="E6" s="131">
        <v>0</v>
      </c>
      <c r="F6" s="133" t="s">
        <v>559</v>
      </c>
      <c r="H6" s="124">
        <v>0.05</v>
      </c>
      <c r="I6" s="120" t="s">
        <v>11</v>
      </c>
    </row>
    <row r="7" spans="1:9" s="7" customFormat="1">
      <c r="A7" s="130" t="s">
        <v>501</v>
      </c>
      <c r="B7" s="131">
        <v>0</v>
      </c>
      <c r="C7" s="131">
        <v>0</v>
      </c>
      <c r="D7" s="131">
        <v>0</v>
      </c>
      <c r="E7" s="131">
        <v>0</v>
      </c>
      <c r="F7" s="133" t="s">
        <v>560</v>
      </c>
    </row>
    <row r="8" spans="1:9" s="7" customFormat="1" ht="30">
      <c r="A8" s="130" t="s">
        <v>502</v>
      </c>
      <c r="B8" s="134">
        <v>0</v>
      </c>
      <c r="C8" s="134">
        <v>0</v>
      </c>
      <c r="D8" s="134">
        <v>0</v>
      </c>
      <c r="E8" s="134">
        <v>0</v>
      </c>
      <c r="F8" s="123" t="s">
        <v>558</v>
      </c>
      <c r="H8" s="135">
        <f>SUMIFS('Form 1.5a (CEC 2025a)'!U:U, 'Form 1.5a (CEC 2025a)'!$B:$B, "NCPA - Non Bay Area")</f>
        <v>3.5189316129375703E-2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4595.6555870008642</v>
      </c>
      <c r="C10" s="131">
        <f t="shared" si="1"/>
        <v>4915.1585280233458</v>
      </c>
      <c r="D10" s="131">
        <f t="shared" si="1"/>
        <v>5244.6486087070689</v>
      </c>
      <c r="E10" s="131">
        <f t="shared" si="1"/>
        <v>5598.8458684120951</v>
      </c>
      <c r="F10" s="123" t="s">
        <v>587</v>
      </c>
    </row>
    <row r="11" spans="1:9" s="7" customFormat="1" ht="30">
      <c r="A11" s="130" t="s">
        <v>505</v>
      </c>
      <c r="B11" s="131">
        <f t="shared" ref="B11:E11" si="2">MAX(B5-SUM(B6:B8,B10), B5*$H$6)</f>
        <v>8955.6365285145039</v>
      </c>
      <c r="C11" s="131">
        <f t="shared" si="2"/>
        <v>8871.2617335055511</v>
      </c>
      <c r="D11" s="131">
        <f t="shared" si="2"/>
        <v>8781.7372052769533</v>
      </c>
      <c r="E11" s="131">
        <f t="shared" si="2"/>
        <v>8709.3157953077025</v>
      </c>
      <c r="F11" s="123" t="s">
        <v>589</v>
      </c>
    </row>
    <row r="12" spans="1:9" s="7" customFormat="1" ht="46.5">
      <c r="A12" s="130" t="s">
        <v>507</v>
      </c>
      <c r="B12" s="131">
        <f>B6*$H$3+B11*$H$2</f>
        <v>3899.2841445152148</v>
      </c>
      <c r="C12" s="131">
        <f>C6*$H$3+C11*$H$2</f>
        <v>3862.5473587683168</v>
      </c>
      <c r="D12" s="131">
        <f>D6*$H$3+D11*$H$2</f>
        <v>3823.5683791775855</v>
      </c>
      <c r="E12" s="131">
        <f>E6*$H$3+E11*$H$2</f>
        <v>3792.0360972769736</v>
      </c>
      <c r="F12" s="136" t="s">
        <v>508</v>
      </c>
    </row>
    <row r="13" spans="1:9" s="7" customFormat="1" ht="90">
      <c r="A13" s="130"/>
      <c r="B13" s="226" t="s">
        <v>557</v>
      </c>
      <c r="C13" s="227"/>
      <c r="D13" s="228"/>
      <c r="E13" s="137">
        <v>0</v>
      </c>
      <c r="F13" s="136" t="s">
        <v>686</v>
      </c>
    </row>
    <row r="14" spans="1:9" s="7" customFormat="1" ht="33">
      <c r="A14" s="130" t="s">
        <v>509</v>
      </c>
      <c r="B14" s="193">
        <f t="shared" ref="B14:E14" si="3">B12/B5</f>
        <v>0.28774260869565216</v>
      </c>
      <c r="C14" s="193">
        <f t="shared" si="3"/>
        <v>0.28017043478260872</v>
      </c>
      <c r="D14" s="193">
        <f t="shared" si="3"/>
        <v>0.27259826086956523</v>
      </c>
      <c r="E14" s="193">
        <f t="shared" si="3"/>
        <v>0.26502608695652174</v>
      </c>
      <c r="F14" s="123" t="s">
        <v>588</v>
      </c>
    </row>
    <row r="15" spans="1:9" s="7" customFormat="1" ht="33.75" thickBot="1">
      <c r="A15" s="130" t="s">
        <v>511</v>
      </c>
      <c r="B15" s="138">
        <f>$E$13*B14</f>
        <v>0</v>
      </c>
      <c r="C15" s="138">
        <f>$E$13*C14</f>
        <v>0</v>
      </c>
      <c r="D15" s="138">
        <f>$E$13*D14</f>
        <v>0</v>
      </c>
      <c r="E15" s="138">
        <f>$E$13*E14</f>
        <v>0</v>
      </c>
      <c r="F15" s="123" t="s">
        <v>518</v>
      </c>
    </row>
    <row r="16" spans="1:9" ht="30.75" thickBot="1">
      <c r="A16" s="20" t="s">
        <v>513</v>
      </c>
      <c r="B16" s="8">
        <f>B12-B15</f>
        <v>3899.2841445152148</v>
      </c>
      <c r="C16" s="8">
        <f>C12-C15</f>
        <v>3862.5473587683168</v>
      </c>
      <c r="D16" s="8">
        <f>D12-D15</f>
        <v>3823.5683791775855</v>
      </c>
      <c r="E16" s="8">
        <f>E12-E15</f>
        <v>3792.0360972769736</v>
      </c>
      <c r="F16" s="10" t="s">
        <v>514</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7386F-A577-4B8F-BBE0-F1F8364B93B5}">
  <sheetPr codeName="Sheet45"/>
  <dimension ref="A1:N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8.7109375" customWidth="1"/>
    <col min="13" max="13" width="14.28515625" customWidth="1"/>
    <col min="14" max="14" width="10.7109375" bestFit="1" customWidth="1"/>
  </cols>
  <sheetData>
    <row r="1" spans="1:14" s="7" customFormat="1" ht="15.75">
      <c r="A1" s="125" t="s">
        <v>18</v>
      </c>
      <c r="B1" s="223" t="s">
        <v>671</v>
      </c>
      <c r="C1" s="224"/>
      <c r="D1" s="224"/>
      <c r="E1" s="224"/>
      <c r="F1" s="225"/>
      <c r="H1" s="229" t="s">
        <v>4</v>
      </c>
      <c r="I1" s="230"/>
      <c r="J1" s="2"/>
    </row>
    <row r="2" spans="1:14" s="7" customFormat="1" ht="33">
      <c r="A2" s="126" t="s">
        <v>496</v>
      </c>
      <c r="B2" s="127">
        <v>2027</v>
      </c>
      <c r="C2" s="127">
        <v>2028</v>
      </c>
      <c r="D2" s="127">
        <v>2029</v>
      </c>
      <c r="E2" s="128">
        <v>2030</v>
      </c>
      <c r="F2" s="129" t="s">
        <v>497</v>
      </c>
      <c r="H2" s="120">
        <v>0.43540000000000001</v>
      </c>
      <c r="I2" s="62" t="s">
        <v>7</v>
      </c>
    </row>
    <row r="3" spans="1:14" s="7" customFormat="1" ht="30">
      <c r="A3" s="130" t="s">
        <v>584</v>
      </c>
      <c r="B3" s="131">
        <f>SUMIFS('Form 1.5a (CEC 2025a)'!G:G, 'Form 1.5a (CEC 2025a)'!$B:$B, "Burbank")*1000</f>
        <v>1257274.2509831486</v>
      </c>
      <c r="C3" s="131">
        <f>SUMIFS('Form 1.5a (CEC 2025a)'!H:H, 'Form 1.5a (CEC 2025a)'!$B:$B, "Burbank")*1000</f>
        <v>1311419.6732804445</v>
      </c>
      <c r="D3" s="131">
        <f>SUMIFS('Form 1.5a (CEC 2025a)'!I:I, 'Form 1.5a (CEC 2025a)'!$B:$B, "Burbank")*1000</f>
        <v>1373463.2315012657</v>
      </c>
      <c r="E3" s="131">
        <f>SUMIFS('Form 1.5a (CEC 2025a)'!J:J, 'Form 1.5a (CEC 2025a)'!$B:$B, "Burbank")*1000</f>
        <v>1446789.4312641951</v>
      </c>
      <c r="F3" s="123" t="s">
        <v>577</v>
      </c>
      <c r="H3" s="132">
        <v>0.95946199709706936</v>
      </c>
      <c r="I3" s="123" t="s">
        <v>676</v>
      </c>
    </row>
    <row r="4" spans="1:14" s="7" customFormat="1">
      <c r="A4" s="130" t="s">
        <v>217</v>
      </c>
      <c r="B4" s="131">
        <f>SUMIFS('Form 1.1c (CEC 2025a)'!G:G, 'Form 1.1c (CEC 2025a)'!$B:$B, "Burbank Water and Power")*1000</f>
        <v>1181648.7321270192</v>
      </c>
      <c r="C4" s="131">
        <f>SUMIFS('Form 1.1c (CEC 2025a)'!H:H, 'Form 1.1c (CEC 2025a)'!$B:$B, "Burbank Water and Power")*1000</f>
        <v>1232537.2869177109</v>
      </c>
      <c r="D4" s="131">
        <f>SUMIFS('Form 1.1c (CEC 2025a)'!I:I, 'Form 1.1c (CEC 2025a)'!$B:$B, "Burbank Water and Power")*1000</f>
        <v>1290848.9017869039</v>
      </c>
      <c r="E4" s="131">
        <f>SUMIFS('Form 1.1c (CEC 2025a)'!J:J, 'Form 1.1c (CEC 2025a)'!$B:$B, "Burbank Water and Power")*1000</f>
        <v>1359764.5030678525</v>
      </c>
      <c r="F4" s="123" t="s">
        <v>578</v>
      </c>
      <c r="H4" s="122">
        <f>0.15</f>
        <v>0.15</v>
      </c>
      <c r="I4" s="123" t="s">
        <v>498</v>
      </c>
    </row>
    <row r="5" spans="1:14" s="7" customFormat="1" ht="30">
      <c r="A5" s="130" t="s">
        <v>585</v>
      </c>
      <c r="B5" s="131">
        <f t="shared" ref="B5:E5" si="0">IF(0&lt;(B4-B3),B4*(1+$H$5),B3)</f>
        <v>1257274.2509831486</v>
      </c>
      <c r="C5" s="131">
        <f t="shared" si="0"/>
        <v>1311419.6732804445</v>
      </c>
      <c r="D5" s="131">
        <f t="shared" si="0"/>
        <v>1373463.2315012657</v>
      </c>
      <c r="E5" s="131">
        <f t="shared" si="0"/>
        <v>1446789.4312641951</v>
      </c>
      <c r="F5" s="123" t="s">
        <v>586</v>
      </c>
      <c r="H5" s="122">
        <f>0.07</f>
        <v>7.0000000000000007E-2</v>
      </c>
      <c r="I5" s="123" t="s">
        <v>499</v>
      </c>
    </row>
    <row r="6" spans="1:14" s="7" customFormat="1">
      <c r="A6" s="130" t="s">
        <v>500</v>
      </c>
      <c r="B6" s="131">
        <v>0</v>
      </c>
      <c r="C6" s="131">
        <v>0</v>
      </c>
      <c r="D6" s="131">
        <v>0</v>
      </c>
      <c r="E6" s="131">
        <v>0</v>
      </c>
      <c r="F6" s="139" t="s">
        <v>515</v>
      </c>
      <c r="H6" s="124">
        <v>0.05</v>
      </c>
      <c r="I6" s="123" t="s">
        <v>516</v>
      </c>
    </row>
    <row r="7" spans="1:14" s="7" customFormat="1">
      <c r="A7" s="130" t="s">
        <v>501</v>
      </c>
      <c r="B7" s="131">
        <v>78000</v>
      </c>
      <c r="C7" s="131">
        <v>78000</v>
      </c>
      <c r="D7" s="131">
        <v>78000</v>
      </c>
      <c r="E7" s="131">
        <v>78000</v>
      </c>
      <c r="F7" s="123" t="s">
        <v>564</v>
      </c>
      <c r="I7" s="12"/>
    </row>
    <row r="8" spans="1:14" s="7" customFormat="1" ht="30">
      <c r="A8" s="130" t="s">
        <v>502</v>
      </c>
      <c r="B8" s="131">
        <v>18000</v>
      </c>
      <c r="C8" s="131">
        <v>18000</v>
      </c>
      <c r="D8" s="131">
        <v>18000</v>
      </c>
      <c r="E8" s="131">
        <v>18000</v>
      </c>
      <c r="F8" s="123" t="s">
        <v>564</v>
      </c>
      <c r="H8" s="114">
        <f>SUMIFS('Form 1.5a (CEC 2025a)'!U:U, 'Form 1.5a (CEC 2025a)'!$B:$B, "Burbank")</f>
        <v>4.5292197362914566E-2</v>
      </c>
      <c r="I8" s="123" t="s">
        <v>579</v>
      </c>
    </row>
    <row r="9" spans="1:14" s="7" customFormat="1" ht="75">
      <c r="A9" s="130" t="s">
        <v>503</v>
      </c>
      <c r="B9" s="203">
        <v>0.39</v>
      </c>
      <c r="C9" s="203">
        <v>0.41</v>
      </c>
      <c r="D9" s="203">
        <v>0.43</v>
      </c>
      <c r="E9" s="203">
        <v>0.45</v>
      </c>
      <c r="F9" s="123" t="s">
        <v>690</v>
      </c>
      <c r="H9" s="16"/>
      <c r="I9" s="2"/>
    </row>
    <row r="10" spans="1:14" s="7" customFormat="1">
      <c r="A10" s="130" t="s">
        <v>504</v>
      </c>
      <c r="B10" s="131">
        <f t="shared" ref="B10:E10" si="1">B4*B9</f>
        <v>460843.00552953751</v>
      </c>
      <c r="C10" s="131">
        <f t="shared" si="1"/>
        <v>505340.28763626143</v>
      </c>
      <c r="D10" s="131">
        <f t="shared" si="1"/>
        <v>555065.0277683686</v>
      </c>
      <c r="E10" s="131">
        <f t="shared" si="1"/>
        <v>611894.02638053359</v>
      </c>
      <c r="F10" s="123" t="s">
        <v>587</v>
      </c>
      <c r="I10" s="12"/>
      <c r="J10" s="115"/>
      <c r="K10" s="115"/>
      <c r="L10" s="115"/>
      <c r="M10" s="115"/>
      <c r="N10" s="115"/>
    </row>
    <row r="11" spans="1:14" s="7" customFormat="1" ht="30">
      <c r="A11" s="130" t="s">
        <v>505</v>
      </c>
      <c r="B11" s="131">
        <f>MAX(B5-SUM(B6:B8,B10), B5*$H$6)</f>
        <v>700431.24545361102</v>
      </c>
      <c r="C11" s="131">
        <f t="shared" ref="C11:E11" si="2">MAX(C5-SUM(C6:C8,C10), C5*$H$6)</f>
        <v>710079.38564418303</v>
      </c>
      <c r="D11" s="131">
        <f t="shared" si="2"/>
        <v>722398.20373289706</v>
      </c>
      <c r="E11" s="131">
        <f t="shared" si="2"/>
        <v>738895.40488366154</v>
      </c>
      <c r="F11" s="123" t="s">
        <v>589</v>
      </c>
      <c r="J11" s="115"/>
      <c r="K11" s="115"/>
      <c r="L11" s="115"/>
      <c r="M11" s="115"/>
      <c r="N11" s="115"/>
    </row>
    <row r="12" spans="1:14" s="7" customFormat="1" ht="46.5">
      <c r="A12" s="130" t="s">
        <v>507</v>
      </c>
      <c r="B12" s="131">
        <f>B6*$H$3+B11*$H$2</f>
        <v>304967.76427050226</v>
      </c>
      <c r="C12" s="131">
        <f>C6*$H$3+C11*$H$2</f>
        <v>309168.56450947729</v>
      </c>
      <c r="D12" s="131">
        <f>D6*$H$3+D11*$H$2</f>
        <v>314532.17790530337</v>
      </c>
      <c r="E12" s="131">
        <f>E6*$H$3+E11*$H$2</f>
        <v>321715.05928634625</v>
      </c>
      <c r="F12" s="136" t="s">
        <v>508</v>
      </c>
      <c r="J12" s="115"/>
      <c r="L12" s="115"/>
      <c r="M12" s="115"/>
      <c r="N12" s="115"/>
    </row>
    <row r="13" spans="1:14" s="7" customFormat="1" ht="90">
      <c r="A13" s="130"/>
      <c r="B13" s="226" t="s">
        <v>557</v>
      </c>
      <c r="C13" s="227"/>
      <c r="D13" s="228"/>
      <c r="E13" s="137">
        <v>0</v>
      </c>
      <c r="F13" s="136" t="s">
        <v>686</v>
      </c>
      <c r="J13" s="115"/>
      <c r="K13" s="115"/>
    </row>
    <row r="14" spans="1:14" s="7" customFormat="1" ht="33">
      <c r="A14" s="130" t="s">
        <v>509</v>
      </c>
      <c r="B14" s="193">
        <f t="shared" ref="B14:E14" si="3">B12/B5</f>
        <v>0.24256264218568632</v>
      </c>
      <c r="C14" s="193">
        <f t="shared" si="3"/>
        <v>0.2357510496514888</v>
      </c>
      <c r="D14" s="193">
        <f t="shared" si="3"/>
        <v>0.22900662405174368</v>
      </c>
      <c r="E14" s="193">
        <f t="shared" si="3"/>
        <v>0.22236481158507893</v>
      </c>
      <c r="F14" s="123" t="s">
        <v>588</v>
      </c>
      <c r="H14"/>
      <c r="I14"/>
      <c r="J14" s="115"/>
    </row>
    <row r="15" spans="1:14" s="7" customFormat="1" ht="33.75" thickBot="1">
      <c r="A15" s="130" t="s">
        <v>511</v>
      </c>
      <c r="B15" s="138">
        <f>$E$13*B14</f>
        <v>0</v>
      </c>
      <c r="C15" s="138">
        <f>$E$13*C14</f>
        <v>0</v>
      </c>
      <c r="D15" s="138">
        <f>$E$13*D14</f>
        <v>0</v>
      </c>
      <c r="E15" s="138">
        <f>$E$13*E14</f>
        <v>0</v>
      </c>
      <c r="F15" s="123" t="s">
        <v>518</v>
      </c>
      <c r="H15"/>
      <c r="I15"/>
    </row>
    <row r="16" spans="1:14" ht="30.75" thickBot="1">
      <c r="A16" s="20" t="s">
        <v>513</v>
      </c>
      <c r="B16" s="8">
        <f>B12-B15</f>
        <v>304967.76427050226</v>
      </c>
      <c r="C16" s="8">
        <f>C12-C15</f>
        <v>309168.56450947729</v>
      </c>
      <c r="D16" s="8">
        <f>D12-D15</f>
        <v>314532.17790530337</v>
      </c>
      <c r="E16" s="8">
        <f>E12-E15</f>
        <v>321715.05928634625</v>
      </c>
      <c r="F16" s="10" t="s">
        <v>514</v>
      </c>
    </row>
    <row r="17" spans="1:9" ht="15.7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A98A-9A15-4D29-BC73-860030CE557C}">
  <sheetPr codeName="Sheet46"/>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30">
      <c r="A1" s="125" t="s">
        <v>12</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1">
        <f>SUMIFS('Form 1.5a (CEC 2025a)'!G:G, 'Form 1.5a (CEC 2025a)'!$B:$B, "Power Enterprise of the San Francisco PUC")*1000</f>
        <v>1249071.6341048959</v>
      </c>
      <c r="C3" s="131">
        <f>SUMIFS('Form 1.5a (CEC 2025a)'!H:H, 'Form 1.5a (CEC 2025a)'!$B:$B, "Power Enterprise of the San Francisco PUC")*1000</f>
        <v>1279472.5406521044</v>
      </c>
      <c r="D3" s="131">
        <f>SUMIFS('Form 1.5a (CEC 2025a)'!I:I, 'Form 1.5a (CEC 2025a)'!$B:$B, "Power Enterprise of the San Francisco PUC")*1000</f>
        <v>1309465.5831438091</v>
      </c>
      <c r="E3" s="131">
        <f>SUMIFS('Form 1.5a (CEC 2025a)'!J:J, 'Form 1.5a (CEC 2025a)'!$B:$B, "Power Enterprise of the San Francisco PUC")*1000</f>
        <v>1347437.0353394812</v>
      </c>
      <c r="F3" s="123" t="s">
        <v>577</v>
      </c>
      <c r="H3" s="132">
        <v>0.95946199709706936</v>
      </c>
      <c r="I3" s="123" t="s">
        <v>676</v>
      </c>
    </row>
    <row r="4" spans="1:12" s="7" customFormat="1">
      <c r="A4" s="130" t="s">
        <v>217</v>
      </c>
      <c r="B4" s="131">
        <f>SUMIFS('Form 1.1c (CEC 2025a)'!G:G, 'Form 1.1c (CEC 2025a)'!$B:$B, "Power Enterprise of the San Francisco PUC")*1000</f>
        <v>1144886.924019153</v>
      </c>
      <c r="C4" s="131">
        <f>SUMIFS('Form 1.1c (CEC 2025a)'!H:H, 'Form 1.1c (CEC 2025a)'!$B:$B, "Power Enterprise of the San Francisco PUC")*1000</f>
        <v>1172752.0995894633</v>
      </c>
      <c r="D4" s="131">
        <f>SUMIFS('Form 1.1c (CEC 2025a)'!I:I, 'Form 1.1c (CEC 2025a)'!$B:$B, "Power Enterprise of the San Francisco PUC")*1000</f>
        <v>1200243.4309292475</v>
      </c>
      <c r="E4" s="131">
        <f>SUMIFS('Form 1.1c (CEC 2025a)'!J:J, 'Form 1.1c (CEC 2025a)'!$B:$B, "Power Enterprise of the San Francisco PUC")*1000</f>
        <v>1235047.6950866005</v>
      </c>
      <c r="F4" s="123" t="s">
        <v>578</v>
      </c>
      <c r="H4" s="122">
        <f>0.15</f>
        <v>0.15</v>
      </c>
      <c r="I4" s="123" t="s">
        <v>498</v>
      </c>
    </row>
    <row r="5" spans="1:12" s="7" customFormat="1" ht="30">
      <c r="A5" s="130" t="s">
        <v>585</v>
      </c>
      <c r="B5" s="131">
        <f t="shared" ref="B5:E5" si="0">IF(0&lt;(B4-B3),B4*(1+$H$5),B3)</f>
        <v>1249071.6341048959</v>
      </c>
      <c r="C5" s="131">
        <f t="shared" si="0"/>
        <v>1279472.5406521044</v>
      </c>
      <c r="D5" s="131">
        <f t="shared" si="0"/>
        <v>1309465.5831438091</v>
      </c>
      <c r="E5" s="131">
        <f t="shared" si="0"/>
        <v>1347437.0353394812</v>
      </c>
      <c r="F5" s="123" t="s">
        <v>586</v>
      </c>
      <c r="H5" s="122">
        <f>0.07</f>
        <v>7.0000000000000007E-2</v>
      </c>
      <c r="I5" s="123" t="s">
        <v>499</v>
      </c>
    </row>
    <row r="6" spans="1:12" s="7" customFormat="1">
      <c r="A6" s="130" t="s">
        <v>500</v>
      </c>
      <c r="B6" s="131">
        <v>0</v>
      </c>
      <c r="C6" s="131">
        <v>0</v>
      </c>
      <c r="D6" s="131">
        <v>0</v>
      </c>
      <c r="E6" s="131">
        <v>0</v>
      </c>
      <c r="F6" s="139" t="s">
        <v>515</v>
      </c>
      <c r="H6" s="124">
        <v>0.05</v>
      </c>
      <c r="I6" s="123" t="s">
        <v>516</v>
      </c>
    </row>
    <row r="7" spans="1:12" s="7" customFormat="1">
      <c r="A7" s="130" t="s">
        <v>501</v>
      </c>
      <c r="B7" s="131">
        <v>0</v>
      </c>
      <c r="C7" s="131">
        <v>0</v>
      </c>
      <c r="D7" s="131">
        <v>0</v>
      </c>
      <c r="E7" s="131">
        <v>0</v>
      </c>
      <c r="F7" s="140" t="s">
        <v>517</v>
      </c>
      <c r="I7" s="12"/>
    </row>
    <row r="8" spans="1:12" s="7" customFormat="1" ht="30">
      <c r="A8" s="130" t="s">
        <v>502</v>
      </c>
      <c r="B8" s="131">
        <v>1199044.3592009693</v>
      </c>
      <c r="C8" s="131">
        <v>1214315.4777750282</v>
      </c>
      <c r="D8" s="131">
        <v>1214315.4777750282</v>
      </c>
      <c r="E8" s="131">
        <v>1214225.3226752135</v>
      </c>
      <c r="F8" s="123" t="s">
        <v>564</v>
      </c>
      <c r="H8" s="135">
        <f>SUMIFS('Form 1.5a (CEC 2025a)'!U:U, 'Form 1.5a (CEC 2025a)'!$B:$B, "Power Enterprise of the San Francisco PUC")</f>
        <v>2.6729684718388658E-2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446505.9003674697</v>
      </c>
      <c r="C10" s="131">
        <f t="shared" si="1"/>
        <v>480828.36083167995</v>
      </c>
      <c r="D10" s="131">
        <f t="shared" si="1"/>
        <v>516104.67529957643</v>
      </c>
      <c r="E10" s="131">
        <f t="shared" si="1"/>
        <v>555771.46278897021</v>
      </c>
      <c r="F10" s="123" t="s">
        <v>587</v>
      </c>
    </row>
    <row r="11" spans="1:12" s="7" customFormat="1" ht="30">
      <c r="A11" s="130" t="s">
        <v>505</v>
      </c>
      <c r="B11" s="131">
        <f t="shared" ref="B11:E11" si="2">MAX(B5-SUM(B6:B8,B10), B5*$H$6)</f>
        <v>62453.581705244796</v>
      </c>
      <c r="C11" s="131">
        <f t="shared" si="2"/>
        <v>63973.627032605225</v>
      </c>
      <c r="D11" s="131">
        <f t="shared" si="2"/>
        <v>65473.27915719046</v>
      </c>
      <c r="E11" s="131">
        <f t="shared" si="2"/>
        <v>67371.851766974069</v>
      </c>
      <c r="F11" s="123" t="s">
        <v>589</v>
      </c>
    </row>
    <row r="12" spans="1:12" s="7" customFormat="1" ht="46.5">
      <c r="A12" s="130" t="s">
        <v>507</v>
      </c>
      <c r="B12" s="131">
        <f>B6*$H$3+B11*$H$2</f>
        <v>27192.289474463585</v>
      </c>
      <c r="C12" s="131">
        <f>C6*$H$3+C11*$H$2</f>
        <v>27854.117209996315</v>
      </c>
      <c r="D12" s="131">
        <f>D6*$H$3+D11*$H$2</f>
        <v>28507.065745040727</v>
      </c>
      <c r="E12" s="131">
        <f>E6*$H$3+E11*$H$2</f>
        <v>29333.704259340509</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2.1770000000000001E-2</v>
      </c>
      <c r="C14" s="193">
        <f t="shared" si="3"/>
        <v>2.1770000000000001E-2</v>
      </c>
      <c r="D14" s="193">
        <f t="shared" si="3"/>
        <v>2.1770000000000001E-2</v>
      </c>
      <c r="E14" s="193">
        <f t="shared" si="3"/>
        <v>2.1770000000000001E-2</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27192.289474463585</v>
      </c>
      <c r="C16" s="8">
        <f>C12-C15</f>
        <v>27854.117209996315</v>
      </c>
      <c r="D16" s="8">
        <f>D12-D15</f>
        <v>28507.065745040727</v>
      </c>
      <c r="E16" s="8">
        <f>E12-E15</f>
        <v>29333.704259340509</v>
      </c>
      <c r="F16" s="10" t="s">
        <v>514</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7FFFE-6982-4258-83DD-3807DEA5E951}">
  <sheetPr codeName="Sheet47"/>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19</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71300</v>
      </c>
      <c r="C3" s="134">
        <v>71300</v>
      </c>
      <c r="D3" s="134">
        <v>71300</v>
      </c>
      <c r="E3" s="134">
        <v>71300</v>
      </c>
      <c r="F3" s="123" t="s">
        <v>566</v>
      </c>
      <c r="H3" s="132">
        <v>0.95946199709706936</v>
      </c>
      <c r="I3" s="123" t="s">
        <v>676</v>
      </c>
    </row>
    <row r="4" spans="1:12" s="7" customFormat="1">
      <c r="A4" s="130" t="s">
        <v>217</v>
      </c>
      <c r="B4" s="131">
        <f>SUMIFS('Form 1.1c (CEC 2025a)'!G:G, 'Form 1.1c (CEC 2025a)'!$B:$B, "Cerritos, City of")*1000</f>
        <v>68347.015638067358</v>
      </c>
      <c r="C4" s="131">
        <f>SUMIFS('Form 1.1c (CEC 2025a)'!H:H, 'Form 1.1c (CEC 2025a)'!$B:$B, "Cerritos, City of")*1000</f>
        <v>68757.097731895774</v>
      </c>
      <c r="D4" s="131">
        <f>SUMIFS('Form 1.1c (CEC 2025a)'!I:I, 'Form 1.1c (CEC 2025a)'!$B:$B, "Cerritos, City of")*1000</f>
        <v>69169.640318287144</v>
      </c>
      <c r="E4" s="131">
        <f>SUMIFS('Form 1.1c (CEC 2025a)'!J:J, 'Form 1.1c (CEC 2025a)'!$B:$B, "Cerritos, City of")*1000</f>
        <v>69584.658160196879</v>
      </c>
      <c r="F4" s="123" t="s">
        <v>575</v>
      </c>
      <c r="H4" s="122">
        <f>0.15</f>
        <v>0.15</v>
      </c>
      <c r="I4" s="123" t="s">
        <v>498</v>
      </c>
    </row>
    <row r="5" spans="1:12" s="7" customFormat="1" ht="30">
      <c r="A5" s="130" t="s">
        <v>585</v>
      </c>
      <c r="B5" s="131">
        <f t="shared" ref="B5:E5" si="0">IF(0&lt;(B4-B3),B4*(1+$H$5),B3)</f>
        <v>71300</v>
      </c>
      <c r="C5" s="131">
        <f t="shared" si="0"/>
        <v>71300</v>
      </c>
      <c r="D5" s="131">
        <f t="shared" si="0"/>
        <v>71300</v>
      </c>
      <c r="E5" s="131">
        <f t="shared" si="0"/>
        <v>71300</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4400</v>
      </c>
      <c r="C8" s="131">
        <v>4400</v>
      </c>
      <c r="D8" s="131">
        <v>4400</v>
      </c>
      <c r="E8" s="131">
        <v>4400</v>
      </c>
      <c r="F8" s="133" t="s">
        <v>564</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26655.33609884627</v>
      </c>
      <c r="C10" s="131">
        <f t="shared" si="1"/>
        <v>28190.410070077265</v>
      </c>
      <c r="D10" s="131">
        <f t="shared" si="1"/>
        <v>29742.945336863471</v>
      </c>
      <c r="E10" s="131">
        <f t="shared" si="1"/>
        <v>31313.096172088597</v>
      </c>
      <c r="F10" s="123" t="s">
        <v>587</v>
      </c>
    </row>
    <row r="11" spans="1:12" s="7" customFormat="1" ht="30">
      <c r="A11" s="130" t="s">
        <v>505</v>
      </c>
      <c r="B11" s="131">
        <f t="shared" ref="B11:E11" si="2">MAX(B5-SUM(B6:B8,B10), B5*$H$6)</f>
        <v>40244.663901153734</v>
      </c>
      <c r="C11" s="131">
        <f t="shared" si="2"/>
        <v>38709.589929922731</v>
      </c>
      <c r="D11" s="131">
        <f t="shared" si="2"/>
        <v>37157.054663136529</v>
      </c>
      <c r="E11" s="131">
        <f t="shared" si="2"/>
        <v>35586.903827911403</v>
      </c>
      <c r="F11" s="123" t="s">
        <v>506</v>
      </c>
    </row>
    <row r="12" spans="1:12" s="7" customFormat="1" ht="46.5">
      <c r="A12" s="130" t="s">
        <v>507</v>
      </c>
      <c r="B12" s="131">
        <f>B6*$H$3+B11*$H$2</f>
        <v>17522.526662562337</v>
      </c>
      <c r="C12" s="131">
        <f>C6*$H$3+C11*$H$2</f>
        <v>16854.155455488359</v>
      </c>
      <c r="D12" s="131">
        <f>D6*$H$3+D11*$H$2</f>
        <v>16178.181600329644</v>
      </c>
      <c r="E12" s="131">
        <f>E6*$H$3+E11*$H$2</f>
        <v>15494.537926672625</v>
      </c>
      <c r="F12" s="136" t="s">
        <v>508</v>
      </c>
    </row>
    <row r="13" spans="1:12" s="7" customFormat="1" ht="90">
      <c r="A13" s="130"/>
      <c r="B13" s="227" t="s">
        <v>557</v>
      </c>
      <c r="C13" s="227"/>
      <c r="D13" s="228"/>
      <c r="E13" s="137">
        <v>0</v>
      </c>
      <c r="F13" s="136" t="s">
        <v>686</v>
      </c>
    </row>
    <row r="14" spans="1:12" s="7" customFormat="1" ht="33">
      <c r="A14" s="130" t="s">
        <v>509</v>
      </c>
      <c r="B14" s="193">
        <f t="shared" ref="B14:E14" si="3">B12/B5</f>
        <v>0.24575773720283783</v>
      </c>
      <c r="C14" s="193">
        <f t="shared" si="3"/>
        <v>0.23638366697739632</v>
      </c>
      <c r="D14" s="193">
        <f t="shared" si="3"/>
        <v>0.22690296774655883</v>
      </c>
      <c r="E14" s="193">
        <f t="shared" si="3"/>
        <v>0.21731469742878856</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17522.526662562337</v>
      </c>
      <c r="C16" s="8">
        <f>C12-C15</f>
        <v>16854.155455488359</v>
      </c>
      <c r="D16" s="8">
        <f>D12-D15</f>
        <v>16178.181600329644</v>
      </c>
      <c r="E16" s="8">
        <f>E12-E15</f>
        <v>15494.537926672625</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62DC8-C678-4D13-922E-CB43DFCA2BA6}">
  <sheetPr codeName="Sheet49"/>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20</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329080.66404841904</v>
      </c>
      <c r="C3" s="134">
        <v>329245.20438044326</v>
      </c>
      <c r="D3" s="134">
        <v>329409.82698263344</v>
      </c>
      <c r="E3" s="134">
        <v>329574.53189612477</v>
      </c>
      <c r="F3" s="123" t="s">
        <v>568</v>
      </c>
      <c r="H3" s="132">
        <v>0.95946199709706936</v>
      </c>
      <c r="I3" s="123" t="s">
        <v>676</v>
      </c>
    </row>
    <row r="4" spans="1:12" s="7" customFormat="1">
      <c r="A4" s="130" t="s">
        <v>217</v>
      </c>
      <c r="B4" s="131">
        <f>SUMIFS('Form 1.1c (CEC 2025a)'!G:G, 'Form 1.1c (CEC 2025a)'!$B:$B, "Colton Public Utilities")*1000</f>
        <v>343606.24110611295</v>
      </c>
      <c r="C4" s="131">
        <f>SUMIFS('Form 1.1c (CEC 2025a)'!H:H, 'Form 1.1c (CEC 2025a)'!$B:$B, "Colton Public Utilities")*1000</f>
        <v>355508.2408229491</v>
      </c>
      <c r="D4" s="131">
        <f>SUMIFS('Form 1.1c (CEC 2025a)'!I:I, 'Form 1.1c (CEC 2025a)'!$B:$B, "Colton Public Utilities")*1000</f>
        <v>366191.60492084193</v>
      </c>
      <c r="E4" s="131">
        <f>SUMIFS('Form 1.1c (CEC 2025a)'!J:J, 'Form 1.1c (CEC 2025a)'!$B:$B, "Colton Public Utilities")*1000</f>
        <v>377777.45353019482</v>
      </c>
      <c r="F4" s="123" t="s">
        <v>575</v>
      </c>
      <c r="H4" s="122">
        <f>0.15</f>
        <v>0.15</v>
      </c>
      <c r="I4" s="123" t="s">
        <v>498</v>
      </c>
    </row>
    <row r="5" spans="1:12" s="7" customFormat="1" ht="30">
      <c r="A5" s="130" t="s">
        <v>585</v>
      </c>
      <c r="B5" s="131">
        <f t="shared" ref="B5:E5" si="0">IF(0&lt;(B4-B3),B4*(1+$H$5),B3)</f>
        <v>367658.67798354087</v>
      </c>
      <c r="C5" s="131">
        <f t="shared" si="0"/>
        <v>380393.81768055557</v>
      </c>
      <c r="D5" s="131">
        <f t="shared" si="0"/>
        <v>391825.01726530091</v>
      </c>
      <c r="E5" s="131">
        <f t="shared" si="0"/>
        <v>404221.87527730846</v>
      </c>
      <c r="F5" s="123" t="s">
        <v>586</v>
      </c>
      <c r="H5" s="122">
        <f>0.07</f>
        <v>7.0000000000000007E-2</v>
      </c>
      <c r="I5" s="123" t="s">
        <v>499</v>
      </c>
    </row>
    <row r="6" spans="1:12" s="7" customFormat="1">
      <c r="A6" s="130" t="s">
        <v>500</v>
      </c>
      <c r="B6" s="131">
        <v>0</v>
      </c>
      <c r="C6" s="131">
        <v>0</v>
      </c>
      <c r="D6" s="131">
        <v>0</v>
      </c>
      <c r="E6" s="131">
        <v>0</v>
      </c>
      <c r="F6" s="139" t="s">
        <v>515</v>
      </c>
      <c r="H6" s="124">
        <v>0.05</v>
      </c>
      <c r="I6" s="123" t="s">
        <v>516</v>
      </c>
    </row>
    <row r="7" spans="1:12" s="7" customFormat="1">
      <c r="A7" s="130" t="s">
        <v>501</v>
      </c>
      <c r="B7" s="131">
        <v>18770</v>
      </c>
      <c r="C7" s="131">
        <v>18770</v>
      </c>
      <c r="D7" s="131">
        <v>18770</v>
      </c>
      <c r="E7" s="131">
        <v>18770</v>
      </c>
      <c r="F7" s="123" t="s">
        <v>567</v>
      </c>
      <c r="I7" s="12"/>
    </row>
    <row r="8" spans="1:12" s="7" customFormat="1" ht="30">
      <c r="A8" s="130" t="s">
        <v>502</v>
      </c>
      <c r="B8" s="134">
        <v>2560</v>
      </c>
      <c r="C8" s="134">
        <v>2560</v>
      </c>
      <c r="D8" s="134">
        <v>2560</v>
      </c>
      <c r="E8" s="134">
        <v>2560</v>
      </c>
      <c r="F8" s="123" t="s">
        <v>567</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134006.43403138407</v>
      </c>
      <c r="C10" s="131">
        <f t="shared" si="1"/>
        <v>145758.37873740913</v>
      </c>
      <c r="D10" s="131">
        <f t="shared" si="1"/>
        <v>157462.39011596201</v>
      </c>
      <c r="E10" s="131">
        <f t="shared" si="1"/>
        <v>169999.85408858769</v>
      </c>
      <c r="F10" s="123" t="s">
        <v>587</v>
      </c>
    </row>
    <row r="11" spans="1:12" s="7" customFormat="1" ht="30">
      <c r="A11" s="130" t="s">
        <v>505</v>
      </c>
      <c r="B11" s="131">
        <f t="shared" ref="B11:E11" si="2">MAX(B5-SUM(B6:B8,B10), B5*$H$6)</f>
        <v>212322.2439521568</v>
      </c>
      <c r="C11" s="131">
        <f t="shared" si="2"/>
        <v>213305.43894314644</v>
      </c>
      <c r="D11" s="131">
        <f t="shared" si="2"/>
        <v>213032.62714933889</v>
      </c>
      <c r="E11" s="131">
        <f t="shared" si="2"/>
        <v>212892.02118872077</v>
      </c>
      <c r="F11" s="123" t="s">
        <v>506</v>
      </c>
    </row>
    <row r="12" spans="1:12" s="7" customFormat="1" ht="46.5">
      <c r="A12" s="130" t="s">
        <v>507</v>
      </c>
      <c r="B12" s="131">
        <f>B6*$H$3+B11*$H$2</f>
        <v>92445.10501676907</v>
      </c>
      <c r="C12" s="131">
        <f>C6*$H$3+C11*$H$2</f>
        <v>92873.188115845958</v>
      </c>
      <c r="D12" s="131">
        <f>D6*$H$3+D11*$H$2</f>
        <v>92754.405860822153</v>
      </c>
      <c r="E12" s="131">
        <f>E6*$H$3+E11*$H$2</f>
        <v>92693.186025569026</v>
      </c>
      <c r="F12" s="136" t="s">
        <v>508</v>
      </c>
    </row>
    <row r="13" spans="1:12" s="7" customFormat="1" ht="90">
      <c r="A13" s="130"/>
      <c r="B13" s="227" t="s">
        <v>557</v>
      </c>
      <c r="C13" s="227"/>
      <c r="D13" s="228"/>
      <c r="E13" s="137">
        <v>0</v>
      </c>
      <c r="F13" s="136" t="s">
        <v>686</v>
      </c>
    </row>
    <row r="14" spans="1:12" s="7" customFormat="1" ht="33">
      <c r="A14" s="130" t="s">
        <v>509</v>
      </c>
      <c r="B14" s="193">
        <f t="shared" ref="B14:E14" si="3">B12/B5</f>
        <v>0.25144273902031383</v>
      </c>
      <c r="C14" s="193">
        <f t="shared" si="3"/>
        <v>0.2441500986586442</v>
      </c>
      <c r="D14" s="193">
        <f t="shared" si="3"/>
        <v>0.23672405225217932</v>
      </c>
      <c r="E14" s="193">
        <f t="shared" si="3"/>
        <v>0.22931264163271395</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92445.10501676907</v>
      </c>
      <c r="C16" s="8">
        <f>C12-C15</f>
        <v>92873.188115845958</v>
      </c>
      <c r="D16" s="8">
        <f>D12-D15</f>
        <v>92754.405860822153</v>
      </c>
      <c r="E16" s="8">
        <f>E12-E15</f>
        <v>92693.186025569026</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EC292-3D98-4515-9912-710E7A9921F1}">
  <sheetPr codeName="Sheet5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28.5" customHeight="1">
      <c r="A1" s="125" t="s">
        <v>21</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144000</v>
      </c>
      <c r="C3" s="134">
        <v>144000</v>
      </c>
      <c r="D3" s="134">
        <v>144000</v>
      </c>
      <c r="E3" s="134">
        <v>144000</v>
      </c>
      <c r="F3" s="123" t="s">
        <v>566</v>
      </c>
      <c r="H3" s="132">
        <v>0.95946199709706936</v>
      </c>
      <c r="I3" s="123" t="s">
        <v>676</v>
      </c>
    </row>
    <row r="4" spans="1:12" s="7" customFormat="1">
      <c r="A4" s="130" t="s">
        <v>217</v>
      </c>
      <c r="B4" s="131">
        <f>SUMIFS('Form 1.1c (CEC 2025a)'!G:G, 'Form 1.1c (CEC 2025a)'!$B:$B, "Corona, City of")*1000</f>
        <v>141194.3848061797</v>
      </c>
      <c r="C4" s="131">
        <f>SUMIFS('Form 1.1c (CEC 2025a)'!H:H, 'Form 1.1c (CEC 2025a)'!$B:$B, "Corona, City of")*1000</f>
        <v>143332.92194008958</v>
      </c>
      <c r="D4" s="131">
        <f>SUMIFS('Form 1.1c (CEC 2025a)'!I:I, 'Form 1.1c (CEC 2025a)'!$B:$B, "Corona, City of")*1000</f>
        <v>145870.02553908984</v>
      </c>
      <c r="E4" s="131">
        <f>SUMIFS('Form 1.1c (CEC 2025a)'!J:J, 'Form 1.1c (CEC 2025a)'!$B:$B, "Corona, City of")*1000</f>
        <v>148721.32183066817</v>
      </c>
      <c r="F4" s="123" t="s">
        <v>575</v>
      </c>
      <c r="H4" s="122">
        <f>0.15</f>
        <v>0.15</v>
      </c>
      <c r="I4" s="123" t="s">
        <v>498</v>
      </c>
    </row>
    <row r="5" spans="1:12" s="7" customFormat="1" ht="30">
      <c r="A5" s="130" t="s">
        <v>585</v>
      </c>
      <c r="B5" s="131">
        <f t="shared" ref="B5:E5" si="0">IF(0&lt;(B4-B3),B4*(1+$H$5),B3)</f>
        <v>144000</v>
      </c>
      <c r="C5" s="131">
        <f t="shared" si="0"/>
        <v>144000</v>
      </c>
      <c r="D5" s="131">
        <f t="shared" si="0"/>
        <v>156080.92732682615</v>
      </c>
      <c r="E5" s="131">
        <f t="shared" si="0"/>
        <v>159131.81435881494</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4">
        <v>12800</v>
      </c>
      <c r="C8" s="134">
        <v>11800</v>
      </c>
      <c r="D8" s="134">
        <v>4300</v>
      </c>
      <c r="E8" s="134">
        <v>4300</v>
      </c>
      <c r="F8" s="123" t="s">
        <v>564</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55065.810074410088</v>
      </c>
      <c r="C10" s="131">
        <f t="shared" si="1"/>
        <v>58766.497995436723</v>
      </c>
      <c r="D10" s="131">
        <f t="shared" si="1"/>
        <v>62724.110981808626</v>
      </c>
      <c r="E10" s="131">
        <f t="shared" si="1"/>
        <v>66924.594823800682</v>
      </c>
      <c r="F10" s="123" t="s">
        <v>587</v>
      </c>
    </row>
    <row r="11" spans="1:12" s="7" customFormat="1" ht="30">
      <c r="A11" s="130" t="s">
        <v>505</v>
      </c>
      <c r="B11" s="131">
        <f t="shared" ref="B11:E11" si="2">MAX(B5-SUM(B6:B8,B10), B5*$H$6)</f>
        <v>76134.189925589919</v>
      </c>
      <c r="C11" s="131">
        <f t="shared" si="2"/>
        <v>73433.502004563285</v>
      </c>
      <c r="D11" s="131">
        <f t="shared" si="2"/>
        <v>89056.81634501752</v>
      </c>
      <c r="E11" s="131">
        <f t="shared" si="2"/>
        <v>87907.219535014257</v>
      </c>
      <c r="F11" s="123" t="s">
        <v>506</v>
      </c>
    </row>
    <row r="12" spans="1:12" s="7" customFormat="1" ht="46.5">
      <c r="A12" s="130" t="s">
        <v>507</v>
      </c>
      <c r="B12" s="131">
        <f>B6*$H$3+B11*$H$2</f>
        <v>33148.826293601851</v>
      </c>
      <c r="C12" s="131">
        <f>C6*$H$3+C11*$H$2</f>
        <v>31972.946772786854</v>
      </c>
      <c r="D12" s="131">
        <f>D6*$H$3+D11*$H$2</f>
        <v>38775.337836620631</v>
      </c>
      <c r="E12" s="131">
        <f>E6*$H$3+E11*$H$2</f>
        <v>38274.803385545209</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0.23020018259445729</v>
      </c>
      <c r="C14" s="193">
        <f t="shared" si="3"/>
        <v>0.22203435258879758</v>
      </c>
      <c r="D14" s="193">
        <f t="shared" si="3"/>
        <v>0.24843098065035768</v>
      </c>
      <c r="E14" s="193">
        <f t="shared" si="3"/>
        <v>0.240522635525553</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33148.826293601851</v>
      </c>
      <c r="C16" s="8">
        <f>C12-C15</f>
        <v>31972.946772786854</v>
      </c>
      <c r="D16" s="8">
        <f>D12-D15</f>
        <v>38775.337836620631</v>
      </c>
      <c r="E16" s="8">
        <f>E12-E15</f>
        <v>38274.803385545209</v>
      </c>
      <c r="F16" s="10" t="s">
        <v>514</v>
      </c>
      <c r="J16" s="7"/>
      <c r="K16" s="7"/>
      <c r="L16" s="7"/>
    </row>
    <row r="17" spans="1:12">
      <c r="A17" s="9"/>
      <c r="B17" s="9"/>
      <c r="C17" s="9"/>
      <c r="D17" s="9"/>
      <c r="E17" s="9"/>
      <c r="J17" s="7"/>
      <c r="K17" s="7"/>
      <c r="L17" s="7"/>
    </row>
    <row r="18" spans="1:12">
      <c r="A18" s="9"/>
      <c r="B18" s="45"/>
      <c r="C18" s="45"/>
      <c r="D18" s="45"/>
      <c r="E18" s="45"/>
    </row>
  </sheetData>
  <mergeCells count="3">
    <mergeCell ref="B13:D13"/>
    <mergeCell ref="B1:F1"/>
    <mergeCell ref="H1:I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187AA-E7D9-45CF-B08C-61D2FC1DA02C}">
  <sheetPr codeName="Sheet10">
    <pageSetUpPr fitToPage="1"/>
  </sheetPr>
  <dimension ref="A1:W80"/>
  <sheetViews>
    <sheetView zoomScale="80" zoomScaleNormal="80" workbookViewId="0">
      <pane xSplit="2" ySplit="5" topLeftCell="C6" activePane="bottomRight" state="frozen"/>
      <selection pane="topRight" activeCell="A79" sqref="A79"/>
      <selection pane="bottomLeft" activeCell="A79" sqref="A79"/>
      <selection pane="bottomRight" sqref="A1:U1"/>
    </sheetView>
  </sheetViews>
  <sheetFormatPr defaultRowHeight="15"/>
  <cols>
    <col min="1" max="1" width="44.42578125" customWidth="1"/>
    <col min="2" max="2" width="35" bestFit="1" customWidth="1"/>
    <col min="3" max="16" width="10.5703125" customWidth="1"/>
    <col min="17" max="18" width="9.7109375" bestFit="1" customWidth="1"/>
    <col min="21" max="22" width="14.5703125" bestFit="1" customWidth="1"/>
    <col min="23" max="23" width="9.28515625" bestFit="1" customWidth="1"/>
  </cols>
  <sheetData>
    <row r="1" spans="1:23" ht="18.75" customHeight="1">
      <c r="A1" s="208" t="s">
        <v>68</v>
      </c>
      <c r="B1" s="208"/>
      <c r="C1" s="208"/>
      <c r="D1" s="208"/>
      <c r="E1" s="208"/>
      <c r="F1" s="208"/>
      <c r="G1" s="208"/>
      <c r="H1" s="208"/>
      <c r="I1" s="208"/>
      <c r="J1" s="208"/>
      <c r="K1" s="208"/>
      <c r="L1" s="208"/>
      <c r="M1" s="208"/>
      <c r="N1" s="208"/>
      <c r="O1" s="208"/>
      <c r="P1" s="208"/>
      <c r="Q1" s="208"/>
      <c r="R1" s="208"/>
      <c r="S1" s="208"/>
      <c r="T1" s="208"/>
      <c r="U1" s="208"/>
    </row>
    <row r="2" spans="1:23" ht="15.75" customHeight="1">
      <c r="A2" s="209" t="s">
        <v>593</v>
      </c>
      <c r="B2" s="209"/>
      <c r="C2" s="209"/>
      <c r="D2" s="209"/>
      <c r="E2" s="209"/>
      <c r="F2" s="209"/>
      <c r="G2" s="209"/>
      <c r="H2" s="209"/>
      <c r="I2" s="209"/>
      <c r="J2" s="209"/>
      <c r="K2" s="209"/>
      <c r="L2" s="209"/>
      <c r="M2" s="209"/>
      <c r="N2" s="209"/>
      <c r="O2" s="209"/>
      <c r="P2" s="209"/>
      <c r="Q2" s="209"/>
      <c r="R2" s="209"/>
      <c r="S2" s="209"/>
      <c r="T2" s="209"/>
      <c r="U2" s="209"/>
    </row>
    <row r="3" spans="1:23" ht="15.75" customHeight="1">
      <c r="A3" s="209" t="s">
        <v>69</v>
      </c>
      <c r="B3" s="209"/>
      <c r="C3" s="209"/>
      <c r="D3" s="209"/>
      <c r="E3" s="209"/>
      <c r="F3" s="209"/>
      <c r="G3" s="209"/>
      <c r="H3" s="209"/>
      <c r="I3" s="209"/>
      <c r="J3" s="209"/>
      <c r="K3" s="209"/>
      <c r="L3" s="209"/>
      <c r="M3" s="209"/>
      <c r="N3" s="209"/>
      <c r="O3" s="209"/>
      <c r="P3" s="209"/>
      <c r="Q3" s="209"/>
      <c r="R3" s="209"/>
      <c r="S3" s="209"/>
      <c r="T3" s="209"/>
      <c r="U3" s="209"/>
    </row>
    <row r="4" spans="1:23">
      <c r="C4" s="40"/>
      <c r="D4" s="40"/>
      <c r="E4" s="40"/>
      <c r="F4" s="40"/>
      <c r="G4" s="40"/>
      <c r="H4" s="40"/>
      <c r="I4" s="40"/>
      <c r="J4" s="40"/>
      <c r="K4" s="40"/>
      <c r="L4" s="40"/>
      <c r="M4" s="40"/>
      <c r="N4" s="40"/>
      <c r="O4" s="40"/>
      <c r="P4" s="40"/>
      <c r="Q4" s="40"/>
      <c r="R4" s="40"/>
      <c r="S4" s="40"/>
      <c r="T4" s="40"/>
    </row>
    <row r="5" spans="1:23" ht="70.900000000000006" customHeight="1" thickBot="1">
      <c r="A5" s="22" t="s">
        <v>70</v>
      </c>
      <c r="B5" s="22" t="s">
        <v>71</v>
      </c>
      <c r="C5" s="22">
        <v>2023</v>
      </c>
      <c r="D5" s="22">
        <v>2024</v>
      </c>
      <c r="E5" s="22">
        <v>2025</v>
      </c>
      <c r="F5" s="22">
        <v>2026</v>
      </c>
      <c r="G5" s="22">
        <v>2027</v>
      </c>
      <c r="H5" s="22">
        <v>2028</v>
      </c>
      <c r="I5" s="22">
        <v>2029</v>
      </c>
      <c r="J5" s="22">
        <v>2030</v>
      </c>
      <c r="K5" s="22">
        <v>2031</v>
      </c>
      <c r="L5" s="22">
        <v>2032</v>
      </c>
      <c r="M5" s="22">
        <v>2033</v>
      </c>
      <c r="N5" s="22">
        <v>2034</v>
      </c>
      <c r="O5" s="22">
        <v>2035</v>
      </c>
      <c r="P5" s="22">
        <v>2036</v>
      </c>
      <c r="Q5" s="22">
        <v>2037</v>
      </c>
      <c r="R5" s="22">
        <v>2038</v>
      </c>
      <c r="S5" s="22">
        <v>2039</v>
      </c>
      <c r="T5" s="22">
        <v>2040</v>
      </c>
      <c r="U5" s="22" t="s">
        <v>571</v>
      </c>
    </row>
    <row r="6" spans="1:23" ht="15.75" thickTop="1">
      <c r="A6" s="43"/>
      <c r="B6" s="63" t="s">
        <v>72</v>
      </c>
      <c r="C6" s="25">
        <v>34045.303355032847</v>
      </c>
      <c r="D6" s="25">
        <v>34603.740193001635</v>
      </c>
      <c r="E6" s="25">
        <v>35899.616046648029</v>
      </c>
      <c r="F6" s="25">
        <v>37740.330425760672</v>
      </c>
      <c r="G6" s="25">
        <v>39988.118399628693</v>
      </c>
      <c r="H6" s="25">
        <v>45425.838119864289</v>
      </c>
      <c r="I6" s="25">
        <v>49301.073552940019</v>
      </c>
      <c r="J6" s="25">
        <v>52098.977506992058</v>
      </c>
      <c r="K6" s="25">
        <v>54840.237358843682</v>
      </c>
      <c r="L6" s="25">
        <v>57375.322253116363</v>
      </c>
      <c r="M6" s="25">
        <v>60035.545007996872</v>
      </c>
      <c r="N6" s="25">
        <v>62883.335064238345</v>
      </c>
      <c r="O6" s="25">
        <v>65655.439150483377</v>
      </c>
      <c r="P6" s="25">
        <v>67930.972107013804</v>
      </c>
      <c r="Q6" s="25">
        <v>69962.139597305068</v>
      </c>
      <c r="R6" s="25">
        <v>71724.310722241498</v>
      </c>
      <c r="S6" s="25">
        <v>73376.327338579635</v>
      </c>
      <c r="T6" s="25">
        <v>74699.394844409006</v>
      </c>
      <c r="U6" s="24">
        <v>4.9269689686915141E-2</v>
      </c>
      <c r="W6" s="30">
        <f>SUM(D6:T6)</f>
        <v>953540.71768906305</v>
      </c>
    </row>
    <row r="7" spans="1:23">
      <c r="A7" s="43"/>
      <c r="B7" s="63" t="s">
        <v>73</v>
      </c>
      <c r="C7" s="25">
        <v>1390.9416622804961</v>
      </c>
      <c r="D7" s="25">
        <v>1386.2607655589966</v>
      </c>
      <c r="E7" s="25">
        <v>1402.7401477334367</v>
      </c>
      <c r="F7" s="25">
        <v>1443.9936845725263</v>
      </c>
      <c r="G7" s="25">
        <v>1529.7069609018704</v>
      </c>
      <c r="H7" s="25">
        <v>1641.8710961575198</v>
      </c>
      <c r="I7" s="25">
        <v>1722.1282376016859</v>
      </c>
      <c r="J7" s="25">
        <v>1795.0761561164873</v>
      </c>
      <c r="K7" s="25">
        <v>1867.0609587524305</v>
      </c>
      <c r="L7" s="25">
        <v>1942.71033097706</v>
      </c>
      <c r="M7" s="25">
        <v>2024.7280852454821</v>
      </c>
      <c r="N7" s="25">
        <v>2115.2219330399835</v>
      </c>
      <c r="O7" s="25">
        <v>2208.5441403157738</v>
      </c>
      <c r="P7" s="25">
        <v>2284.101508494346</v>
      </c>
      <c r="Q7" s="25">
        <v>2351.3265491117409</v>
      </c>
      <c r="R7" s="25">
        <v>2411.0784514290576</v>
      </c>
      <c r="S7" s="25">
        <v>2465.698010139557</v>
      </c>
      <c r="T7" s="25">
        <v>2515.4818616158905</v>
      </c>
      <c r="U7" s="24">
        <v>3.7943028258503597E-2</v>
      </c>
      <c r="W7" s="30">
        <f t="shared" ref="W7:W60" si="0">SUM(D7:T7)</f>
        <v>33107.728877763846</v>
      </c>
    </row>
    <row r="8" spans="1:23" ht="15.75" customHeight="1">
      <c r="A8" s="42"/>
      <c r="B8" s="63" t="s">
        <v>74</v>
      </c>
      <c r="C8" s="25">
        <v>1044.5328079984799</v>
      </c>
      <c r="D8" s="25">
        <v>1125.8957266956168</v>
      </c>
      <c r="E8" s="25">
        <v>1178.3197210768956</v>
      </c>
      <c r="F8" s="25">
        <v>1216.1527837871754</v>
      </c>
      <c r="G8" s="25">
        <v>1249.0716341048958</v>
      </c>
      <c r="H8" s="25">
        <v>1279.4725406521045</v>
      </c>
      <c r="I8" s="25">
        <v>1309.465583143809</v>
      </c>
      <c r="J8" s="25">
        <v>1347.4370353394811</v>
      </c>
      <c r="K8" s="25">
        <v>1383.4416342901054</v>
      </c>
      <c r="L8" s="25">
        <v>1419.4567596788429</v>
      </c>
      <c r="M8" s="25">
        <v>1458.3758154183963</v>
      </c>
      <c r="N8" s="25">
        <v>1502.1924926328497</v>
      </c>
      <c r="O8" s="25">
        <v>1548.6813918781556</v>
      </c>
      <c r="P8" s="25">
        <v>1586.5903958526421</v>
      </c>
      <c r="Q8" s="25">
        <v>1620.4637782650093</v>
      </c>
      <c r="R8" s="25">
        <v>1651.4163205891205</v>
      </c>
      <c r="S8" s="25">
        <v>1688.5698299452031</v>
      </c>
      <c r="T8" s="25">
        <v>1717.1018913369608</v>
      </c>
      <c r="U8" s="24">
        <v>2.6729684718388658E-2</v>
      </c>
      <c r="W8" s="30">
        <f t="shared" si="0"/>
        <v>24282.105334687265</v>
      </c>
    </row>
    <row r="9" spans="1:23" ht="15" customHeight="1">
      <c r="A9" s="42"/>
      <c r="B9" s="63" t="s">
        <v>75</v>
      </c>
      <c r="C9" s="25">
        <v>4791.9907978697302</v>
      </c>
      <c r="D9" s="25">
        <v>5027.5998797977963</v>
      </c>
      <c r="E9" s="25">
        <v>5730.4644519930425</v>
      </c>
      <c r="F9" s="25">
        <v>6108.7574492334761</v>
      </c>
      <c r="G9" s="25">
        <v>6505.5818565264863</v>
      </c>
      <c r="H9" s="25">
        <v>6946.7155505533301</v>
      </c>
      <c r="I9" s="25">
        <v>7411.4283528076112</v>
      </c>
      <c r="J9" s="25">
        <v>7757.0188281090341</v>
      </c>
      <c r="K9" s="25">
        <v>8566.6945082545299</v>
      </c>
      <c r="L9" s="25">
        <v>9180.5700679293077</v>
      </c>
      <c r="M9" s="25">
        <v>9762.1657697760384</v>
      </c>
      <c r="N9" s="25">
        <v>10452.127584600103</v>
      </c>
      <c r="O9" s="25">
        <v>11088.0435453099</v>
      </c>
      <c r="P9" s="25">
        <v>11679.012167594623</v>
      </c>
      <c r="Q9" s="25">
        <v>12117.875780688888</v>
      </c>
      <c r="R9" s="25">
        <v>12498.975367433281</v>
      </c>
      <c r="S9" s="25">
        <v>12862.915318049734</v>
      </c>
      <c r="T9" s="25">
        <v>13192.024094644596</v>
      </c>
      <c r="U9" s="24">
        <v>6.2146495575572169E-2</v>
      </c>
      <c r="W9" s="30">
        <f t="shared" si="0"/>
        <v>156887.97057330178</v>
      </c>
    </row>
    <row r="10" spans="1:23" ht="15" customHeight="1">
      <c r="A10" s="42"/>
      <c r="B10" s="63" t="s">
        <v>76</v>
      </c>
      <c r="C10" s="25">
        <v>35.012396001999996</v>
      </c>
      <c r="D10" s="25">
        <v>33.661585756712114</v>
      </c>
      <c r="E10" s="25">
        <v>33.671109036763994</v>
      </c>
      <c r="F10" s="25">
        <v>34.294860294760937</v>
      </c>
      <c r="G10" s="25">
        <v>34.735765321474453</v>
      </c>
      <c r="H10" s="25">
        <v>35.267589087986728</v>
      </c>
      <c r="I10" s="25">
        <v>35.864038110910442</v>
      </c>
      <c r="J10" s="25">
        <v>36.599982330048199</v>
      </c>
      <c r="K10" s="25">
        <v>37.36585885049071</v>
      </c>
      <c r="L10" s="25">
        <v>38.232054624626848</v>
      </c>
      <c r="M10" s="25">
        <v>39.1342826730722</v>
      </c>
      <c r="N10" s="25">
        <v>40.204257591610173</v>
      </c>
      <c r="O10" s="25">
        <v>41.258377807358528</v>
      </c>
      <c r="P10" s="25">
        <v>42.124456056317086</v>
      </c>
      <c r="Q10" s="25">
        <v>42.879284829049205</v>
      </c>
      <c r="R10" s="25">
        <v>43.535696493709239</v>
      </c>
      <c r="S10" s="25">
        <v>44.140600654014321</v>
      </c>
      <c r="T10" s="25">
        <v>44.672013981627195</v>
      </c>
      <c r="U10" s="24">
        <v>1.7844209020154045E-2</v>
      </c>
      <c r="W10" s="30">
        <f t="shared" si="0"/>
        <v>657.64181350053229</v>
      </c>
    </row>
    <row r="11" spans="1:23" ht="15" customHeight="1">
      <c r="A11" s="42"/>
      <c r="B11" s="63" t="s">
        <v>77</v>
      </c>
      <c r="C11" s="36">
        <v>1542.7011082145909</v>
      </c>
      <c r="D11" s="36">
        <v>735.45325167558997</v>
      </c>
      <c r="E11" s="36">
        <v>735.45325167558997</v>
      </c>
      <c r="F11" s="36">
        <v>735.45325167558997</v>
      </c>
      <c r="G11" s="36">
        <v>735.45325167558997</v>
      </c>
      <c r="H11" s="36">
        <v>735.45325167558997</v>
      </c>
      <c r="I11" s="36">
        <v>735.45325167558997</v>
      </c>
      <c r="J11" s="36">
        <v>735.45325167558997</v>
      </c>
      <c r="K11" s="36">
        <v>735.45325167558997</v>
      </c>
      <c r="L11" s="36">
        <v>735.45325167558997</v>
      </c>
      <c r="M11" s="36">
        <v>735.45325167558997</v>
      </c>
      <c r="N11" s="36">
        <v>735.45325167558997</v>
      </c>
      <c r="O11" s="36">
        <v>735.45325167558997</v>
      </c>
      <c r="P11" s="36">
        <v>735.45325167558997</v>
      </c>
      <c r="Q11" s="36">
        <v>735.45325167558997</v>
      </c>
      <c r="R11" s="36">
        <v>735.45325167558997</v>
      </c>
      <c r="S11" s="36">
        <v>735.45325167558997</v>
      </c>
      <c r="T11" s="36">
        <v>735.45325167558997</v>
      </c>
      <c r="U11" s="24">
        <v>0</v>
      </c>
      <c r="W11" s="30">
        <f t="shared" si="0"/>
        <v>12502.705278485029</v>
      </c>
    </row>
    <row r="12" spans="1:23" ht="15" customHeight="1" thickBot="1">
      <c r="A12" s="42"/>
      <c r="B12" s="63" t="s">
        <v>78</v>
      </c>
      <c r="C12" s="25">
        <v>636.277267356587</v>
      </c>
      <c r="D12" s="25">
        <v>543.67762623587487</v>
      </c>
      <c r="E12" s="25">
        <v>548.37600754329321</v>
      </c>
      <c r="F12" s="25">
        <v>554.03215529158285</v>
      </c>
      <c r="G12" s="25">
        <v>562.76598560378238</v>
      </c>
      <c r="H12" s="25">
        <v>572.95588591914679</v>
      </c>
      <c r="I12" s="25">
        <v>586.40871276033931</v>
      </c>
      <c r="J12" s="25">
        <v>601.76500261032197</v>
      </c>
      <c r="K12" s="25">
        <v>618.44981113370227</v>
      </c>
      <c r="L12" s="25">
        <v>635.94612165592673</v>
      </c>
      <c r="M12" s="25">
        <v>656.48306965729785</v>
      </c>
      <c r="N12" s="25">
        <v>679.28099738604431</v>
      </c>
      <c r="O12" s="25">
        <v>703.22982613314514</v>
      </c>
      <c r="P12" s="25">
        <v>722.60268588089377</v>
      </c>
      <c r="Q12" s="25">
        <v>739.72904657349375</v>
      </c>
      <c r="R12" s="25">
        <v>755.11290670426092</v>
      </c>
      <c r="S12" s="25">
        <v>769.53447750451255</v>
      </c>
      <c r="T12" s="25">
        <v>782.24634615635989</v>
      </c>
      <c r="U12" s="24">
        <v>2.2998813814058439E-2</v>
      </c>
      <c r="W12" s="30">
        <f t="shared" si="0"/>
        <v>11032.596664749977</v>
      </c>
    </row>
    <row r="13" spans="1:23" ht="15.75" thickBot="1">
      <c r="A13" s="206" t="s">
        <v>79</v>
      </c>
      <c r="B13" s="207"/>
      <c r="C13" s="26">
        <v>43486.759394754728</v>
      </c>
      <c r="D13" s="26">
        <v>43456.289028722225</v>
      </c>
      <c r="E13" s="26">
        <v>45528.640735707049</v>
      </c>
      <c r="F13" s="26">
        <v>47833.014610615784</v>
      </c>
      <c r="G13" s="26">
        <v>50605.433853762792</v>
      </c>
      <c r="H13" s="26">
        <v>56637.574033909972</v>
      </c>
      <c r="I13" s="26">
        <v>61101.821729039963</v>
      </c>
      <c r="J13" s="26">
        <v>64372.327763173016</v>
      </c>
      <c r="K13" s="26">
        <v>68048.703381800529</v>
      </c>
      <c r="L13" s="26">
        <v>71327.69083965772</v>
      </c>
      <c r="M13" s="26">
        <v>74711.885282442745</v>
      </c>
      <c r="N13" s="26">
        <v>78407.815581164527</v>
      </c>
      <c r="O13" s="26">
        <v>81980.649683603304</v>
      </c>
      <c r="P13" s="26">
        <v>84980.856572568213</v>
      </c>
      <c r="Q13" s="26">
        <v>87569.867288448833</v>
      </c>
      <c r="R13" s="26">
        <v>89819.882716566513</v>
      </c>
      <c r="S13" s="26">
        <v>91942.638826548253</v>
      </c>
      <c r="T13" s="26">
        <v>93686.374303820034</v>
      </c>
      <c r="U13" s="27">
        <v>4.9183584948831349E-2</v>
      </c>
      <c r="W13" s="30">
        <f t="shared" si="0"/>
        <v>1192011.4662315517</v>
      </c>
    </row>
    <row r="14" spans="1:23" ht="15" customHeight="1">
      <c r="A14" s="42"/>
      <c r="B14" s="63" t="s">
        <v>80</v>
      </c>
      <c r="C14" s="36">
        <v>38195.006867516968</v>
      </c>
      <c r="D14" s="36">
        <v>37927.221438973174</v>
      </c>
      <c r="E14" s="36">
        <v>38292.315652247758</v>
      </c>
      <c r="F14" s="36">
        <v>39278.827822481566</v>
      </c>
      <c r="G14" s="36">
        <v>40628.878308634754</v>
      </c>
      <c r="H14" s="36">
        <v>44081.72174639436</v>
      </c>
      <c r="I14" s="36">
        <v>47578.740710798782</v>
      </c>
      <c r="J14" s="36">
        <v>51627.675389772085</v>
      </c>
      <c r="K14" s="36">
        <v>55282.900104918954</v>
      </c>
      <c r="L14" s="36">
        <v>57041.058244402884</v>
      </c>
      <c r="M14" s="36">
        <v>59295.583395176407</v>
      </c>
      <c r="N14" s="36">
        <v>61323.704821173131</v>
      </c>
      <c r="O14" s="36">
        <v>63356.907794505823</v>
      </c>
      <c r="P14" s="36">
        <v>65004.92642991204</v>
      </c>
      <c r="Q14" s="36">
        <v>66538.004725330946</v>
      </c>
      <c r="R14" s="36">
        <v>67925.679046375604</v>
      </c>
      <c r="S14" s="36">
        <v>69211.192291563319</v>
      </c>
      <c r="T14" s="36">
        <v>70389.809386682071</v>
      </c>
      <c r="U14" s="24">
        <v>3.940528952874911E-2</v>
      </c>
      <c r="W14" s="30">
        <f t="shared" si="0"/>
        <v>934785.14730934368</v>
      </c>
    </row>
    <row r="15" spans="1:23" ht="15" customHeight="1">
      <c r="A15" s="42"/>
      <c r="B15" s="63" t="s">
        <v>81</v>
      </c>
      <c r="C15" s="36">
        <v>1023.563879690484</v>
      </c>
      <c r="D15" s="36">
        <v>1021.0145323224822</v>
      </c>
      <c r="E15" s="36">
        <v>1027.9413455997346</v>
      </c>
      <c r="F15" s="36">
        <v>1050.3301055216261</v>
      </c>
      <c r="G15" s="36">
        <v>1084.3395669635522</v>
      </c>
      <c r="H15" s="36">
        <v>1124.8231222743734</v>
      </c>
      <c r="I15" s="36">
        <v>1172.9566406697365</v>
      </c>
      <c r="J15" s="36">
        <v>1226.744078502054</v>
      </c>
      <c r="K15" s="36">
        <v>1280.5921673518508</v>
      </c>
      <c r="L15" s="36">
        <v>1338.412170236049</v>
      </c>
      <c r="M15" s="36">
        <v>1401.5357406913736</v>
      </c>
      <c r="N15" s="36">
        <v>1469.7426951045672</v>
      </c>
      <c r="O15" s="36">
        <v>1538.7550528195841</v>
      </c>
      <c r="P15" s="36">
        <v>1595.0458040454032</v>
      </c>
      <c r="Q15" s="36">
        <v>1646.4566402334349</v>
      </c>
      <c r="R15" s="36">
        <v>1693.2351421992537</v>
      </c>
      <c r="S15" s="36">
        <v>1735.8830865377922</v>
      </c>
      <c r="T15" s="36">
        <v>1775.6134316268065</v>
      </c>
      <c r="U15" s="24">
        <v>3.5189316129375703E-2</v>
      </c>
      <c r="W15" s="30">
        <f t="shared" si="0"/>
        <v>23183.421322699676</v>
      </c>
    </row>
    <row r="16" spans="1:23" ht="15" customHeight="1">
      <c r="A16" s="42"/>
      <c r="B16" s="63" t="s">
        <v>82</v>
      </c>
      <c r="C16" s="36">
        <v>169.82050674423002</v>
      </c>
      <c r="D16" s="36">
        <v>168.61135631527404</v>
      </c>
      <c r="E16" s="36">
        <v>169.3646774313834</v>
      </c>
      <c r="F16" s="36">
        <v>172.00507769163985</v>
      </c>
      <c r="G16" s="36">
        <v>176.54533962885392</v>
      </c>
      <c r="H16" s="36">
        <v>181.90498951481575</v>
      </c>
      <c r="I16" s="36">
        <v>188.46638122576556</v>
      </c>
      <c r="J16" s="36">
        <v>195.62378014190352</v>
      </c>
      <c r="K16" s="36">
        <v>203.13167364127204</v>
      </c>
      <c r="L16" s="36">
        <v>211.17173825517253</v>
      </c>
      <c r="M16" s="36">
        <v>220.72927216992994</v>
      </c>
      <c r="N16" s="36">
        <v>230.70923829912206</v>
      </c>
      <c r="O16" s="36">
        <v>240.81114820074015</v>
      </c>
      <c r="P16" s="36">
        <v>249.03715365112083</v>
      </c>
      <c r="Q16" s="36">
        <v>256.50168715389134</v>
      </c>
      <c r="R16" s="36">
        <v>263.14997185954797</v>
      </c>
      <c r="S16" s="36">
        <v>269.13526248198235</v>
      </c>
      <c r="T16" s="36">
        <v>274.57799116560989</v>
      </c>
      <c r="U16" s="24">
        <v>3.0946625287634033E-2</v>
      </c>
      <c r="W16" s="30">
        <f t="shared" si="0"/>
        <v>3671.4767388280256</v>
      </c>
    </row>
    <row r="17" spans="1:23" ht="15" customHeight="1">
      <c r="A17" s="42"/>
      <c r="B17" s="63" t="s">
        <v>83</v>
      </c>
      <c r="C17" s="36">
        <v>1574.7659974394135</v>
      </c>
      <c r="D17" s="36">
        <v>750.73957442433391</v>
      </c>
      <c r="E17" s="36">
        <v>750.73957442433391</v>
      </c>
      <c r="F17" s="36">
        <v>750.73957442433391</v>
      </c>
      <c r="G17" s="36">
        <v>750.73957442433391</v>
      </c>
      <c r="H17" s="36">
        <v>750.73957442433391</v>
      </c>
      <c r="I17" s="36">
        <v>750.73957442433391</v>
      </c>
      <c r="J17" s="36">
        <v>750.73957442433391</v>
      </c>
      <c r="K17" s="36">
        <v>750.73957442433391</v>
      </c>
      <c r="L17" s="36">
        <v>750.73957442433391</v>
      </c>
      <c r="M17" s="36">
        <v>750.73957442433391</v>
      </c>
      <c r="N17" s="36">
        <v>750.73957442433391</v>
      </c>
      <c r="O17" s="36">
        <v>750.73957442433391</v>
      </c>
      <c r="P17" s="36">
        <v>750.73957442433391</v>
      </c>
      <c r="Q17" s="36">
        <v>750.73957442433391</v>
      </c>
      <c r="R17" s="36">
        <v>750.73957442433391</v>
      </c>
      <c r="S17" s="36">
        <v>750.73957442433391</v>
      </c>
      <c r="T17" s="36">
        <v>750.73957442433391</v>
      </c>
      <c r="U17" s="24">
        <v>0</v>
      </c>
      <c r="W17" s="30">
        <f t="shared" si="0"/>
        <v>12762.572765213672</v>
      </c>
    </row>
    <row r="18" spans="1:23" ht="15" customHeight="1" thickBot="1">
      <c r="A18" s="42"/>
      <c r="B18" s="63" t="s">
        <v>84</v>
      </c>
      <c r="C18" s="25">
        <v>2185.9548798332135</v>
      </c>
      <c r="D18" s="25">
        <v>1888.4953894778632</v>
      </c>
      <c r="E18" s="25">
        <v>1906.0978252208847</v>
      </c>
      <c r="F18" s="25">
        <v>1927.0779947329297</v>
      </c>
      <c r="G18" s="25">
        <v>1958.8328411098705</v>
      </c>
      <c r="H18" s="25">
        <v>1995.726981434897</v>
      </c>
      <c r="I18" s="25">
        <v>2044.0344319172468</v>
      </c>
      <c r="J18" s="25">
        <v>2099.0826450664649</v>
      </c>
      <c r="K18" s="25">
        <v>2158.790912184601</v>
      </c>
      <c r="L18" s="25">
        <v>2221.4507494746326</v>
      </c>
      <c r="M18" s="25">
        <v>2294.6292214387422</v>
      </c>
      <c r="N18" s="25">
        <v>2375.7316974613836</v>
      </c>
      <c r="O18" s="25">
        <v>2460.7898731438768</v>
      </c>
      <c r="P18" s="25">
        <v>2529.5820386827718</v>
      </c>
      <c r="Q18" s="25">
        <v>2590.5186912418822</v>
      </c>
      <c r="R18" s="25">
        <v>2645.321391910757</v>
      </c>
      <c r="S18" s="25">
        <v>2696.6908803218312</v>
      </c>
      <c r="T18" s="25">
        <v>2742.100926117208</v>
      </c>
      <c r="U18" s="24">
        <v>2.3582775598402383E-2</v>
      </c>
      <c r="W18" s="30">
        <f t="shared" si="0"/>
        <v>38534.954490937846</v>
      </c>
    </row>
    <row r="19" spans="1:23" ht="15.75" thickBot="1">
      <c r="A19" s="206" t="s">
        <v>85</v>
      </c>
      <c r="B19" s="207"/>
      <c r="C19" s="26">
        <v>86635.871525979033</v>
      </c>
      <c r="D19" s="26">
        <v>85212.371320235354</v>
      </c>
      <c r="E19" s="26">
        <v>87675.099810631145</v>
      </c>
      <c r="F19" s="26">
        <v>91011.99518546788</v>
      </c>
      <c r="G19" s="26">
        <v>95204.769484524149</v>
      </c>
      <c r="H19" s="26">
        <v>104772.49044795275</v>
      </c>
      <c r="I19" s="26">
        <v>112836.75946807582</v>
      </c>
      <c r="J19" s="26">
        <v>120272.19323107986</v>
      </c>
      <c r="K19" s="26">
        <v>127724.85781432154</v>
      </c>
      <c r="L19" s="26">
        <v>132890.5233164508</v>
      </c>
      <c r="M19" s="26">
        <v>138675.10248634353</v>
      </c>
      <c r="N19" s="26">
        <v>144558.44360762706</v>
      </c>
      <c r="O19" s="26">
        <v>150328.65312669767</v>
      </c>
      <c r="P19" s="26">
        <v>155110.18757328388</v>
      </c>
      <c r="Q19" s="26">
        <v>159352.08860683333</v>
      </c>
      <c r="R19" s="26">
        <v>163098.007843336</v>
      </c>
      <c r="S19" s="26">
        <v>166606.27992187752</v>
      </c>
      <c r="T19" s="26">
        <v>169619.21561383607</v>
      </c>
      <c r="U19" s="27">
        <v>4.3964606298568798E-2</v>
      </c>
      <c r="W19" s="30">
        <f t="shared" si="0"/>
        <v>2204949.0388585743</v>
      </c>
    </row>
    <row r="20" spans="1:23" ht="15" customHeight="1">
      <c r="A20" s="42"/>
      <c r="B20" s="63" t="s">
        <v>86</v>
      </c>
      <c r="C20" s="36">
        <v>7358.7525262758354</v>
      </c>
      <c r="D20" s="36">
        <v>9279.0919794815491</v>
      </c>
      <c r="E20" s="36">
        <v>9358.7075770821575</v>
      </c>
      <c r="F20" s="36">
        <v>9577.524399046928</v>
      </c>
      <c r="G20" s="36">
        <v>9821.0851635436666</v>
      </c>
      <c r="H20" s="36">
        <v>10092.128157140165</v>
      </c>
      <c r="I20" s="36">
        <v>10392.574694598796</v>
      </c>
      <c r="J20" s="36">
        <v>10960.468981962666</v>
      </c>
      <c r="K20" s="36">
        <v>11309.245953783617</v>
      </c>
      <c r="L20" s="36">
        <v>11684.767804572561</v>
      </c>
      <c r="M20" s="36">
        <v>12334.779906582486</v>
      </c>
      <c r="N20" s="36">
        <v>12778.16653735169</v>
      </c>
      <c r="O20" s="36">
        <v>13215.772471815024</v>
      </c>
      <c r="P20" s="36">
        <v>13572.508174024066</v>
      </c>
      <c r="Q20" s="36">
        <v>13899.673879770073</v>
      </c>
      <c r="R20" s="36">
        <v>14189.446212403065</v>
      </c>
      <c r="S20" s="36">
        <v>14461.932821484188</v>
      </c>
      <c r="T20" s="36">
        <v>14707.998747095424</v>
      </c>
      <c r="U20" s="24">
        <v>2.9207652160962549E-2</v>
      </c>
      <c r="W20" s="30">
        <f t="shared" si="0"/>
        <v>201635.87346173811</v>
      </c>
    </row>
    <row r="21" spans="1:23" ht="15" customHeight="1">
      <c r="A21" s="42"/>
      <c r="B21" s="63" t="s">
        <v>87</v>
      </c>
      <c r="C21" s="36">
        <v>3255.5475865899953</v>
      </c>
      <c r="D21" s="36">
        <v>1552.0200548200953</v>
      </c>
      <c r="E21" s="36">
        <v>1552.0200548200953</v>
      </c>
      <c r="F21" s="36">
        <v>1552.0200548200953</v>
      </c>
      <c r="G21" s="36">
        <v>1552.0200548200953</v>
      </c>
      <c r="H21" s="36">
        <v>1552.0200548200953</v>
      </c>
      <c r="I21" s="36">
        <v>1552.0200548200953</v>
      </c>
      <c r="J21" s="36">
        <v>1552.0200548200953</v>
      </c>
      <c r="K21" s="36">
        <v>1552.0200548200953</v>
      </c>
      <c r="L21" s="36">
        <v>1552.0200548200953</v>
      </c>
      <c r="M21" s="36">
        <v>1552.0200548200953</v>
      </c>
      <c r="N21" s="36">
        <v>1552.0200548200953</v>
      </c>
      <c r="O21" s="36">
        <v>1552.0200548200953</v>
      </c>
      <c r="P21" s="36">
        <v>1552.0200548200953</v>
      </c>
      <c r="Q21" s="36">
        <v>1552.0200548200953</v>
      </c>
      <c r="R21" s="36">
        <v>1552.0200548200953</v>
      </c>
      <c r="S21" s="36">
        <v>1552.0200548200953</v>
      </c>
      <c r="T21" s="36">
        <v>1552.0200548200953</v>
      </c>
      <c r="U21" s="24">
        <v>0</v>
      </c>
      <c r="W21" s="30">
        <f t="shared" si="0"/>
        <v>26384.340931941621</v>
      </c>
    </row>
    <row r="22" spans="1:23" ht="15" customHeight="1" thickBot="1">
      <c r="A22" s="42"/>
      <c r="B22" s="63" t="s">
        <v>88</v>
      </c>
      <c r="C22" s="25">
        <v>172.65468098190951</v>
      </c>
      <c r="D22" s="25">
        <v>147.52764546301219</v>
      </c>
      <c r="E22" s="25">
        <v>148.80255746660114</v>
      </c>
      <c r="F22" s="25">
        <v>150.33736066509448</v>
      </c>
      <c r="G22" s="25">
        <v>152.70729711208978</v>
      </c>
      <c r="H22" s="25">
        <v>155.47234008698004</v>
      </c>
      <c r="I22" s="25">
        <v>159.12278250529963</v>
      </c>
      <c r="J22" s="25">
        <v>163.28973213738291</v>
      </c>
      <c r="K22" s="25">
        <v>167.81717707473922</v>
      </c>
      <c r="L22" s="25">
        <v>172.56482415652962</v>
      </c>
      <c r="M22" s="25">
        <v>178.13755225390426</v>
      </c>
      <c r="N22" s="25">
        <v>184.32380020113666</v>
      </c>
      <c r="O22" s="25">
        <v>190.82234666720706</v>
      </c>
      <c r="P22" s="25">
        <v>196.07919787195127</v>
      </c>
      <c r="Q22" s="25">
        <v>200.72645857646549</v>
      </c>
      <c r="R22" s="25">
        <v>204.90088944083169</v>
      </c>
      <c r="S22" s="25">
        <v>208.81420181818564</v>
      </c>
      <c r="T22" s="25">
        <v>212.26358424840635</v>
      </c>
      <c r="U22" s="24">
        <v>2.2998813814058439E-2</v>
      </c>
      <c r="W22" s="30">
        <f t="shared" si="0"/>
        <v>2993.7097477458174</v>
      </c>
    </row>
    <row r="23" spans="1:23" ht="15.75" thickBot="1">
      <c r="A23" s="206" t="s">
        <v>89</v>
      </c>
      <c r="B23" s="207"/>
      <c r="C23" s="26">
        <v>10786.954793847741</v>
      </c>
      <c r="D23" s="26">
        <v>10978.639679764658</v>
      </c>
      <c r="E23" s="26">
        <v>11059.530189368854</v>
      </c>
      <c r="F23" s="26">
        <v>11279.881814532118</v>
      </c>
      <c r="G23" s="26">
        <v>11525.812515475853</v>
      </c>
      <c r="H23" s="26">
        <v>11799.620552047241</v>
      </c>
      <c r="I23" s="26">
        <v>12103.717531924191</v>
      </c>
      <c r="J23" s="26">
        <v>12675.778768920143</v>
      </c>
      <c r="K23" s="26">
        <v>13029.083185678452</v>
      </c>
      <c r="L23" s="26">
        <v>13409.352683549187</v>
      </c>
      <c r="M23" s="26">
        <v>14064.937513656485</v>
      </c>
      <c r="N23" s="26">
        <v>14514.510392372922</v>
      </c>
      <c r="O23" s="26">
        <v>14958.614873302326</v>
      </c>
      <c r="P23" s="26">
        <v>15320.607426716113</v>
      </c>
      <c r="Q23" s="26">
        <v>15652.420393166634</v>
      </c>
      <c r="R23" s="26">
        <v>15946.367156663993</v>
      </c>
      <c r="S23" s="26">
        <v>16222.76707812247</v>
      </c>
      <c r="T23" s="26">
        <v>16472.282386163926</v>
      </c>
      <c r="U23" s="27">
        <v>2.5682221824777196E-2</v>
      </c>
      <c r="W23" s="30">
        <f t="shared" si="0"/>
        <v>231013.92414142552</v>
      </c>
    </row>
    <row r="24" spans="1:23" ht="15.75" thickBot="1">
      <c r="A24" s="206" t="s">
        <v>90</v>
      </c>
      <c r="B24" s="207"/>
      <c r="C24" s="26">
        <v>53936.066925072046</v>
      </c>
      <c r="D24" s="26">
        <v>52734.721971277788</v>
      </c>
      <c r="E24" s="26">
        <v>53205.989264292948</v>
      </c>
      <c r="F24" s="26">
        <v>54458.862389384216</v>
      </c>
      <c r="G24" s="26">
        <v>56125.14814623721</v>
      </c>
      <c r="H24" s="26">
        <v>59934.536966090018</v>
      </c>
      <c r="I24" s="26">
        <v>63838.655270960051</v>
      </c>
      <c r="J24" s="26">
        <v>68575.644236826978</v>
      </c>
      <c r="K24" s="26">
        <v>72705.237618199462</v>
      </c>
      <c r="L24" s="26">
        <v>74972.185160342255</v>
      </c>
      <c r="M24" s="26">
        <v>78028.154717557278</v>
      </c>
      <c r="N24" s="26">
        <v>80665.138418835457</v>
      </c>
      <c r="O24" s="26">
        <v>83306.618316396693</v>
      </c>
      <c r="P24" s="26">
        <v>85449.938427431785</v>
      </c>
      <c r="Q24" s="26">
        <v>87434.641711551143</v>
      </c>
      <c r="R24" s="26">
        <v>89224.492283433487</v>
      </c>
      <c r="S24" s="26">
        <v>90886.408173451739</v>
      </c>
      <c r="T24" s="26">
        <v>92405.123696179973</v>
      </c>
      <c r="U24" s="27">
        <v>3.5678503171474807E-2</v>
      </c>
      <c r="W24" s="30">
        <f t="shared" si="0"/>
        <v>1243951.4967684485</v>
      </c>
    </row>
    <row r="25" spans="1:23" ht="15.75" thickBot="1">
      <c r="A25" s="206" t="s">
        <v>91</v>
      </c>
      <c r="B25" s="207"/>
      <c r="C25" s="26">
        <v>97422.826319826767</v>
      </c>
      <c r="D25" s="26">
        <v>96191.010999999999</v>
      </c>
      <c r="E25" s="26">
        <v>98734.63</v>
      </c>
      <c r="F25" s="26">
        <v>102291.87699999999</v>
      </c>
      <c r="G25" s="26">
        <v>106730.58199999999</v>
      </c>
      <c r="H25" s="26">
        <v>116572.111</v>
      </c>
      <c r="I25" s="26">
        <v>124940.477</v>
      </c>
      <c r="J25" s="26">
        <v>132947.97200000001</v>
      </c>
      <c r="K25" s="26">
        <v>140753.94099999999</v>
      </c>
      <c r="L25" s="26">
        <v>146299.87599999999</v>
      </c>
      <c r="M25" s="26">
        <v>152740.04</v>
      </c>
      <c r="N25" s="26">
        <v>159072.954</v>
      </c>
      <c r="O25" s="26">
        <v>165287.26800000001</v>
      </c>
      <c r="P25" s="26">
        <v>170430.79500000001</v>
      </c>
      <c r="Q25" s="26">
        <v>175004.50899999999</v>
      </c>
      <c r="R25" s="26">
        <v>179044.375</v>
      </c>
      <c r="S25" s="26">
        <v>182829.04699999999</v>
      </c>
      <c r="T25" s="26">
        <v>186091.49799999999</v>
      </c>
      <c r="U25" s="27">
        <v>4.2106255007252402E-2</v>
      </c>
      <c r="W25" s="30">
        <f t="shared" si="0"/>
        <v>2435962.963</v>
      </c>
    </row>
    <row r="26" spans="1:23" ht="15" customHeight="1">
      <c r="A26" s="42"/>
      <c r="B26" s="63" t="s">
        <v>63</v>
      </c>
      <c r="C26" s="23">
        <v>2370.9987976197604</v>
      </c>
      <c r="D26" s="23">
        <v>2483.5078023498304</v>
      </c>
      <c r="E26" s="23">
        <v>2508.6544961520149</v>
      </c>
      <c r="F26" s="23">
        <v>2551.5583381350616</v>
      </c>
      <c r="G26" s="23">
        <v>2612.4473019421084</v>
      </c>
      <c r="H26" s="23">
        <v>2687.4139118790245</v>
      </c>
      <c r="I26" s="23">
        <v>2770.8926393532251</v>
      </c>
      <c r="J26" s="23">
        <v>2866.3687641668057</v>
      </c>
      <c r="K26" s="23">
        <v>2970.8158931788603</v>
      </c>
      <c r="L26" s="23">
        <v>3085.1063995185418</v>
      </c>
      <c r="M26" s="23">
        <v>3221.244507416226</v>
      </c>
      <c r="N26" s="23">
        <v>3362.4154997962705</v>
      </c>
      <c r="O26" s="23">
        <v>3503.4784336503931</v>
      </c>
      <c r="P26" s="23">
        <v>3617.335460562771</v>
      </c>
      <c r="Q26" s="23">
        <v>3715.1784340445142</v>
      </c>
      <c r="R26" s="23">
        <v>3800.2937663736525</v>
      </c>
      <c r="S26" s="23">
        <v>3874.8462849948737</v>
      </c>
      <c r="T26" s="23">
        <v>3937.5300383470208</v>
      </c>
      <c r="U26" s="24">
        <v>2.9223981467039639E-2</v>
      </c>
      <c r="W26" s="30">
        <f t="shared" si="0"/>
        <v>53569.08797186119</v>
      </c>
    </row>
    <row r="27" spans="1:23" ht="15" customHeight="1" thickBot="1">
      <c r="A27" s="42"/>
      <c r="B27" s="63" t="s">
        <v>0</v>
      </c>
      <c r="C27" s="23">
        <v>533.56685463748806</v>
      </c>
      <c r="D27" s="23">
        <v>557.06804939653102</v>
      </c>
      <c r="E27" s="23">
        <v>564.99252681716507</v>
      </c>
      <c r="F27" s="23">
        <v>576.56602923704133</v>
      </c>
      <c r="G27" s="23">
        <v>591.04015665917257</v>
      </c>
      <c r="H27" s="23">
        <v>607.78975879254972</v>
      </c>
      <c r="I27" s="23">
        <v>626.19252225006574</v>
      </c>
      <c r="J27" s="23">
        <v>646.33414449748147</v>
      </c>
      <c r="K27" s="23">
        <v>668.85948936553586</v>
      </c>
      <c r="L27" s="23">
        <v>692.73108950003143</v>
      </c>
      <c r="M27" s="23">
        <v>722.8535890993694</v>
      </c>
      <c r="N27" s="23">
        <v>752.8225302015893</v>
      </c>
      <c r="O27" s="23">
        <v>782.89552865625569</v>
      </c>
      <c r="P27" s="23">
        <v>807.47820417586979</v>
      </c>
      <c r="Q27" s="23">
        <v>829.17930731679348</v>
      </c>
      <c r="R27" s="23">
        <v>848.08975104328852</v>
      </c>
      <c r="S27" s="23">
        <v>864.55027827713866</v>
      </c>
      <c r="T27" s="23">
        <v>878.97038445766373</v>
      </c>
      <c r="U27" s="24">
        <v>2.8914113690311716E-2</v>
      </c>
      <c r="W27" s="30">
        <f t="shared" si="0"/>
        <v>12018.413339743542</v>
      </c>
    </row>
    <row r="28" spans="1:23" ht="15.75" thickBot="1">
      <c r="A28" s="206" t="s">
        <v>92</v>
      </c>
      <c r="B28" s="207"/>
      <c r="C28" s="26">
        <v>2904.5656522572485</v>
      </c>
      <c r="D28" s="26">
        <v>3040.5758517463614</v>
      </c>
      <c r="E28" s="26">
        <v>3073.6470229691799</v>
      </c>
      <c r="F28" s="26">
        <v>3128.1243673721028</v>
      </c>
      <c r="G28" s="26">
        <v>3203.4874586012811</v>
      </c>
      <c r="H28" s="26">
        <v>3295.2036706715744</v>
      </c>
      <c r="I28" s="26">
        <v>3397.085161603291</v>
      </c>
      <c r="J28" s="26">
        <v>3512.702908664287</v>
      </c>
      <c r="K28" s="26">
        <v>3639.6753825443961</v>
      </c>
      <c r="L28" s="26">
        <v>3777.8374890185733</v>
      </c>
      <c r="M28" s="26">
        <v>3944.0980965155954</v>
      </c>
      <c r="N28" s="26">
        <v>4115.2380299978595</v>
      </c>
      <c r="O28" s="26">
        <v>4286.3739623066485</v>
      </c>
      <c r="P28" s="26">
        <v>4424.8136647386409</v>
      </c>
      <c r="Q28" s="26">
        <v>4544.3577413613075</v>
      </c>
      <c r="R28" s="26">
        <v>4648.3835174169408</v>
      </c>
      <c r="S28" s="26">
        <v>4739.3965632720119</v>
      </c>
      <c r="T28" s="26">
        <v>4816.5004228046846</v>
      </c>
      <c r="U28" s="27">
        <v>2.9167314786268106E-2</v>
      </c>
      <c r="W28" s="30">
        <f t="shared" si="0"/>
        <v>65587.501311604748</v>
      </c>
    </row>
    <row r="29" spans="1:23" ht="15" customHeight="1">
      <c r="A29" s="42"/>
      <c r="B29" s="63" t="s">
        <v>93</v>
      </c>
      <c r="C29" s="25">
        <v>10807.545526899017</v>
      </c>
      <c r="D29" s="25">
        <v>10941.870525128494</v>
      </c>
      <c r="E29" s="25">
        <v>11068.756060863261</v>
      </c>
      <c r="F29" s="25">
        <v>11257.378768876653</v>
      </c>
      <c r="G29" s="25">
        <v>11538.305420426315</v>
      </c>
      <c r="H29" s="25">
        <v>11897.898513700376</v>
      </c>
      <c r="I29" s="25">
        <v>12336.47117009481</v>
      </c>
      <c r="J29" s="25">
        <v>12813.524541826851</v>
      </c>
      <c r="K29" s="25">
        <v>13281.27949016258</v>
      </c>
      <c r="L29" s="25">
        <v>13768.616447759639</v>
      </c>
      <c r="M29" s="25">
        <v>14256.328479796439</v>
      </c>
      <c r="N29" s="25">
        <v>14748.909229536193</v>
      </c>
      <c r="O29" s="25">
        <v>15234.073359846212</v>
      </c>
      <c r="P29" s="25">
        <v>15620.167357227112</v>
      </c>
      <c r="Q29" s="25">
        <v>15976.181428367652</v>
      </c>
      <c r="R29" s="25">
        <v>16315.386691289576</v>
      </c>
      <c r="S29" s="25">
        <v>16635.575201807027</v>
      </c>
      <c r="T29" s="25">
        <v>16931.793825048782</v>
      </c>
      <c r="U29" s="24">
        <v>2.766298116693644E-2</v>
      </c>
      <c r="W29" s="30">
        <f t="shared" si="0"/>
        <v>234622.51651175797</v>
      </c>
    </row>
    <row r="30" spans="1:23" ht="15" customHeight="1">
      <c r="A30" s="42"/>
      <c r="B30" s="63" t="s">
        <v>46</v>
      </c>
      <c r="C30" s="25">
        <v>2737.4568166399999</v>
      </c>
      <c r="D30" s="25">
        <v>2840.227598428025</v>
      </c>
      <c r="E30" s="25">
        <v>2854.6871958317302</v>
      </c>
      <c r="F30" s="25">
        <v>2874.1546768145495</v>
      </c>
      <c r="G30" s="25">
        <v>2901.9156667979596</v>
      </c>
      <c r="H30" s="25">
        <v>2939.0936910830696</v>
      </c>
      <c r="I30" s="25">
        <v>2982.6322999890331</v>
      </c>
      <c r="J30" s="25">
        <v>3034.246679709147</v>
      </c>
      <c r="K30" s="25">
        <v>3085.4061624153233</v>
      </c>
      <c r="L30" s="25">
        <v>3142.8519542456406</v>
      </c>
      <c r="M30" s="25">
        <v>3205.2741835574197</v>
      </c>
      <c r="N30" s="25">
        <v>3273.5058913599537</v>
      </c>
      <c r="O30" s="25">
        <v>3343.4265757640255</v>
      </c>
      <c r="P30" s="25">
        <v>3403.301215152695</v>
      </c>
      <c r="Q30" s="25">
        <v>3455.6421743699234</v>
      </c>
      <c r="R30" s="25">
        <v>3501.9980282354222</v>
      </c>
      <c r="S30" s="25">
        <v>3543.7304367921502</v>
      </c>
      <c r="T30" s="25">
        <v>3580.9531953198198</v>
      </c>
      <c r="U30" s="24">
        <v>1.4589454111405331E-2</v>
      </c>
      <c r="W30" s="30">
        <f t="shared" si="0"/>
        <v>53963.047625865889</v>
      </c>
    </row>
    <row r="31" spans="1:23" ht="15" customHeight="1">
      <c r="A31" s="42"/>
      <c r="B31" s="63" t="s">
        <v>94</v>
      </c>
      <c r="C31" s="25">
        <v>1233.70203627468</v>
      </c>
      <c r="D31" s="25">
        <v>1281.4290489652956</v>
      </c>
      <c r="E31" s="25">
        <v>1287.4179651712911</v>
      </c>
      <c r="F31" s="25">
        <v>1295.498635449464</v>
      </c>
      <c r="G31" s="25">
        <v>1309.912186194023</v>
      </c>
      <c r="H31" s="25">
        <v>1330.5345634516889</v>
      </c>
      <c r="I31" s="25">
        <v>1355.6129821694319</v>
      </c>
      <c r="J31" s="25">
        <v>1385.2827044796866</v>
      </c>
      <c r="K31" s="25">
        <v>1413.012334570775</v>
      </c>
      <c r="L31" s="25">
        <v>1444.2789046974394</v>
      </c>
      <c r="M31" s="25">
        <v>1477.8878158476775</v>
      </c>
      <c r="N31" s="25">
        <v>1514.439840919119</v>
      </c>
      <c r="O31" s="25">
        <v>1551.4474653832476</v>
      </c>
      <c r="P31" s="25">
        <v>1582.7227342929141</v>
      </c>
      <c r="Q31" s="25">
        <v>1609.691360267399</v>
      </c>
      <c r="R31" s="25">
        <v>1633.5204482758732</v>
      </c>
      <c r="S31" s="25">
        <v>1654.769805132715</v>
      </c>
      <c r="T31" s="25">
        <v>1673.6261965174147</v>
      </c>
      <c r="U31" s="24">
        <v>1.6828578429640473E-2</v>
      </c>
      <c r="W31" s="30">
        <f t="shared" si="0"/>
        <v>24801.084991785458</v>
      </c>
    </row>
    <row r="32" spans="1:23" ht="15" customHeight="1">
      <c r="A32" s="42"/>
      <c r="B32" s="63" t="s">
        <v>95</v>
      </c>
      <c r="C32" s="25">
        <v>791.531485418128</v>
      </c>
      <c r="D32" s="25">
        <v>823.46591951524556</v>
      </c>
      <c r="E32" s="25">
        <v>828.36544406973871</v>
      </c>
      <c r="F32" s="25">
        <v>834.13818035444331</v>
      </c>
      <c r="G32" s="25">
        <v>844.51667913516042</v>
      </c>
      <c r="H32" s="25">
        <v>859.43691961133754</v>
      </c>
      <c r="I32" s="25">
        <v>877.42038186737716</v>
      </c>
      <c r="J32" s="25">
        <v>898.79339708688974</v>
      </c>
      <c r="K32" s="25">
        <v>919.08740371931992</v>
      </c>
      <c r="L32" s="25">
        <v>941.9821579907242</v>
      </c>
      <c r="M32" s="25">
        <v>966.69346384059622</v>
      </c>
      <c r="N32" s="25">
        <v>993.52232432326025</v>
      </c>
      <c r="O32" s="25">
        <v>1020.5579776292797</v>
      </c>
      <c r="P32" s="25">
        <v>1043.5886170689607</v>
      </c>
      <c r="Q32" s="25">
        <v>1063.6340387697596</v>
      </c>
      <c r="R32" s="25">
        <v>1081.4717015135775</v>
      </c>
      <c r="S32" s="25">
        <v>1097.4144454183306</v>
      </c>
      <c r="T32" s="25">
        <v>1111.577204202659</v>
      </c>
      <c r="U32" s="24">
        <v>1.8927714626087555E-2</v>
      </c>
      <c r="W32" s="30">
        <f t="shared" si="0"/>
        <v>16205.666256116659</v>
      </c>
    </row>
    <row r="33" spans="1:23" ht="15" customHeight="1">
      <c r="A33" s="42"/>
      <c r="B33" s="63" t="s">
        <v>96</v>
      </c>
      <c r="C33" s="25">
        <v>229.81928439456001</v>
      </c>
      <c r="D33" s="25">
        <v>234.48793427990535</v>
      </c>
      <c r="E33" s="25">
        <v>233.62382089145211</v>
      </c>
      <c r="F33" s="25">
        <v>234.56679830286956</v>
      </c>
      <c r="G33" s="25">
        <v>235.56957693952018</v>
      </c>
      <c r="H33" s="25">
        <v>236.63321399617985</v>
      </c>
      <c r="I33" s="25">
        <v>237.61769904533978</v>
      </c>
      <c r="J33" s="25">
        <v>238.84093096438278</v>
      </c>
      <c r="K33" s="25">
        <v>240.04113787515493</v>
      </c>
      <c r="L33" s="25">
        <v>241.60965964864701</v>
      </c>
      <c r="M33" s="25">
        <v>243.37726522995132</v>
      </c>
      <c r="N33" s="25">
        <v>245.39256009885915</v>
      </c>
      <c r="O33" s="25">
        <v>247.58817047133718</v>
      </c>
      <c r="P33" s="25">
        <v>249.33417620146798</v>
      </c>
      <c r="Q33" s="25">
        <v>250.71025724794569</v>
      </c>
      <c r="R33" s="25">
        <v>251.69427835905128</v>
      </c>
      <c r="S33" s="25">
        <v>252.48366886971345</v>
      </c>
      <c r="T33" s="25">
        <v>253.06903407885684</v>
      </c>
      <c r="U33" s="24">
        <v>4.77751233604784E-3</v>
      </c>
      <c r="W33" s="30">
        <f t="shared" si="0"/>
        <v>4126.6401825006333</v>
      </c>
    </row>
    <row r="34" spans="1:23" ht="15" customHeight="1" thickBot="1">
      <c r="A34" s="42"/>
      <c r="B34" s="63" t="s">
        <v>97</v>
      </c>
      <c r="C34" s="25">
        <v>585.74075757120011</v>
      </c>
      <c r="D34" s="25">
        <v>588.8913776199945</v>
      </c>
      <c r="E34" s="25">
        <v>590.24194203189415</v>
      </c>
      <c r="F34" s="25">
        <v>591.63347618676289</v>
      </c>
      <c r="G34" s="25">
        <v>593.47980243460461</v>
      </c>
      <c r="H34" s="25">
        <v>595.8929127685609</v>
      </c>
      <c r="I34" s="25">
        <v>599.2468521752545</v>
      </c>
      <c r="J34" s="25">
        <v>606.36866720937564</v>
      </c>
      <c r="K34" s="25">
        <v>611.25966330875906</v>
      </c>
      <c r="L34" s="25">
        <v>616.65100137085176</v>
      </c>
      <c r="M34" s="25">
        <v>622.35162221549456</v>
      </c>
      <c r="N34" s="25">
        <v>627.86548662068367</v>
      </c>
      <c r="O34" s="25">
        <v>633.18667733630218</v>
      </c>
      <c r="P34" s="25">
        <v>637.981074822658</v>
      </c>
      <c r="Q34" s="25">
        <v>643.02308780815804</v>
      </c>
      <c r="R34" s="25">
        <v>648.21195126920054</v>
      </c>
      <c r="S34" s="25">
        <v>653.56201621768025</v>
      </c>
      <c r="T34" s="25">
        <v>659.14485791766469</v>
      </c>
      <c r="U34" s="24">
        <v>7.0687147985071253E-3</v>
      </c>
      <c r="W34" s="30">
        <f t="shared" si="0"/>
        <v>10518.9924693139</v>
      </c>
    </row>
    <row r="35" spans="1:23" ht="15.75" thickBot="1">
      <c r="A35" s="206" t="s">
        <v>98</v>
      </c>
      <c r="B35" s="207"/>
      <c r="C35" s="26">
        <v>16385.795907197586</v>
      </c>
      <c r="D35" s="26">
        <v>16710.372403936959</v>
      </c>
      <c r="E35" s="26">
        <v>16863.092428859367</v>
      </c>
      <c r="F35" s="26">
        <v>17087.370535984741</v>
      </c>
      <c r="G35" s="26">
        <v>17423.699331927586</v>
      </c>
      <c r="H35" s="26">
        <v>17859.489814611217</v>
      </c>
      <c r="I35" s="26">
        <v>18389.001385341246</v>
      </c>
      <c r="J35" s="26">
        <v>18977.056921276333</v>
      </c>
      <c r="K35" s="26">
        <v>19550.086192051916</v>
      </c>
      <c r="L35" s="26">
        <v>20155.990125712942</v>
      </c>
      <c r="M35" s="26">
        <v>20771.912830487574</v>
      </c>
      <c r="N35" s="26">
        <v>21403.635332858074</v>
      </c>
      <c r="O35" s="26">
        <v>22030.280226430405</v>
      </c>
      <c r="P35" s="26">
        <v>22537.095174765807</v>
      </c>
      <c r="Q35" s="26">
        <v>22998.882346830836</v>
      </c>
      <c r="R35" s="26">
        <v>23432.283098942706</v>
      </c>
      <c r="S35" s="26">
        <v>23837.535574237616</v>
      </c>
      <c r="T35" s="26">
        <v>24210.164313085199</v>
      </c>
      <c r="U35" s="27">
        <v>2.3441976318419266E-2</v>
      </c>
      <c r="W35" s="30">
        <f t="shared" si="0"/>
        <v>344237.94803734054</v>
      </c>
    </row>
    <row r="36" spans="1:23" ht="15" customHeight="1">
      <c r="A36" s="44"/>
      <c r="B36" s="63" t="s">
        <v>99</v>
      </c>
      <c r="C36" s="25">
        <v>63434.149408403326</v>
      </c>
      <c r="D36" s="25">
        <v>65587.441161955852</v>
      </c>
      <c r="E36" s="25">
        <v>66447.695757547583</v>
      </c>
      <c r="F36" s="25">
        <v>67753.902761864229</v>
      </c>
      <c r="G36" s="25">
        <v>69678.243945189548</v>
      </c>
      <c r="H36" s="25">
        <v>72011.97182730191</v>
      </c>
      <c r="I36" s="25">
        <v>74754.243965172689</v>
      </c>
      <c r="J36" s="25">
        <v>77686.100763061113</v>
      </c>
      <c r="K36" s="25">
        <v>80441.965654033047</v>
      </c>
      <c r="L36" s="25">
        <v>83254.166234229546</v>
      </c>
      <c r="M36" s="25">
        <v>86284.303645513777</v>
      </c>
      <c r="N36" s="25">
        <v>89466.555088003384</v>
      </c>
      <c r="O36" s="25">
        <v>92695.156998757098</v>
      </c>
      <c r="P36" s="25">
        <v>94994.232793078627</v>
      </c>
      <c r="Q36" s="25">
        <v>97166.441652146954</v>
      </c>
      <c r="R36" s="25">
        <v>99069.541301005622</v>
      </c>
      <c r="S36" s="25">
        <v>100802.82286167619</v>
      </c>
      <c r="T36" s="25">
        <v>102333.44981244471</v>
      </c>
      <c r="U36" s="24">
        <v>2.8193390944585284E-2</v>
      </c>
      <c r="W36" s="30">
        <f t="shared" si="0"/>
        <v>1420428.2362229815</v>
      </c>
    </row>
    <row r="37" spans="1:23" ht="15" customHeight="1">
      <c r="A37" s="44"/>
      <c r="B37" s="63" t="s">
        <v>100</v>
      </c>
      <c r="C37" s="25">
        <v>2254.6742599895524</v>
      </c>
      <c r="D37" s="25">
        <v>2291.4808100152309</v>
      </c>
      <c r="E37" s="25">
        <v>2314.1072279608893</v>
      </c>
      <c r="F37" s="25">
        <v>2345.3472266441131</v>
      </c>
      <c r="G37" s="25">
        <v>2408.3364659469657</v>
      </c>
      <c r="H37" s="25">
        <v>2487.0425453192315</v>
      </c>
      <c r="I37" s="25">
        <v>2576.2946373941868</v>
      </c>
      <c r="J37" s="25">
        <v>2670.7552310062106</v>
      </c>
      <c r="K37" s="25">
        <v>2759.5054305086915</v>
      </c>
      <c r="L37" s="25">
        <v>2850.3901763515314</v>
      </c>
      <c r="M37" s="25">
        <v>2947.0541859488503</v>
      </c>
      <c r="N37" s="25">
        <v>3052.7537108049355</v>
      </c>
      <c r="O37" s="25">
        <v>3162.5257296204722</v>
      </c>
      <c r="P37" s="25">
        <v>3246.6171052508666</v>
      </c>
      <c r="Q37" s="25">
        <v>3323.332117283584</v>
      </c>
      <c r="R37" s="25">
        <v>3390.0240467576627</v>
      </c>
      <c r="S37" s="25">
        <v>3449.493504051236</v>
      </c>
      <c r="T37" s="25">
        <v>3502.127167707436</v>
      </c>
      <c r="U37" s="24">
        <v>2.6865304973805681E-2</v>
      </c>
      <c r="W37" s="30">
        <f t="shared" si="0"/>
        <v>48777.187318572098</v>
      </c>
    </row>
    <row r="38" spans="1:23" ht="15" customHeight="1">
      <c r="A38" s="44"/>
      <c r="B38" s="63" t="s">
        <v>51</v>
      </c>
      <c r="C38" s="25">
        <v>1107.449220100272</v>
      </c>
      <c r="D38" s="25">
        <v>1138.1698892200691</v>
      </c>
      <c r="E38" s="25">
        <v>1151.1349057073146</v>
      </c>
      <c r="F38" s="25">
        <v>1171.6975170780249</v>
      </c>
      <c r="G38" s="25">
        <v>1207.9637967006154</v>
      </c>
      <c r="H38" s="25">
        <v>1253.067955398951</v>
      </c>
      <c r="I38" s="25">
        <v>1304.1688610923795</v>
      </c>
      <c r="J38" s="25">
        <v>1358.468636561003</v>
      </c>
      <c r="K38" s="25">
        <v>1409.9316514458437</v>
      </c>
      <c r="L38" s="25">
        <v>1462.5164555783851</v>
      </c>
      <c r="M38" s="25">
        <v>1518.8198926397463</v>
      </c>
      <c r="N38" s="25">
        <v>1580.4853187135559</v>
      </c>
      <c r="O38" s="25">
        <v>1644.9987646031691</v>
      </c>
      <c r="P38" s="25">
        <v>1694.6337552912269</v>
      </c>
      <c r="Q38" s="25">
        <v>1739.9390024610809</v>
      </c>
      <c r="R38" s="25">
        <v>1779.4191558678281</v>
      </c>
      <c r="S38" s="25">
        <v>1814.4155437369404</v>
      </c>
      <c r="T38" s="25">
        <v>1845.5577026546232</v>
      </c>
      <c r="U38" s="24">
        <v>3.0670945530911098E-2</v>
      </c>
      <c r="W38" s="30">
        <f t="shared" si="0"/>
        <v>25075.388804750757</v>
      </c>
    </row>
    <row r="39" spans="1:23" ht="15" customHeight="1">
      <c r="A39" s="44"/>
      <c r="B39" s="63" t="s">
        <v>101</v>
      </c>
      <c r="C39" s="25">
        <v>2185.3953793696196</v>
      </c>
      <c r="D39" s="25">
        <v>2228.6831557333835</v>
      </c>
      <c r="E39" s="25">
        <v>2256.2976342803568</v>
      </c>
      <c r="F39" s="25">
        <v>2299.0412031286801</v>
      </c>
      <c r="G39" s="25">
        <v>2369.4913742555063</v>
      </c>
      <c r="H39" s="25">
        <v>2452.4937501155432</v>
      </c>
      <c r="I39" s="25">
        <v>2551.3998090314581</v>
      </c>
      <c r="J39" s="25">
        <v>2656.7250958173004</v>
      </c>
      <c r="K39" s="25">
        <v>2762.3524351580932</v>
      </c>
      <c r="L39" s="25">
        <v>2868.7024182440286</v>
      </c>
      <c r="M39" s="25">
        <v>2981.1810248297538</v>
      </c>
      <c r="N39" s="25">
        <v>3094.2861650631971</v>
      </c>
      <c r="O39" s="25">
        <v>3206.1210788525418</v>
      </c>
      <c r="P39" s="25">
        <v>3292.6977898718596</v>
      </c>
      <c r="Q39" s="25">
        <v>3374.3798457862736</v>
      </c>
      <c r="R39" s="25">
        <v>3447.3277595399318</v>
      </c>
      <c r="S39" s="25">
        <v>3513.7626404620942</v>
      </c>
      <c r="T39" s="25">
        <v>3575.2019908188986</v>
      </c>
      <c r="U39" s="24">
        <v>2.9978752715257073E-2</v>
      </c>
      <c r="W39" s="30">
        <f t="shared" si="0"/>
        <v>48930.145170988901</v>
      </c>
    </row>
    <row r="40" spans="1:23" ht="15" customHeight="1">
      <c r="A40" s="44"/>
      <c r="B40" s="63" t="s">
        <v>102</v>
      </c>
      <c r="C40" s="25">
        <v>1120.7806840012081</v>
      </c>
      <c r="D40" s="25">
        <v>1090.6249495446386</v>
      </c>
      <c r="E40" s="25">
        <v>1239.1782404806322</v>
      </c>
      <c r="F40" s="25">
        <v>1273.303472982835</v>
      </c>
      <c r="G40" s="25">
        <v>1581.2271812829938</v>
      </c>
      <c r="H40" s="25">
        <v>1753.1052084565138</v>
      </c>
      <c r="I40" s="25">
        <v>1784.0400774449979</v>
      </c>
      <c r="J40" s="25">
        <v>1809.7139427039917</v>
      </c>
      <c r="K40" s="25">
        <v>1833.9678372316991</v>
      </c>
      <c r="L40" s="25">
        <v>1855.815279675526</v>
      </c>
      <c r="M40" s="25">
        <v>1877.5073264782905</v>
      </c>
      <c r="N40" s="25">
        <v>1900.4024108298518</v>
      </c>
      <c r="O40" s="25">
        <v>1924.0229869775765</v>
      </c>
      <c r="P40" s="25">
        <v>1936.9606712822017</v>
      </c>
      <c r="Q40" s="25">
        <v>1947.63503383071</v>
      </c>
      <c r="R40" s="25">
        <v>1955.9074981101276</v>
      </c>
      <c r="S40" s="25">
        <v>1963.1071104840778</v>
      </c>
      <c r="T40" s="25">
        <v>1968.8864454779557</v>
      </c>
      <c r="U40" s="24">
        <v>3.7609830162770752E-2</v>
      </c>
      <c r="W40" s="30">
        <f t="shared" si="0"/>
        <v>29695.405673274614</v>
      </c>
    </row>
    <row r="41" spans="1:23" ht="15.75" thickBot="1">
      <c r="A41" s="44"/>
      <c r="B41" s="63" t="s">
        <v>103</v>
      </c>
      <c r="C41" s="25">
        <v>1477.3252526896201</v>
      </c>
      <c r="D41" s="25">
        <v>1505.9683575948056</v>
      </c>
      <c r="E41" s="25">
        <v>1520.4270869963373</v>
      </c>
      <c r="F41" s="25">
        <v>1540.7339892769619</v>
      </c>
      <c r="G41" s="25">
        <v>1578.1513179005378</v>
      </c>
      <c r="H41" s="25">
        <v>1628.9756380775573</v>
      </c>
      <c r="I41" s="25">
        <v>1682.1731374384287</v>
      </c>
      <c r="J41" s="25">
        <v>1739.5602808565184</v>
      </c>
      <c r="K41" s="25">
        <v>1796.2189294361813</v>
      </c>
      <c r="L41" s="25">
        <v>1853.9657648030598</v>
      </c>
      <c r="M41" s="25">
        <v>1915.6622899381794</v>
      </c>
      <c r="N41" s="25">
        <v>1979.962034985951</v>
      </c>
      <c r="O41" s="25">
        <v>2045.2012256120722</v>
      </c>
      <c r="P41" s="25">
        <v>2096.1747604074139</v>
      </c>
      <c r="Q41" s="25">
        <v>2143.8796592062104</v>
      </c>
      <c r="R41" s="25">
        <v>2186.3678011399043</v>
      </c>
      <c r="S41" s="25">
        <v>2225.3309044730258</v>
      </c>
      <c r="T41" s="25">
        <v>2260.7378690215642</v>
      </c>
      <c r="U41" s="24">
        <v>2.5716041506215204E-2</v>
      </c>
      <c r="W41" s="30">
        <f t="shared" si="0"/>
        <v>31699.491047164709</v>
      </c>
    </row>
    <row r="42" spans="1:23" ht="15.75" thickBot="1">
      <c r="A42" s="206" t="s">
        <v>104</v>
      </c>
      <c r="B42" s="207"/>
      <c r="C42" s="26">
        <v>71579.7742045536</v>
      </c>
      <c r="D42" s="26">
        <v>73842.36832406398</v>
      </c>
      <c r="E42" s="26">
        <v>74928.84085297311</v>
      </c>
      <c r="F42" s="26">
        <v>76384.026170974845</v>
      </c>
      <c r="G42" s="26">
        <v>78823.414081276162</v>
      </c>
      <c r="H42" s="26">
        <v>81586.656924669704</v>
      </c>
      <c r="I42" s="26">
        <v>84652.320487574136</v>
      </c>
      <c r="J42" s="26">
        <v>87921.323950006132</v>
      </c>
      <c r="K42" s="26">
        <v>91003.94193781355</v>
      </c>
      <c r="L42" s="26">
        <v>94145.556328882085</v>
      </c>
      <c r="M42" s="26">
        <v>97524.528365348597</v>
      </c>
      <c r="N42" s="26">
        <v>101074.44472840088</v>
      </c>
      <c r="O42" s="26">
        <v>104678.02678442292</v>
      </c>
      <c r="P42" s="26">
        <v>107261.31687518219</v>
      </c>
      <c r="Q42" s="26">
        <v>109695.60731071481</v>
      </c>
      <c r="R42" s="26">
        <v>111828.58756242107</v>
      </c>
      <c r="S42" s="26">
        <v>113768.93256488357</v>
      </c>
      <c r="T42" s="26">
        <v>115485.9609881252</v>
      </c>
      <c r="U42" s="27">
        <v>2.8345314145346912E-2</v>
      </c>
      <c r="W42" s="30">
        <f t="shared" si="0"/>
        <v>1604605.8542377332</v>
      </c>
    </row>
    <row r="43" spans="1:23" ht="15" customHeight="1">
      <c r="A43" s="42"/>
      <c r="B43" s="63" t="s">
        <v>105</v>
      </c>
      <c r="C43" s="25">
        <v>14046.891397064412</v>
      </c>
      <c r="D43" s="25">
        <v>14877.605750668037</v>
      </c>
      <c r="E43" s="25">
        <v>14965.280799247983</v>
      </c>
      <c r="F43" s="25">
        <v>15177.922502536527</v>
      </c>
      <c r="G43" s="25">
        <v>15613.382300238078</v>
      </c>
      <c r="H43" s="25">
        <v>16112.823507238732</v>
      </c>
      <c r="I43" s="25">
        <v>16711.460425980262</v>
      </c>
      <c r="J43" s="25">
        <v>17363.890986969993</v>
      </c>
      <c r="K43" s="25">
        <v>18057.428096627529</v>
      </c>
      <c r="L43" s="25">
        <v>18779.296389152089</v>
      </c>
      <c r="M43" s="25">
        <v>19596.29306361276</v>
      </c>
      <c r="N43" s="25">
        <v>20446.450580616885</v>
      </c>
      <c r="O43" s="25">
        <v>21306.525804730096</v>
      </c>
      <c r="P43" s="25">
        <v>21970.042942855765</v>
      </c>
      <c r="Q43" s="25">
        <v>22613.654900773388</v>
      </c>
      <c r="R43" s="25">
        <v>23204.153881262871</v>
      </c>
      <c r="S43" s="25">
        <v>23756.933971808216</v>
      </c>
      <c r="T43" s="25">
        <v>24258.354492870851</v>
      </c>
      <c r="U43" s="24">
        <v>3.1028138955288442E-2</v>
      </c>
      <c r="W43" s="30">
        <f t="shared" si="0"/>
        <v>324811.50039719016</v>
      </c>
    </row>
    <row r="44" spans="1:23" ht="15" customHeight="1" thickBot="1">
      <c r="A44" s="37"/>
      <c r="B44" s="63" t="s">
        <v>106</v>
      </c>
      <c r="C44" s="25">
        <v>4200.9141002930246</v>
      </c>
      <c r="D44" s="25">
        <v>2720.5967583095376</v>
      </c>
      <c r="E44" s="25">
        <v>2720.5967583095376</v>
      </c>
      <c r="F44" s="25">
        <v>2720.5967583095376</v>
      </c>
      <c r="G44" s="25">
        <v>2720.5967583095376</v>
      </c>
      <c r="H44" s="25">
        <v>2720.5967583095376</v>
      </c>
      <c r="I44" s="25">
        <v>2720.5967583095376</v>
      </c>
      <c r="J44" s="25">
        <v>2720.5967583095376</v>
      </c>
      <c r="K44" s="25">
        <v>2720.5967583095376</v>
      </c>
      <c r="L44" s="25">
        <v>2720.5967583095376</v>
      </c>
      <c r="M44" s="25">
        <v>2720.5967583095376</v>
      </c>
      <c r="N44" s="25">
        <v>2720.5967583095376</v>
      </c>
      <c r="O44" s="25">
        <v>2720.5967583095376</v>
      </c>
      <c r="P44" s="25">
        <v>2720.5967583095376</v>
      </c>
      <c r="Q44" s="25">
        <v>2720.5967583095376</v>
      </c>
      <c r="R44" s="25">
        <v>2720.5967583095376</v>
      </c>
      <c r="S44" s="25">
        <v>2720.5967583095376</v>
      </c>
      <c r="T44" s="25">
        <v>2720.5967583095376</v>
      </c>
      <c r="U44" s="24">
        <v>0</v>
      </c>
      <c r="W44" s="30">
        <f t="shared" si="0"/>
        <v>46250.144891262149</v>
      </c>
    </row>
    <row r="45" spans="1:23" ht="15.75" thickBot="1">
      <c r="A45" s="206" t="s">
        <v>107</v>
      </c>
      <c r="B45" s="207"/>
      <c r="C45" s="26">
        <v>18247.805497357436</v>
      </c>
      <c r="D45" s="26">
        <v>17598.202508977574</v>
      </c>
      <c r="E45" s="26">
        <v>17685.87755755752</v>
      </c>
      <c r="F45" s="26">
        <v>17898.519260846064</v>
      </c>
      <c r="G45" s="26">
        <v>18333.979058547615</v>
      </c>
      <c r="H45" s="26">
        <v>18833.42026554827</v>
      </c>
      <c r="I45" s="26">
        <v>19432.057184289799</v>
      </c>
      <c r="J45" s="26">
        <v>20084.48774527953</v>
      </c>
      <c r="K45" s="26">
        <v>20778.024854937066</v>
      </c>
      <c r="L45" s="26">
        <v>21499.893147461626</v>
      </c>
      <c r="M45" s="26">
        <v>22316.889821922297</v>
      </c>
      <c r="N45" s="26">
        <v>23167.047338926423</v>
      </c>
      <c r="O45" s="26">
        <v>24027.122563039633</v>
      </c>
      <c r="P45" s="26">
        <v>24690.639701165303</v>
      </c>
      <c r="Q45" s="26">
        <v>25334.251659082925</v>
      </c>
      <c r="R45" s="26">
        <v>25924.750639572409</v>
      </c>
      <c r="S45" s="26">
        <v>26477.530730117753</v>
      </c>
      <c r="T45" s="26">
        <v>26978.951251180388</v>
      </c>
      <c r="U45" s="27">
        <v>2.7063503740645034E-2</v>
      </c>
      <c r="W45" s="30">
        <f t="shared" si="0"/>
        <v>371061.64528845216</v>
      </c>
    </row>
    <row r="46" spans="1:23" ht="15" customHeight="1">
      <c r="A46" s="42"/>
      <c r="B46" s="63" t="s">
        <v>108</v>
      </c>
      <c r="C46" s="25">
        <v>4480.959702950604</v>
      </c>
      <c r="D46" s="25">
        <v>4636.9393455551262</v>
      </c>
      <c r="E46" s="25">
        <v>4685.7220469945341</v>
      </c>
      <c r="F46" s="25">
        <v>4745.1615229508943</v>
      </c>
      <c r="G46" s="25">
        <v>4854.6839763834105</v>
      </c>
      <c r="H46" s="25">
        <v>5012.721450236706</v>
      </c>
      <c r="I46" s="25">
        <v>5158.4082411624031</v>
      </c>
      <c r="J46" s="25">
        <v>5316.20647631867</v>
      </c>
      <c r="K46" s="25">
        <v>5471.460519095258</v>
      </c>
      <c r="L46" s="25">
        <v>5630.6922781314606</v>
      </c>
      <c r="M46" s="25">
        <v>5806.3209529624464</v>
      </c>
      <c r="N46" s="25">
        <v>5988.6128788185288</v>
      </c>
      <c r="O46" s="25">
        <v>6175.5991277436588</v>
      </c>
      <c r="P46" s="25">
        <v>6315.3756795350091</v>
      </c>
      <c r="Q46" s="25">
        <v>6449.2597097952357</v>
      </c>
      <c r="R46" s="25">
        <v>6568.3545490797896</v>
      </c>
      <c r="S46" s="25">
        <v>6677.3699563879763</v>
      </c>
      <c r="T46" s="25">
        <v>6776.2174319110527</v>
      </c>
      <c r="U46" s="24">
        <v>2.3993606081060825E-2</v>
      </c>
      <c r="W46" s="30">
        <f t="shared" si="0"/>
        <v>96269.106143062148</v>
      </c>
    </row>
    <row r="47" spans="1:23" ht="15" customHeight="1">
      <c r="A47" s="42"/>
      <c r="B47" s="63" t="s">
        <v>109</v>
      </c>
      <c r="C47" s="25">
        <v>211.74662590159201</v>
      </c>
      <c r="D47" s="25">
        <v>212.2012077076744</v>
      </c>
      <c r="E47" s="25">
        <v>213.19492877917492</v>
      </c>
      <c r="F47" s="25">
        <v>214.68143153253411</v>
      </c>
      <c r="G47" s="25">
        <v>218.35427009714206</v>
      </c>
      <c r="H47" s="25">
        <v>223.31074584966129</v>
      </c>
      <c r="I47" s="25">
        <v>228.46347327799813</v>
      </c>
      <c r="J47" s="25">
        <v>233.88721469999206</v>
      </c>
      <c r="K47" s="25">
        <v>238.93607445846141</v>
      </c>
      <c r="L47" s="25">
        <v>244.12663182916216</v>
      </c>
      <c r="M47" s="25">
        <v>249.4802460709987</v>
      </c>
      <c r="N47" s="25">
        <v>254.89244015850528</v>
      </c>
      <c r="O47" s="25">
        <v>260.16791109810453</v>
      </c>
      <c r="P47" s="25">
        <v>264.17913042179254</v>
      </c>
      <c r="Q47" s="25">
        <v>268.04370671134996</v>
      </c>
      <c r="R47" s="25">
        <v>271.5406352310236</v>
      </c>
      <c r="S47" s="25">
        <v>274.85913491500503</v>
      </c>
      <c r="T47" s="25">
        <v>277.92071508769322</v>
      </c>
      <c r="U47" s="24">
        <v>1.7005535348781908E-2</v>
      </c>
      <c r="W47" s="30">
        <f t="shared" si="0"/>
        <v>4148.2398979262744</v>
      </c>
    </row>
    <row r="48" spans="1:23" ht="15" customHeight="1" thickBot="1">
      <c r="A48" s="42"/>
      <c r="B48" s="63" t="s">
        <v>110</v>
      </c>
      <c r="C48" s="25">
        <v>741.88836984697582</v>
      </c>
      <c r="D48" s="25">
        <v>480.46188183006228</v>
      </c>
      <c r="E48" s="25">
        <v>480.46188183006228</v>
      </c>
      <c r="F48" s="25">
        <v>480.46188183006228</v>
      </c>
      <c r="G48" s="25">
        <v>480.46188183006228</v>
      </c>
      <c r="H48" s="25">
        <v>480.46188183006228</v>
      </c>
      <c r="I48" s="25">
        <v>480.46188183006228</v>
      </c>
      <c r="J48" s="25">
        <v>480.46188183006228</v>
      </c>
      <c r="K48" s="25">
        <v>480.46188183006228</v>
      </c>
      <c r="L48" s="25">
        <v>480.46188183006228</v>
      </c>
      <c r="M48" s="25">
        <v>480.46188183006228</v>
      </c>
      <c r="N48" s="25">
        <v>480.46188183006228</v>
      </c>
      <c r="O48" s="25">
        <v>480.46188183006228</v>
      </c>
      <c r="P48" s="25">
        <v>480.46188183006228</v>
      </c>
      <c r="Q48" s="25">
        <v>480.46188183006228</v>
      </c>
      <c r="R48" s="25">
        <v>480.46188183006228</v>
      </c>
      <c r="S48" s="25">
        <v>480.46188183006228</v>
      </c>
      <c r="T48" s="25">
        <v>480.46188183006228</v>
      </c>
      <c r="U48" s="24">
        <v>0</v>
      </c>
      <c r="W48" s="30">
        <f t="shared" si="0"/>
        <v>8167.8519911110589</v>
      </c>
    </row>
    <row r="49" spans="1:23" ht="15.75" thickBot="1">
      <c r="A49" s="206" t="s">
        <v>111</v>
      </c>
      <c r="B49" s="207"/>
      <c r="C49" s="26">
        <v>95262.174400610194</v>
      </c>
      <c r="D49" s="26">
        <v>96770.1732681344</v>
      </c>
      <c r="E49" s="26">
        <v>97994.097268134399</v>
      </c>
      <c r="F49" s="26">
        <v>99722.850268134396</v>
      </c>
      <c r="G49" s="26">
        <v>102710.8932681344</v>
      </c>
      <c r="H49" s="26">
        <v>106136.5712681344</v>
      </c>
      <c r="I49" s="26">
        <v>109951.7112681344</v>
      </c>
      <c r="J49" s="26">
        <v>114036.3672681344</v>
      </c>
      <c r="K49" s="26">
        <v>117972.8252681344</v>
      </c>
      <c r="L49" s="26">
        <v>122000.7302681344</v>
      </c>
      <c r="M49" s="26">
        <v>126377.6812681344</v>
      </c>
      <c r="N49" s="26">
        <v>130965.45926813439</v>
      </c>
      <c r="O49" s="26">
        <v>135621.3782681344</v>
      </c>
      <c r="P49" s="26">
        <v>139011.97326813437</v>
      </c>
      <c r="Q49" s="26">
        <v>142227.62426813439</v>
      </c>
      <c r="R49" s="26">
        <v>145073.69526813438</v>
      </c>
      <c r="S49" s="26">
        <v>147679.15426813439</v>
      </c>
      <c r="T49" s="26">
        <v>149999.51226813439</v>
      </c>
      <c r="U49" s="27">
        <v>2.7771973170520381E-2</v>
      </c>
      <c r="W49" s="30">
        <f t="shared" si="0"/>
        <v>2084252.6975582843</v>
      </c>
    </row>
    <row r="50" spans="1:23" ht="15.75" thickBot="1">
      <c r="A50" s="206" t="s">
        <v>112</v>
      </c>
      <c r="B50" s="207"/>
      <c r="C50" s="26">
        <v>1386.5552545080002</v>
      </c>
      <c r="D50" s="26">
        <v>1952.5987318656</v>
      </c>
      <c r="E50" s="26">
        <v>1952.5987318656</v>
      </c>
      <c r="F50" s="26">
        <v>1952.5987318656</v>
      </c>
      <c r="G50" s="26">
        <v>1952.5987318656</v>
      </c>
      <c r="H50" s="26">
        <v>1952.5987318656</v>
      </c>
      <c r="I50" s="26">
        <v>1952.5987318656</v>
      </c>
      <c r="J50" s="26">
        <v>1952.5987318656</v>
      </c>
      <c r="K50" s="26">
        <v>1952.5987318656</v>
      </c>
      <c r="L50" s="26">
        <v>1952.5987318656</v>
      </c>
      <c r="M50" s="26">
        <v>1952.5987318656</v>
      </c>
      <c r="N50" s="26">
        <v>1952.5987318656</v>
      </c>
      <c r="O50" s="26">
        <v>1952.5987318656</v>
      </c>
      <c r="P50" s="26">
        <v>1952.5987318656</v>
      </c>
      <c r="Q50" s="26">
        <v>1952.5987318656</v>
      </c>
      <c r="R50" s="26">
        <v>1952.5987318656</v>
      </c>
      <c r="S50" s="26">
        <v>1952.5987318656</v>
      </c>
      <c r="T50" s="26">
        <v>1952.5987318656</v>
      </c>
      <c r="U50" s="27">
        <v>0</v>
      </c>
      <c r="W50" s="30">
        <f t="shared" si="0"/>
        <v>33194.178441715208</v>
      </c>
    </row>
    <row r="51" spans="1:23" ht="15.75" thickBot="1">
      <c r="A51" s="206" t="s">
        <v>113</v>
      </c>
      <c r="B51" s="207"/>
      <c r="C51" s="26">
        <v>0</v>
      </c>
      <c r="D51" s="26">
        <v>18185.008999999998</v>
      </c>
      <c r="E51" s="26">
        <v>18372.422999999999</v>
      </c>
      <c r="F51" s="26">
        <v>18755.985000000001</v>
      </c>
      <c r="G51" s="26">
        <v>19434.798999999999</v>
      </c>
      <c r="H51" s="26">
        <v>20386.806</v>
      </c>
      <c r="I51" s="26">
        <v>21326.344000000001</v>
      </c>
      <c r="J51" s="26">
        <v>22364.621999999999</v>
      </c>
      <c r="K51" s="26">
        <v>23342.77</v>
      </c>
      <c r="L51" s="26">
        <v>24349.94</v>
      </c>
      <c r="M51" s="26">
        <v>25426.955000000002</v>
      </c>
      <c r="N51" s="26">
        <v>26572.440999999999</v>
      </c>
      <c r="O51" s="26">
        <v>27877.328000000001</v>
      </c>
      <c r="P51" s="26">
        <v>28912.521000000001</v>
      </c>
      <c r="Q51" s="26">
        <v>29815.633999999998</v>
      </c>
      <c r="R51" s="26">
        <v>30606.353999999999</v>
      </c>
      <c r="S51" s="26">
        <v>31328.713</v>
      </c>
      <c r="T51" s="26">
        <v>32116.043000000001</v>
      </c>
      <c r="U51" s="27">
        <v>3.6186743686053013E-2</v>
      </c>
      <c r="W51" s="30">
        <f t="shared" si="0"/>
        <v>419174.68699999998</v>
      </c>
    </row>
    <row r="52" spans="1:23" ht="15.75" thickBot="1">
      <c r="A52" s="206" t="s">
        <v>114</v>
      </c>
      <c r="B52" s="207"/>
      <c r="C52" s="26">
        <v>0</v>
      </c>
      <c r="D52" s="26">
        <v>621.74800000000005</v>
      </c>
      <c r="E52" s="26">
        <v>632.50199999999995</v>
      </c>
      <c r="F52" s="26">
        <v>644.202</v>
      </c>
      <c r="G52" s="26">
        <v>655.71</v>
      </c>
      <c r="H52" s="26">
        <v>667.26499999999999</v>
      </c>
      <c r="I52" s="26">
        <v>678.72900000000004</v>
      </c>
      <c r="J52" s="26">
        <v>690.16</v>
      </c>
      <c r="K52" s="26">
        <v>702.64800000000002</v>
      </c>
      <c r="L52" s="26">
        <v>715.154</v>
      </c>
      <c r="M52" s="26">
        <v>726.798</v>
      </c>
      <c r="N52" s="26">
        <v>738.07100000000003</v>
      </c>
      <c r="O52" s="26">
        <v>749.33299999999997</v>
      </c>
      <c r="P52" s="26">
        <v>760.39499999999998</v>
      </c>
      <c r="Q52" s="26">
        <v>771.17100000000005</v>
      </c>
      <c r="R52" s="26">
        <v>782.03499999999997</v>
      </c>
      <c r="S52" s="26">
        <v>793.01400000000001</v>
      </c>
      <c r="T52" s="26">
        <v>804.31899999999996</v>
      </c>
      <c r="U52" s="27">
        <v>1.6221480654115439E-2</v>
      </c>
      <c r="W52" s="30">
        <f t="shared" si="0"/>
        <v>12133.253999999999</v>
      </c>
    </row>
    <row r="53" spans="1:23" ht="15.75" thickBot="1">
      <c r="A53" s="206" t="s">
        <v>115</v>
      </c>
      <c r="B53" s="207"/>
      <c r="C53" s="26">
        <v>96648.729655118193</v>
      </c>
      <c r="D53" s="26">
        <v>117529.52900000001</v>
      </c>
      <c r="E53" s="26">
        <v>118951.62099999998</v>
      </c>
      <c r="F53" s="26">
        <v>121075.636</v>
      </c>
      <c r="G53" s="26">
        <v>124754.001</v>
      </c>
      <c r="H53" s="26">
        <v>129143.24099999999</v>
      </c>
      <c r="I53" s="26">
        <v>133909.383</v>
      </c>
      <c r="J53" s="26">
        <v>139043.74800000002</v>
      </c>
      <c r="K53" s="26">
        <v>143970.842</v>
      </c>
      <c r="L53" s="26">
        <v>149018.42300000001</v>
      </c>
      <c r="M53" s="26">
        <v>154484.03300000002</v>
      </c>
      <c r="N53" s="26">
        <v>160228.57</v>
      </c>
      <c r="O53" s="26">
        <v>166200.63800000004</v>
      </c>
      <c r="P53" s="26">
        <v>170637.48799999998</v>
      </c>
      <c r="Q53" s="26">
        <v>174767.02799999999</v>
      </c>
      <c r="R53" s="26">
        <v>178414.68299999999</v>
      </c>
      <c r="S53" s="26">
        <v>181753.47999999998</v>
      </c>
      <c r="T53" s="26">
        <v>184872.473</v>
      </c>
      <c r="U53" s="27">
        <v>2.871560634063397E-2</v>
      </c>
      <c r="W53" s="30">
        <f t="shared" si="0"/>
        <v>2548754.8169999998</v>
      </c>
    </row>
    <row r="54" spans="1:23" ht="15" customHeight="1">
      <c r="A54" s="42"/>
      <c r="B54" s="63" t="s">
        <v>116</v>
      </c>
      <c r="C54" s="25">
        <v>23823.027727070115</v>
      </c>
      <c r="D54" s="25">
        <v>23866.620351793004</v>
      </c>
      <c r="E54" s="25">
        <v>23992.880109289767</v>
      </c>
      <c r="F54" s="25">
        <v>24314.219296042567</v>
      </c>
      <c r="G54" s="25">
        <v>25057.997339412126</v>
      </c>
      <c r="H54" s="25">
        <v>26004.350489516939</v>
      </c>
      <c r="I54" s="25">
        <v>27159.149027396055</v>
      </c>
      <c r="J54" s="25">
        <v>28428.814387858452</v>
      </c>
      <c r="K54" s="25">
        <v>29700.106795354382</v>
      </c>
      <c r="L54" s="25">
        <v>31028.373629794525</v>
      </c>
      <c r="M54" s="25">
        <v>32453.656586126555</v>
      </c>
      <c r="N54" s="25">
        <v>33919.733148338448</v>
      </c>
      <c r="O54" s="25">
        <v>35386.363926268299</v>
      </c>
      <c r="P54" s="25">
        <v>36495.957262273922</v>
      </c>
      <c r="Q54" s="25">
        <v>37537.591949860071</v>
      </c>
      <c r="R54" s="25">
        <v>38467.937140121634</v>
      </c>
      <c r="S54" s="25">
        <v>39336.077512080265</v>
      </c>
      <c r="T54" s="25">
        <v>40103.292481138596</v>
      </c>
      <c r="U54" s="24">
        <v>3.2967883933616049E-2</v>
      </c>
      <c r="W54" s="30">
        <f t="shared" si="0"/>
        <v>533253.12143266562</v>
      </c>
    </row>
    <row r="55" spans="1:23" ht="15" customHeight="1">
      <c r="A55" s="42"/>
      <c r="B55" s="63" t="s">
        <v>117</v>
      </c>
      <c r="C55" s="25">
        <v>1006.6055796384002</v>
      </c>
      <c r="D55" s="25">
        <v>1099.7638364908805</v>
      </c>
      <c r="E55" s="25">
        <v>1159.3448749733677</v>
      </c>
      <c r="F55" s="25">
        <v>1205.9106052362731</v>
      </c>
      <c r="G55" s="25">
        <v>1257.2742509831485</v>
      </c>
      <c r="H55" s="25">
        <v>1311.4196732804444</v>
      </c>
      <c r="I55" s="25">
        <v>1373.4632315012657</v>
      </c>
      <c r="J55" s="25">
        <v>1446.7894312641952</v>
      </c>
      <c r="K55" s="25">
        <v>1523.509174021538</v>
      </c>
      <c r="L55" s="25">
        <v>1603.6749839440613</v>
      </c>
      <c r="M55" s="25">
        <v>1690.541861684349</v>
      </c>
      <c r="N55" s="25">
        <v>1783.0021673495596</v>
      </c>
      <c r="O55" s="25">
        <v>1876.982709452456</v>
      </c>
      <c r="P55" s="25">
        <v>1954.896879393126</v>
      </c>
      <c r="Q55" s="25">
        <v>2030.4067998464125</v>
      </c>
      <c r="R55" s="25">
        <v>2101.456285715059</v>
      </c>
      <c r="S55" s="25">
        <v>2170.0431699264122</v>
      </c>
      <c r="T55" s="25">
        <v>2234.1008417733888</v>
      </c>
      <c r="U55" s="24">
        <v>4.5292197362914566E-2</v>
      </c>
      <c r="W55" s="30">
        <f t="shared" si="0"/>
        <v>27822.580776835941</v>
      </c>
    </row>
    <row r="56" spans="1:23" ht="15" customHeight="1" thickBot="1">
      <c r="A56" s="42"/>
      <c r="B56" s="63" t="s">
        <v>118</v>
      </c>
      <c r="C56" s="25">
        <v>1014.00025646444</v>
      </c>
      <c r="D56" s="25">
        <v>1036.5944092634081</v>
      </c>
      <c r="E56" s="25">
        <v>1053.32926652473</v>
      </c>
      <c r="F56" s="25">
        <v>1081.5449395121902</v>
      </c>
      <c r="G56" s="25">
        <v>1130.3232295220289</v>
      </c>
      <c r="H56" s="25">
        <v>1190.5453111022448</v>
      </c>
      <c r="I56" s="25">
        <v>1264.3926219743553</v>
      </c>
      <c r="J56" s="25">
        <v>1350.6255771281296</v>
      </c>
      <c r="K56" s="25">
        <v>1436.9349413681177</v>
      </c>
      <c r="L56" s="25">
        <v>1528.3475644002351</v>
      </c>
      <c r="M56" s="25">
        <v>1626.3991597401828</v>
      </c>
      <c r="N56" s="25">
        <v>1730.1582960227022</v>
      </c>
      <c r="O56" s="25">
        <v>1833.4258186242619</v>
      </c>
      <c r="P56" s="25">
        <v>1918.605833749742</v>
      </c>
      <c r="Q56" s="25">
        <v>2000.8052228578872</v>
      </c>
      <c r="R56" s="25">
        <v>2077.8303348222635</v>
      </c>
      <c r="S56" s="25">
        <v>2148.462974261573</v>
      </c>
      <c r="T56" s="25">
        <v>2216.2956563539115</v>
      </c>
      <c r="U56" s="24">
        <v>4.8639414141131709E-2</v>
      </c>
      <c r="W56" s="30">
        <f t="shared" si="0"/>
        <v>26624.621157227964</v>
      </c>
    </row>
    <row r="57" spans="1:23" ht="15.75" thickBot="1">
      <c r="A57" s="206" t="s">
        <v>119</v>
      </c>
      <c r="B57" s="207"/>
      <c r="C57" s="26">
        <v>25843.633563172953</v>
      </c>
      <c r="D57" s="26">
        <v>26002.978597547295</v>
      </c>
      <c r="E57" s="26">
        <v>26205.554250787864</v>
      </c>
      <c r="F57" s="26">
        <v>26601.674840791031</v>
      </c>
      <c r="G57" s="26">
        <v>27445.594819917304</v>
      </c>
      <c r="H57" s="26">
        <v>28506.315473899627</v>
      </c>
      <c r="I57" s="26">
        <v>29797.004880871675</v>
      </c>
      <c r="J57" s="26">
        <v>31226.229396250776</v>
      </c>
      <c r="K57" s="26">
        <v>32660.550910744041</v>
      </c>
      <c r="L57" s="26">
        <v>34160.396178138821</v>
      </c>
      <c r="M57" s="26">
        <v>35770.597607551092</v>
      </c>
      <c r="N57" s="26">
        <v>37432.893611710708</v>
      </c>
      <c r="O57" s="26">
        <v>39096.772454345017</v>
      </c>
      <c r="P57" s="26">
        <v>40369.459975416794</v>
      </c>
      <c r="Q57" s="26">
        <v>41568.803972564376</v>
      </c>
      <c r="R57" s="26">
        <v>42647.223760658955</v>
      </c>
      <c r="S57" s="26">
        <v>43654.583656268253</v>
      </c>
      <c r="T57" s="26">
        <v>44553.688979265899</v>
      </c>
      <c r="U57" s="27">
        <v>3.4227986300940927E-2</v>
      </c>
      <c r="W57" s="30">
        <f t="shared" si="0"/>
        <v>587700.32336672943</v>
      </c>
    </row>
    <row r="58" spans="1:23" ht="15.75" thickBot="1">
      <c r="A58" s="206" t="s">
        <v>120</v>
      </c>
      <c r="B58" s="207"/>
      <c r="C58" s="26">
        <v>3860.3167157759995</v>
      </c>
      <c r="D58" s="26">
        <v>4018.9197903378818</v>
      </c>
      <c r="E58" s="26">
        <v>4046.7076460048902</v>
      </c>
      <c r="F58" s="26">
        <v>4080.9380598451794</v>
      </c>
      <c r="G58" s="26">
        <v>4135.2616554554252</v>
      </c>
      <c r="H58" s="26">
        <v>4196.3573395967842</v>
      </c>
      <c r="I58" s="26">
        <v>4263.4613657475602</v>
      </c>
      <c r="J58" s="26">
        <v>4337.5111708147815</v>
      </c>
      <c r="K58" s="26">
        <v>4407.7571587255143</v>
      </c>
      <c r="L58" s="26">
        <v>4484.2470757779174</v>
      </c>
      <c r="M58" s="26">
        <v>4564.9560220579287</v>
      </c>
      <c r="N58" s="26">
        <v>4645.1346227892273</v>
      </c>
      <c r="O58" s="26">
        <v>4726.495570456128</v>
      </c>
      <c r="P58" s="26">
        <v>4780.7275332399931</v>
      </c>
      <c r="Q58" s="26">
        <v>4835.5466784365944</v>
      </c>
      <c r="R58" s="26">
        <v>4885.3648556000253</v>
      </c>
      <c r="S58" s="26">
        <v>4932.0253879229758</v>
      </c>
      <c r="T58" s="26">
        <v>4977.8391962752785</v>
      </c>
      <c r="U58" s="27">
        <v>1.346375233526409E-2</v>
      </c>
      <c r="W58" s="30">
        <f t="shared" si="0"/>
        <v>76319.251129084078</v>
      </c>
    </row>
    <row r="59" spans="1:23" ht="15.75" thickBot="1">
      <c r="A59" s="206" t="s">
        <v>121</v>
      </c>
      <c r="B59" s="207"/>
      <c r="C59" s="26">
        <v>194071.55597494496</v>
      </c>
      <c r="D59" s="26">
        <v>213720.54</v>
      </c>
      <c r="E59" s="26">
        <v>217686.25099999999</v>
      </c>
      <c r="F59" s="26">
        <v>223367.51299999998</v>
      </c>
      <c r="G59" s="26">
        <v>231484.58299999998</v>
      </c>
      <c r="H59" s="26">
        <v>245715.35200000001</v>
      </c>
      <c r="I59" s="26">
        <v>258849.86</v>
      </c>
      <c r="J59" s="26">
        <v>271991.72000000003</v>
      </c>
      <c r="K59" s="26">
        <v>284724.783</v>
      </c>
      <c r="L59" s="26">
        <v>295318.299</v>
      </c>
      <c r="M59" s="26">
        <v>307224.07300000003</v>
      </c>
      <c r="N59" s="26">
        <v>319301.52399999998</v>
      </c>
      <c r="O59" s="26">
        <v>331487.90600000008</v>
      </c>
      <c r="P59" s="26">
        <v>341068.283</v>
      </c>
      <c r="Q59" s="26">
        <v>349771.53700000001</v>
      </c>
      <c r="R59" s="26">
        <v>357459.05799999996</v>
      </c>
      <c r="S59" s="26">
        <v>364582.527</v>
      </c>
      <c r="T59" s="26">
        <v>370963.97100000002</v>
      </c>
      <c r="U59" s="27">
        <v>3.5065520384458315E-2</v>
      </c>
      <c r="W59" s="30">
        <f t="shared" si="0"/>
        <v>4984717.7799999993</v>
      </c>
    </row>
    <row r="60" spans="1:23" ht="15.75" thickBot="1">
      <c r="A60" s="206" t="s">
        <v>122</v>
      </c>
      <c r="B60" s="207"/>
      <c r="C60" s="26">
        <v>243065.86781334871</v>
      </c>
      <c r="D60" s="26">
        <v>263493.38664356852</v>
      </c>
      <c r="E60" s="26">
        <v>267875.25234862132</v>
      </c>
      <c r="F60" s="26">
        <v>274265.62080399302</v>
      </c>
      <c r="G60" s="26">
        <v>283692.62626590161</v>
      </c>
      <c r="H60" s="26">
        <v>299572.71829877922</v>
      </c>
      <c r="I60" s="26">
        <v>314696.41279356374</v>
      </c>
      <c r="J60" s="26">
        <v>330045.22039700625</v>
      </c>
      <c r="K60" s="26">
        <v>344982.85264406592</v>
      </c>
      <c r="L60" s="26">
        <v>357896.76986864826</v>
      </c>
      <c r="M60" s="26">
        <v>372275.6375566122</v>
      </c>
      <c r="N60" s="26">
        <v>386898.42559735582</v>
      </c>
      <c r="O60" s="26">
        <v>401627.82821353828</v>
      </c>
      <c r="P60" s="26">
        <v>413180.37934816116</v>
      </c>
      <c r="Q60" s="26">
        <v>423719.12773919315</v>
      </c>
      <c r="R60" s="26">
        <v>433072.31323261856</v>
      </c>
      <c r="S60" s="26">
        <v>441746.06818170089</v>
      </c>
      <c r="T60" s="26">
        <v>449522.1639114311</v>
      </c>
      <c r="U60" s="27">
        <v>3.3948331903797646E-2</v>
      </c>
      <c r="W60" s="30">
        <f t="shared" si="0"/>
        <v>6058562.8038447574</v>
      </c>
    </row>
    <row r="61" spans="1:23">
      <c r="A61" s="35" t="s">
        <v>572</v>
      </c>
    </row>
    <row r="62" spans="1:23">
      <c r="A62" s="35" t="s">
        <v>123</v>
      </c>
    </row>
    <row r="63" spans="1:23">
      <c r="A63" s="35"/>
    </row>
    <row r="65" spans="1:22" ht="70.5" customHeight="1" thickBot="1">
      <c r="C65" s="156">
        <v>2023</v>
      </c>
      <c r="D65" s="156">
        <v>2024</v>
      </c>
      <c r="E65" s="156">
        <v>2025</v>
      </c>
      <c r="F65" s="156">
        <v>2026</v>
      </c>
      <c r="G65" s="156">
        <v>2027</v>
      </c>
      <c r="H65" s="156">
        <v>2028</v>
      </c>
      <c r="I65" s="156">
        <v>2029</v>
      </c>
      <c r="J65" s="156">
        <v>2030</v>
      </c>
      <c r="K65" s="156">
        <v>2031</v>
      </c>
      <c r="L65" s="156">
        <v>2032</v>
      </c>
      <c r="M65" s="156">
        <v>2033</v>
      </c>
      <c r="N65" s="156">
        <v>2034</v>
      </c>
      <c r="O65" s="156">
        <v>2035</v>
      </c>
      <c r="P65" s="156">
        <v>2036</v>
      </c>
      <c r="Q65" s="156">
        <v>2037</v>
      </c>
      <c r="R65" s="156">
        <v>2038</v>
      </c>
      <c r="S65" s="156">
        <v>2039</v>
      </c>
      <c r="T65" s="156">
        <v>2040</v>
      </c>
      <c r="U65" s="156" t="s">
        <v>590</v>
      </c>
      <c r="V65" s="22" t="s">
        <v>571</v>
      </c>
    </row>
    <row r="66" spans="1:22" ht="15.75" thickTop="1">
      <c r="B66" s="6" t="s">
        <v>124</v>
      </c>
      <c r="C66" s="153">
        <f>SUM(C6,C14,C20)</f>
        <v>79599.062748825643</v>
      </c>
      <c r="D66" s="153">
        <f t="shared" ref="D66:O66" si="1">SUM(D6,D14,D20)</f>
        <v>81810.053611456358</v>
      </c>
      <c r="E66" s="153">
        <f t="shared" si="1"/>
        <v>83550.639275977941</v>
      </c>
      <c r="F66" s="153">
        <f>SUM(F6,F14,F20)</f>
        <v>86596.68264728917</v>
      </c>
      <c r="G66" s="153">
        <f t="shared" si="1"/>
        <v>90438.08187180711</v>
      </c>
      <c r="H66" s="153">
        <f t="shared" si="1"/>
        <v>99599.688023398805</v>
      </c>
      <c r="I66" s="153">
        <f t="shared" si="1"/>
        <v>107272.3889583376</v>
      </c>
      <c r="J66" s="153">
        <f t="shared" si="1"/>
        <v>114687.1218787268</v>
      </c>
      <c r="K66" s="153">
        <f t="shared" si="1"/>
        <v>121432.38341754624</v>
      </c>
      <c r="L66" s="153">
        <f t="shared" si="1"/>
        <v>126101.14830209181</v>
      </c>
      <c r="M66" s="153">
        <f t="shared" si="1"/>
        <v>131665.90830975576</v>
      </c>
      <c r="N66" s="153">
        <f t="shared" si="1"/>
        <v>136985.20642276318</v>
      </c>
      <c r="O66" s="153">
        <f t="shared" si="1"/>
        <v>142228.11941680423</v>
      </c>
      <c r="P66" s="153">
        <f t="shared" ref="P66:T66" si="2">SUM(P6,P14,P20)</f>
        <v>146508.4067109499</v>
      </c>
      <c r="Q66" s="153">
        <f t="shared" si="2"/>
        <v>150399.81820240608</v>
      </c>
      <c r="R66" s="153">
        <f t="shared" si="2"/>
        <v>153839.43598102016</v>
      </c>
      <c r="S66" s="153">
        <f t="shared" si="2"/>
        <v>157049.45245162715</v>
      </c>
      <c r="T66" s="153">
        <f t="shared" si="2"/>
        <v>159797.20297818651</v>
      </c>
      <c r="U66" s="153">
        <f>SUM(D66:T66)</f>
        <v>2089961.738460145</v>
      </c>
      <c r="V66" s="157">
        <f>(((W6/U66)*U6)+((W14/U66)*U14)+((W20/U66)*U20))</f>
        <v>4.2922051368564099E-2</v>
      </c>
    </row>
    <row r="67" spans="1:22">
      <c r="B67" t="s">
        <v>125</v>
      </c>
      <c r="C67" s="153">
        <f>SUM(C12,C18,C22,C34)</f>
        <v>3580.62758574291</v>
      </c>
      <c r="D67" s="153">
        <f t="shared" ref="D67:N67" si="3">SUM(D12,D18,D22,D34)</f>
        <v>3168.5920387967444</v>
      </c>
      <c r="E67" s="153">
        <f t="shared" si="3"/>
        <v>3193.5183322626735</v>
      </c>
      <c r="F67" s="153">
        <f t="shared" si="3"/>
        <v>3223.0809868763699</v>
      </c>
      <c r="G67" s="153">
        <f t="shared" si="3"/>
        <v>3267.785926260347</v>
      </c>
      <c r="H67" s="153">
        <f t="shared" si="3"/>
        <v>3320.0481202095852</v>
      </c>
      <c r="I67" s="153">
        <f t="shared" si="3"/>
        <v>3388.8127793581402</v>
      </c>
      <c r="J67" s="153">
        <f t="shared" si="3"/>
        <v>3470.5060470235458</v>
      </c>
      <c r="K67" s="153">
        <f>SUM(K12,K18,K22,K34)</f>
        <v>3556.3175637018016</v>
      </c>
      <c r="L67" s="153">
        <f t="shared" si="3"/>
        <v>3646.6126966579404</v>
      </c>
      <c r="M67" s="153">
        <f t="shared" si="3"/>
        <v>3751.601465565439</v>
      </c>
      <c r="N67" s="153">
        <f t="shared" si="3"/>
        <v>3867.2019816692482</v>
      </c>
      <c r="O67" s="153">
        <f>SUM(O12,O18,O22,O34)</f>
        <v>3988.0287232805313</v>
      </c>
      <c r="P67" s="153">
        <f t="shared" ref="P67:T67" si="4">SUM(P12,P18,P22,P34)</f>
        <v>4086.2449972582745</v>
      </c>
      <c r="Q67" s="153">
        <f t="shared" si="4"/>
        <v>4173.9972841999997</v>
      </c>
      <c r="R67" s="153">
        <f t="shared" si="4"/>
        <v>4253.54713932505</v>
      </c>
      <c r="S67" s="153">
        <f t="shared" si="4"/>
        <v>4328.6015758622098</v>
      </c>
      <c r="T67" s="153">
        <f t="shared" si="4"/>
        <v>4395.7557144396387</v>
      </c>
      <c r="U67" s="153">
        <f t="shared" ref="U67:U68" si="5">SUM(D67:T67)</f>
        <v>63080.253372747546</v>
      </c>
      <c r="V67" s="157">
        <f>(((W12/U67)*U12)+((W18/U67)*U18)+((W22/U67)*U22)+((W34/U67)*U34))</f>
        <v>2.0699113939064897E-2</v>
      </c>
    </row>
    <row r="68" spans="1:22">
      <c r="B68" t="s">
        <v>126</v>
      </c>
      <c r="C68" s="153">
        <f>SUM(C36,C43,C46)</f>
        <v>81962.000508418336</v>
      </c>
      <c r="D68" s="153">
        <f t="shared" ref="D68:N68" si="6">SUM(D36,D43,D46)</f>
        <v>85101.986258179022</v>
      </c>
      <c r="E68" s="153">
        <f t="shared" si="6"/>
        <v>86098.698603790093</v>
      </c>
      <c r="F68" s="153">
        <f t="shared" si="6"/>
        <v>87676.986787351649</v>
      </c>
      <c r="G68" s="153">
        <f t="shared" si="6"/>
        <v>90146.310221811043</v>
      </c>
      <c r="H68" s="153">
        <f t="shared" si="6"/>
        <v>93137.516784777341</v>
      </c>
      <c r="I68" s="153">
        <f t="shared" si="6"/>
        <v>96624.112632315344</v>
      </c>
      <c r="J68" s="153">
        <f t="shared" si="6"/>
        <v>100366.19822634976</v>
      </c>
      <c r="K68" s="153">
        <f t="shared" si="6"/>
        <v>103970.85426975583</v>
      </c>
      <c r="L68" s="153">
        <f t="shared" si="6"/>
        <v>107664.1549015131</v>
      </c>
      <c r="M68" s="153">
        <f t="shared" si="6"/>
        <v>111686.91766208898</v>
      </c>
      <c r="N68" s="153">
        <f t="shared" si="6"/>
        <v>115901.6185474388</v>
      </c>
      <c r="O68" s="153">
        <f>SUM(O36,O43,O46)</f>
        <v>120177.28193123086</v>
      </c>
      <c r="P68" s="153">
        <f t="shared" ref="P68:T68" si="7">SUM(P36,P43,P46)</f>
        <v>123279.6514154694</v>
      </c>
      <c r="Q68" s="153">
        <f t="shared" si="7"/>
        <v>126229.35626271558</v>
      </c>
      <c r="R68" s="153">
        <f t="shared" si="7"/>
        <v>128842.04973134828</v>
      </c>
      <c r="S68" s="153">
        <f t="shared" si="7"/>
        <v>131237.12678987239</v>
      </c>
      <c r="T68" s="153">
        <f t="shared" si="7"/>
        <v>133368.02173722663</v>
      </c>
      <c r="U68" s="153">
        <f t="shared" si="5"/>
        <v>1841508.8427632339</v>
      </c>
      <c r="V68" s="157">
        <f>(((W36/U68)*U36)+((W43/U68)*U43)+((W46/U68)*U46))</f>
        <v>2.8473839893733328E-2</v>
      </c>
    </row>
    <row r="70" spans="1:22">
      <c r="C70" s="30"/>
      <c r="D70" s="30"/>
      <c r="E70" s="30"/>
      <c r="F70" s="30"/>
      <c r="G70" s="30"/>
      <c r="H70" s="30"/>
      <c r="I70" s="30"/>
      <c r="J70" s="30"/>
      <c r="K70" s="30"/>
      <c r="L70" s="30"/>
      <c r="M70" s="30"/>
      <c r="N70" s="30"/>
      <c r="O70" s="30"/>
      <c r="P70" s="30"/>
      <c r="Q70" s="39"/>
      <c r="R70" s="30"/>
    </row>
    <row r="71" spans="1:22">
      <c r="A71" s="39"/>
    </row>
    <row r="72" spans="1:22">
      <c r="A72" s="39"/>
    </row>
    <row r="73" spans="1:22">
      <c r="A73" s="39"/>
    </row>
    <row r="74" spans="1:22">
      <c r="A74" s="39"/>
    </row>
    <row r="75" spans="1:22">
      <c r="A75" s="39"/>
    </row>
    <row r="76" spans="1:22">
      <c r="A76" s="39"/>
    </row>
    <row r="77" spans="1:22">
      <c r="A77" s="39"/>
    </row>
    <row r="78" spans="1:22">
      <c r="A78" s="39"/>
    </row>
    <row r="79" spans="1:22">
      <c r="A79" s="39"/>
    </row>
    <row r="80" spans="1:22">
      <c r="A80" s="39"/>
    </row>
  </sheetData>
  <mergeCells count="21">
    <mergeCell ref="A1:U1"/>
    <mergeCell ref="A2:U2"/>
    <mergeCell ref="A3:U3"/>
    <mergeCell ref="A58:B58"/>
    <mergeCell ref="A59:B59"/>
    <mergeCell ref="A45:B45"/>
    <mergeCell ref="A13:B13"/>
    <mergeCell ref="A19:B19"/>
    <mergeCell ref="A23:B23"/>
    <mergeCell ref="A24:B24"/>
    <mergeCell ref="A25:B25"/>
    <mergeCell ref="A28:B28"/>
    <mergeCell ref="A35:B35"/>
    <mergeCell ref="A42:B42"/>
    <mergeCell ref="A60:B60"/>
    <mergeCell ref="A49:B49"/>
    <mergeCell ref="A50:B50"/>
    <mergeCell ref="A51:B51"/>
    <mergeCell ref="A52:B52"/>
    <mergeCell ref="A53:B53"/>
    <mergeCell ref="A57:B57"/>
  </mergeCells>
  <pageMargins left="0.7" right="0.7" top="0.75" bottom="0.75" header="0.3" footer="0.3"/>
  <pageSetup scale="4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B7684-0FF9-43C5-84A5-8693644CE83D}">
  <sheetPr codeName="Sheet51"/>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38</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29689.0625</v>
      </c>
      <c r="C3" s="134">
        <v>29562.968749999996</v>
      </c>
      <c r="D3" s="134">
        <v>29626.015624999996</v>
      </c>
      <c r="E3" s="134">
        <v>29594.492187499996</v>
      </c>
      <c r="F3" s="123" t="s">
        <v>566</v>
      </c>
      <c r="H3" s="132">
        <v>0.95946199709706936</v>
      </c>
      <c r="I3" s="123" t="s">
        <v>676</v>
      </c>
    </row>
    <row r="4" spans="1:12" s="7" customFormat="1">
      <c r="A4" s="130" t="s">
        <v>217</v>
      </c>
      <c r="B4" s="131">
        <f>SUMIFS('Form 1.1c (CEC 2025a)'!G:G, 'Form 1.1c (CEC 2025a)'!$B:$B, "Eastside Power Authority")*1000</f>
        <v>29900</v>
      </c>
      <c r="C4" s="131">
        <f>SUMIFS('Form 1.1c (CEC 2025a)'!H:H, 'Form 1.1c (CEC 2025a)'!$B:$B, "Eastside Power Authority")*1000</f>
        <v>29900</v>
      </c>
      <c r="D4" s="131">
        <f>SUMIFS('Form 1.1c (CEC 2025a)'!I:I, 'Form 1.1c (CEC 2025a)'!$B:$B, "Eastside Power Authority")*1000</f>
        <v>29900</v>
      </c>
      <c r="E4" s="131">
        <f>SUMIFS('Form 1.1c (CEC 2025a)'!J:J, 'Form 1.1c (CEC 2025a)'!$B:$B, "Eastside Power Authority")*1000</f>
        <v>29900</v>
      </c>
      <c r="F4" s="123" t="s">
        <v>575</v>
      </c>
      <c r="H4" s="122">
        <f>0.15</f>
        <v>0.15</v>
      </c>
      <c r="I4" s="123" t="s">
        <v>498</v>
      </c>
    </row>
    <row r="5" spans="1:12" s="7" customFormat="1" ht="30">
      <c r="A5" s="130" t="s">
        <v>585</v>
      </c>
      <c r="B5" s="131">
        <f t="shared" ref="B5:E5" si="0">IF(0&lt;(B4-B3),B4*(1+$H$5),B3)</f>
        <v>31993.000000000004</v>
      </c>
      <c r="C5" s="131">
        <f t="shared" si="0"/>
        <v>31993.000000000004</v>
      </c>
      <c r="D5" s="131">
        <f t="shared" si="0"/>
        <v>31993.000000000004</v>
      </c>
      <c r="E5" s="131">
        <f t="shared" si="0"/>
        <v>31993.000000000004</v>
      </c>
      <c r="F5" s="123" t="s">
        <v>586</v>
      </c>
      <c r="H5" s="122">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4">
        <f>15921.5185185185*0.97</f>
        <v>15443.872962962945</v>
      </c>
      <c r="C8" s="134">
        <f>14754.024691358*0.97</f>
        <v>14311.403950617259</v>
      </c>
      <c r="D8" s="134">
        <f>15378.4773662551*0.97</f>
        <v>14917.123045267446</v>
      </c>
      <c r="E8" s="134">
        <f>15351.3401920439*0.97</f>
        <v>14890.799986282582</v>
      </c>
      <c r="F8" s="123" t="s">
        <v>583</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11661</v>
      </c>
      <c r="C10" s="131">
        <f t="shared" si="1"/>
        <v>12259</v>
      </c>
      <c r="D10" s="131">
        <f t="shared" si="1"/>
        <v>12857</v>
      </c>
      <c r="E10" s="131">
        <f t="shared" si="1"/>
        <v>13455</v>
      </c>
      <c r="F10" s="123" t="s">
        <v>587</v>
      </c>
    </row>
    <row r="11" spans="1:12" s="7" customFormat="1" ht="30">
      <c r="A11" s="130" t="s">
        <v>505</v>
      </c>
      <c r="B11" s="131">
        <f t="shared" ref="B11:E11" si="2">MAX(B5-SUM(B6:B8,B10), B5*$H$6)</f>
        <v>4888.1270370370585</v>
      </c>
      <c r="C11" s="131">
        <f t="shared" si="2"/>
        <v>5422.5960493827442</v>
      </c>
      <c r="D11" s="131">
        <f t="shared" si="2"/>
        <v>4218.8769547325574</v>
      </c>
      <c r="E11" s="131">
        <f t="shared" si="2"/>
        <v>3647.2000137174218</v>
      </c>
      <c r="F11" s="123" t="s">
        <v>506</v>
      </c>
    </row>
    <row r="12" spans="1:12" s="7" customFormat="1" ht="46.5">
      <c r="A12" s="130" t="s">
        <v>507</v>
      </c>
      <c r="B12" s="131">
        <f>B6*$H$3+B11*$H$2</f>
        <v>2128.2905119259353</v>
      </c>
      <c r="C12" s="131">
        <f>C6*$H$3+C11*$H$2</f>
        <v>2360.9983199012468</v>
      </c>
      <c r="D12" s="131">
        <f>D6*$H$3+D11*$H$2</f>
        <v>1836.8990260905555</v>
      </c>
      <c r="E12" s="131">
        <f>E6*$H$3+E11*$H$2</f>
        <v>1587.9908859725656</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6.652363054186651E-2</v>
      </c>
      <c r="C14" s="193">
        <f t="shared" si="3"/>
        <v>7.3797340665184466E-2</v>
      </c>
      <c r="D14" s="193">
        <f t="shared" si="3"/>
        <v>5.7415654239694788E-2</v>
      </c>
      <c r="E14" s="193">
        <f t="shared" si="3"/>
        <v>4.9635572968229472E-2</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2128.2905119259353</v>
      </c>
      <c r="C16" s="8">
        <f>C12-C15</f>
        <v>2360.9983199012468</v>
      </c>
      <c r="D16" s="8">
        <f>D12-D15</f>
        <v>1836.8990260905555</v>
      </c>
      <c r="E16" s="8">
        <f>E12-E15</f>
        <v>1587.9908859725656</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BB5B6-67EF-449C-838A-C60BE1D84137}">
  <sheetPr codeName="Sheet53"/>
  <dimension ref="A1:K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9.28515625" customWidth="1"/>
    <col min="13" max="13" width="14.28515625" customWidth="1"/>
    <col min="14" max="14" width="10.7109375" bestFit="1" customWidth="1"/>
  </cols>
  <sheetData>
    <row r="1" spans="1:11" s="7" customFormat="1" ht="15.75">
      <c r="A1" s="125" t="s">
        <v>22</v>
      </c>
      <c r="B1" s="223" t="s">
        <v>671</v>
      </c>
      <c r="C1" s="224"/>
      <c r="D1" s="224"/>
      <c r="E1" s="224"/>
      <c r="F1" s="225"/>
      <c r="H1" s="229" t="s">
        <v>4</v>
      </c>
      <c r="I1" s="230"/>
      <c r="J1" s="2"/>
    </row>
    <row r="2" spans="1:11" s="7" customFormat="1" ht="33">
      <c r="A2" s="126" t="s">
        <v>496</v>
      </c>
      <c r="B2" s="127">
        <v>2027</v>
      </c>
      <c r="C2" s="127">
        <v>2028</v>
      </c>
      <c r="D2" s="127">
        <v>2029</v>
      </c>
      <c r="E2" s="128">
        <v>2030</v>
      </c>
      <c r="F2" s="129" t="s">
        <v>497</v>
      </c>
      <c r="H2" s="120">
        <v>0.43540000000000001</v>
      </c>
      <c r="I2" s="62" t="s">
        <v>7</v>
      </c>
    </row>
    <row r="3" spans="1:11" s="7" customFormat="1" ht="30">
      <c r="A3" s="130" t="s">
        <v>584</v>
      </c>
      <c r="B3" s="131">
        <f>SUMIFS('Form 1.5a (CEC 2025a)'!G:G, 'Form 1.5a (CEC 2025a)'!$B:$B, "Glendale")*1000</f>
        <v>1130323.2295220289</v>
      </c>
      <c r="C3" s="131">
        <f>SUMIFS('Form 1.5a (CEC 2025a)'!H:H, 'Form 1.5a (CEC 2025a)'!$B:$B, "Glendale")*1000</f>
        <v>1190545.3111022448</v>
      </c>
      <c r="D3" s="131">
        <f>SUMIFS('Form 1.5a (CEC 2025a)'!I:I, 'Form 1.5a (CEC 2025a)'!$B:$B, "Glendale")*1000</f>
        <v>1264392.6219743553</v>
      </c>
      <c r="E3" s="131">
        <f>SUMIFS('Form 1.5a (CEC 2025a)'!J:J, 'Form 1.5a (CEC 2025a)'!$B:$B, "Glendale")*1000</f>
        <v>1350625.5771281295</v>
      </c>
      <c r="F3" s="123" t="s">
        <v>577</v>
      </c>
      <c r="H3" s="132">
        <v>0.95946199709706936</v>
      </c>
      <c r="I3" s="123" t="s">
        <v>676</v>
      </c>
    </row>
    <row r="4" spans="1:11" s="7" customFormat="1">
      <c r="A4" s="130" t="s">
        <v>217</v>
      </c>
      <c r="B4" s="131">
        <f>SUMIFS('Form 1.1c (CEC 2025a)'!G:G, 'Form 1.1c (CEC 2025a)'!$B:$B, "Glendale Water and Power")*1000</f>
        <v>1062333.8623327338</v>
      </c>
      <c r="C4" s="131">
        <f>SUMIFS('Form 1.1c (CEC 2025a)'!H:H, 'Form 1.1c (CEC 2025a)'!$B:$B, "Glendale Water and Power")*1000</f>
        <v>1118933.5630660197</v>
      </c>
      <c r="D4" s="131">
        <f>SUMIFS('Form 1.1c (CEC 2025a)'!I:I, 'Form 1.1c (CEC 2025a)'!$B:$B, "Glendale Water and Power")*1000</f>
        <v>1188338.9304270255</v>
      </c>
      <c r="E4" s="131">
        <f>SUMIFS('Form 1.1c (CEC 2025a)'!J:J, 'Form 1.1c (CEC 2025a)'!$B:$B, "Glendale Water and Power")*1000</f>
        <v>1269384.940909896</v>
      </c>
      <c r="F4" s="123" t="s">
        <v>578</v>
      </c>
      <c r="H4" s="122">
        <f>0.15</f>
        <v>0.15</v>
      </c>
      <c r="I4" s="123" t="s">
        <v>498</v>
      </c>
    </row>
    <row r="5" spans="1:11" s="7" customFormat="1" ht="30">
      <c r="A5" s="130" t="s">
        <v>585</v>
      </c>
      <c r="B5" s="131">
        <f t="shared" ref="B5:E5" si="0">IF(0&lt;(B4-B3),B4*(1+$H$5),B3)</f>
        <v>1130323.2295220289</v>
      </c>
      <c r="C5" s="131">
        <f t="shared" si="0"/>
        <v>1190545.3111022448</v>
      </c>
      <c r="D5" s="131">
        <f t="shared" si="0"/>
        <v>1264392.6219743553</v>
      </c>
      <c r="E5" s="131">
        <f t="shared" si="0"/>
        <v>1350625.5771281295</v>
      </c>
      <c r="F5" s="123" t="s">
        <v>586</v>
      </c>
      <c r="H5" s="122">
        <f>0.07</f>
        <v>7.0000000000000007E-2</v>
      </c>
      <c r="I5" s="123" t="s">
        <v>499</v>
      </c>
    </row>
    <row r="6" spans="1:11" s="7" customFormat="1">
      <c r="A6" s="130" t="s">
        <v>500</v>
      </c>
      <c r="B6" s="131">
        <v>0</v>
      </c>
      <c r="C6" s="131">
        <v>0</v>
      </c>
      <c r="D6" s="131">
        <v>0</v>
      </c>
      <c r="E6" s="131">
        <v>0</v>
      </c>
      <c r="F6" s="133" t="s">
        <v>515</v>
      </c>
      <c r="H6" s="124">
        <v>0.05</v>
      </c>
      <c r="I6" s="123" t="s">
        <v>516</v>
      </c>
    </row>
    <row r="7" spans="1:11" s="7" customFormat="1">
      <c r="A7" s="130" t="s">
        <v>501</v>
      </c>
      <c r="B7" s="131">
        <v>85848</v>
      </c>
      <c r="C7" s="131">
        <v>86086</v>
      </c>
      <c r="D7" s="131">
        <v>85848</v>
      </c>
      <c r="E7" s="131">
        <v>85848</v>
      </c>
      <c r="F7" s="123" t="s">
        <v>564</v>
      </c>
      <c r="I7" s="12"/>
    </row>
    <row r="8" spans="1:11" s="7" customFormat="1" ht="30">
      <c r="A8" s="130" t="s">
        <v>502</v>
      </c>
      <c r="B8" s="134">
        <v>46267</v>
      </c>
      <c r="C8" s="134">
        <v>46468</v>
      </c>
      <c r="D8" s="134">
        <v>46816</v>
      </c>
      <c r="E8" s="134">
        <v>45810</v>
      </c>
      <c r="F8" s="123" t="s">
        <v>564</v>
      </c>
      <c r="H8" s="114">
        <f>SUMIFS('Form 1.5a (CEC 2025a)'!U:U, 'Form 1.5a (CEC 2025a)'!$B:$B, "Glendale")</f>
        <v>4.8639414141131709E-2</v>
      </c>
      <c r="I8" s="123" t="s">
        <v>579</v>
      </c>
    </row>
    <row r="9" spans="1:11" s="7" customFormat="1" ht="75">
      <c r="A9" s="130" t="s">
        <v>503</v>
      </c>
      <c r="B9" s="203">
        <v>0.39</v>
      </c>
      <c r="C9" s="203">
        <v>0.41</v>
      </c>
      <c r="D9" s="203">
        <v>0.43</v>
      </c>
      <c r="E9" s="203">
        <v>0.45</v>
      </c>
      <c r="F9" s="123" t="s">
        <v>690</v>
      </c>
      <c r="H9" s="16"/>
      <c r="I9" s="2"/>
    </row>
    <row r="10" spans="1:11" s="7" customFormat="1">
      <c r="A10" s="130" t="s">
        <v>504</v>
      </c>
      <c r="B10" s="131">
        <f t="shared" ref="B10:E10" si="1">B4*B9</f>
        <v>414310.20630976622</v>
      </c>
      <c r="C10" s="131">
        <f t="shared" si="1"/>
        <v>458762.76085706806</v>
      </c>
      <c r="D10" s="131">
        <f t="shared" si="1"/>
        <v>510985.740083621</v>
      </c>
      <c r="E10" s="131">
        <f t="shared" si="1"/>
        <v>571223.22340945329</v>
      </c>
      <c r="F10" s="123" t="s">
        <v>587</v>
      </c>
      <c r="I10" s="12"/>
    </row>
    <row r="11" spans="1:11" s="7" customFormat="1" ht="30">
      <c r="A11" s="130" t="s">
        <v>505</v>
      </c>
      <c r="B11" s="131">
        <f t="shared" ref="B11:E11" si="2">MAX(B5-SUM(B6:B8,B10), B5*$H$6)</f>
        <v>583898.02321226266</v>
      </c>
      <c r="C11" s="131">
        <f t="shared" si="2"/>
        <v>599228.55024517677</v>
      </c>
      <c r="D11" s="131">
        <f t="shared" si="2"/>
        <v>620742.88189073431</v>
      </c>
      <c r="E11" s="131">
        <f t="shared" si="2"/>
        <v>647744.35371867626</v>
      </c>
      <c r="F11" s="123" t="s">
        <v>506</v>
      </c>
      <c r="I11" s="115"/>
      <c r="J11" s="115"/>
      <c r="K11" s="115"/>
    </row>
    <row r="12" spans="1:11" s="7" customFormat="1" ht="46.5">
      <c r="A12" s="130" t="s">
        <v>507</v>
      </c>
      <c r="B12" s="131">
        <f>B6*$H$3+B11*$H$2</f>
        <v>254229.19930661918</v>
      </c>
      <c r="C12" s="131">
        <f>C6*$H$3+C11*$H$2</f>
        <v>260904.11077674996</v>
      </c>
      <c r="D12" s="131">
        <f>D6*$H$3+D11*$H$2</f>
        <v>270271.45077522571</v>
      </c>
      <c r="E12" s="131">
        <f>E6*$H$3+E11*$H$2</f>
        <v>282027.89160911163</v>
      </c>
      <c r="F12" s="136" t="s">
        <v>508</v>
      </c>
      <c r="I12" s="115"/>
      <c r="J12" s="115"/>
      <c r="K12" s="115"/>
    </row>
    <row r="13" spans="1:11" s="7" customFormat="1" ht="72.599999999999994" customHeight="1">
      <c r="A13" s="130"/>
      <c r="B13" s="227" t="s">
        <v>557</v>
      </c>
      <c r="C13" s="227"/>
      <c r="D13" s="228"/>
      <c r="E13" s="137">
        <v>0</v>
      </c>
      <c r="F13" s="136" t="s">
        <v>686</v>
      </c>
    </row>
    <row r="14" spans="1:11" s="7" customFormat="1" ht="33">
      <c r="A14" s="130" t="s">
        <v>509</v>
      </c>
      <c r="B14" s="193">
        <f t="shared" ref="B14:E14" si="3">B12/B5</f>
        <v>0.22491725611453914</v>
      </c>
      <c r="C14" s="193">
        <f t="shared" si="3"/>
        <v>0.21914672910281477</v>
      </c>
      <c r="D14" s="193">
        <f t="shared" si="3"/>
        <v>0.21375595371095688</v>
      </c>
      <c r="E14" s="193">
        <f t="shared" si="3"/>
        <v>0.20881278748533322</v>
      </c>
      <c r="F14" s="123" t="s">
        <v>588</v>
      </c>
      <c r="H14"/>
      <c r="I14"/>
    </row>
    <row r="15" spans="1:11" s="7" customFormat="1" ht="33.75" thickBot="1">
      <c r="A15" s="130" t="s">
        <v>511</v>
      </c>
      <c r="B15" s="138">
        <f>$E$13*B14</f>
        <v>0</v>
      </c>
      <c r="C15" s="138">
        <f>$E$13*C14</f>
        <v>0</v>
      </c>
      <c r="D15" s="138">
        <f>$E$13*D14</f>
        <v>0</v>
      </c>
      <c r="E15" s="138">
        <f>$E$13*E14</f>
        <v>0</v>
      </c>
      <c r="F15" s="123" t="s">
        <v>518</v>
      </c>
      <c r="H15"/>
      <c r="I15"/>
    </row>
    <row r="16" spans="1:11" ht="30.75" thickBot="1">
      <c r="A16" s="20" t="s">
        <v>513</v>
      </c>
      <c r="B16" s="8">
        <f>B12-B15</f>
        <v>254229.19930661918</v>
      </c>
      <c r="C16" s="8">
        <f>C12-C15</f>
        <v>260904.11077674996</v>
      </c>
      <c r="D16" s="8">
        <f>D12-D15</f>
        <v>270271.45077522571</v>
      </c>
      <c r="E16" s="8">
        <f>E12-E15</f>
        <v>282027.89160911163</v>
      </c>
      <c r="F16" s="10" t="s">
        <v>514</v>
      </c>
    </row>
    <row r="17" spans="1:9" ht="15.75">
      <c r="A17" s="9"/>
      <c r="B17" s="9"/>
      <c r="C17" s="9"/>
      <c r="D17" s="9"/>
      <c r="E17" s="9"/>
      <c r="H17" s="3"/>
      <c r="I17" s="3"/>
    </row>
    <row r="18" spans="1:9">
      <c r="A18" s="9"/>
      <c r="B18" s="9"/>
      <c r="C18" s="9"/>
      <c r="D18" s="9"/>
      <c r="E18" s="9"/>
    </row>
  </sheetData>
  <mergeCells count="3">
    <mergeCell ref="B13:D13"/>
    <mergeCell ref="B1:F1"/>
    <mergeCell ref="H1:I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E229-0DBE-4AF5-A160-BA456C919C02}">
  <sheetPr codeName="Sheet54"/>
  <dimension ref="A1:I17"/>
  <sheetViews>
    <sheetView zoomScaleNormal="100" workbookViewId="0"/>
  </sheetViews>
  <sheetFormatPr defaultRowHeight="15"/>
  <cols>
    <col min="1" max="1" width="37.7109375" customWidth="1"/>
    <col min="6" max="6" width="49.28515625" customWidth="1"/>
    <col min="9" max="9" width="36.5703125" customWidth="1"/>
  </cols>
  <sheetData>
    <row r="1" spans="1:9" s="7" customFormat="1">
      <c r="A1" s="125" t="s">
        <v>39</v>
      </c>
      <c r="B1" s="223" t="s">
        <v>671</v>
      </c>
      <c r="C1" s="224"/>
      <c r="D1" s="224"/>
      <c r="E1" s="224"/>
      <c r="F1" s="225"/>
      <c r="H1" s="229" t="s">
        <v>4</v>
      </c>
      <c r="I1" s="230"/>
    </row>
    <row r="2" spans="1:9" s="7" customFormat="1" ht="33">
      <c r="A2" s="126" t="s">
        <v>496</v>
      </c>
      <c r="B2" s="127">
        <v>2027</v>
      </c>
      <c r="C2" s="127">
        <v>2028</v>
      </c>
      <c r="D2" s="127">
        <v>2029</v>
      </c>
      <c r="E2" s="128">
        <v>2030</v>
      </c>
      <c r="F2" s="129" t="s">
        <v>497</v>
      </c>
      <c r="H2" s="120">
        <v>0.43540000000000001</v>
      </c>
      <c r="I2" s="62" t="s">
        <v>7</v>
      </c>
    </row>
    <row r="3" spans="1:9" s="7" customFormat="1" ht="30">
      <c r="A3" s="130" t="s">
        <v>584</v>
      </c>
      <c r="B3" s="131">
        <v>33226.385999999999</v>
      </c>
      <c r="C3" s="131">
        <v>33126.198000000004</v>
      </c>
      <c r="D3" s="131">
        <v>33023.932000000001</v>
      </c>
      <c r="E3" s="131">
        <v>32918.727000000203</v>
      </c>
      <c r="F3" s="123" t="s">
        <v>561</v>
      </c>
      <c r="H3" s="132">
        <v>0.95946199709706936</v>
      </c>
      <c r="I3" s="123" t="s">
        <v>676</v>
      </c>
    </row>
    <row r="4" spans="1:9" s="7" customFormat="1">
      <c r="A4" s="130" t="s">
        <v>217</v>
      </c>
      <c r="B4" s="131">
        <f>SUMIFS('Form 1.1c (CEC 2025a)'!G:G, 'Form 1.1c (CEC 2025a)'!$B:$B, "Gridley Electric Utility")*1000</f>
        <v>31000.967333102275</v>
      </c>
      <c r="C4" s="131">
        <f>SUMIFS('Form 1.1c (CEC 2025a)'!H:H, 'Form 1.1c (CEC 2025a)'!$B:$B, "Gridley Electric Utility")*1000</f>
        <v>31968.780102625122</v>
      </c>
      <c r="D4" s="131">
        <f>SUMIFS('Form 1.1c (CEC 2025a)'!I:I, 'Form 1.1c (CEC 2025a)'!$B:$B, "Gridley Electric Utility")*1000</f>
        <v>33171.142333823511</v>
      </c>
      <c r="E4" s="131">
        <f>SUMIFS('Form 1.1c (CEC 2025a)'!J:J, 'Form 1.1c (CEC 2025a)'!$B:$B, "Gridley Electric Utility")*1000</f>
        <v>34479.5880694226</v>
      </c>
      <c r="F4" s="123" t="s">
        <v>575</v>
      </c>
      <c r="H4" s="122">
        <f>0.15</f>
        <v>0.15</v>
      </c>
      <c r="I4" s="120" t="s">
        <v>498</v>
      </c>
    </row>
    <row r="5" spans="1:9" s="7" customFormat="1" ht="30">
      <c r="A5" s="130" t="s">
        <v>585</v>
      </c>
      <c r="B5" s="131">
        <f t="shared" ref="B5:E5" si="0">IF(0&lt;(B4-B3),B4*(1+$H$5),B3)</f>
        <v>33226.385999999999</v>
      </c>
      <c r="C5" s="131">
        <f t="shared" si="0"/>
        <v>33126.198000000004</v>
      </c>
      <c r="D5" s="131">
        <f t="shared" si="0"/>
        <v>35493.122297191156</v>
      </c>
      <c r="E5" s="131">
        <f t="shared" si="0"/>
        <v>36893.159234282182</v>
      </c>
      <c r="F5" s="123" t="s">
        <v>586</v>
      </c>
      <c r="H5" s="122">
        <f>0.07</f>
        <v>7.0000000000000007E-2</v>
      </c>
      <c r="I5" s="123" t="s">
        <v>499</v>
      </c>
    </row>
    <row r="6" spans="1:9" s="7" customFormat="1">
      <c r="A6" s="130" t="s">
        <v>500</v>
      </c>
      <c r="B6" s="131">
        <v>0</v>
      </c>
      <c r="C6" s="131">
        <v>0</v>
      </c>
      <c r="D6" s="131">
        <v>0</v>
      </c>
      <c r="E6" s="131">
        <v>0</v>
      </c>
      <c r="F6" s="133" t="s">
        <v>562</v>
      </c>
      <c r="H6" s="124">
        <v>0.05</v>
      </c>
      <c r="I6" s="120" t="s">
        <v>11</v>
      </c>
    </row>
    <row r="7" spans="1:9" s="7" customFormat="1">
      <c r="A7" s="130" t="s">
        <v>501</v>
      </c>
      <c r="B7" s="131">
        <v>0</v>
      </c>
      <c r="C7" s="131">
        <v>0</v>
      </c>
      <c r="D7" s="131">
        <v>0</v>
      </c>
      <c r="E7" s="131">
        <v>0</v>
      </c>
      <c r="F7" s="133" t="s">
        <v>563</v>
      </c>
    </row>
    <row r="8" spans="1:9" s="7" customFormat="1" ht="30">
      <c r="A8" s="130" t="s">
        <v>502</v>
      </c>
      <c r="B8" s="134">
        <v>0</v>
      </c>
      <c r="C8" s="134">
        <v>0</v>
      </c>
      <c r="D8" s="134">
        <v>0</v>
      </c>
      <c r="E8" s="134">
        <v>0</v>
      </c>
      <c r="F8" s="123" t="s">
        <v>558</v>
      </c>
      <c r="H8" s="135">
        <f>SUMIFS('Form 1.5a (CEC 2025a)'!U:U, 'Form 1.5a (CEC 2025a)'!$B:$B, "NCPA - Non Bay Area")</f>
        <v>3.5189316129375703E-2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12090.377259909888</v>
      </c>
      <c r="C10" s="131">
        <f t="shared" si="1"/>
        <v>13107.199842076299</v>
      </c>
      <c r="D10" s="131">
        <f t="shared" si="1"/>
        <v>14263.591203544109</v>
      </c>
      <c r="E10" s="131">
        <f t="shared" si="1"/>
        <v>15515.81463124017</v>
      </c>
      <c r="F10" s="123" t="s">
        <v>587</v>
      </c>
    </row>
    <row r="11" spans="1:9" s="7" customFormat="1" ht="30">
      <c r="A11" s="130" t="s">
        <v>505</v>
      </c>
      <c r="B11" s="131">
        <f t="shared" ref="B11:E11" si="2">MAX(B5-SUM(B6:B8,B10), B5*$H$6)</f>
        <v>21136.00874009011</v>
      </c>
      <c r="C11" s="131">
        <f t="shared" si="2"/>
        <v>20018.998157923706</v>
      </c>
      <c r="D11" s="131">
        <f t="shared" si="2"/>
        <v>21229.531093647049</v>
      </c>
      <c r="E11" s="131">
        <f t="shared" si="2"/>
        <v>21377.344603042013</v>
      </c>
      <c r="F11" s="123" t="s">
        <v>506</v>
      </c>
    </row>
    <row r="12" spans="1:9" s="7" customFormat="1" ht="46.5">
      <c r="A12" s="130" t="s">
        <v>507</v>
      </c>
      <c r="B12" s="131">
        <f>B6*$H$3+B11*$H$2</f>
        <v>9202.6182054352339</v>
      </c>
      <c r="C12" s="131">
        <f>C6*$H$3+C11*$H$2</f>
        <v>8716.271797959982</v>
      </c>
      <c r="D12" s="131">
        <f>D6*$H$3+D11*$H$2</f>
        <v>9243.3378381739258</v>
      </c>
      <c r="E12" s="131">
        <f>E6*$H$3+E11*$H$2</f>
        <v>9307.6958401644933</v>
      </c>
      <c r="F12" s="136" t="s">
        <v>508</v>
      </c>
    </row>
    <row r="13" spans="1:9" s="7" customFormat="1" ht="72.599999999999994" customHeight="1">
      <c r="A13" s="130"/>
      <c r="B13" s="227" t="s">
        <v>557</v>
      </c>
      <c r="C13" s="227"/>
      <c r="D13" s="228"/>
      <c r="E13" s="137">
        <v>0</v>
      </c>
      <c r="F13" s="136" t="s">
        <v>686</v>
      </c>
    </row>
    <row r="14" spans="1:9" s="7" customFormat="1" ht="33">
      <c r="A14" s="130" t="s">
        <v>509</v>
      </c>
      <c r="B14" s="193">
        <f t="shared" ref="B14:E14" si="3">B12/B5</f>
        <v>0.27696717318083386</v>
      </c>
      <c r="C14" s="193">
        <f t="shared" si="3"/>
        <v>0.26312321739911054</v>
      </c>
      <c r="D14" s="193">
        <f t="shared" si="3"/>
        <v>0.26042616822429909</v>
      </c>
      <c r="E14" s="193">
        <f t="shared" si="3"/>
        <v>0.25228785046728974</v>
      </c>
      <c r="F14" s="123" t="s">
        <v>588</v>
      </c>
    </row>
    <row r="15" spans="1:9" s="7" customFormat="1" ht="33.75" thickBot="1">
      <c r="A15" s="130" t="s">
        <v>511</v>
      </c>
      <c r="B15" s="138">
        <f>$E$13*B14</f>
        <v>0</v>
      </c>
      <c r="C15" s="138">
        <f>$E$13*C14</f>
        <v>0</v>
      </c>
      <c r="D15" s="138">
        <f>$E$13*D14</f>
        <v>0</v>
      </c>
      <c r="E15" s="138">
        <f>$E$13*E14</f>
        <v>0</v>
      </c>
      <c r="F15" s="123" t="s">
        <v>518</v>
      </c>
    </row>
    <row r="16" spans="1:9" ht="30.75" thickBot="1">
      <c r="A16" s="20" t="s">
        <v>513</v>
      </c>
      <c r="B16" s="8">
        <f>B12-B15</f>
        <v>9202.6182054352339</v>
      </c>
      <c r="C16" s="8">
        <f>C12-C15</f>
        <v>8716.271797959982</v>
      </c>
      <c r="D16" s="8">
        <f>D12-D15</f>
        <v>9243.3378381739258</v>
      </c>
      <c r="E16" s="8">
        <f>E12-E15</f>
        <v>9307.6958401644933</v>
      </c>
      <c r="F16" s="10" t="s">
        <v>514</v>
      </c>
      <c r="G16" s="7"/>
      <c r="H16" s="7"/>
      <c r="I16" s="7"/>
    </row>
    <row r="17" spans="1:9" ht="15.75">
      <c r="A17" s="9"/>
      <c r="B17" s="9"/>
      <c r="C17" s="9"/>
      <c r="D17" s="9"/>
      <c r="E17" s="9"/>
      <c r="F17" s="7"/>
      <c r="G17" s="7"/>
      <c r="I17" s="2"/>
    </row>
  </sheetData>
  <mergeCells count="3">
    <mergeCell ref="B13:D13"/>
    <mergeCell ref="B1:F1"/>
    <mergeCell ref="H1:I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38850-FCC5-4FFD-BDF9-92A1C189F60A}">
  <sheetPr codeName="Sheet55"/>
  <dimension ref="A1:I18"/>
  <sheetViews>
    <sheetView zoomScaleNormal="100" workbookViewId="0"/>
  </sheetViews>
  <sheetFormatPr defaultRowHeight="15"/>
  <cols>
    <col min="1" max="1" width="37.7109375" customWidth="1"/>
    <col min="6" max="6" width="49.28515625" customWidth="1"/>
    <col min="9" max="9" width="36.5703125" customWidth="1"/>
  </cols>
  <sheetData>
    <row r="1" spans="1:9" s="7" customFormat="1">
      <c r="A1" s="125" t="s">
        <v>23</v>
      </c>
      <c r="B1" s="223" t="s">
        <v>671</v>
      </c>
      <c r="C1" s="224"/>
      <c r="D1" s="224"/>
      <c r="E1" s="224"/>
      <c r="F1" s="225"/>
      <c r="H1" s="229" t="s">
        <v>4</v>
      </c>
      <c r="I1" s="230"/>
    </row>
    <row r="2" spans="1:9" s="7" customFormat="1" ht="30">
      <c r="A2" s="126" t="s">
        <v>496</v>
      </c>
      <c r="B2" s="127">
        <v>2027</v>
      </c>
      <c r="C2" s="127">
        <v>2028</v>
      </c>
      <c r="D2" s="127">
        <v>2029</v>
      </c>
      <c r="E2" s="128">
        <v>2030</v>
      </c>
      <c r="F2" s="129" t="s">
        <v>497</v>
      </c>
      <c r="H2" s="120">
        <v>0.43540000000000001</v>
      </c>
      <c r="I2" s="123" t="s">
        <v>523</v>
      </c>
    </row>
    <row r="3" spans="1:9" s="7" customFormat="1" ht="30">
      <c r="A3" s="130" t="s">
        <v>584</v>
      </c>
      <c r="B3" s="131">
        <v>85587.034999999698</v>
      </c>
      <c r="C3" s="131">
        <v>86286.619999999806</v>
      </c>
      <c r="D3" s="131">
        <v>86944.661999999793</v>
      </c>
      <c r="E3" s="131">
        <v>87573.653000000108</v>
      </c>
      <c r="F3" s="123" t="s">
        <v>561</v>
      </c>
      <c r="H3" s="132">
        <v>0.95946199709706936</v>
      </c>
      <c r="I3" s="123" t="s">
        <v>676</v>
      </c>
    </row>
    <row r="4" spans="1:9" s="7" customFormat="1">
      <c r="A4" s="130" t="s">
        <v>217</v>
      </c>
      <c r="B4" s="131">
        <f>SUMIFS('Form 1.1c (CEC 2025a)'!G:G, 'Form 1.1c (CEC 2025a)'!$B:$B, "Healdsburg, City of")*1000</f>
        <v>79837.290983453553</v>
      </c>
      <c r="C4" s="131">
        <f>SUMIFS('Form 1.1c (CEC 2025a)'!H:H, 'Form 1.1c (CEC 2025a)'!$B:$B, "Healdsburg, City of")*1000</f>
        <v>83409.561524837132</v>
      </c>
      <c r="D4" s="131">
        <f>SUMIFS('Form 1.1c (CEC 2025a)'!I:I, 'Form 1.1c (CEC 2025a)'!$B:$B, "Healdsburg, City of")*1000</f>
        <v>87880.128945419565</v>
      </c>
      <c r="E4" s="131">
        <f>SUMIFS('Form 1.1c (CEC 2025a)'!J:J, 'Form 1.1c (CEC 2025a)'!$B:$B, "Healdsburg, City of")*1000</f>
        <v>93010.683485447982</v>
      </c>
      <c r="F4" s="123" t="s">
        <v>575</v>
      </c>
      <c r="H4" s="122">
        <f>0.15</f>
        <v>0.15</v>
      </c>
      <c r="I4" s="120" t="s">
        <v>498</v>
      </c>
    </row>
    <row r="5" spans="1:9" s="7" customFormat="1" ht="30">
      <c r="A5" s="130" t="s">
        <v>585</v>
      </c>
      <c r="B5" s="131">
        <f t="shared" ref="B5:E5" si="0">IF(0&lt;(B4-B3),B4*(1+$H$5),B3)</f>
        <v>85587.034999999698</v>
      </c>
      <c r="C5" s="131">
        <f t="shared" si="0"/>
        <v>86286.619999999806</v>
      </c>
      <c r="D5" s="131">
        <f t="shared" si="0"/>
        <v>94031.737971598937</v>
      </c>
      <c r="E5" s="131">
        <f t="shared" si="0"/>
        <v>99521.431329429353</v>
      </c>
      <c r="F5" s="123" t="s">
        <v>586</v>
      </c>
      <c r="H5" s="122">
        <f>0.07</f>
        <v>7.0000000000000007E-2</v>
      </c>
      <c r="I5" s="123" t="s">
        <v>499</v>
      </c>
    </row>
    <row r="6" spans="1:9" s="7" customFormat="1">
      <c r="A6" s="130" t="s">
        <v>500</v>
      </c>
      <c r="B6" s="131">
        <v>0</v>
      </c>
      <c r="C6" s="131">
        <v>0</v>
      </c>
      <c r="D6" s="131">
        <v>0</v>
      </c>
      <c r="E6" s="131">
        <v>0</v>
      </c>
      <c r="F6" s="133" t="s">
        <v>525</v>
      </c>
      <c r="H6" s="124">
        <v>0.05</v>
      </c>
      <c r="I6" s="120" t="s">
        <v>11</v>
      </c>
    </row>
    <row r="7" spans="1:9" s="7" customFormat="1">
      <c r="A7" s="130" t="s">
        <v>501</v>
      </c>
      <c r="B7" s="131">
        <v>0</v>
      </c>
      <c r="C7" s="131">
        <v>0</v>
      </c>
      <c r="D7" s="131">
        <v>0</v>
      </c>
      <c r="E7" s="131">
        <v>0</v>
      </c>
      <c r="F7" s="133" t="s">
        <v>526</v>
      </c>
    </row>
    <row r="8" spans="1:9" s="7" customFormat="1" ht="30">
      <c r="A8" s="130" t="s">
        <v>502</v>
      </c>
      <c r="B8" s="134">
        <v>12120.56855963546</v>
      </c>
      <c r="C8" s="134">
        <v>12082.86381616896</v>
      </c>
      <c r="D8" s="134">
        <v>12182.256200738539</v>
      </c>
      <c r="E8" s="134">
        <v>12221.61464946414</v>
      </c>
      <c r="F8" s="123" t="s">
        <v>558</v>
      </c>
      <c r="H8" s="135">
        <f>SUMIFS('Form 1.5a (CEC 2025a)'!U:U, 'Form 1.5a (CEC 2025a)'!$B:$B, "NCPA - Non Bay Area")</f>
        <v>3.5189316129375703E-2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31136.543483546888</v>
      </c>
      <c r="C10" s="131">
        <f t="shared" si="1"/>
        <v>34197.920225183225</v>
      </c>
      <c r="D10" s="131">
        <f t="shared" si="1"/>
        <v>37788.45544653041</v>
      </c>
      <c r="E10" s="131">
        <f t="shared" si="1"/>
        <v>41854.807568451593</v>
      </c>
      <c r="F10" s="123" t="s">
        <v>587</v>
      </c>
    </row>
    <row r="11" spans="1:9" s="7" customFormat="1" ht="30">
      <c r="A11" s="130" t="s">
        <v>505</v>
      </c>
      <c r="B11" s="131">
        <f t="shared" ref="B11:E11" si="2">MAX(B5-SUM(B6:B8,B10), B5*$H$6)</f>
        <v>42329.922956817347</v>
      </c>
      <c r="C11" s="131">
        <f t="shared" si="2"/>
        <v>40005.835958647622</v>
      </c>
      <c r="D11" s="131">
        <f t="shared" si="2"/>
        <v>44061.026324329985</v>
      </c>
      <c r="E11" s="131">
        <f t="shared" si="2"/>
        <v>45445.009111513617</v>
      </c>
      <c r="F11" s="123" t="s">
        <v>506</v>
      </c>
    </row>
    <row r="12" spans="1:9" s="7" customFormat="1" ht="46.5">
      <c r="A12" s="130" t="s">
        <v>507</v>
      </c>
      <c r="B12" s="131">
        <f>B6*$H$3+B11*$H$2</f>
        <v>18430.448455398273</v>
      </c>
      <c r="C12" s="131">
        <f>C6*$H$3+C11*$H$2</f>
        <v>17418.540976395176</v>
      </c>
      <c r="D12" s="131">
        <f>D6*$H$3+D11*$H$2</f>
        <v>19184.170861613275</v>
      </c>
      <c r="E12" s="131">
        <f>E6*$H$3+E11*$H$2</f>
        <v>19786.756967153029</v>
      </c>
      <c r="F12" s="136" t="s">
        <v>508</v>
      </c>
    </row>
    <row r="13" spans="1:9" s="7" customFormat="1" ht="72.599999999999994" customHeight="1">
      <c r="A13" s="130"/>
      <c r="B13" s="227" t="s">
        <v>557</v>
      </c>
      <c r="C13" s="227"/>
      <c r="D13" s="228"/>
      <c r="E13" s="137">
        <v>0</v>
      </c>
      <c r="F13" s="136" t="s">
        <v>686</v>
      </c>
    </row>
    <row r="14" spans="1:9" s="7" customFormat="1" ht="33">
      <c r="A14" s="130" t="s">
        <v>509</v>
      </c>
      <c r="B14" s="193">
        <f t="shared" ref="B14:E14" si="3">B12/B5</f>
        <v>0.21534159298073988</v>
      </c>
      <c r="C14" s="193">
        <f t="shared" si="3"/>
        <v>0.20186838905493359</v>
      </c>
      <c r="D14" s="193">
        <f t="shared" si="3"/>
        <v>0.2040180398176582</v>
      </c>
      <c r="E14" s="193">
        <f t="shared" si="3"/>
        <v>0.19881905538171166</v>
      </c>
      <c r="F14" s="123" t="s">
        <v>588</v>
      </c>
    </row>
    <row r="15" spans="1:9" s="7" customFormat="1" ht="33.75" thickBot="1">
      <c r="A15" s="130" t="s">
        <v>511</v>
      </c>
      <c r="B15" s="138">
        <f>$E$13*B14</f>
        <v>0</v>
      </c>
      <c r="C15" s="138">
        <f>$E$13*C14</f>
        <v>0</v>
      </c>
      <c r="D15" s="138">
        <f>$E$13*D14</f>
        <v>0</v>
      </c>
      <c r="E15" s="138">
        <f>$E$13*E14</f>
        <v>0</v>
      </c>
      <c r="F15" s="123" t="s">
        <v>518</v>
      </c>
    </row>
    <row r="16" spans="1:9" ht="30.75" thickBot="1">
      <c r="A16" s="20" t="s">
        <v>513</v>
      </c>
      <c r="B16" s="8">
        <f>B12-B15</f>
        <v>18430.448455398273</v>
      </c>
      <c r="C16" s="8">
        <f>C12-C15</f>
        <v>17418.540976395176</v>
      </c>
      <c r="D16" s="8">
        <f>D12-D15</f>
        <v>19184.170861613275</v>
      </c>
      <c r="E16" s="8">
        <f>E12-E15</f>
        <v>19786.756967153029</v>
      </c>
      <c r="F16" s="10" t="s">
        <v>514</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1AF84-E523-4DF2-BDD6-F211153AF5D7}">
  <sheetPr>
    <tabColor theme="5"/>
  </sheetPr>
  <dimension ref="A1:B2"/>
  <sheetViews>
    <sheetView workbookViewId="0">
      <selection activeCell="A2" sqref="A2:B2"/>
    </sheetView>
  </sheetViews>
  <sheetFormatPr defaultRowHeight="15"/>
  <cols>
    <col min="1" max="1" width="34.7109375" customWidth="1"/>
    <col min="2" max="2" width="61.42578125" customWidth="1"/>
  </cols>
  <sheetData>
    <row r="1" spans="1:2" ht="15.75" thickBot="1">
      <c r="A1" s="116" t="s">
        <v>40</v>
      </c>
      <c r="B1" s="117" t="s">
        <v>671</v>
      </c>
    </row>
    <row r="2" spans="1:2" ht="61.5" customHeight="1" thickBot="1">
      <c r="A2" s="231" t="s">
        <v>1</v>
      </c>
      <c r="B2" s="232"/>
    </row>
  </sheetData>
  <mergeCells count="1">
    <mergeCell ref="A2:B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D32CB-8E2A-4812-81E5-D159CD5E3C98}">
  <sheetPr codeName="Sheet58"/>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24</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48000</v>
      </c>
      <c r="C3" s="134">
        <v>48000</v>
      </c>
      <c r="D3" s="134">
        <v>48000</v>
      </c>
      <c r="E3" s="134">
        <v>48000</v>
      </c>
      <c r="F3" s="123" t="s">
        <v>566</v>
      </c>
      <c r="H3" s="132">
        <v>0.95946199709706936</v>
      </c>
      <c r="I3" s="123" t="s">
        <v>676</v>
      </c>
    </row>
    <row r="4" spans="1:12" s="7" customFormat="1">
      <c r="A4" s="130" t="s">
        <v>217</v>
      </c>
      <c r="B4" s="131">
        <f>SUMIFS('Form 1.1c (CEC 2025a)'!G:G, 'Form 1.1c (CEC 2025a)'!$B:$B, "Industry, City of")*1000</f>
        <v>38410.338765055683</v>
      </c>
      <c r="C4" s="131">
        <f>SUMIFS('Form 1.1c (CEC 2025a)'!H:H, 'Form 1.1c (CEC 2025a)'!$B:$B, "Industry, City of")*1000</f>
        <v>39279.926413743415</v>
      </c>
      <c r="D4" s="131">
        <f>SUMIFS('Form 1.1c (CEC 2025a)'!I:I, 'Form 1.1c (CEC 2025a)'!$B:$B, "Industry, City of")*1000</f>
        <v>40262.220656758604</v>
      </c>
      <c r="E4" s="131">
        <f>SUMIFS('Form 1.1c (CEC 2025a)'!J:J, 'Form 1.1c (CEC 2025a)'!$B:$B, "Industry, City of")*1000</f>
        <v>41324.870283107142</v>
      </c>
      <c r="F4" s="123" t="s">
        <v>575</v>
      </c>
      <c r="H4" s="122">
        <f>0.15</f>
        <v>0.15</v>
      </c>
      <c r="I4" s="123" t="s">
        <v>498</v>
      </c>
    </row>
    <row r="5" spans="1:12" s="7" customFormat="1" ht="45">
      <c r="A5" s="130" t="s">
        <v>585</v>
      </c>
      <c r="B5" s="131">
        <f>B4*(1+$H$4)</f>
        <v>44171.889579814029</v>
      </c>
      <c r="C5" s="131">
        <f t="shared" ref="C5:E5" si="0">C4*(1+$H$4)</f>
        <v>45171.915375804921</v>
      </c>
      <c r="D5" s="131">
        <f t="shared" si="0"/>
        <v>46301.553755272391</v>
      </c>
      <c r="E5" s="131">
        <f t="shared" si="0"/>
        <v>47523.600825573209</v>
      </c>
      <c r="F5" s="123" t="s">
        <v>678</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0</v>
      </c>
      <c r="C8" s="131">
        <v>0</v>
      </c>
      <c r="D8" s="131">
        <v>0</v>
      </c>
      <c r="E8" s="131">
        <v>0</v>
      </c>
      <c r="F8" s="133" t="s">
        <v>527</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14980.032118371717</v>
      </c>
      <c r="C10" s="131">
        <f t="shared" si="1"/>
        <v>16104.769829634799</v>
      </c>
      <c r="D10" s="131">
        <f t="shared" si="1"/>
        <v>17312.7548824062</v>
      </c>
      <c r="E10" s="131">
        <f t="shared" si="1"/>
        <v>18596.191627398213</v>
      </c>
      <c r="F10" s="123" t="s">
        <v>587</v>
      </c>
    </row>
    <row r="11" spans="1:12" s="7" customFormat="1" ht="30">
      <c r="A11" s="130" t="s">
        <v>505</v>
      </c>
      <c r="B11" s="131">
        <f t="shared" ref="B11:E11" si="2">MAX(B5-SUM(B6:B8,B10), B5*$H$6)</f>
        <v>29191.857461442312</v>
      </c>
      <c r="C11" s="131">
        <f t="shared" si="2"/>
        <v>29067.145546170123</v>
      </c>
      <c r="D11" s="131">
        <f t="shared" si="2"/>
        <v>28988.798872866191</v>
      </c>
      <c r="E11" s="131">
        <f t="shared" si="2"/>
        <v>28927.409198174995</v>
      </c>
      <c r="F11" s="123" t="s">
        <v>589</v>
      </c>
    </row>
    <row r="12" spans="1:12" s="7" customFormat="1" ht="46.5">
      <c r="A12" s="130" t="s">
        <v>507</v>
      </c>
      <c r="B12" s="131">
        <f>B6*$H$3+B11*$H$2</f>
        <v>12710.134738711982</v>
      </c>
      <c r="C12" s="131">
        <f>C6*$H$3+C11*$H$2</f>
        <v>12655.835170802471</v>
      </c>
      <c r="D12" s="131">
        <f>D6*$H$3+D11*$H$2</f>
        <v>12621.723029245941</v>
      </c>
      <c r="E12" s="131">
        <f>E6*$H$3+E11*$H$2</f>
        <v>12594.993964885392</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0.28774260869565216</v>
      </c>
      <c r="C14" s="193">
        <f t="shared" si="3"/>
        <v>0.28017043478260867</v>
      </c>
      <c r="D14" s="193">
        <f t="shared" si="3"/>
        <v>0.27259826086956523</v>
      </c>
      <c r="E14" s="193">
        <f t="shared" si="3"/>
        <v>0.26502608695652169</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12710.134738711982</v>
      </c>
      <c r="C16" s="8">
        <f>C12-C15</f>
        <v>12655.835170802471</v>
      </c>
      <c r="D16" s="8">
        <f>D12-D15</f>
        <v>12621.723029245941</v>
      </c>
      <c r="E16" s="8">
        <f>E12-E15</f>
        <v>12594.993964885392</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4D63F-32D0-4438-9730-90EC5A82C9E0}">
  <sheetPr codeName="Sheet59"/>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41</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8000</v>
      </c>
      <c r="C3" s="134">
        <v>8000</v>
      </c>
      <c r="D3" s="134">
        <v>8000</v>
      </c>
      <c r="E3" s="134">
        <v>8000</v>
      </c>
      <c r="F3" s="123" t="s">
        <v>566</v>
      </c>
      <c r="H3" s="132">
        <v>0.95946199709706936</v>
      </c>
      <c r="I3" s="123" t="s">
        <v>676</v>
      </c>
    </row>
    <row r="4" spans="1:12" s="7" customFormat="1">
      <c r="A4" s="130" t="s">
        <v>217</v>
      </c>
      <c r="B4" s="131">
        <f>SUMIFS('Form 1.1c (CEC 2025a)'!G:G, 'Form 1.1c (CEC 2025a)'!$B:$B, "Kirkwood Meadows Public Utility District")*1000</f>
        <v>7830.9064462074857</v>
      </c>
      <c r="C4" s="131">
        <f>SUMIFS('Form 1.1c (CEC 2025a)'!H:H, 'Form 1.1c (CEC 2025a)'!$B:$B, "Kirkwood Meadows Public Utility District")*1000</f>
        <v>8159.2540060001256</v>
      </c>
      <c r="D4" s="131">
        <f>SUMIFS('Form 1.1c (CEC 2025a)'!I:I, 'Form 1.1c (CEC 2025a)'!$B:$B, "Kirkwood Meadows Public Utility District")*1000</f>
        <v>8543.8646802744697</v>
      </c>
      <c r="E4" s="131">
        <f>SUMIFS('Form 1.1c (CEC 2025a)'!J:J, 'Form 1.1c (CEC 2025a)'!$B:$B, "Kirkwood Meadows Public Utility District")*1000</f>
        <v>8970.6853114136702</v>
      </c>
      <c r="F4" s="123" t="s">
        <v>575</v>
      </c>
      <c r="H4" s="122">
        <f>0.15</f>
        <v>0.15</v>
      </c>
      <c r="I4" s="123" t="s">
        <v>498</v>
      </c>
    </row>
    <row r="5" spans="1:12" s="7" customFormat="1" ht="30">
      <c r="A5" s="130" t="s">
        <v>585</v>
      </c>
      <c r="B5" s="131">
        <f t="shared" ref="B5:E5" si="0">IF(0&lt;(B4-B3),B4*(1+$H$5),B3)</f>
        <v>8000</v>
      </c>
      <c r="C5" s="131">
        <f t="shared" si="0"/>
        <v>8730.4017864201342</v>
      </c>
      <c r="D5" s="131">
        <f t="shared" si="0"/>
        <v>9141.9352078936827</v>
      </c>
      <c r="E5" s="131">
        <f t="shared" si="0"/>
        <v>9598.6332832126282</v>
      </c>
      <c r="F5" s="123" t="s">
        <v>586</v>
      </c>
      <c r="H5" s="122">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0</v>
      </c>
      <c r="C8" s="131">
        <v>0</v>
      </c>
      <c r="D8" s="131">
        <v>0</v>
      </c>
      <c r="E8" s="131">
        <v>0</v>
      </c>
      <c r="F8" s="133" t="s">
        <v>527</v>
      </c>
      <c r="H8" s="135">
        <f>SUMIFS('Form 1.1c (CEC 2025a)'!U:U, 'Form 1.1c (CEC 2025a)'!$B:$B, "Kirkwood Meadows Public Utility District")</f>
        <v>3.5317952353543625E-2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3054.0535140209195</v>
      </c>
      <c r="C10" s="131">
        <f t="shared" si="1"/>
        <v>3345.2941424600513</v>
      </c>
      <c r="D10" s="131">
        <f t="shared" si="1"/>
        <v>3673.8618125180219</v>
      </c>
      <c r="E10" s="131">
        <f t="shared" si="1"/>
        <v>4036.8083901361515</v>
      </c>
      <c r="F10" s="123" t="s">
        <v>587</v>
      </c>
    </row>
    <row r="11" spans="1:12" s="7" customFormat="1" ht="30">
      <c r="A11" s="130" t="s">
        <v>505</v>
      </c>
      <c r="B11" s="131">
        <f t="shared" ref="B11:E11" si="2">MAX(B5-SUM(B6:B8,B10), B5*$H$6)</f>
        <v>4945.9464859790805</v>
      </c>
      <c r="C11" s="131">
        <f t="shared" si="2"/>
        <v>5385.1076439600829</v>
      </c>
      <c r="D11" s="131">
        <f t="shared" si="2"/>
        <v>5468.0733953756608</v>
      </c>
      <c r="E11" s="131">
        <f t="shared" si="2"/>
        <v>5561.8248930764767</v>
      </c>
      <c r="F11" s="123" t="s">
        <v>589</v>
      </c>
    </row>
    <row r="12" spans="1:12" s="7" customFormat="1" ht="46.5">
      <c r="A12" s="130" t="s">
        <v>507</v>
      </c>
      <c r="B12" s="131">
        <f>B6*$H$3+B11*$H$2</f>
        <v>2153.4650999952919</v>
      </c>
      <c r="C12" s="131">
        <f>C6*$H$3+C11*$H$2</f>
        <v>2344.6758681802203</v>
      </c>
      <c r="D12" s="131">
        <f>D6*$H$3+D11*$H$2</f>
        <v>2380.7991563465625</v>
      </c>
      <c r="E12" s="131">
        <f>E6*$H$3+E11*$H$2</f>
        <v>2421.6185584454979</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0.26918313749941147</v>
      </c>
      <c r="C14" s="193">
        <f t="shared" si="3"/>
        <v>0.26856448598130844</v>
      </c>
      <c r="D14" s="193">
        <f t="shared" si="3"/>
        <v>0.26042616822429904</v>
      </c>
      <c r="E14" s="193">
        <f t="shared" si="3"/>
        <v>0.25228785046728974</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2153.4650999952919</v>
      </c>
      <c r="C16" s="8">
        <f>C12-C15</f>
        <v>2344.6758681802203</v>
      </c>
      <c r="D16" s="8">
        <f>D12-D15</f>
        <v>2380.7991563465625</v>
      </c>
      <c r="E16" s="8">
        <f>E12-E15</f>
        <v>2421.6185584454979</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B8303-C772-475D-8FFC-404A9DEBC0A9}">
  <sheetPr codeName="Sheet61"/>
  <dimension ref="A1:J18"/>
  <sheetViews>
    <sheetView zoomScaleNormal="100" workbookViewId="0"/>
  </sheetViews>
  <sheetFormatPr defaultRowHeight="15"/>
  <cols>
    <col min="1" max="1" width="40" customWidth="1"/>
    <col min="2" max="5" width="11.42578125" customWidth="1"/>
    <col min="6" max="6" width="49.28515625" customWidth="1"/>
    <col min="8" max="8" width="8.7109375" customWidth="1"/>
    <col min="9" max="9" width="34.28515625" customWidth="1"/>
    <col min="10" max="10" width="10.140625" bestFit="1" customWidth="1"/>
  </cols>
  <sheetData>
    <row r="1" spans="1:10" s="7" customFormat="1" ht="15.75">
      <c r="A1" s="125" t="s">
        <v>44</v>
      </c>
      <c r="B1" s="223" t="s">
        <v>671</v>
      </c>
      <c r="C1" s="224"/>
      <c r="D1" s="224"/>
      <c r="E1" s="224"/>
      <c r="F1" s="225"/>
      <c r="H1" s="229" t="s">
        <v>4</v>
      </c>
      <c r="I1" s="230"/>
      <c r="J1" s="2"/>
    </row>
    <row r="2" spans="1:10" s="7" customFormat="1" ht="33">
      <c r="A2" s="126" t="s">
        <v>496</v>
      </c>
      <c r="B2" s="127">
        <v>2027</v>
      </c>
      <c r="C2" s="127">
        <v>2028</v>
      </c>
      <c r="D2" s="127">
        <v>2029</v>
      </c>
      <c r="E2" s="128">
        <v>2030</v>
      </c>
      <c r="F2" s="129" t="s">
        <v>497</v>
      </c>
      <c r="H2" s="120">
        <v>0.43540000000000001</v>
      </c>
      <c r="I2" s="62" t="s">
        <v>7</v>
      </c>
    </row>
    <row r="3" spans="1:10" s="7" customFormat="1" ht="30">
      <c r="A3" s="130" t="s">
        <v>584</v>
      </c>
      <c r="B3" s="131">
        <f>SUMIFS('Form 1.5a (CEC 2025a)'!G:G, 'Form 1.5a (CEC 2025a)'!$B:$B, "LADWP")*1000</f>
        <v>25057997.339412127</v>
      </c>
      <c r="C3" s="131">
        <f>SUMIFS('Form 1.5a (CEC 2025a)'!H:H, 'Form 1.5a (CEC 2025a)'!$B:$B, "LADWP")*1000</f>
        <v>26004350.48951694</v>
      </c>
      <c r="D3" s="131">
        <f>SUMIFS('Form 1.5a (CEC 2025a)'!I:I, 'Form 1.5a (CEC 2025a)'!$B:$B, "LADWP")*1000</f>
        <v>27159149.027396057</v>
      </c>
      <c r="E3" s="131">
        <f>SUMIFS('Form 1.5a (CEC 2025a)'!J:J, 'Form 1.5a (CEC 2025a)'!$B:$B, "LADWP")*1000</f>
        <v>28428814.387858454</v>
      </c>
      <c r="F3" s="123" t="s">
        <v>577</v>
      </c>
      <c r="H3" s="132">
        <v>0.95946199709706936</v>
      </c>
      <c r="I3" s="123" t="s">
        <v>676</v>
      </c>
    </row>
    <row r="4" spans="1:10" s="7" customFormat="1">
      <c r="A4" s="130" t="s">
        <v>217</v>
      </c>
      <c r="B4" s="131">
        <f>SUMIFS('Form 1.1c (CEC 2025a)'!G:G, 'Form 1.1c (CEC 2025a)'!$B:$B, "Los Angeles Department of Water and Power")*1000</f>
        <v>22077530.695517294</v>
      </c>
      <c r="C4" s="131">
        <f>SUMIFS('Form 1.1c (CEC 2025a)'!H:H, 'Form 1.1c (CEC 2025a)'!$B:$B, "Los Angeles Department of Water and Power")*1000</f>
        <v>22911322.017195541</v>
      </c>
      <c r="D4" s="131">
        <f>SUMIFS('Form 1.1c (CEC 2025a)'!I:I, 'Form 1.1c (CEC 2025a)'!$B:$B, "Los Angeles Department of Water and Power")*1000</f>
        <v>23928765.662904013</v>
      </c>
      <c r="E4" s="131">
        <f>SUMIFS('Form 1.1c (CEC 2025a)'!J:J, 'Form 1.1c (CEC 2025a)'!$B:$B, "Los Angeles Department of Water and Power")*1000</f>
        <v>25047413.557584539</v>
      </c>
      <c r="F4" s="123" t="s">
        <v>578</v>
      </c>
      <c r="H4" s="122">
        <f>0.15</f>
        <v>0.15</v>
      </c>
      <c r="I4" s="123" t="s">
        <v>498</v>
      </c>
    </row>
    <row r="5" spans="1:10" s="7" customFormat="1" ht="30">
      <c r="A5" s="130" t="s">
        <v>585</v>
      </c>
      <c r="B5" s="131">
        <f t="shared" ref="B5:E5" si="0">IF(0&lt;(B4-B3),B4*(1+$H$5),B3)</f>
        <v>25057997.339412127</v>
      </c>
      <c r="C5" s="131">
        <f t="shared" si="0"/>
        <v>26004350.48951694</v>
      </c>
      <c r="D5" s="131">
        <f t="shared" si="0"/>
        <v>27159149.027396057</v>
      </c>
      <c r="E5" s="131">
        <f t="shared" si="0"/>
        <v>28428814.387858454</v>
      </c>
      <c r="F5" s="123" t="s">
        <v>586</v>
      </c>
      <c r="H5" s="122">
        <f>0.07</f>
        <v>7.0000000000000007E-2</v>
      </c>
      <c r="I5" s="123" t="s">
        <v>499</v>
      </c>
    </row>
    <row r="6" spans="1:10" s="7" customFormat="1">
      <c r="A6" s="130" t="s">
        <v>500</v>
      </c>
      <c r="B6" s="131">
        <v>0</v>
      </c>
      <c r="C6" s="131">
        <v>0</v>
      </c>
      <c r="D6" s="131">
        <v>0</v>
      </c>
      <c r="E6" s="131">
        <v>0</v>
      </c>
      <c r="F6" s="133" t="s">
        <v>515</v>
      </c>
      <c r="H6" s="124">
        <v>0.05</v>
      </c>
      <c r="I6" s="123" t="s">
        <v>516</v>
      </c>
    </row>
    <row r="7" spans="1:10" s="7" customFormat="1">
      <c r="A7" s="130" t="s">
        <v>501</v>
      </c>
      <c r="B7" s="131">
        <v>3390120</v>
      </c>
      <c r="C7" s="131">
        <v>3399408</v>
      </c>
      <c r="D7" s="131">
        <v>3390120</v>
      </c>
      <c r="E7" s="131">
        <v>3390120</v>
      </c>
      <c r="F7" s="123" t="s">
        <v>564</v>
      </c>
      <c r="I7" s="12"/>
    </row>
    <row r="8" spans="1:10" s="7" customFormat="1" ht="30">
      <c r="A8" s="130" t="s">
        <v>502</v>
      </c>
      <c r="B8" s="131">
        <v>484419</v>
      </c>
      <c r="C8" s="131">
        <v>483166</v>
      </c>
      <c r="D8" s="131">
        <v>497638</v>
      </c>
      <c r="E8" s="131">
        <v>374694</v>
      </c>
      <c r="F8" s="123" t="s">
        <v>564</v>
      </c>
      <c r="H8" s="135">
        <f>SUMIFS('Form 1.5a (CEC 2025a)'!U:U, 'Form 1.5a (CEC 2025a)'!$B:$B, "LADWP")</f>
        <v>3.2967883933616049E-2</v>
      </c>
      <c r="I8" s="123" t="s">
        <v>579</v>
      </c>
    </row>
    <row r="9" spans="1:10" s="7" customFormat="1" ht="75">
      <c r="A9" s="130" t="s">
        <v>503</v>
      </c>
      <c r="B9" s="203">
        <v>0.39</v>
      </c>
      <c r="C9" s="203">
        <v>0.41</v>
      </c>
      <c r="D9" s="203">
        <v>0.43</v>
      </c>
      <c r="E9" s="203">
        <v>0.45</v>
      </c>
      <c r="F9" s="123" t="s">
        <v>690</v>
      </c>
      <c r="H9" s="16"/>
      <c r="I9" s="2"/>
    </row>
    <row r="10" spans="1:10" s="7" customFormat="1">
      <c r="A10" s="130" t="s">
        <v>504</v>
      </c>
      <c r="B10" s="131">
        <f t="shared" ref="B10:E10" si="1">B4*B9</f>
        <v>8610236.9712517448</v>
      </c>
      <c r="C10" s="131">
        <f t="shared" si="1"/>
        <v>9393642.027050171</v>
      </c>
      <c r="D10" s="131">
        <f t="shared" si="1"/>
        <v>10289369.235048726</v>
      </c>
      <c r="E10" s="131">
        <f t="shared" si="1"/>
        <v>11271336.100913042</v>
      </c>
      <c r="F10" s="123" t="s">
        <v>587</v>
      </c>
      <c r="I10" s="12"/>
    </row>
    <row r="11" spans="1:10" s="7" customFormat="1" ht="30">
      <c r="A11" s="130" t="s">
        <v>505</v>
      </c>
      <c r="B11" s="131">
        <f t="shared" ref="B11:E11" si="2">MAX(B5-SUM(B6:B8,B10), B5*$H$6)</f>
        <v>12573221.368160382</v>
      </c>
      <c r="C11" s="131">
        <f t="shared" si="2"/>
        <v>12728134.462466769</v>
      </c>
      <c r="D11" s="131">
        <f t="shared" si="2"/>
        <v>12982021.792347331</v>
      </c>
      <c r="E11" s="131">
        <f t="shared" si="2"/>
        <v>13392664.286945412</v>
      </c>
      <c r="F11" s="123" t="s">
        <v>589</v>
      </c>
      <c r="J11" s="115"/>
    </row>
    <row r="12" spans="1:10" s="7" customFormat="1" ht="46.5">
      <c r="A12" s="130" t="s">
        <v>507</v>
      </c>
      <c r="B12" s="131">
        <f>B6*$H$3+B11*$H$2</f>
        <v>5474380.5836970303</v>
      </c>
      <c r="C12" s="131">
        <f>C6*$H$3+C11*$H$2</f>
        <v>5541829.744958031</v>
      </c>
      <c r="D12" s="131">
        <f>D6*$H$3+D11*$H$2</f>
        <v>5652372.2883880278</v>
      </c>
      <c r="E12" s="131">
        <f>E6*$H$3+E11*$H$2</f>
        <v>5831166.0305360323</v>
      </c>
      <c r="F12" s="136" t="s">
        <v>508</v>
      </c>
      <c r="J12" s="115"/>
    </row>
    <row r="13" spans="1:10" s="7" customFormat="1" ht="90">
      <c r="A13" s="130"/>
      <c r="B13" s="227" t="s">
        <v>557</v>
      </c>
      <c r="C13" s="227"/>
      <c r="D13" s="228"/>
      <c r="E13" s="142">
        <v>528075.9273333333</v>
      </c>
      <c r="F13" s="136" t="s">
        <v>686</v>
      </c>
    </row>
    <row r="14" spans="1:10" s="7" customFormat="1" ht="33">
      <c r="A14" s="130" t="s">
        <v>509</v>
      </c>
      <c r="B14" s="193">
        <f t="shared" ref="B14:E14" si="3">B12/B5</f>
        <v>0.21846839991026443</v>
      </c>
      <c r="C14" s="193">
        <f t="shared" si="3"/>
        <v>0.21311163865415877</v>
      </c>
      <c r="D14" s="193">
        <f t="shared" si="3"/>
        <v>0.20812037529918004</v>
      </c>
      <c r="E14" s="193">
        <f t="shared" si="3"/>
        <v>0.20511464006133301</v>
      </c>
      <c r="F14" s="123" t="s">
        <v>588</v>
      </c>
      <c r="H14"/>
      <c r="I14"/>
    </row>
    <row r="15" spans="1:10" s="7" customFormat="1" ht="33.75" thickBot="1">
      <c r="A15" s="130" t="s">
        <v>511</v>
      </c>
      <c r="B15" s="138">
        <f>$E$13*B14</f>
        <v>115367.90287564239</v>
      </c>
      <c r="C15" s="138">
        <f>$E$13*C14</f>
        <v>112539.12620782113</v>
      </c>
      <c r="D15" s="138">
        <f>$E$13*D14</f>
        <v>109903.36018307586</v>
      </c>
      <c r="E15" s="138">
        <f>$E$13*E14</f>
        <v>108316.1037600313</v>
      </c>
      <c r="F15" s="123" t="s">
        <v>518</v>
      </c>
      <c r="H15"/>
      <c r="I15"/>
    </row>
    <row r="16" spans="1:10" ht="30.75" thickBot="1">
      <c r="A16" s="20" t="s">
        <v>513</v>
      </c>
      <c r="B16" s="8">
        <f>B12-B15</f>
        <v>5359012.680821388</v>
      </c>
      <c r="C16" s="8">
        <f>C12-C15</f>
        <v>5429290.6187502099</v>
      </c>
      <c r="D16" s="8">
        <f>D12-D15</f>
        <v>5542468.9282049518</v>
      </c>
      <c r="E16" s="8">
        <f>E12-E15</f>
        <v>5722849.9267760012</v>
      </c>
      <c r="F16" s="10" t="s">
        <v>514</v>
      </c>
    </row>
    <row r="17" spans="1:9" ht="15.7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7A4EA-5A22-4A34-BA09-4C5C3619FF82}">
  <sheetPr codeName="Sheet62"/>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42</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129000</v>
      </c>
      <c r="C3" s="134">
        <v>130000</v>
      </c>
      <c r="D3" s="134">
        <v>131000</v>
      </c>
      <c r="E3" s="134">
        <v>132000</v>
      </c>
      <c r="F3" s="123" t="s">
        <v>566</v>
      </c>
      <c r="H3" s="132">
        <v>0.95946199709706936</v>
      </c>
      <c r="I3" s="123" t="s">
        <v>676</v>
      </c>
    </row>
    <row r="4" spans="1:12" s="7" customFormat="1">
      <c r="A4" s="130" t="s">
        <v>217</v>
      </c>
      <c r="B4" s="131">
        <f>SUMIFS('Form 1.1c (CEC 2025a)'!G:G, 'Form 1.1c (CEC 2025a)'!$B:$B, "Lassen Municipal Utility District")*1000</f>
        <v>131269.30505001274</v>
      </c>
      <c r="C4" s="131">
        <f>SUMIFS('Form 1.1c (CEC 2025a)'!H:H, 'Form 1.1c (CEC 2025a)'!$B:$B, "Lassen Municipal Utility District")*1000</f>
        <v>135228.58813871362</v>
      </c>
      <c r="D4" s="131">
        <f>SUMIFS('Form 1.1c (CEC 2025a)'!I:I, 'Form 1.1c (CEC 2025a)'!$B:$B, "Lassen Municipal Utility District")*1000</f>
        <v>140044.68887402036</v>
      </c>
      <c r="E4" s="131">
        <f>SUMIFS('Form 1.1c (CEC 2025a)'!J:J, 'Form 1.1c (CEC 2025a)'!$B:$B, "Lassen Municipal Utility District")*1000</f>
        <v>145261.97928715256</v>
      </c>
      <c r="F4" s="123" t="s">
        <v>575</v>
      </c>
      <c r="H4" s="122">
        <f>0.15</f>
        <v>0.15</v>
      </c>
      <c r="I4" s="123" t="s">
        <v>498</v>
      </c>
    </row>
    <row r="5" spans="1:12" s="7" customFormat="1" ht="30">
      <c r="A5" s="130" t="s">
        <v>585</v>
      </c>
      <c r="B5" s="131">
        <f t="shared" ref="B5:E5" si="0">IF(0&lt;(B4-B3),B4*(1+$H$5),B3)</f>
        <v>140458.15640351365</v>
      </c>
      <c r="C5" s="131">
        <f t="shared" si="0"/>
        <v>144694.58930842357</v>
      </c>
      <c r="D5" s="131">
        <f t="shared" si="0"/>
        <v>149847.81709520178</v>
      </c>
      <c r="E5" s="131">
        <f t="shared" si="0"/>
        <v>155430.31783725324</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4">
        <v>7000</v>
      </c>
      <c r="C8" s="134">
        <v>7000</v>
      </c>
      <c r="D8" s="134">
        <v>7000</v>
      </c>
      <c r="E8" s="134">
        <v>7000</v>
      </c>
      <c r="F8" s="123" t="s">
        <v>564</v>
      </c>
      <c r="H8" s="135">
        <f>SUMIFS('Form 1.5a (CEC 2025a)'!U:U, 'Form 1.5a (CEC 2025a)'!$B:$B, "Other NP15 LSEs - Non Bay Area")</f>
        <v>3.0946625287634033E-2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51195.028969504972</v>
      </c>
      <c r="C10" s="131">
        <f t="shared" si="1"/>
        <v>55443.721136872577</v>
      </c>
      <c r="D10" s="131">
        <f t="shared" si="1"/>
        <v>60219.216215828754</v>
      </c>
      <c r="E10" s="131">
        <f t="shared" si="1"/>
        <v>65367.890679218654</v>
      </c>
      <c r="F10" s="123" t="s">
        <v>587</v>
      </c>
    </row>
    <row r="11" spans="1:12" s="7" customFormat="1" ht="30">
      <c r="A11" s="130" t="s">
        <v>505</v>
      </c>
      <c r="B11" s="131">
        <f t="shared" ref="B11:E11" si="2">MAX(B5-SUM(B6:B8,B10), B5*$H$6)</f>
        <v>82263.127434008682</v>
      </c>
      <c r="C11" s="131">
        <f t="shared" si="2"/>
        <v>82250.868171551003</v>
      </c>
      <c r="D11" s="131">
        <f t="shared" si="2"/>
        <v>82628.600879373029</v>
      </c>
      <c r="E11" s="131">
        <f t="shared" si="2"/>
        <v>83062.427158034581</v>
      </c>
      <c r="F11" s="123" t="s">
        <v>589</v>
      </c>
    </row>
    <row r="12" spans="1:12" s="7" customFormat="1" ht="46.5">
      <c r="A12" s="130" t="s">
        <v>507</v>
      </c>
      <c r="B12" s="131">
        <f>B6*$H$3+B11*$H$2</f>
        <v>35817.365684767377</v>
      </c>
      <c r="C12" s="131">
        <f>C6*$H$3+C11*$H$2</f>
        <v>35812.028001893304</v>
      </c>
      <c r="D12" s="131">
        <f>D6*$H$3+D11*$H$2</f>
        <v>35976.492822879016</v>
      </c>
      <c r="E12" s="131">
        <f>E6*$H$3+E11*$H$2</f>
        <v>36165.380784608256</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0.25500381467253391</v>
      </c>
      <c r="C14" s="193">
        <f t="shared" si="3"/>
        <v>0.24750080962293775</v>
      </c>
      <c r="D14" s="193">
        <f t="shared" si="3"/>
        <v>0.24008686626393977</v>
      </c>
      <c r="E14" s="193">
        <f t="shared" si="3"/>
        <v>0.23267906344035158</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35817.365684767377</v>
      </c>
      <c r="C16" s="8">
        <f>C12-C15</f>
        <v>35812.028001893304</v>
      </c>
      <c r="D16" s="8">
        <f>D12-D15</f>
        <v>35976.492822879016</v>
      </c>
      <c r="E16" s="8">
        <f>E12-E15</f>
        <v>36165.380784608256</v>
      </c>
      <c r="F16" s="10" t="s">
        <v>514</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3E4FB-283F-405A-AA57-A3AC02EC36D4}">
  <dimension ref="A1:L23"/>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679</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45">
      <c r="A3" s="130" t="s">
        <v>584</v>
      </c>
      <c r="B3" s="134">
        <v>35000</v>
      </c>
      <c r="C3" s="134">
        <f>B3*(1+$H$8)</f>
        <v>36249.204489353047</v>
      </c>
      <c r="D3" s="134">
        <f t="shared" ref="D3:E3" si="0">C3*(1+$H$8)</f>
        <v>37542.995031740946</v>
      </c>
      <c r="E3" s="134">
        <f t="shared" si="0"/>
        <v>38882.962972809801</v>
      </c>
      <c r="F3" s="123" t="s">
        <v>691</v>
      </c>
      <c r="H3" s="132">
        <v>0.95946199709706936</v>
      </c>
      <c r="I3" s="123" t="s">
        <v>676</v>
      </c>
    </row>
    <row r="4" spans="1:12" s="7" customFormat="1" ht="30">
      <c r="A4" s="130" t="s">
        <v>217</v>
      </c>
      <c r="B4" s="131">
        <v>31542.357642273022</v>
      </c>
      <c r="C4" s="131">
        <v>32668.153492887501</v>
      </c>
      <c r="D4" s="131">
        <v>33834.130750092911</v>
      </c>
      <c r="E4" s="131">
        <v>35041.723550846451</v>
      </c>
      <c r="F4" s="136" t="s">
        <v>692</v>
      </c>
      <c r="H4" s="122">
        <f>0.15</f>
        <v>0.15</v>
      </c>
      <c r="I4" s="123" t="s">
        <v>498</v>
      </c>
    </row>
    <row r="5" spans="1:12" s="7" customFormat="1" ht="45">
      <c r="A5" s="130" t="s">
        <v>585</v>
      </c>
      <c r="B5" s="131">
        <f>IF(0&lt;(B4-B3),B4*(1+$H$5),B3)</f>
        <v>35000</v>
      </c>
      <c r="C5" s="131">
        <f t="shared" ref="C5:E5" si="1">IF(0&lt;(C4-C3),C4*(1+$H$5),C3)</f>
        <v>36249.204489353047</v>
      </c>
      <c r="D5" s="131">
        <f t="shared" si="1"/>
        <v>37542.995031740946</v>
      </c>
      <c r="E5" s="131">
        <f t="shared" si="1"/>
        <v>38882.962972809801</v>
      </c>
      <c r="F5" s="123" t="s">
        <v>680</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4"/>
      <c r="C8" s="134"/>
      <c r="D8" s="134"/>
      <c r="E8" s="134"/>
      <c r="F8" s="133" t="s">
        <v>527</v>
      </c>
      <c r="H8" s="135">
        <f>SUMIFS('Form 1.1c (CEC 2025a)'!U:U, 'Form 1.1c (CEC 2025a)'!$B:$B, "Lathrop Irrigation District")</f>
        <v>3.5691556838658434E-2</v>
      </c>
      <c r="I8" s="123" t="s">
        <v>580</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2">B4*B9</f>
        <v>12301.519480486479</v>
      </c>
      <c r="C10" s="131">
        <f t="shared" si="2"/>
        <v>13393.942932083875</v>
      </c>
      <c r="D10" s="131">
        <f t="shared" si="2"/>
        <v>14548.676222539951</v>
      </c>
      <c r="E10" s="131">
        <f t="shared" si="2"/>
        <v>15768.775597880904</v>
      </c>
      <c r="F10" s="123" t="s">
        <v>587</v>
      </c>
    </row>
    <row r="11" spans="1:12" s="7" customFormat="1" ht="30">
      <c r="A11" s="130" t="s">
        <v>505</v>
      </c>
      <c r="B11" s="131">
        <f t="shared" ref="B11:E11" si="3">MAX(B5-SUM(B6:B8,B10), B5*$H$6)</f>
        <v>22698.48051951352</v>
      </c>
      <c r="C11" s="131">
        <f t="shared" si="3"/>
        <v>22855.261557269172</v>
      </c>
      <c r="D11" s="131">
        <f t="shared" si="3"/>
        <v>22994.318809200995</v>
      </c>
      <c r="E11" s="131">
        <f t="shared" si="3"/>
        <v>23114.187374928897</v>
      </c>
      <c r="F11" s="123" t="s">
        <v>589</v>
      </c>
    </row>
    <row r="12" spans="1:12" s="7" customFormat="1" ht="46.5">
      <c r="A12" s="130" t="s">
        <v>507</v>
      </c>
      <c r="B12" s="131">
        <f>B6*$H$3+B11*$H$2</f>
        <v>9882.9184181961864</v>
      </c>
      <c r="C12" s="131">
        <f>C6*$H$3+C11*$H$2</f>
        <v>9951.1808820349979</v>
      </c>
      <c r="D12" s="131">
        <f>D6*$H$3+D11*$H$2</f>
        <v>10011.726409526113</v>
      </c>
      <c r="E12" s="131">
        <f>E6*$H$3+E11*$H$2</f>
        <v>10063.917183044043</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4">B12/B5</f>
        <v>0.2823690976627482</v>
      </c>
      <c r="C14" s="193">
        <f t="shared" si="4"/>
        <v>0.27452135908135072</v>
      </c>
      <c r="D14" s="193">
        <f t="shared" si="4"/>
        <v>0.26667362049995319</v>
      </c>
      <c r="E14" s="193">
        <f t="shared" si="4"/>
        <v>0.25882588191855571</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9882.9184181961864</v>
      </c>
      <c r="C16" s="8">
        <f>C12-C15</f>
        <v>9951.1808820349979</v>
      </c>
      <c r="D16" s="8">
        <f>D12-D15</f>
        <v>10011.726409526113</v>
      </c>
      <c r="E16" s="8">
        <f>E12-E15</f>
        <v>10063.917183044043</v>
      </c>
      <c r="F16" s="10" t="s">
        <v>514</v>
      </c>
      <c r="J16" s="7"/>
      <c r="K16" s="7"/>
      <c r="L16" s="7"/>
    </row>
    <row r="17" spans="1:12">
      <c r="A17" s="9"/>
      <c r="B17" s="9"/>
      <c r="C17" s="9"/>
      <c r="D17" s="9"/>
      <c r="E17" s="9"/>
      <c r="J17" s="7"/>
      <c r="K17" s="7"/>
      <c r="L17" s="7"/>
    </row>
    <row r="18" spans="1:12">
      <c r="A18" s="9"/>
      <c r="B18" s="9"/>
      <c r="C18" s="9"/>
      <c r="D18" s="9"/>
      <c r="E18" s="9"/>
    </row>
    <row r="19" spans="1:12">
      <c r="B19" s="84"/>
    </row>
    <row r="20" spans="1:12">
      <c r="B20" s="84"/>
    </row>
    <row r="21" spans="1:12">
      <c r="B21" s="189"/>
    </row>
    <row r="23" spans="1:12">
      <c r="B23" s="199"/>
      <c r="C23" s="199"/>
      <c r="D23" s="199"/>
      <c r="E23" s="199"/>
      <c r="F23" s="199"/>
      <c r="G23" s="199"/>
      <c r="H23" s="199"/>
      <c r="I23" s="199"/>
    </row>
  </sheetData>
  <mergeCells count="3">
    <mergeCell ref="B1:F1"/>
    <mergeCell ref="H1:I1"/>
    <mergeCell ref="B13:D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D29B5-5378-4B46-9382-5E838C62E045}">
  <sheetPr codeName="Sheet15">
    <pageSetUpPr fitToPage="1"/>
  </sheetPr>
  <dimension ref="A1:U120"/>
  <sheetViews>
    <sheetView zoomScaleNormal="100" workbookViewId="0">
      <selection sqref="A1:U1"/>
    </sheetView>
  </sheetViews>
  <sheetFormatPr defaultRowHeight="15"/>
  <cols>
    <col min="1" max="1" width="23" customWidth="1"/>
    <col min="2" max="2" width="49.5703125" customWidth="1"/>
    <col min="3" max="14" width="10.7109375" customWidth="1"/>
    <col min="15" max="16" width="9.5703125" bestFit="1" customWidth="1"/>
    <col min="17" max="20" width="9.7109375" bestFit="1" customWidth="1"/>
    <col min="21" max="21" width="12.5703125" customWidth="1"/>
  </cols>
  <sheetData>
    <row r="1" spans="1:21" ht="18.75" customHeight="1">
      <c r="A1" s="208" t="s">
        <v>127</v>
      </c>
      <c r="B1" s="208"/>
      <c r="C1" s="208"/>
      <c r="D1" s="208"/>
      <c r="E1" s="208"/>
      <c r="F1" s="208"/>
      <c r="G1" s="208"/>
      <c r="H1" s="208"/>
      <c r="I1" s="208"/>
      <c r="J1" s="208"/>
      <c r="K1" s="208"/>
      <c r="L1" s="208"/>
      <c r="M1" s="208"/>
      <c r="N1" s="208"/>
      <c r="O1" s="208"/>
      <c r="P1" s="208"/>
      <c r="Q1" s="208"/>
      <c r="R1" s="208"/>
      <c r="S1" s="208"/>
      <c r="T1" s="208"/>
      <c r="U1" s="208"/>
    </row>
    <row r="2" spans="1:21" ht="15.75" customHeight="1">
      <c r="A2" s="209" t="s">
        <v>593</v>
      </c>
      <c r="B2" s="209"/>
      <c r="C2" s="209"/>
      <c r="D2" s="209"/>
      <c r="E2" s="209"/>
      <c r="F2" s="209"/>
      <c r="G2" s="209"/>
      <c r="H2" s="209"/>
      <c r="I2" s="209"/>
      <c r="J2" s="209"/>
      <c r="K2" s="209"/>
      <c r="L2" s="209"/>
      <c r="M2" s="209"/>
      <c r="N2" s="209"/>
      <c r="O2" s="209"/>
      <c r="P2" s="209"/>
      <c r="Q2" s="209"/>
      <c r="R2" s="209"/>
      <c r="S2" s="209"/>
      <c r="T2" s="209"/>
      <c r="U2" s="209"/>
    </row>
    <row r="3" spans="1:21" ht="15.75" customHeight="1">
      <c r="A3" s="209" t="s">
        <v>128</v>
      </c>
      <c r="B3" s="209"/>
      <c r="C3" s="209"/>
      <c r="D3" s="209"/>
      <c r="E3" s="209"/>
      <c r="F3" s="209"/>
      <c r="G3" s="209"/>
      <c r="H3" s="209"/>
      <c r="I3" s="209"/>
      <c r="J3" s="209"/>
      <c r="K3" s="209"/>
      <c r="L3" s="209"/>
      <c r="M3" s="209"/>
      <c r="N3" s="209"/>
      <c r="O3" s="209"/>
      <c r="P3" s="209"/>
      <c r="Q3" s="209"/>
      <c r="R3" s="209"/>
      <c r="S3" s="209"/>
      <c r="T3" s="209"/>
      <c r="U3" s="209"/>
    </row>
    <row r="5" spans="1:21" ht="60.75" thickBot="1">
      <c r="A5" s="22" t="s">
        <v>129</v>
      </c>
      <c r="B5" s="22" t="s">
        <v>71</v>
      </c>
      <c r="C5" s="22">
        <v>2023</v>
      </c>
      <c r="D5" s="22">
        <v>2024</v>
      </c>
      <c r="E5" s="22">
        <v>2025</v>
      </c>
      <c r="F5" s="22">
        <v>2026</v>
      </c>
      <c r="G5" s="22">
        <v>2027</v>
      </c>
      <c r="H5" s="22">
        <v>2028</v>
      </c>
      <c r="I5" s="22">
        <v>2029</v>
      </c>
      <c r="J5" s="22">
        <v>2030</v>
      </c>
      <c r="K5" s="22">
        <v>2031</v>
      </c>
      <c r="L5" s="22">
        <v>2032</v>
      </c>
      <c r="M5" s="22">
        <v>2033</v>
      </c>
      <c r="N5" s="22">
        <v>2034</v>
      </c>
      <c r="O5" s="22">
        <v>2035</v>
      </c>
      <c r="P5" s="22">
        <v>2036</v>
      </c>
      <c r="Q5" s="22">
        <v>2037</v>
      </c>
      <c r="R5" s="22">
        <v>2038</v>
      </c>
      <c r="S5" s="22">
        <v>2039</v>
      </c>
      <c r="T5" s="22">
        <v>2040</v>
      </c>
      <c r="U5" s="22" t="s">
        <v>571</v>
      </c>
    </row>
    <row r="6" spans="1:21" ht="15" customHeight="1" thickTop="1">
      <c r="A6" s="212" t="s">
        <v>124</v>
      </c>
      <c r="B6" s="63" t="s">
        <v>130</v>
      </c>
      <c r="C6" s="25">
        <v>26447.081629773533</v>
      </c>
      <c r="D6" s="25">
        <v>26549.813288093137</v>
      </c>
      <c r="E6" s="25">
        <v>25162.652485914725</v>
      </c>
      <c r="F6" s="25">
        <v>25144.443606284476</v>
      </c>
      <c r="G6" s="25">
        <v>26395.675220612437</v>
      </c>
      <c r="H6" s="25">
        <v>29624.032858496241</v>
      </c>
      <c r="I6" s="25">
        <v>32908.9116494021</v>
      </c>
      <c r="J6" s="25">
        <v>36365.058796307785</v>
      </c>
      <c r="K6" s="25">
        <v>38998.397850320864</v>
      </c>
      <c r="L6" s="25">
        <v>40055.48548852175</v>
      </c>
      <c r="M6" s="25">
        <v>42176.449324891058</v>
      </c>
      <c r="N6" s="25">
        <v>43726.713602788077</v>
      </c>
      <c r="O6" s="25">
        <v>45239.784765371238</v>
      </c>
      <c r="P6" s="25">
        <v>46456.606583283123</v>
      </c>
      <c r="Q6" s="25">
        <v>47580.150903016634</v>
      </c>
      <c r="R6" s="25">
        <v>48569.970849607373</v>
      </c>
      <c r="S6" s="25">
        <v>49535.905720947936</v>
      </c>
      <c r="T6" s="25">
        <v>50391.947441552576</v>
      </c>
      <c r="U6" s="24">
        <v>4.0863380318334919E-2</v>
      </c>
    </row>
    <row r="7" spans="1:21" ht="14.65" customHeight="1">
      <c r="A7" s="213"/>
      <c r="B7" s="63" t="s">
        <v>131</v>
      </c>
      <c r="C7" s="25">
        <v>11118.105745119998</v>
      </c>
      <c r="D7" s="25">
        <v>11393</v>
      </c>
      <c r="E7" s="25">
        <v>11393</v>
      </c>
      <c r="F7" s="25">
        <v>11393</v>
      </c>
      <c r="G7" s="25">
        <v>11393</v>
      </c>
      <c r="H7" s="25">
        <v>11393</v>
      </c>
      <c r="I7" s="25">
        <v>11393</v>
      </c>
      <c r="J7" s="25">
        <v>11393</v>
      </c>
      <c r="K7" s="25">
        <v>11393</v>
      </c>
      <c r="L7" s="25">
        <v>11393</v>
      </c>
      <c r="M7" s="25">
        <v>11393</v>
      </c>
      <c r="N7" s="25">
        <v>11393</v>
      </c>
      <c r="O7" s="25">
        <v>11393</v>
      </c>
      <c r="P7" s="25">
        <v>11393</v>
      </c>
      <c r="Q7" s="25">
        <v>11393</v>
      </c>
      <c r="R7" s="25">
        <v>11393</v>
      </c>
      <c r="S7" s="25">
        <v>11393</v>
      </c>
      <c r="T7" s="25">
        <v>11393</v>
      </c>
      <c r="U7" s="24">
        <v>0</v>
      </c>
    </row>
    <row r="8" spans="1:21" ht="14.65" customHeight="1">
      <c r="A8" s="213"/>
      <c r="B8" s="63" t="s">
        <v>132</v>
      </c>
      <c r="C8" s="25">
        <v>372</v>
      </c>
      <c r="D8" s="25">
        <v>372</v>
      </c>
      <c r="E8" s="25">
        <v>372</v>
      </c>
      <c r="F8" s="25">
        <v>372</v>
      </c>
      <c r="G8" s="25">
        <v>372</v>
      </c>
      <c r="H8" s="25">
        <v>372</v>
      </c>
      <c r="I8" s="25">
        <v>372</v>
      </c>
      <c r="J8" s="25">
        <v>372</v>
      </c>
      <c r="K8" s="25">
        <v>372</v>
      </c>
      <c r="L8" s="25">
        <v>372</v>
      </c>
      <c r="M8" s="25">
        <v>372</v>
      </c>
      <c r="N8" s="25">
        <v>372</v>
      </c>
      <c r="O8" s="25">
        <v>372</v>
      </c>
      <c r="P8" s="25">
        <v>372</v>
      </c>
      <c r="Q8" s="25">
        <v>372</v>
      </c>
      <c r="R8" s="25">
        <v>372</v>
      </c>
      <c r="S8" s="25">
        <v>372</v>
      </c>
      <c r="T8" s="25">
        <v>372</v>
      </c>
      <c r="U8" s="24">
        <v>0</v>
      </c>
    </row>
    <row r="9" spans="1:21" ht="14.65" customHeight="1">
      <c r="A9" s="213"/>
      <c r="B9" s="63" t="s">
        <v>133</v>
      </c>
      <c r="C9" s="25">
        <v>4076.2841600000002</v>
      </c>
      <c r="D9" s="25">
        <v>4510.7706500000022</v>
      </c>
      <c r="E9" s="25">
        <v>5120.5960000000014</v>
      </c>
      <c r="F9" s="25">
        <v>5265.2790158888038</v>
      </c>
      <c r="G9" s="25">
        <v>5473.0957011691444</v>
      </c>
      <c r="H9" s="25">
        <v>5709.618651224413</v>
      </c>
      <c r="I9" s="25">
        <v>5983.0851272870614</v>
      </c>
      <c r="J9" s="25">
        <v>6290.4081595512325</v>
      </c>
      <c r="K9" s="25">
        <v>6601.6916736009171</v>
      </c>
      <c r="L9" s="25">
        <v>6934.7842899296902</v>
      </c>
      <c r="M9" s="25">
        <v>7302.8236082042204</v>
      </c>
      <c r="N9" s="25">
        <v>7698.7024409800833</v>
      </c>
      <c r="O9" s="25">
        <v>8105.6060521070385</v>
      </c>
      <c r="P9" s="25">
        <v>8438.1586269307536</v>
      </c>
      <c r="Q9" s="25">
        <v>8744.1332043131442</v>
      </c>
      <c r="R9" s="25">
        <v>9023.5965480530194</v>
      </c>
      <c r="S9" s="25">
        <v>9279.358033804845</v>
      </c>
      <c r="T9" s="25">
        <v>9521.6478072527789</v>
      </c>
      <c r="U9" s="24">
        <v>4.7801064840523821E-2</v>
      </c>
    </row>
    <row r="10" spans="1:21" ht="14.65" customHeight="1">
      <c r="A10" s="213"/>
      <c r="B10" s="63" t="s">
        <v>134</v>
      </c>
      <c r="C10" s="25">
        <v>2939.56572581</v>
      </c>
      <c r="D10" s="25">
        <v>3185.3</v>
      </c>
      <c r="E10" s="25">
        <v>3196.2591711010791</v>
      </c>
      <c r="F10" s="25">
        <v>3394.4424873075773</v>
      </c>
      <c r="G10" s="25">
        <v>3534.0935144787745</v>
      </c>
      <c r="H10" s="25">
        <v>3770.9991798234714</v>
      </c>
      <c r="I10" s="25">
        <v>3966.83966997056</v>
      </c>
      <c r="J10" s="25">
        <v>4175.3851829611895</v>
      </c>
      <c r="K10" s="25">
        <v>4363.6380031148301</v>
      </c>
      <c r="L10" s="25">
        <v>4574.2933184002704</v>
      </c>
      <c r="M10" s="25">
        <v>4792.1779142863516</v>
      </c>
      <c r="N10" s="25">
        <v>5020.0072510515101</v>
      </c>
      <c r="O10" s="25">
        <v>5248.3440735271824</v>
      </c>
      <c r="P10" s="25">
        <v>5430.8722661245783</v>
      </c>
      <c r="Q10" s="25">
        <v>5594.7533523235252</v>
      </c>
      <c r="R10" s="25">
        <v>5740.3528492139221</v>
      </c>
      <c r="S10" s="25">
        <v>5872.4718197294105</v>
      </c>
      <c r="T10" s="25">
        <v>5991.4958837948261</v>
      </c>
      <c r="U10" s="24">
        <v>4.0277146518409079E-2</v>
      </c>
    </row>
    <row r="11" spans="1:21" ht="14.65" customHeight="1">
      <c r="A11" s="213"/>
      <c r="B11" s="63" t="s">
        <v>135</v>
      </c>
      <c r="C11" s="25">
        <v>6518.2361970000002</v>
      </c>
      <c r="D11" s="25">
        <v>6609.8035289999998</v>
      </c>
      <c r="E11" s="25">
        <v>7958.7858955516149</v>
      </c>
      <c r="F11" s="25">
        <v>9431.9790857332609</v>
      </c>
      <c r="G11" s="25">
        <v>9911.2018682905709</v>
      </c>
      <c r="H11" s="25">
        <v>12277.20755323089</v>
      </c>
      <c r="I11" s="25">
        <v>12916.886640998982</v>
      </c>
      <c r="J11" s="25">
        <v>13933.515649691499</v>
      </c>
      <c r="K11" s="25">
        <v>15117.887566702906</v>
      </c>
      <c r="L11" s="25">
        <v>16061.194052541452</v>
      </c>
      <c r="M11" s="25">
        <v>16628.780511830795</v>
      </c>
      <c r="N11" s="25">
        <v>17289.210089569617</v>
      </c>
      <c r="O11" s="25">
        <v>17935.082991974276</v>
      </c>
      <c r="P11" s="25">
        <v>18462.727168242152</v>
      </c>
      <c r="Q11" s="25">
        <v>18866.806695728439</v>
      </c>
      <c r="R11" s="25">
        <v>19209.43535259939</v>
      </c>
      <c r="S11" s="25">
        <v>19523.681728141459</v>
      </c>
      <c r="T11" s="25">
        <v>19806.03756802631</v>
      </c>
      <c r="U11" s="24">
        <v>7.099653433823172E-2</v>
      </c>
    </row>
    <row r="12" spans="1:21" ht="14.65" customHeight="1">
      <c r="A12" s="213"/>
      <c r="B12" s="63" t="s">
        <v>136</v>
      </c>
      <c r="C12" s="25">
        <v>35.659897799999996</v>
      </c>
      <c r="D12" s="25">
        <v>35.560332671816255</v>
      </c>
      <c r="E12" s="25">
        <v>35.461030000000008</v>
      </c>
      <c r="F12" s="25">
        <v>36.22770555853414</v>
      </c>
      <c r="G12" s="25">
        <v>37.399868189993441</v>
      </c>
      <c r="H12" s="25">
        <v>38.826313167852838</v>
      </c>
      <c r="I12" s="25">
        <v>40.549033357406529</v>
      </c>
      <c r="J12" s="25">
        <v>42.426733272584215</v>
      </c>
      <c r="K12" s="25">
        <v>44.323084139204056</v>
      </c>
      <c r="L12" s="25">
        <v>46.334571446555202</v>
      </c>
      <c r="M12" s="25">
        <v>48.493235248364492</v>
      </c>
      <c r="N12" s="25">
        <v>50.8243760146187</v>
      </c>
      <c r="O12" s="25">
        <v>53.165997284807219</v>
      </c>
      <c r="P12" s="25">
        <v>55.034929006835924</v>
      </c>
      <c r="Q12" s="25">
        <v>56.704019801385158</v>
      </c>
      <c r="R12" s="25">
        <v>58.209233107745185</v>
      </c>
      <c r="S12" s="25">
        <v>59.569988948256679</v>
      </c>
      <c r="T12" s="25">
        <v>60.820897961974424</v>
      </c>
      <c r="U12" s="24">
        <v>3.4112858417166159E-2</v>
      </c>
    </row>
    <row r="13" spans="1:21" ht="14.65" customHeight="1">
      <c r="A13" s="213"/>
      <c r="B13" s="63" t="s">
        <v>137</v>
      </c>
      <c r="C13" s="25">
        <v>5383.8934631100001</v>
      </c>
      <c r="D13" s="25">
        <v>5624.0599999999995</v>
      </c>
      <c r="E13" s="25">
        <v>5780.3978813303247</v>
      </c>
      <c r="F13" s="25">
        <v>5965.7125749442694</v>
      </c>
      <c r="G13" s="25">
        <v>6245.6920322110491</v>
      </c>
      <c r="H13" s="25">
        <v>6564.2518859215434</v>
      </c>
      <c r="I13" s="25">
        <v>6779.0647180936667</v>
      </c>
      <c r="J13" s="25">
        <v>7031.5952939040153</v>
      </c>
      <c r="K13" s="25">
        <v>7312.7539849719724</v>
      </c>
      <c r="L13" s="25">
        <v>7618.9788558942028</v>
      </c>
      <c r="M13" s="25">
        <v>7984.2924608022222</v>
      </c>
      <c r="N13" s="25">
        <v>8369.1298468196328</v>
      </c>
      <c r="O13" s="25">
        <v>8756.8687257116762</v>
      </c>
      <c r="P13" s="25">
        <v>9076.7096486238788</v>
      </c>
      <c r="Q13" s="25">
        <v>9365.9693138871844</v>
      </c>
      <c r="R13" s="25">
        <v>9620.1078187604435</v>
      </c>
      <c r="S13" s="25">
        <v>9845.8638646999061</v>
      </c>
      <c r="T13" s="25">
        <v>10050.029066861136</v>
      </c>
      <c r="U13" s="24">
        <v>3.694885355358668E-2</v>
      </c>
    </row>
    <row r="14" spans="1:21" ht="14.65" customHeight="1">
      <c r="A14" s="213"/>
      <c r="B14" s="63" t="s">
        <v>138</v>
      </c>
      <c r="C14" s="25">
        <v>3264.98892148</v>
      </c>
      <c r="D14" s="25">
        <v>3639.3772800000015</v>
      </c>
      <c r="E14" s="25">
        <v>3744.1632700000018</v>
      </c>
      <c r="F14" s="25">
        <v>3831.4723256620646</v>
      </c>
      <c r="G14" s="25">
        <v>3992.3960389064296</v>
      </c>
      <c r="H14" s="25">
        <v>4190.0822979955419</v>
      </c>
      <c r="I14" s="25">
        <v>4444.589011813634</v>
      </c>
      <c r="J14" s="25">
        <v>4829.0945866254315</v>
      </c>
      <c r="K14" s="25">
        <v>5207.8597532280583</v>
      </c>
      <c r="L14" s="25">
        <v>5511.9046243224475</v>
      </c>
      <c r="M14" s="25">
        <v>5845.40454474955</v>
      </c>
      <c r="N14" s="25">
        <v>6219.6697451237078</v>
      </c>
      <c r="O14" s="25">
        <v>6605.0186162294667</v>
      </c>
      <c r="P14" s="25">
        <v>6923.5931768738028</v>
      </c>
      <c r="Q14" s="25">
        <v>7220.7554031510517</v>
      </c>
      <c r="R14" s="25">
        <v>7491.3448575118855</v>
      </c>
      <c r="S14" s="25">
        <v>7735.7633887613783</v>
      </c>
      <c r="T14" s="25">
        <v>7967.4161690887659</v>
      </c>
      <c r="U14" s="24">
        <v>5.0190659825932515E-2</v>
      </c>
    </row>
    <row r="15" spans="1:21" ht="14.65" customHeight="1">
      <c r="A15" s="213"/>
      <c r="B15" s="63" t="s">
        <v>139</v>
      </c>
      <c r="C15" s="25">
        <v>1624.4271161800002</v>
      </c>
      <c r="D15" s="25">
        <v>1847.0300000000002</v>
      </c>
      <c r="E15" s="25">
        <v>1752.84564</v>
      </c>
      <c r="F15" s="25">
        <v>1792.9903141991103</v>
      </c>
      <c r="G15" s="25">
        <v>1860.5041657645261</v>
      </c>
      <c r="H15" s="25">
        <v>1943.2180417383292</v>
      </c>
      <c r="I15" s="25">
        <v>2038.3111669759849</v>
      </c>
      <c r="J15" s="25">
        <v>2141.8463889129607</v>
      </c>
      <c r="K15" s="25">
        <v>2239.815579346116</v>
      </c>
      <c r="L15" s="25">
        <v>2343.7328450113928</v>
      </c>
      <c r="M15" s="25">
        <v>2450.419780613101</v>
      </c>
      <c r="N15" s="25">
        <v>2563.4406999141747</v>
      </c>
      <c r="O15" s="25">
        <v>2675.0841187716328</v>
      </c>
      <c r="P15" s="25">
        <v>2764.0303818961502</v>
      </c>
      <c r="Q15" s="25">
        <v>2844.4308030472166</v>
      </c>
      <c r="R15" s="25">
        <v>2918.3605977347779</v>
      </c>
      <c r="S15" s="25">
        <v>2986.0864118705035</v>
      </c>
      <c r="T15" s="25">
        <v>3049.0292556226386</v>
      </c>
      <c r="U15" s="24">
        <v>3.1823649270065424E-2</v>
      </c>
    </row>
    <row r="16" spans="1:21" ht="14.65" customHeight="1">
      <c r="A16" s="213"/>
      <c r="B16" s="63" t="s">
        <v>140</v>
      </c>
      <c r="C16" s="25">
        <v>549.24273753749196</v>
      </c>
      <c r="D16" s="25">
        <v>620.49245999999994</v>
      </c>
      <c r="E16" s="25">
        <v>619.87681999999995</v>
      </c>
      <c r="F16" s="25">
        <v>634.01636785229903</v>
      </c>
      <c r="G16" s="25">
        <v>659.54052327853105</v>
      </c>
      <c r="H16" s="25">
        <v>691.09631220958602</v>
      </c>
      <c r="I16" s="25">
        <v>729.48327773628603</v>
      </c>
      <c r="J16" s="25">
        <v>772.98108294224403</v>
      </c>
      <c r="K16" s="25">
        <v>815.37498652461591</v>
      </c>
      <c r="L16" s="25">
        <v>861.45913138725609</v>
      </c>
      <c r="M16" s="25">
        <v>910.64009423323705</v>
      </c>
      <c r="N16" s="25">
        <v>965.146794981629</v>
      </c>
      <c r="O16" s="25">
        <v>1020.781056561998</v>
      </c>
      <c r="P16" s="25">
        <v>1066.990161813726</v>
      </c>
      <c r="Q16" s="25">
        <v>1110.1649569632441</v>
      </c>
      <c r="R16" s="25">
        <v>1149.6445720244039</v>
      </c>
      <c r="S16" s="25">
        <v>1185.273552287181</v>
      </c>
      <c r="T16" s="25">
        <v>1219.1843280187359</v>
      </c>
      <c r="U16" s="24">
        <v>4.3117674061769584E-2</v>
      </c>
    </row>
    <row r="17" spans="1:21" ht="14.65" customHeight="1">
      <c r="A17" s="213"/>
      <c r="B17" s="63" t="s">
        <v>141</v>
      </c>
      <c r="C17" s="25">
        <v>3692.3659419699998</v>
      </c>
      <c r="D17" s="25">
        <v>3330.3888100000013</v>
      </c>
      <c r="E17" s="25">
        <v>4067.0055136714682</v>
      </c>
      <c r="F17" s="25">
        <v>4542.9763319230569</v>
      </c>
      <c r="G17" s="25">
        <v>5182.4914589033433</v>
      </c>
      <c r="H17" s="25">
        <v>6562.7236022240995</v>
      </c>
      <c r="I17" s="25">
        <v>8070.135977700711</v>
      </c>
      <c r="J17" s="25">
        <v>8501.8042046302671</v>
      </c>
      <c r="K17" s="25">
        <v>9006.5057224579177</v>
      </c>
      <c r="L17" s="25">
        <v>9399.5419928013125</v>
      </c>
      <c r="M17" s="25">
        <v>9607.3879427755073</v>
      </c>
      <c r="N17" s="25">
        <v>9933.3069778690224</v>
      </c>
      <c r="O17" s="25">
        <v>10247.901659671936</v>
      </c>
      <c r="P17" s="25">
        <v>10500.373559677311</v>
      </c>
      <c r="Q17" s="25">
        <v>10724.120812434849</v>
      </c>
      <c r="R17" s="25">
        <v>10909.136434013497</v>
      </c>
      <c r="S17" s="25">
        <v>11076.68537436422</v>
      </c>
      <c r="T17" s="25">
        <v>11228.245838621293</v>
      </c>
      <c r="U17" s="24">
        <v>7.8918303643877863E-2</v>
      </c>
    </row>
    <row r="18" spans="1:21" ht="14.65" customHeight="1">
      <c r="A18" s="213"/>
      <c r="B18" s="63" t="s">
        <v>142</v>
      </c>
      <c r="C18" s="25">
        <v>3830.1617768300002</v>
      </c>
      <c r="D18" s="25">
        <v>3920.4588900000017</v>
      </c>
      <c r="E18" s="25">
        <v>4024.3530100000003</v>
      </c>
      <c r="F18" s="25">
        <v>4132.4360832185994</v>
      </c>
      <c r="G18" s="25">
        <v>4288.2933657208741</v>
      </c>
      <c r="H18" s="25">
        <v>4473.5166000960817</v>
      </c>
      <c r="I18" s="25">
        <v>4685.132141635203</v>
      </c>
      <c r="J18" s="25">
        <v>4917.6922043401219</v>
      </c>
      <c r="K18" s="25">
        <v>5134.233798988218</v>
      </c>
      <c r="L18" s="25">
        <v>5364.9413347484005</v>
      </c>
      <c r="M18" s="25">
        <v>5607.9382909125497</v>
      </c>
      <c r="N18" s="25">
        <v>5875.9950687146375</v>
      </c>
      <c r="O18" s="25">
        <v>6147.4668090823616</v>
      </c>
      <c r="P18" s="25">
        <v>6364.9057095964836</v>
      </c>
      <c r="Q18" s="25">
        <v>6559.7148677374789</v>
      </c>
      <c r="R18" s="25">
        <v>6733.3780426347985</v>
      </c>
      <c r="S18" s="25">
        <v>6891.3785677358419</v>
      </c>
      <c r="T18" s="25">
        <v>7032.8816344699007</v>
      </c>
      <c r="U18" s="24">
        <v>3.7199443900178153E-2</v>
      </c>
    </row>
    <row r="19" spans="1:21" ht="14.65" customHeight="1">
      <c r="A19" s="213"/>
      <c r="B19" s="63" t="s">
        <v>143</v>
      </c>
      <c r="C19" s="25">
        <v>2081.2290171699997</v>
      </c>
      <c r="D19" s="25">
        <v>2174.9509099999996</v>
      </c>
      <c r="E19" s="25">
        <v>2183.8826099999997</v>
      </c>
      <c r="F19" s="25">
        <v>2235.5009931752948</v>
      </c>
      <c r="G19" s="25">
        <v>2320.9766288410865</v>
      </c>
      <c r="H19" s="25">
        <v>2424.8306379368719</v>
      </c>
      <c r="I19" s="25">
        <v>2548.7902067089472</v>
      </c>
      <c r="J19" s="25">
        <v>2690.08959672113</v>
      </c>
      <c r="K19" s="25">
        <v>2826.0106037728269</v>
      </c>
      <c r="L19" s="25">
        <v>2974.4631564834244</v>
      </c>
      <c r="M19" s="25">
        <v>3131.3656151225077</v>
      </c>
      <c r="N19" s="25">
        <v>3305.7110613222499</v>
      </c>
      <c r="O19" s="25">
        <v>3483.2649980074239</v>
      </c>
      <c r="P19" s="25">
        <v>3631.0673242341527</v>
      </c>
      <c r="Q19" s="25">
        <v>3769.3683024834681</v>
      </c>
      <c r="R19" s="25">
        <v>3895.9798884644078</v>
      </c>
      <c r="S19" s="25">
        <v>4010.8511730419004</v>
      </c>
      <c r="T19" s="25">
        <v>4120.088166679142</v>
      </c>
      <c r="U19" s="24">
        <v>4.0737169918222405E-2</v>
      </c>
    </row>
    <row r="20" spans="1:21" ht="14.65" customHeight="1">
      <c r="A20" s="213"/>
      <c r="B20" s="63" t="s">
        <v>144</v>
      </c>
      <c r="C20" s="25">
        <v>685.62352362000001</v>
      </c>
      <c r="D20" s="25">
        <v>707.1296599999996</v>
      </c>
      <c r="E20" s="25">
        <v>706.89387999999985</v>
      </c>
      <c r="F20" s="25">
        <v>724.13544721669268</v>
      </c>
      <c r="G20" s="25">
        <v>748.18604263433122</v>
      </c>
      <c r="H20" s="25">
        <v>775.88666601060038</v>
      </c>
      <c r="I20" s="25">
        <v>807.66789456380911</v>
      </c>
      <c r="J20" s="25">
        <v>842.62148161651589</v>
      </c>
      <c r="K20" s="25">
        <v>877.27429313890207</v>
      </c>
      <c r="L20" s="25">
        <v>914.0676602036217</v>
      </c>
      <c r="M20" s="25">
        <v>952.74362393876561</v>
      </c>
      <c r="N20" s="25">
        <v>994.13207137070083</v>
      </c>
      <c r="O20" s="25">
        <v>1035.7858589082712</v>
      </c>
      <c r="P20" s="25">
        <v>1069.3479725453435</v>
      </c>
      <c r="Q20" s="25">
        <v>1099.9369127105929</v>
      </c>
      <c r="R20" s="25">
        <v>1128.1458063411533</v>
      </c>
      <c r="S20" s="25">
        <v>1154.4072385248819</v>
      </c>
      <c r="T20" s="25">
        <v>1178.7412598573633</v>
      </c>
      <c r="U20" s="24">
        <v>3.2452224865843426E-2</v>
      </c>
    </row>
    <row r="21" spans="1:21" ht="15" customHeight="1">
      <c r="A21" s="213"/>
      <c r="B21" s="63" t="s">
        <v>5</v>
      </c>
      <c r="C21" s="25">
        <v>356.45132591399999</v>
      </c>
      <c r="D21" s="25">
        <v>354.26025148742031</v>
      </c>
      <c r="E21" s="25">
        <v>358.26475536770016</v>
      </c>
      <c r="F21" s="25">
        <v>367.99016956148171</v>
      </c>
      <c r="G21" s="25">
        <v>383.56791217971528</v>
      </c>
      <c r="H21" s="25">
        <v>402.1470519467685</v>
      </c>
      <c r="I21" s="25">
        <v>423.55241640793764</v>
      </c>
      <c r="J21" s="25">
        <v>446.97579746887646</v>
      </c>
      <c r="K21" s="25">
        <v>468.71208543374848</v>
      </c>
      <c r="L21" s="25">
        <v>491.68967892587466</v>
      </c>
      <c r="M21" s="25">
        <v>516.00041245720206</v>
      </c>
      <c r="N21" s="25">
        <v>542.53553703411421</v>
      </c>
      <c r="O21" s="25">
        <v>569.45990873650373</v>
      </c>
      <c r="P21" s="25">
        <v>590.95546787956505</v>
      </c>
      <c r="Q21" s="25">
        <v>610.2814099526579</v>
      </c>
      <c r="R21" s="25">
        <v>627.58527625711008</v>
      </c>
      <c r="S21" s="25">
        <v>643.43524145010906</v>
      </c>
      <c r="T21" s="25">
        <v>657.62522721963626</v>
      </c>
      <c r="U21" s="24">
        <v>3.9419840475606094E-2</v>
      </c>
    </row>
    <row r="22" spans="1:21" ht="15" customHeight="1">
      <c r="A22" s="213"/>
      <c r="B22" s="63" t="s">
        <v>145</v>
      </c>
      <c r="C22" s="25">
        <v>11.834744000000001</v>
      </c>
      <c r="D22" s="25">
        <v>11.507252544523393</v>
      </c>
      <c r="E22" s="25">
        <v>11.426706176243481</v>
      </c>
      <c r="F22" s="25">
        <v>11.61441397016546</v>
      </c>
      <c r="G22" s="25">
        <v>11.783732274361189</v>
      </c>
      <c r="H22" s="25">
        <v>11.988191531764258</v>
      </c>
      <c r="I22" s="25">
        <v>12.196857229551323</v>
      </c>
      <c r="J22" s="25">
        <v>12.441879707582434</v>
      </c>
      <c r="K22" s="25">
        <v>12.655056272289862</v>
      </c>
      <c r="L22" s="25">
        <v>12.903554676213098</v>
      </c>
      <c r="M22" s="25">
        <v>13.147582346964235</v>
      </c>
      <c r="N22" s="25">
        <v>13.423127098890127</v>
      </c>
      <c r="O22" s="25">
        <v>13.68062160311937</v>
      </c>
      <c r="P22" s="25">
        <v>13.888350693228329</v>
      </c>
      <c r="Q22" s="25">
        <v>14.072962719449908</v>
      </c>
      <c r="R22" s="25">
        <v>14.233297394844925</v>
      </c>
      <c r="S22" s="25">
        <v>14.378662633656319</v>
      </c>
      <c r="T22" s="25">
        <v>14.508588422066559</v>
      </c>
      <c r="U22" s="24">
        <v>1.4590624379084094E-2</v>
      </c>
    </row>
    <row r="23" spans="1:21" ht="15" customHeight="1">
      <c r="A23" s="213"/>
      <c r="B23" s="63" t="s">
        <v>146</v>
      </c>
      <c r="C23" s="25">
        <v>32.453699079999993</v>
      </c>
      <c r="D23" s="25">
        <v>37.514926774066844</v>
      </c>
      <c r="E23" s="25">
        <v>38.980103149852262</v>
      </c>
      <c r="F23" s="25">
        <v>40.046572934003009</v>
      </c>
      <c r="G23" s="25">
        <v>41.003073608161692</v>
      </c>
      <c r="H23" s="25">
        <v>41.890147350733741</v>
      </c>
      <c r="I23" s="25">
        <v>42.911022017529461</v>
      </c>
      <c r="J23" s="25">
        <v>44.079543280161715</v>
      </c>
      <c r="K23" s="25">
        <v>45.455497603674701</v>
      </c>
      <c r="L23" s="25">
        <v>46.921193527179867</v>
      </c>
      <c r="M23" s="25">
        <v>48.583495708674263</v>
      </c>
      <c r="N23" s="25">
        <v>50.420767706058072</v>
      </c>
      <c r="O23" s="25">
        <v>52.36343033284053</v>
      </c>
      <c r="P23" s="25">
        <v>53.972442127809757</v>
      </c>
      <c r="Q23" s="25">
        <v>55.46257136137006</v>
      </c>
      <c r="R23" s="25">
        <v>56.839526639270687</v>
      </c>
      <c r="S23" s="25">
        <v>58.164825815437716</v>
      </c>
      <c r="T23" s="25">
        <v>59.381045543216011</v>
      </c>
      <c r="U23" s="24">
        <v>2.9118140234423384E-2</v>
      </c>
    </row>
    <row r="24" spans="1:21" ht="15" customHeight="1">
      <c r="A24" s="213"/>
      <c r="B24" s="63" t="s">
        <v>39</v>
      </c>
      <c r="C24" s="25">
        <v>30.504104321</v>
      </c>
      <c r="D24" s="25">
        <v>29.765445924719089</v>
      </c>
      <c r="E24" s="25">
        <v>29.782702956998104</v>
      </c>
      <c r="F24" s="25">
        <v>30.199058229641764</v>
      </c>
      <c r="G24" s="25">
        <v>31.000967333102274</v>
      </c>
      <c r="H24" s="25">
        <v>31.968780102625121</v>
      </c>
      <c r="I24" s="25">
        <v>33.171142333823511</v>
      </c>
      <c r="J24" s="25">
        <v>34.479588069422597</v>
      </c>
      <c r="K24" s="25">
        <v>35.842826490526484</v>
      </c>
      <c r="L24" s="25">
        <v>37.303608560374336</v>
      </c>
      <c r="M24" s="25">
        <v>39.097936683598114</v>
      </c>
      <c r="N24" s="25">
        <v>40.950112545048214</v>
      </c>
      <c r="O24" s="25">
        <v>42.814504374262121</v>
      </c>
      <c r="P24" s="25">
        <v>44.351495558947519</v>
      </c>
      <c r="Q24" s="25">
        <v>45.741215703386878</v>
      </c>
      <c r="R24" s="25">
        <v>46.972425858329458</v>
      </c>
      <c r="S24" s="25">
        <v>48.068301666671161</v>
      </c>
      <c r="T24" s="25">
        <v>49.061382144435228</v>
      </c>
      <c r="U24" s="24">
        <v>3.1725611559365818E-2</v>
      </c>
    </row>
    <row r="25" spans="1:21" ht="15" customHeight="1">
      <c r="A25" s="213"/>
      <c r="B25" s="63" t="s">
        <v>147</v>
      </c>
      <c r="C25" s="25">
        <v>74.981427000000011</v>
      </c>
      <c r="D25" s="25">
        <v>74.931092554402255</v>
      </c>
      <c r="E25" s="25">
        <v>75.264350941979032</v>
      </c>
      <c r="F25" s="25">
        <v>76.914346709630109</v>
      </c>
      <c r="G25" s="25">
        <v>79.837290983453556</v>
      </c>
      <c r="H25" s="25">
        <v>83.40956152483713</v>
      </c>
      <c r="I25" s="25">
        <v>87.880128945419571</v>
      </c>
      <c r="J25" s="25">
        <v>93.010683485447984</v>
      </c>
      <c r="K25" s="25">
        <v>98.194691318184155</v>
      </c>
      <c r="L25" s="25">
        <v>103.80679565157861</v>
      </c>
      <c r="M25" s="25">
        <v>109.95179968717922</v>
      </c>
      <c r="N25" s="25">
        <v>116.78261306342716</v>
      </c>
      <c r="O25" s="25">
        <v>123.8427803812942</v>
      </c>
      <c r="P25" s="25">
        <v>129.67612158270356</v>
      </c>
      <c r="Q25" s="25">
        <v>135.12633322070309</v>
      </c>
      <c r="R25" s="25">
        <v>140.10424365827382</v>
      </c>
      <c r="S25" s="25">
        <v>144.65584850764122</v>
      </c>
      <c r="T25" s="25">
        <v>148.9407952858306</v>
      </c>
      <c r="U25" s="24">
        <v>4.3871342971471661E-2</v>
      </c>
    </row>
    <row r="26" spans="1:21" ht="15" customHeight="1">
      <c r="A26" s="213"/>
      <c r="B26" s="63" t="s">
        <v>148</v>
      </c>
      <c r="C26" s="38">
        <v>7.3979479999999995</v>
      </c>
      <c r="D26" s="38">
        <v>7.3723059713278971</v>
      </c>
      <c r="E26" s="38">
        <v>7.4160050637029462</v>
      </c>
      <c r="F26" s="38">
        <v>7.5643146721996501</v>
      </c>
      <c r="G26" s="38">
        <v>7.8309064462074858</v>
      </c>
      <c r="H26" s="38">
        <v>8.1592540060001255</v>
      </c>
      <c r="I26" s="38">
        <v>8.5438646802744689</v>
      </c>
      <c r="J26" s="38">
        <v>8.9706853114136695</v>
      </c>
      <c r="K26" s="38">
        <v>9.3809349446803481</v>
      </c>
      <c r="L26" s="38">
        <v>9.8140189072274158</v>
      </c>
      <c r="M26" s="38">
        <v>10.267450032032162</v>
      </c>
      <c r="N26" s="38">
        <v>10.749497356346476</v>
      </c>
      <c r="O26" s="38">
        <v>11.231124561851736</v>
      </c>
      <c r="P26" s="38">
        <v>11.613563091904421</v>
      </c>
      <c r="Q26" s="38">
        <v>11.959682290768532</v>
      </c>
      <c r="R26" s="38">
        <v>12.277797351450435</v>
      </c>
      <c r="S26" s="38">
        <v>12.574374801106492</v>
      </c>
      <c r="T26" s="38">
        <v>12.846454021021417</v>
      </c>
      <c r="U26" s="24">
        <v>3.5317952353543625E-2</v>
      </c>
    </row>
    <row r="27" spans="1:21" ht="15" customHeight="1">
      <c r="A27" s="213"/>
      <c r="B27" s="63" t="s">
        <v>42</v>
      </c>
      <c r="C27" s="25">
        <v>126.79983800000001</v>
      </c>
      <c r="D27" s="25">
        <v>125.55988970423343</v>
      </c>
      <c r="E27" s="25">
        <v>126.01703272677329</v>
      </c>
      <c r="F27" s="25">
        <v>127.89407850457555</v>
      </c>
      <c r="G27" s="25">
        <v>131.26930505001275</v>
      </c>
      <c r="H27" s="25">
        <v>135.2285881387136</v>
      </c>
      <c r="I27" s="25">
        <v>140.04468887402035</v>
      </c>
      <c r="J27" s="25">
        <v>145.26197928715257</v>
      </c>
      <c r="K27" s="25">
        <v>150.72492484042121</v>
      </c>
      <c r="L27" s="25">
        <v>156.59146205176387</v>
      </c>
      <c r="M27" s="25">
        <v>163.68475125907466</v>
      </c>
      <c r="N27" s="25">
        <v>171.00624750269563</v>
      </c>
      <c r="O27" s="25">
        <v>178.40328808230333</v>
      </c>
      <c r="P27" s="25">
        <v>184.45685949865415</v>
      </c>
      <c r="Q27" s="25">
        <v>189.97468812167315</v>
      </c>
      <c r="R27" s="25">
        <v>194.88269992368953</v>
      </c>
      <c r="S27" s="25">
        <v>199.28018837697212</v>
      </c>
      <c r="T27" s="25">
        <v>203.28574074438532</v>
      </c>
      <c r="U27" s="24">
        <v>3.0572381259824866E-2</v>
      </c>
    </row>
    <row r="28" spans="1:21" ht="15" customHeight="1">
      <c r="A28" s="213"/>
      <c r="B28" s="63" t="s">
        <v>149</v>
      </c>
      <c r="C28" s="25">
        <v>21.029595</v>
      </c>
      <c r="D28" s="25">
        <v>20.924661135515226</v>
      </c>
      <c r="E28" s="25">
        <v>21.042102597063611</v>
      </c>
      <c r="F28" s="25">
        <v>21.550363531167321</v>
      </c>
      <c r="G28" s="25">
        <v>22.431556405942352</v>
      </c>
      <c r="H28" s="25">
        <v>23.509192155667247</v>
      </c>
      <c r="I28" s="25">
        <v>24.708476789702491</v>
      </c>
      <c r="J28" s="25">
        <v>26.012289495617075</v>
      </c>
      <c r="K28" s="25">
        <v>27.196749638300791</v>
      </c>
      <c r="L28" s="25">
        <v>28.455858982862473</v>
      </c>
      <c r="M28" s="25">
        <v>29.707711548811808</v>
      </c>
      <c r="N28" s="25">
        <v>31.0153850162176</v>
      </c>
      <c r="O28" s="25">
        <v>32.291642554565321</v>
      </c>
      <c r="P28" s="25">
        <v>33.309503836717994</v>
      </c>
      <c r="Q28" s="25">
        <v>34.240447248141422</v>
      </c>
      <c r="R28" s="25">
        <v>35.110858229037639</v>
      </c>
      <c r="S28" s="25">
        <v>35.916503349276425</v>
      </c>
      <c r="T28" s="25">
        <v>36.672912854392457</v>
      </c>
      <c r="U28" s="24">
        <v>3.5691556838658434E-2</v>
      </c>
    </row>
    <row r="29" spans="1:21" ht="15" customHeight="1">
      <c r="A29" s="213"/>
      <c r="B29" s="63" t="s">
        <v>150</v>
      </c>
      <c r="C29" s="25">
        <v>435.990553003</v>
      </c>
      <c r="D29" s="25">
        <v>429.32787042116104</v>
      </c>
      <c r="E29" s="25">
        <v>431.21030724890227</v>
      </c>
      <c r="F29" s="25">
        <v>440.42802448965671</v>
      </c>
      <c r="G29" s="25">
        <v>453.34020274591199</v>
      </c>
      <c r="H29" s="25">
        <v>469.10010477308788</v>
      </c>
      <c r="I29" s="25">
        <v>487.25462812618332</v>
      </c>
      <c r="J29" s="25">
        <v>507.41049651867053</v>
      </c>
      <c r="K29" s="25">
        <v>526.9003498560395</v>
      </c>
      <c r="L29" s="25">
        <v>547.78451115084022</v>
      </c>
      <c r="M29" s="25">
        <v>569.40753052129151</v>
      </c>
      <c r="N29" s="25">
        <v>592.82078882786448</v>
      </c>
      <c r="O29" s="25">
        <v>616.00934111179481</v>
      </c>
      <c r="P29" s="25">
        <v>634.59484727930271</v>
      </c>
      <c r="Q29" s="25">
        <v>651.27817945280367</v>
      </c>
      <c r="R29" s="25">
        <v>666.44847236666624</v>
      </c>
      <c r="S29" s="25">
        <v>680.3817339574814</v>
      </c>
      <c r="T29" s="25">
        <v>693.175403306465</v>
      </c>
      <c r="U29" s="24">
        <v>3.0394136960815166E-2</v>
      </c>
    </row>
    <row r="30" spans="1:21" ht="15" customHeight="1">
      <c r="A30" s="213"/>
      <c r="B30" s="63" t="s">
        <v>151</v>
      </c>
      <c r="C30" s="25">
        <v>136.13966500000001</v>
      </c>
      <c r="D30" s="25">
        <v>138.71520075631585</v>
      </c>
      <c r="E30" s="25">
        <v>140.55923156367143</v>
      </c>
      <c r="F30" s="25">
        <v>144.7281474680633</v>
      </c>
      <c r="G30" s="25">
        <v>151.1305880413862</v>
      </c>
      <c r="H30" s="25">
        <v>158.48455014718664</v>
      </c>
      <c r="I30" s="25">
        <v>166.99137129893964</v>
      </c>
      <c r="J30" s="25">
        <v>176.49137410467645</v>
      </c>
      <c r="K30" s="25">
        <v>186.00947871765217</v>
      </c>
      <c r="L30" s="25">
        <v>196.16793160853089</v>
      </c>
      <c r="M30" s="25">
        <v>207.34236439143538</v>
      </c>
      <c r="N30" s="25">
        <v>219.32305540440339</v>
      </c>
      <c r="O30" s="25">
        <v>231.59093364081897</v>
      </c>
      <c r="P30" s="25">
        <v>241.57661911311695</v>
      </c>
      <c r="Q30" s="25">
        <v>250.73590161976585</v>
      </c>
      <c r="R30" s="25">
        <v>259.09389250996969</v>
      </c>
      <c r="S30" s="25">
        <v>266.6962889403062</v>
      </c>
      <c r="T30" s="25">
        <v>273.92396221364453</v>
      </c>
      <c r="U30" s="24">
        <v>4.3443944772668663E-2</v>
      </c>
    </row>
    <row r="31" spans="1:21" ht="15" customHeight="1">
      <c r="A31" s="213"/>
      <c r="B31" s="63" t="s">
        <v>152</v>
      </c>
      <c r="C31" s="25">
        <v>834.43598206199999</v>
      </c>
      <c r="D31" s="25">
        <v>830.84685207182895</v>
      </c>
      <c r="E31" s="25">
        <v>841.94718978132005</v>
      </c>
      <c r="F31" s="25">
        <v>869.17051228414334</v>
      </c>
      <c r="G31" s="25">
        <v>931.14933630281439</v>
      </c>
      <c r="H31" s="25">
        <v>1014.0341600519284</v>
      </c>
      <c r="I31" s="25">
        <v>1064.6315335434372</v>
      </c>
      <c r="J31" s="25">
        <v>1106.4911366505394</v>
      </c>
      <c r="K31" s="25">
        <v>1148.2392238217519</v>
      </c>
      <c r="L31" s="25">
        <v>1192.4569919350959</v>
      </c>
      <c r="M31" s="25">
        <v>1241.2713256446641</v>
      </c>
      <c r="N31" s="25">
        <v>1295.5540206036644</v>
      </c>
      <c r="O31" s="25">
        <v>1351.707895063339</v>
      </c>
      <c r="P31" s="25">
        <v>1396.8091683306693</v>
      </c>
      <c r="Q31" s="25">
        <v>1436.9502717840348</v>
      </c>
      <c r="R31" s="25">
        <v>1472.5186454921939</v>
      </c>
      <c r="S31" s="25">
        <v>1504.972427703636</v>
      </c>
      <c r="T31" s="25">
        <v>1533.7326904594649</v>
      </c>
      <c r="U31" s="24">
        <v>3.9056810955358179E-2</v>
      </c>
    </row>
    <row r="32" spans="1:21" ht="15" customHeight="1">
      <c r="A32" s="213"/>
      <c r="B32" s="63" t="s">
        <v>153</v>
      </c>
      <c r="C32" s="25">
        <v>32.092022</v>
      </c>
      <c r="D32" s="25">
        <v>30.853882453448318</v>
      </c>
      <c r="E32" s="25">
        <v>30.862611399417045</v>
      </c>
      <c r="F32" s="25">
        <v>31.434335742219005</v>
      </c>
      <c r="G32" s="25">
        <v>31.838465005934424</v>
      </c>
      <c r="H32" s="25">
        <v>32.325929503195901</v>
      </c>
      <c r="I32" s="25">
        <v>32.872628882594356</v>
      </c>
      <c r="J32" s="25">
        <v>33.54718820352722</v>
      </c>
      <c r="K32" s="25">
        <v>34.249183181018068</v>
      </c>
      <c r="L32" s="25">
        <v>35.043129811756963</v>
      </c>
      <c r="M32" s="25">
        <v>35.870103275043263</v>
      </c>
      <c r="N32" s="25">
        <v>36.850831889651857</v>
      </c>
      <c r="O32" s="25">
        <v>37.817028237725509</v>
      </c>
      <c r="P32" s="25">
        <v>38.610867146028497</v>
      </c>
      <c r="Q32" s="25">
        <v>39.302735865306332</v>
      </c>
      <c r="R32" s="25">
        <v>39.904396419531842</v>
      </c>
      <c r="S32" s="25">
        <v>40.458845695705151</v>
      </c>
      <c r="T32" s="25">
        <v>40.945933988659206</v>
      </c>
      <c r="U32" s="24">
        <v>1.7844209020154045E-2</v>
      </c>
    </row>
    <row r="33" spans="1:21" ht="15" customHeight="1">
      <c r="A33" s="213"/>
      <c r="B33" s="63" t="s">
        <v>53</v>
      </c>
      <c r="C33" s="25">
        <v>143.77900100000002</v>
      </c>
      <c r="D33" s="25">
        <v>145.11422260999495</v>
      </c>
      <c r="E33" s="25">
        <v>146.22452202030877</v>
      </c>
      <c r="F33" s="25">
        <v>148.42414716009486</v>
      </c>
      <c r="G33" s="25">
        <v>151.86430158545539</v>
      </c>
      <c r="H33" s="25">
        <v>155.69724502466397</v>
      </c>
      <c r="I33" s="25">
        <v>160.41440546491111</v>
      </c>
      <c r="J33" s="25">
        <v>165.61008795869509</v>
      </c>
      <c r="K33" s="25">
        <v>171.1546508487707</v>
      </c>
      <c r="L33" s="25">
        <v>177.14109728747098</v>
      </c>
      <c r="M33" s="25">
        <v>184.41804655306282</v>
      </c>
      <c r="N33" s="25">
        <v>191.94224966260262</v>
      </c>
      <c r="O33" s="25">
        <v>199.5152884227499</v>
      </c>
      <c r="P33" s="25">
        <v>205.8461143866306</v>
      </c>
      <c r="Q33" s="25">
        <v>211.58768579910387</v>
      </c>
      <c r="R33" s="25">
        <v>216.79348995634788</v>
      </c>
      <c r="S33" s="25">
        <v>221.49549003884408</v>
      </c>
      <c r="T33" s="25">
        <v>225.81859330290271</v>
      </c>
      <c r="U33" s="24">
        <v>2.8023653618448829E-2</v>
      </c>
    </row>
    <row r="34" spans="1:21" ht="15" customHeight="1">
      <c r="A34" s="213"/>
      <c r="B34" s="63" t="s">
        <v>154</v>
      </c>
      <c r="C34" s="25">
        <v>313.96738267197759</v>
      </c>
      <c r="D34" s="25">
        <v>313.96738267197759</v>
      </c>
      <c r="E34" s="25">
        <v>313.96738267197759</v>
      </c>
      <c r="F34" s="25">
        <v>313.96738267197759</v>
      </c>
      <c r="G34" s="25">
        <v>313.96738267197759</v>
      </c>
      <c r="H34" s="25">
        <v>313.96738267197759</v>
      </c>
      <c r="I34" s="25">
        <v>313.96738267197759</v>
      </c>
      <c r="J34" s="25">
        <v>313.96738267197759</v>
      </c>
      <c r="K34" s="25">
        <v>313.96738267197759</v>
      </c>
      <c r="L34" s="25">
        <v>313.96738267197759</v>
      </c>
      <c r="M34" s="25">
        <v>313.96738267197759</v>
      </c>
      <c r="N34" s="25">
        <v>313.96738267197759</v>
      </c>
      <c r="O34" s="25">
        <v>313.96738267197759</v>
      </c>
      <c r="P34" s="25">
        <v>313.96738267197759</v>
      </c>
      <c r="Q34" s="25">
        <v>313.96738267197759</v>
      </c>
      <c r="R34" s="25">
        <v>313.96738267197759</v>
      </c>
      <c r="S34" s="25">
        <v>313.96738267197759</v>
      </c>
      <c r="T34" s="25">
        <v>313.96738267197759</v>
      </c>
      <c r="U34" s="24">
        <v>0</v>
      </c>
    </row>
    <row r="35" spans="1:21" ht="15" customHeight="1">
      <c r="A35" s="213"/>
      <c r="B35" s="63" t="s">
        <v>155</v>
      </c>
      <c r="C35" s="25">
        <v>84.036305479999996</v>
      </c>
      <c r="D35" s="25">
        <v>85.526045440747652</v>
      </c>
      <c r="E35" s="25">
        <v>85.526045440747652</v>
      </c>
      <c r="F35" s="25">
        <v>86.389899797387301</v>
      </c>
      <c r="G35" s="25">
        <v>87.397289466022627</v>
      </c>
      <c r="H35" s="25">
        <v>88.741882554483482</v>
      </c>
      <c r="I35" s="25">
        <v>90.302060682617778</v>
      </c>
      <c r="J35" s="25">
        <v>91.882429873698229</v>
      </c>
      <c r="K35" s="25">
        <v>94.378625439669776</v>
      </c>
      <c r="L35" s="25">
        <v>96.522743416811423</v>
      </c>
      <c r="M35" s="25">
        <v>98.57435286557876</v>
      </c>
      <c r="N35" s="25">
        <v>100.70231499282043</v>
      </c>
      <c r="O35" s="25">
        <v>103.16229731452378</v>
      </c>
      <c r="P35" s="25">
        <v>105.82061447202598</v>
      </c>
      <c r="Q35" s="25">
        <v>107.9713880265893</v>
      </c>
      <c r="R35" s="25">
        <v>109.86716113709207</v>
      </c>
      <c r="S35" s="25">
        <v>111.62717057087222</v>
      </c>
      <c r="T35" s="25">
        <v>114.30831661594058</v>
      </c>
      <c r="U35" s="24">
        <v>1.8295242750806295E-2</v>
      </c>
    </row>
    <row r="36" spans="1:21" ht="15" customHeight="1">
      <c r="A36" s="213"/>
      <c r="B36" s="63" t="s">
        <v>156</v>
      </c>
      <c r="C36" s="25">
        <v>21.458040529999998</v>
      </c>
      <c r="D36" s="25">
        <v>21.615335319190319</v>
      </c>
      <c r="E36" s="25">
        <v>21.804980020140999</v>
      </c>
      <c r="F36" s="25">
        <v>22.199789858641719</v>
      </c>
      <c r="G36" s="25">
        <v>22.719531518311339</v>
      </c>
      <c r="H36" s="25">
        <v>23.344503881698525</v>
      </c>
      <c r="I36" s="25">
        <v>24.157900364830333</v>
      </c>
      <c r="J36" s="25">
        <v>25.074191626826543</v>
      </c>
      <c r="K36" s="25">
        <v>26.082658676192732</v>
      </c>
      <c r="L36" s="25">
        <v>27.152482611286022</v>
      </c>
      <c r="M36" s="25">
        <v>28.366105005804197</v>
      </c>
      <c r="N36" s="25">
        <v>29.710101427962535</v>
      </c>
      <c r="O36" s="25">
        <v>31.090746109960563</v>
      </c>
      <c r="P36" s="25">
        <v>32.194612836683255</v>
      </c>
      <c r="Q36" s="25">
        <v>33.172583899099415</v>
      </c>
      <c r="R36" s="25">
        <v>34.040210203822454</v>
      </c>
      <c r="S36" s="25">
        <v>34.832203533179289</v>
      </c>
      <c r="T36" s="25">
        <v>35.543324176490501</v>
      </c>
      <c r="U36" s="24">
        <v>3.1572495336417372E-2</v>
      </c>
    </row>
    <row r="37" spans="1:21" ht="15" customHeight="1">
      <c r="A37" s="213"/>
      <c r="B37" s="63" t="s">
        <v>74</v>
      </c>
      <c r="C37" s="25">
        <v>957.40862328000003</v>
      </c>
      <c r="D37" s="25">
        <v>1031.9850840473114</v>
      </c>
      <c r="E37" s="25">
        <v>1080.0364079531582</v>
      </c>
      <c r="F37" s="25">
        <v>1114.713825652773</v>
      </c>
      <c r="G37" s="25">
        <v>1144.886924019153</v>
      </c>
      <c r="H37" s="25">
        <v>1172.7520995894633</v>
      </c>
      <c r="I37" s="25">
        <v>1200.2434309292476</v>
      </c>
      <c r="J37" s="25">
        <v>1235.0476950866005</v>
      </c>
      <c r="K37" s="25">
        <v>1268.0491606692076</v>
      </c>
      <c r="L37" s="25">
        <v>1301.0602746827158</v>
      </c>
      <c r="M37" s="25">
        <v>1336.7331030416099</v>
      </c>
      <c r="N37" s="25">
        <v>1376.8950436598072</v>
      </c>
      <c r="O37" s="25">
        <v>1419.5063170285571</v>
      </c>
      <c r="P37" s="25">
        <v>1454.2533417531092</v>
      </c>
      <c r="Q37" s="25">
        <v>1485.3013549633449</v>
      </c>
      <c r="R37" s="25">
        <v>1513.6721545271498</v>
      </c>
      <c r="S37" s="25">
        <v>1547.7267002247509</v>
      </c>
      <c r="T37" s="25">
        <v>1573.8789104830071</v>
      </c>
      <c r="U37" s="24">
        <v>2.6729684718388658E-2</v>
      </c>
    </row>
    <row r="38" spans="1:21" ht="15" customHeight="1">
      <c r="A38" s="213"/>
      <c r="B38" s="63" t="s">
        <v>573</v>
      </c>
      <c r="C38" s="25">
        <v>0</v>
      </c>
      <c r="D38" s="25">
        <v>0</v>
      </c>
      <c r="E38" s="25">
        <v>0</v>
      </c>
      <c r="F38" s="25">
        <v>0</v>
      </c>
      <c r="G38" s="25">
        <v>0</v>
      </c>
      <c r="H38" s="25">
        <v>0</v>
      </c>
      <c r="I38" s="25">
        <v>153.67182485535801</v>
      </c>
      <c r="J38" s="25">
        <v>330.39442343902959</v>
      </c>
      <c r="K38" s="25">
        <v>487.52386435363621</v>
      </c>
      <c r="L38" s="25">
        <v>653.91708181111358</v>
      </c>
      <c r="M38" s="25">
        <v>833.92449492746289</v>
      </c>
      <c r="N38" s="25">
        <v>1034.488455819647</v>
      </c>
      <c r="O38" s="25">
        <v>1197.472087172293</v>
      </c>
      <c r="P38" s="25">
        <v>1363.593142594804</v>
      </c>
      <c r="Q38" s="25">
        <v>1533.3303317142611</v>
      </c>
      <c r="R38" s="25">
        <v>1707.153751911128</v>
      </c>
      <c r="S38" s="25">
        <v>1885.4803453786269</v>
      </c>
      <c r="T38" s="25">
        <v>1930.8315243183879</v>
      </c>
      <c r="U38" s="24"/>
    </row>
    <row r="39" spans="1:21" ht="15" customHeight="1">
      <c r="A39" s="213"/>
      <c r="B39" s="63" t="s">
        <v>75</v>
      </c>
      <c r="C39" s="25">
        <v>4392.2922070300001</v>
      </c>
      <c r="D39" s="25">
        <v>4608.2492023811146</v>
      </c>
      <c r="E39" s="25">
        <v>5252.4880403235957</v>
      </c>
      <c r="F39" s="25">
        <v>5599.2277261535073</v>
      </c>
      <c r="G39" s="25">
        <v>5962.9531223890799</v>
      </c>
      <c r="H39" s="25">
        <v>6367.291980342191</v>
      </c>
      <c r="I39" s="25">
        <v>6793.2432198053266</v>
      </c>
      <c r="J39" s="25">
        <v>7110.0080917589685</v>
      </c>
      <c r="K39" s="25">
        <v>7852.1489534871953</v>
      </c>
      <c r="L39" s="25">
        <v>8414.8213271579352</v>
      </c>
      <c r="M39" s="25">
        <v>8947.906296769972</v>
      </c>
      <c r="N39" s="25">
        <v>9580.3185926673723</v>
      </c>
      <c r="O39" s="25">
        <v>10163.192983785426</v>
      </c>
      <c r="P39" s="25">
        <v>10704.869081204972</v>
      </c>
      <c r="Q39" s="25">
        <v>11107.127205031062</v>
      </c>
      <c r="R39" s="25">
        <v>11456.439383531881</v>
      </c>
      <c r="S39" s="25">
        <v>11790.0232062784</v>
      </c>
      <c r="T39" s="25">
        <v>12091.681113331435</v>
      </c>
      <c r="U39" s="24">
        <v>6.2146495575572169E-2</v>
      </c>
    </row>
    <row r="40" spans="1:21" ht="15" customHeight="1">
      <c r="A40" s="213"/>
      <c r="B40" s="63" t="s">
        <v>157</v>
      </c>
      <c r="C40" s="25">
        <v>37.010144000000004</v>
      </c>
      <c r="D40" s="25">
        <v>37.830054379642618</v>
      </c>
      <c r="E40" s="25">
        <v>38.254763996801678</v>
      </c>
      <c r="F40" s="25">
        <v>38.903587077206069</v>
      </c>
      <c r="G40" s="25">
        <v>39.911565740852168</v>
      </c>
      <c r="H40" s="25">
        <v>41.12510568267534</v>
      </c>
      <c r="I40" s="25">
        <v>42.733695593903072</v>
      </c>
      <c r="J40" s="25">
        <v>44.545376367007464</v>
      </c>
      <c r="K40" s="25">
        <v>46.545803096921631</v>
      </c>
      <c r="L40" s="25">
        <v>48.647229692331109</v>
      </c>
      <c r="M40" s="25">
        <v>51.058125031324572</v>
      </c>
      <c r="N40" s="25">
        <v>53.70307660318845</v>
      </c>
      <c r="O40" s="25">
        <v>56.439328862999631</v>
      </c>
      <c r="P40" s="25">
        <v>58.617191327655661</v>
      </c>
      <c r="Q40" s="25">
        <v>60.555245658996654</v>
      </c>
      <c r="R40" s="25">
        <v>62.283962633978767</v>
      </c>
      <c r="S40" s="25">
        <v>63.875623416611141</v>
      </c>
      <c r="T40" s="25">
        <v>65.303892143960567</v>
      </c>
      <c r="U40" s="24">
        <v>3.4710559708673205E-2</v>
      </c>
    </row>
    <row r="41" spans="1:21" ht="15" customHeight="1">
      <c r="A41" s="213"/>
      <c r="B41" s="63" t="s">
        <v>158</v>
      </c>
      <c r="C41" s="25">
        <v>104.95921300000001</v>
      </c>
      <c r="D41" s="25">
        <v>106.49091548446751</v>
      </c>
      <c r="E41" s="25">
        <v>107.73322913748315</v>
      </c>
      <c r="F41" s="25">
        <v>110.41423183674992</v>
      </c>
      <c r="G41" s="25">
        <v>114.93802882693629</v>
      </c>
      <c r="H41" s="25">
        <v>120.35351215190603</v>
      </c>
      <c r="I41" s="25">
        <v>127.21212716005019</v>
      </c>
      <c r="J41" s="25">
        <v>134.97759364043054</v>
      </c>
      <c r="K41" s="25">
        <v>143.02128504085505</v>
      </c>
      <c r="L41" s="25">
        <v>151.66809248208537</v>
      </c>
      <c r="M41" s="25">
        <v>161.26878261332837</v>
      </c>
      <c r="N41" s="25">
        <v>171.9099279207405</v>
      </c>
      <c r="O41" s="25">
        <v>182.95446155632189</v>
      </c>
      <c r="P41" s="25">
        <v>192.06993813712737</v>
      </c>
      <c r="Q41" s="25">
        <v>200.58388118546054</v>
      </c>
      <c r="R41" s="25">
        <v>208.35705836487489</v>
      </c>
      <c r="S41" s="25">
        <v>215.4172457840819</v>
      </c>
      <c r="T41" s="25">
        <v>222.08129514757621</v>
      </c>
      <c r="U41" s="24">
        <v>4.7007912607262892E-2</v>
      </c>
    </row>
    <row r="42" spans="1:21" ht="15" customHeight="1">
      <c r="A42" s="213"/>
      <c r="B42" s="63" t="s">
        <v>159</v>
      </c>
      <c r="C42" s="25">
        <v>5868.3376539999999</v>
      </c>
      <c r="D42" s="25">
        <v>2797.6177540699996</v>
      </c>
      <c r="E42" s="25">
        <v>2797.6177540699996</v>
      </c>
      <c r="F42" s="25">
        <v>2797.6177540699996</v>
      </c>
      <c r="G42" s="25">
        <v>2797.6177540699996</v>
      </c>
      <c r="H42" s="25">
        <v>2797.6177540699996</v>
      </c>
      <c r="I42" s="25">
        <v>2797.6177540699996</v>
      </c>
      <c r="J42" s="25">
        <v>2797.6177540699996</v>
      </c>
      <c r="K42" s="25">
        <v>2797.6177540699996</v>
      </c>
      <c r="L42" s="25">
        <v>2797.6177540699996</v>
      </c>
      <c r="M42" s="25">
        <v>2797.6177540699996</v>
      </c>
      <c r="N42" s="25">
        <v>2797.6177540699996</v>
      </c>
      <c r="O42" s="25">
        <v>2797.6177540699996</v>
      </c>
      <c r="P42" s="25">
        <v>2797.6177540699996</v>
      </c>
      <c r="Q42" s="25">
        <v>2797.6177540699996</v>
      </c>
      <c r="R42" s="25">
        <v>2797.6177540699996</v>
      </c>
      <c r="S42" s="25">
        <v>2797.6177540699996</v>
      </c>
      <c r="T42" s="25">
        <v>2797.6177540699996</v>
      </c>
      <c r="U42" s="24">
        <v>0</v>
      </c>
    </row>
    <row r="43" spans="1:21" ht="14.65" customHeight="1" thickBot="1">
      <c r="A43" s="214"/>
      <c r="B43" s="63" t="s">
        <v>160</v>
      </c>
      <c r="C43" s="25">
        <v>2654.5907307299999</v>
      </c>
      <c r="D43" s="25">
        <v>2268.2589197426269</v>
      </c>
      <c r="E43" s="25">
        <v>2287.8608764806445</v>
      </c>
      <c r="F43" s="25">
        <v>2311.4586979879691</v>
      </c>
      <c r="G43" s="25">
        <v>2347.8968141678142</v>
      </c>
      <c r="H43" s="25">
        <v>2390.4097504488923</v>
      </c>
      <c r="I43" s="25">
        <v>2446.5358314310242</v>
      </c>
      <c r="J43" s="25">
        <v>2510.6032856456368</v>
      </c>
      <c r="K43" s="25">
        <v>2580.2134073999136</v>
      </c>
      <c r="L43" s="25">
        <v>2653.2091690231891</v>
      </c>
      <c r="M43" s="25">
        <v>2738.8906707817155</v>
      </c>
      <c r="N43" s="25">
        <v>2834.0051291058508</v>
      </c>
      <c r="O43" s="25">
        <v>2933.9212223964587</v>
      </c>
      <c r="P43" s="25">
        <v>3014.7460711730928</v>
      </c>
      <c r="Q43" s="25">
        <v>3086.1983777038486</v>
      </c>
      <c r="R43" s="25">
        <v>3150.3808569485373</v>
      </c>
      <c r="S43" s="25">
        <v>3210.5486016299756</v>
      </c>
      <c r="T43" s="25">
        <v>3263.5833561696813</v>
      </c>
      <c r="U43" s="24">
        <v>2.2998813814058439E-2</v>
      </c>
    </row>
    <row r="44" spans="1:21" ht="14.65" customHeight="1" thickBot="1">
      <c r="A44" s="206" t="s">
        <v>161</v>
      </c>
      <c r="B44" s="207"/>
      <c r="C44" s="26">
        <v>89296.816058502998</v>
      </c>
      <c r="D44" s="26">
        <v>88028.370357710999</v>
      </c>
      <c r="E44" s="26">
        <v>90362.460308657697</v>
      </c>
      <c r="F44" s="26">
        <v>93609.463719327294</v>
      </c>
      <c r="G44" s="26">
        <v>97674.882479833701</v>
      </c>
      <c r="H44" s="26">
        <v>106694.837327726</v>
      </c>
      <c r="I44" s="26">
        <v>114359.30490840301</v>
      </c>
      <c r="J44" s="26">
        <v>121694.42031519899</v>
      </c>
      <c r="K44" s="26">
        <v>128835.03144818</v>
      </c>
      <c r="L44" s="26">
        <v>133920.844692388</v>
      </c>
      <c r="M44" s="26">
        <v>139680.97452549601</v>
      </c>
      <c r="N44" s="26">
        <v>145383.68203917</v>
      </c>
      <c r="O44" s="26">
        <v>150979.20809128101</v>
      </c>
      <c r="P44" s="26">
        <v>155622.82805961501</v>
      </c>
      <c r="Q44" s="26">
        <v>159714.54913766199</v>
      </c>
      <c r="R44" s="26">
        <v>163349.20754812399</v>
      </c>
      <c r="S44" s="26">
        <v>166763.891829353</v>
      </c>
      <c r="T44" s="26">
        <v>169741.28091644199</v>
      </c>
      <c r="U44" s="27">
        <v>4.1892233766969822E-2</v>
      </c>
    </row>
    <row r="45" spans="1:21" ht="14.65" customHeight="1">
      <c r="A45" s="215" t="s">
        <v>126</v>
      </c>
      <c r="B45" s="63" t="s">
        <v>162</v>
      </c>
      <c r="C45" s="23">
        <v>48164.506870190991</v>
      </c>
      <c r="D45" s="23">
        <v>50460.373296176265</v>
      </c>
      <c r="E45" s="23">
        <v>50738.653988462487</v>
      </c>
      <c r="F45" s="23">
        <v>51858.143725874834</v>
      </c>
      <c r="G45" s="23">
        <v>52881.131547475212</v>
      </c>
      <c r="H45" s="23">
        <v>54244.710033675205</v>
      </c>
      <c r="I45" s="23">
        <v>56543.109572339134</v>
      </c>
      <c r="J45" s="23">
        <v>59008.395453626807</v>
      </c>
      <c r="K45" s="23">
        <v>61426.471486063274</v>
      </c>
      <c r="L45" s="23">
        <v>63904.844522131927</v>
      </c>
      <c r="M45" s="23">
        <v>66551.70058678076</v>
      </c>
      <c r="N45" s="23">
        <v>69350.870581839903</v>
      </c>
      <c r="O45" s="23">
        <v>72204.729533091857</v>
      </c>
      <c r="P45" s="23">
        <v>74357.809917764607</v>
      </c>
      <c r="Q45" s="23">
        <v>76376.339503015275</v>
      </c>
      <c r="R45" s="23">
        <v>78184.74781544476</v>
      </c>
      <c r="S45" s="23">
        <v>79857.49138074911</v>
      </c>
      <c r="T45" s="23">
        <v>81369.842327212551</v>
      </c>
      <c r="U45" s="24">
        <v>3.0313910717015613E-2</v>
      </c>
    </row>
    <row r="46" spans="1:21" ht="14.65" customHeight="1">
      <c r="A46" s="213"/>
      <c r="B46" s="63" t="s">
        <v>163</v>
      </c>
      <c r="C46" s="23">
        <v>12184.843116280001</v>
      </c>
      <c r="D46" s="23">
        <v>11659</v>
      </c>
      <c r="E46" s="23">
        <v>12003.300000000001</v>
      </c>
      <c r="F46" s="23">
        <v>12003.300000000001</v>
      </c>
      <c r="G46" s="23">
        <v>12670.15</v>
      </c>
      <c r="H46" s="23">
        <v>13337</v>
      </c>
      <c r="I46" s="23">
        <v>13337</v>
      </c>
      <c r="J46" s="23">
        <v>13337</v>
      </c>
      <c r="K46" s="23">
        <v>13337</v>
      </c>
      <c r="L46" s="23">
        <v>13337</v>
      </c>
      <c r="M46" s="23">
        <v>13337</v>
      </c>
      <c r="N46" s="23">
        <v>13337</v>
      </c>
      <c r="O46" s="23">
        <v>13337</v>
      </c>
      <c r="P46" s="23">
        <v>13338</v>
      </c>
      <c r="Q46" s="23">
        <v>13339</v>
      </c>
      <c r="R46" s="23">
        <v>13340</v>
      </c>
      <c r="S46" s="23">
        <v>13341</v>
      </c>
      <c r="T46" s="23">
        <v>13342</v>
      </c>
      <c r="U46" s="24">
        <v>8.4630193449695135E-3</v>
      </c>
    </row>
    <row r="47" spans="1:21" ht="14.65" customHeight="1">
      <c r="A47" s="213"/>
      <c r="B47" s="63" t="s">
        <v>164</v>
      </c>
      <c r="C47" s="25">
        <v>217.19450838</v>
      </c>
      <c r="D47" s="25">
        <v>219.16705498487016</v>
      </c>
      <c r="E47" s="25">
        <v>247.41331000000002</v>
      </c>
      <c r="F47" s="25">
        <v>250.45380404697624</v>
      </c>
      <c r="G47" s="25">
        <v>258.26472005114545</v>
      </c>
      <c r="H47" s="25">
        <v>269.22593258197242</v>
      </c>
      <c r="I47" s="25">
        <v>280.29805932507008</v>
      </c>
      <c r="J47" s="25">
        <v>292.42472209519337</v>
      </c>
      <c r="K47" s="25">
        <v>303.61342811070864</v>
      </c>
      <c r="L47" s="25">
        <v>315.17193880150069</v>
      </c>
      <c r="M47" s="25">
        <v>327.08859446455733</v>
      </c>
      <c r="N47" s="25">
        <v>339.37234808139311</v>
      </c>
      <c r="O47" s="25">
        <v>351.62660040531523</v>
      </c>
      <c r="P47" s="25">
        <v>360.85059745201954</v>
      </c>
      <c r="Q47" s="25">
        <v>369.71964661068512</v>
      </c>
      <c r="R47" s="25">
        <v>377.70928247509437</v>
      </c>
      <c r="S47" s="25">
        <v>385.03822839601128</v>
      </c>
      <c r="T47" s="25">
        <v>391.98565026496232</v>
      </c>
      <c r="U47" s="24">
        <v>3.7005192629696149E-2</v>
      </c>
    </row>
    <row r="48" spans="1:21" ht="14.65" customHeight="1">
      <c r="A48" s="213"/>
      <c r="B48" s="63" t="s">
        <v>133</v>
      </c>
      <c r="C48" s="25">
        <v>446.62404814000001</v>
      </c>
      <c r="D48" s="25">
        <v>511.86736999999982</v>
      </c>
      <c r="E48" s="25">
        <v>515.29486999999995</v>
      </c>
      <c r="F48" s="25">
        <v>525.2305189501526</v>
      </c>
      <c r="G48" s="25">
        <v>543.65080977924663</v>
      </c>
      <c r="H48" s="25">
        <v>565.60304782685319</v>
      </c>
      <c r="I48" s="25">
        <v>589.95845465189302</v>
      </c>
      <c r="J48" s="25">
        <v>616.5368926714475</v>
      </c>
      <c r="K48" s="25">
        <v>639.91441447385455</v>
      </c>
      <c r="L48" s="25">
        <v>664.23613032552907</v>
      </c>
      <c r="M48" s="25">
        <v>689.11528002034527</v>
      </c>
      <c r="N48" s="25">
        <v>715.67203921224234</v>
      </c>
      <c r="O48" s="25">
        <v>742.20213263931123</v>
      </c>
      <c r="P48" s="25">
        <v>761.9727139318104</v>
      </c>
      <c r="Q48" s="25">
        <v>780.4951864210168</v>
      </c>
      <c r="R48" s="25">
        <v>797.05745309251267</v>
      </c>
      <c r="S48" s="25">
        <v>812.33191911874076</v>
      </c>
      <c r="T48" s="25">
        <v>825.96820776277434</v>
      </c>
      <c r="U48" s="24">
        <v>3.0357336719702532E-2</v>
      </c>
    </row>
    <row r="49" spans="1:21" ht="14.65" customHeight="1">
      <c r="A49" s="213"/>
      <c r="B49" s="63" t="s">
        <v>166</v>
      </c>
      <c r="C49" s="25">
        <v>10410.71333884</v>
      </c>
      <c r="D49" s="25">
        <v>10818.943100000004</v>
      </c>
      <c r="E49" s="25">
        <v>10971.836179999998</v>
      </c>
      <c r="F49" s="25">
        <v>11165.901625663277</v>
      </c>
      <c r="G49" s="25">
        <v>11573.002224901014</v>
      </c>
      <c r="H49" s="25">
        <v>12072.287901824177</v>
      </c>
      <c r="I49" s="25">
        <v>12714.729576337988</v>
      </c>
      <c r="J49" s="25">
        <v>13411.943008916807</v>
      </c>
      <c r="K49" s="25">
        <v>14051.87941745703</v>
      </c>
      <c r="L49" s="25">
        <v>14721.906967195428</v>
      </c>
      <c r="M49" s="25">
        <v>15413.65691754458</v>
      </c>
      <c r="N49" s="25">
        <v>16147.457852808428</v>
      </c>
      <c r="O49" s="25">
        <v>16884.664168895641</v>
      </c>
      <c r="P49" s="25">
        <v>17339.179375206561</v>
      </c>
      <c r="Q49" s="25">
        <v>17763.107345953071</v>
      </c>
      <c r="R49" s="25">
        <v>18139.194437535603</v>
      </c>
      <c r="S49" s="25">
        <v>18477.122612504038</v>
      </c>
      <c r="T49" s="25">
        <v>18780.888384629401</v>
      </c>
      <c r="U49" s="24">
        <v>3.5072346543380206E-2</v>
      </c>
    </row>
    <row r="50" spans="1:21" ht="14.65" customHeight="1">
      <c r="A50" s="213"/>
      <c r="B50" s="63" t="s">
        <v>167</v>
      </c>
      <c r="C50" s="25">
        <v>351.53559998999998</v>
      </c>
      <c r="D50" s="25">
        <v>357.20797615983827</v>
      </c>
      <c r="E50" s="25">
        <v>360.68641079461281</v>
      </c>
      <c r="F50" s="25">
        <v>368.94690758563218</v>
      </c>
      <c r="G50" s="25">
        <v>382.86454290371773</v>
      </c>
      <c r="H50" s="25">
        <v>399.4338825677886</v>
      </c>
      <c r="I50" s="25">
        <v>418.7697383121523</v>
      </c>
      <c r="J50" s="25">
        <v>439.50910266262679</v>
      </c>
      <c r="K50" s="25">
        <v>459.51909647035393</v>
      </c>
      <c r="L50" s="25">
        <v>479.77460107714364</v>
      </c>
      <c r="M50" s="25">
        <v>500.79040137834409</v>
      </c>
      <c r="N50" s="25">
        <v>521.74092006588853</v>
      </c>
      <c r="O50" s="25">
        <v>542.19629094634365</v>
      </c>
      <c r="P50" s="25">
        <v>557.61727086769156</v>
      </c>
      <c r="Q50" s="25">
        <v>572.35294615592341</v>
      </c>
      <c r="R50" s="25">
        <v>585.55948324007454</v>
      </c>
      <c r="S50" s="25">
        <v>597.62521901289483</v>
      </c>
      <c r="T50" s="25">
        <v>608.93512310142194</v>
      </c>
      <c r="U50" s="24">
        <v>3.3899004847691705E-2</v>
      </c>
    </row>
    <row r="51" spans="1:21" ht="14.65" customHeight="1">
      <c r="A51" s="213"/>
      <c r="B51" s="63" t="s">
        <v>168</v>
      </c>
      <c r="C51" s="25">
        <v>411.93938901000001</v>
      </c>
      <c r="D51" s="25">
        <v>415.27737085058334</v>
      </c>
      <c r="E51" s="25">
        <v>487.31517000000031</v>
      </c>
      <c r="F51" s="25">
        <v>497.16314672228521</v>
      </c>
      <c r="G51" s="25">
        <v>518.81185028131767</v>
      </c>
      <c r="H51" s="25">
        <v>545.19309633033345</v>
      </c>
      <c r="I51" s="25">
        <v>574.84917296104061</v>
      </c>
      <c r="J51" s="25">
        <v>606.91429273622066</v>
      </c>
      <c r="K51" s="25">
        <v>634.61440547418147</v>
      </c>
      <c r="L51" s="25">
        <v>663.73124088606073</v>
      </c>
      <c r="M51" s="25">
        <v>693.07452618994819</v>
      </c>
      <c r="N51" s="25">
        <v>723.77823513508008</v>
      </c>
      <c r="O51" s="25">
        <v>753.65860388020701</v>
      </c>
      <c r="P51" s="25">
        <v>775.48069576111516</v>
      </c>
      <c r="Q51" s="25">
        <v>796.12150896792627</v>
      </c>
      <c r="R51" s="25">
        <v>814.64120590372636</v>
      </c>
      <c r="S51" s="25">
        <v>831.31673508925394</v>
      </c>
      <c r="T51" s="25">
        <v>846.44681266636007</v>
      </c>
      <c r="U51" s="24">
        <v>4.5511557340394804E-2</v>
      </c>
    </row>
    <row r="52" spans="1:21" ht="14.65" customHeight="1">
      <c r="A52" s="213"/>
      <c r="B52" s="63" t="s">
        <v>169</v>
      </c>
      <c r="C52" s="25">
        <v>531.48059929999999</v>
      </c>
      <c r="D52" s="25">
        <v>595.63</v>
      </c>
      <c r="E52" s="25">
        <v>605.69263000000001</v>
      </c>
      <c r="F52" s="25">
        <v>617.62899274745246</v>
      </c>
      <c r="G52" s="25">
        <v>642.50342495840459</v>
      </c>
      <c r="H52" s="25">
        <v>672.68906759741685</v>
      </c>
      <c r="I52" s="25">
        <v>706.53121218351941</v>
      </c>
      <c r="J52" s="25">
        <v>743.17231384388015</v>
      </c>
      <c r="K52" s="25">
        <v>775.11035974114748</v>
      </c>
      <c r="L52" s="25">
        <v>808.54820022769457</v>
      </c>
      <c r="M52" s="25">
        <v>842.4754560228248</v>
      </c>
      <c r="N52" s="25">
        <v>878.24001011456494</v>
      </c>
      <c r="O52" s="25">
        <v>913.41890836026289</v>
      </c>
      <c r="P52" s="25">
        <v>939.3237162995556</v>
      </c>
      <c r="Q52" s="25">
        <v>963.71230100339164</v>
      </c>
      <c r="R52" s="25">
        <v>985.53650308145632</v>
      </c>
      <c r="S52" s="25">
        <v>1005.2923220668611</v>
      </c>
      <c r="T52" s="25">
        <v>1023.1209739479361</v>
      </c>
      <c r="U52" s="24">
        <v>3.4390210002359867E-2</v>
      </c>
    </row>
    <row r="53" spans="1:21" ht="14.65" customHeight="1">
      <c r="A53" s="213"/>
      <c r="B53" s="63" t="s">
        <v>170</v>
      </c>
      <c r="C53" s="25">
        <v>2685.14070713</v>
      </c>
      <c r="D53" s="25">
        <v>2242.8449833466993</v>
      </c>
      <c r="E53" s="25">
        <v>2199.0444074956531</v>
      </c>
      <c r="F53" s="25">
        <v>2275.2099699272562</v>
      </c>
      <c r="G53" s="25">
        <v>2334.3221178702138</v>
      </c>
      <c r="H53" s="25">
        <v>2416.19615131201</v>
      </c>
      <c r="I53" s="25">
        <v>2521.8899688893666</v>
      </c>
      <c r="J53" s="25">
        <v>2631.671504892659</v>
      </c>
      <c r="K53" s="25">
        <v>2731.6465589059312</v>
      </c>
      <c r="L53" s="25">
        <v>2833.5017767495774</v>
      </c>
      <c r="M53" s="25">
        <v>2938.7856841706925</v>
      </c>
      <c r="N53" s="25">
        <v>3051.0418959559279</v>
      </c>
      <c r="O53" s="25">
        <v>3164.6548365784279</v>
      </c>
      <c r="P53" s="25">
        <v>3246.663772286016</v>
      </c>
      <c r="Q53" s="25">
        <v>3322.150110190868</v>
      </c>
      <c r="R53" s="25">
        <v>3388.2683799108991</v>
      </c>
      <c r="S53" s="25">
        <v>3447.0676933526443</v>
      </c>
      <c r="T53" s="25">
        <v>3499.5821563495074</v>
      </c>
      <c r="U53" s="24">
        <v>2.8196351528332553E-2</v>
      </c>
    </row>
    <row r="54" spans="1:21" ht="14.65" customHeight="1">
      <c r="A54" s="213"/>
      <c r="B54" s="63" t="s">
        <v>171</v>
      </c>
      <c r="C54" s="25">
        <v>198.32610047</v>
      </c>
      <c r="D54" s="25">
        <v>200.06595141226694</v>
      </c>
      <c r="E54" s="25">
        <v>215.10099000000002</v>
      </c>
      <c r="F54" s="25">
        <v>218.37553236361012</v>
      </c>
      <c r="G54" s="25">
        <v>225.59366737121957</v>
      </c>
      <c r="H54" s="25">
        <v>234.56321180606747</v>
      </c>
      <c r="I54" s="25">
        <v>244.72183698494456</v>
      </c>
      <c r="J54" s="25">
        <v>255.54813442777385</v>
      </c>
      <c r="K54" s="25">
        <v>265.32430917622725</v>
      </c>
      <c r="L54" s="25">
        <v>275.4638240588564</v>
      </c>
      <c r="M54" s="25">
        <v>285.97871050379285</v>
      </c>
      <c r="N54" s="25">
        <v>297.23430389994496</v>
      </c>
      <c r="O54" s="25">
        <v>308.57879336431984</v>
      </c>
      <c r="P54" s="25">
        <v>317.08667032671764</v>
      </c>
      <c r="Q54" s="25">
        <v>324.96218242220277</v>
      </c>
      <c r="R54" s="25">
        <v>331.8938536274095</v>
      </c>
      <c r="S54" s="25">
        <v>338.0709288492759</v>
      </c>
      <c r="T54" s="25">
        <v>343.60697895556751</v>
      </c>
      <c r="U54" s="24">
        <v>3.4381035505161917E-2</v>
      </c>
    </row>
    <row r="55" spans="1:21" ht="14.65" customHeight="1">
      <c r="A55" s="213"/>
      <c r="B55" s="63" t="s">
        <v>172</v>
      </c>
      <c r="C55" s="25">
        <v>386.12388885999997</v>
      </c>
      <c r="D55" s="25">
        <v>392.07029608442917</v>
      </c>
      <c r="E55" s="25">
        <v>422.28211999999985</v>
      </c>
      <c r="F55" s="25">
        <v>430.78526394427348</v>
      </c>
      <c r="G55" s="25">
        <v>448.06879590355038</v>
      </c>
      <c r="H55" s="25">
        <v>469.3384971872124</v>
      </c>
      <c r="I55" s="25">
        <v>493.35317375276202</v>
      </c>
      <c r="J55" s="25">
        <v>519.1848948592833</v>
      </c>
      <c r="K55" s="25">
        <v>542.21393026956514</v>
      </c>
      <c r="L55" s="25">
        <v>566.1832226577344</v>
      </c>
      <c r="M55" s="25">
        <v>590.86561600569473</v>
      </c>
      <c r="N55" s="25">
        <v>617.10178471185668</v>
      </c>
      <c r="O55" s="25">
        <v>643.3376284795645</v>
      </c>
      <c r="P55" s="25">
        <v>662.88803663035355</v>
      </c>
      <c r="Q55" s="25">
        <v>681.12897980038406</v>
      </c>
      <c r="R55" s="25">
        <v>697.31702691716316</v>
      </c>
      <c r="S55" s="25">
        <v>711.78019823664658</v>
      </c>
      <c r="T55" s="25">
        <v>724.82148613059383</v>
      </c>
      <c r="U55" s="24">
        <v>3.9152280126399264E-2</v>
      </c>
    </row>
    <row r="56" spans="1:21" ht="14.65" customHeight="1">
      <c r="A56" s="213"/>
      <c r="B56" s="63" t="s">
        <v>173</v>
      </c>
      <c r="C56" s="25">
        <v>265.77950480000004</v>
      </c>
      <c r="D56" s="25">
        <v>266.75350380933048</v>
      </c>
      <c r="E56" s="25">
        <v>281.61549000000002</v>
      </c>
      <c r="F56" s="25">
        <v>285.84362889654045</v>
      </c>
      <c r="G56" s="25">
        <v>294.3839605215361</v>
      </c>
      <c r="H56" s="25">
        <v>304.75615886392859</v>
      </c>
      <c r="I56" s="25">
        <v>316.71645743614101</v>
      </c>
      <c r="J56" s="25">
        <v>329.36761534443656</v>
      </c>
      <c r="K56" s="25">
        <v>341.36911806497875</v>
      </c>
      <c r="L56" s="25">
        <v>353.57311176911026</v>
      </c>
      <c r="M56" s="25">
        <v>366.09360834301265</v>
      </c>
      <c r="N56" s="25">
        <v>378.52694826425409</v>
      </c>
      <c r="O56" s="25">
        <v>390.53138181012463</v>
      </c>
      <c r="P56" s="25">
        <v>399.50073716811625</v>
      </c>
      <c r="Q56" s="25">
        <v>408.14090443164639</v>
      </c>
      <c r="R56" s="25">
        <v>415.90868212034013</v>
      </c>
      <c r="S56" s="25">
        <v>423.04556520038818</v>
      </c>
      <c r="T56" s="25">
        <v>429.75599018467091</v>
      </c>
      <c r="U56" s="24">
        <v>3.0254423508107919E-2</v>
      </c>
    </row>
    <row r="57" spans="1:21" ht="14.65" customHeight="1">
      <c r="A57" s="213"/>
      <c r="B57" s="63" t="s">
        <v>174</v>
      </c>
      <c r="C57" s="25">
        <v>161.07568158999999</v>
      </c>
      <c r="D57" s="25">
        <v>162.31812683579196</v>
      </c>
      <c r="E57" s="25">
        <v>168.21315000000004</v>
      </c>
      <c r="F57" s="25">
        <v>171.56611578265478</v>
      </c>
      <c r="G57" s="25">
        <v>177.78847354982906</v>
      </c>
      <c r="H57" s="25">
        <v>185.30071530281478</v>
      </c>
      <c r="I57" s="25">
        <v>193.90998361536441</v>
      </c>
      <c r="J57" s="25">
        <v>203.12888141526966</v>
      </c>
      <c r="K57" s="25">
        <v>211.7736142639323</v>
      </c>
      <c r="L57" s="25">
        <v>220.57192438034866</v>
      </c>
      <c r="M57" s="25">
        <v>229.55308913825849</v>
      </c>
      <c r="N57" s="25">
        <v>238.45044636290567</v>
      </c>
      <c r="O57" s="25">
        <v>247.02434255713621</v>
      </c>
      <c r="P57" s="25">
        <v>253.36432718707559</v>
      </c>
      <c r="Q57" s="25">
        <v>259.50230131626847</v>
      </c>
      <c r="R57" s="25">
        <v>265.02943232026257</v>
      </c>
      <c r="S57" s="25">
        <v>270.12940441605406</v>
      </c>
      <c r="T57" s="25">
        <v>274.94560303302802</v>
      </c>
      <c r="U57" s="24">
        <v>3.3486920701583545E-2</v>
      </c>
    </row>
    <row r="58" spans="1:21" ht="14.65" customHeight="1">
      <c r="A58" s="213"/>
      <c r="B58" s="63" t="s">
        <v>175</v>
      </c>
      <c r="C58" s="25">
        <v>328.16281594999998</v>
      </c>
      <c r="D58" s="25">
        <v>328.75067184652187</v>
      </c>
      <c r="E58" s="25">
        <v>339.49680999999987</v>
      </c>
      <c r="F58" s="25">
        <v>346.89158722194225</v>
      </c>
      <c r="G58" s="25">
        <v>362.92102529702777</v>
      </c>
      <c r="H58" s="25">
        <v>382.5795485749203</v>
      </c>
      <c r="I58" s="25">
        <v>406.50505973586849</v>
      </c>
      <c r="J58" s="25">
        <v>433.32627987297741</v>
      </c>
      <c r="K58" s="25">
        <v>459.85985059699601</v>
      </c>
      <c r="L58" s="25">
        <v>488.0023138545622</v>
      </c>
      <c r="M58" s="25">
        <v>519.16808312493686</v>
      </c>
      <c r="N58" s="25">
        <v>552.24815589811828</v>
      </c>
      <c r="O58" s="25">
        <v>585.49893449360684</v>
      </c>
      <c r="P58" s="25">
        <v>612.53353900320519</v>
      </c>
      <c r="Q58" s="25">
        <v>638.5414253580077</v>
      </c>
      <c r="R58" s="25">
        <v>662.61502457430549</v>
      </c>
      <c r="S58" s="25">
        <v>684.41998404777769</v>
      </c>
      <c r="T58" s="25">
        <v>704.99671396000201</v>
      </c>
      <c r="U58" s="24">
        <v>4.883586033998033E-2</v>
      </c>
    </row>
    <row r="59" spans="1:21" ht="14.65" customHeight="1">
      <c r="A59" s="213"/>
      <c r="B59" s="63" t="s">
        <v>100</v>
      </c>
      <c r="C59" s="25">
        <v>2111.1182209640001</v>
      </c>
      <c r="D59" s="25">
        <v>2145.5812827857967</v>
      </c>
      <c r="E59" s="25">
        <v>2166.7670673791099</v>
      </c>
      <c r="F59" s="25">
        <v>2196.018002475761</v>
      </c>
      <c r="G59" s="25">
        <v>2254.9966909615782</v>
      </c>
      <c r="H59" s="25">
        <v>2328.6915218344861</v>
      </c>
      <c r="I59" s="25">
        <v>2412.2608964365045</v>
      </c>
      <c r="J59" s="25">
        <v>2500.7071451369011</v>
      </c>
      <c r="K59" s="25">
        <v>2583.8065828733065</v>
      </c>
      <c r="L59" s="25">
        <v>2668.9046595051791</v>
      </c>
      <c r="M59" s="25">
        <v>2759.414031787313</v>
      </c>
      <c r="N59" s="25">
        <v>2858.3836243491905</v>
      </c>
      <c r="O59" s="25">
        <v>2961.1664135023148</v>
      </c>
      <c r="P59" s="25">
        <v>3039.9036566019349</v>
      </c>
      <c r="Q59" s="25">
        <v>3111.7341922130936</v>
      </c>
      <c r="R59" s="25">
        <v>3174.1798190614818</v>
      </c>
      <c r="S59" s="25">
        <v>3229.8628315086476</v>
      </c>
      <c r="T59" s="25">
        <v>3279.1452881155765</v>
      </c>
      <c r="U59" s="24">
        <v>2.6865304973805681E-2</v>
      </c>
    </row>
    <row r="60" spans="1:21" ht="14.65" customHeight="1">
      <c r="A60" s="213"/>
      <c r="B60" s="28" t="s">
        <v>8</v>
      </c>
      <c r="C60" s="25">
        <v>62.935685999999997</v>
      </c>
      <c r="D60" s="25">
        <v>63.239799178380807</v>
      </c>
      <c r="E60" s="25">
        <v>63.457416421139513</v>
      </c>
      <c r="F60" s="25">
        <v>65.003610595622561</v>
      </c>
      <c r="G60" s="25">
        <v>67.767645282756689</v>
      </c>
      <c r="H60" s="25">
        <v>71.104857390556276</v>
      </c>
      <c r="I60" s="25">
        <v>74.853053123816096</v>
      </c>
      <c r="J60" s="25">
        <v>78.95310601737711</v>
      </c>
      <c r="K60" s="25">
        <v>82.682467281296653</v>
      </c>
      <c r="L60" s="25">
        <v>86.493275116272827</v>
      </c>
      <c r="M60" s="25">
        <v>90.325698640098864</v>
      </c>
      <c r="N60" s="25">
        <v>94.106531646751037</v>
      </c>
      <c r="O60" s="25">
        <v>97.710212782364749</v>
      </c>
      <c r="P60" s="25">
        <v>100.31850165833045</v>
      </c>
      <c r="Q60" s="25">
        <v>102.88715626997231</v>
      </c>
      <c r="R60" s="25">
        <v>105.21513796098121</v>
      </c>
      <c r="S60" s="25">
        <v>107.43208121099926</v>
      </c>
      <c r="T60" s="25">
        <v>109.5228780807101</v>
      </c>
      <c r="U60" s="24">
        <v>3.4920876977680315E-2</v>
      </c>
    </row>
    <row r="61" spans="1:21" ht="14.65" customHeight="1">
      <c r="A61" s="213"/>
      <c r="B61" s="63" t="s">
        <v>177</v>
      </c>
      <c r="C61" s="25">
        <v>233.822565</v>
      </c>
      <c r="D61" s="25">
        <v>236.32334651292399</v>
      </c>
      <c r="E61" s="25">
        <v>237.95058990794934</v>
      </c>
      <c r="F61" s="25">
        <v>241.42465620670865</v>
      </c>
      <c r="G61" s="25">
        <v>248.74648135780211</v>
      </c>
      <c r="H61" s="25">
        <v>257.68246705329028</v>
      </c>
      <c r="I61" s="25">
        <v>267.68898706378894</v>
      </c>
      <c r="J61" s="25">
        <v>278.54840814598515</v>
      </c>
      <c r="K61" s="25">
        <v>288.19198863484746</v>
      </c>
      <c r="L61" s="25">
        <v>298.18253631539784</v>
      </c>
      <c r="M61" s="25">
        <v>308.4736061244966</v>
      </c>
      <c r="N61" s="25">
        <v>319.52555287192888</v>
      </c>
      <c r="O61" s="25">
        <v>330.6482238446896</v>
      </c>
      <c r="P61" s="25">
        <v>338.98175563853874</v>
      </c>
      <c r="Q61" s="25">
        <v>346.72574645414221</v>
      </c>
      <c r="R61" s="25">
        <v>353.59334667129883</v>
      </c>
      <c r="S61" s="25">
        <v>359.92205065053508</v>
      </c>
      <c r="T61" s="25">
        <v>365.52996525880928</v>
      </c>
      <c r="U61" s="24">
        <v>2.7634136182931535E-2</v>
      </c>
    </row>
    <row r="62" spans="1:21" ht="14.65" customHeight="1">
      <c r="A62" s="213"/>
      <c r="B62" s="63" t="s">
        <v>178</v>
      </c>
      <c r="C62" s="25">
        <v>145.04692066900003</v>
      </c>
      <c r="D62" s="25">
        <v>148.86382824589907</v>
      </c>
      <c r="E62" s="25">
        <v>150.9871178634796</v>
      </c>
      <c r="F62" s="25">
        <v>154.21522693385594</v>
      </c>
      <c r="G62" s="25">
        <v>159.20027288478533</v>
      </c>
      <c r="H62" s="25">
        <v>164.98633322502013</v>
      </c>
      <c r="I62" s="25">
        <v>171.76433013744847</v>
      </c>
      <c r="J62" s="25">
        <v>179.02664882221421</v>
      </c>
      <c r="K62" s="25">
        <v>186.29475610406308</v>
      </c>
      <c r="L62" s="25">
        <v>193.63940827951157</v>
      </c>
      <c r="M62" s="25">
        <v>201.35104825872872</v>
      </c>
      <c r="N62" s="25">
        <v>209.09475237738221</v>
      </c>
      <c r="O62" s="25">
        <v>216.73390908834739</v>
      </c>
      <c r="P62" s="25">
        <v>222.63081014048427</v>
      </c>
      <c r="Q62" s="25">
        <v>228.25647887677752</v>
      </c>
      <c r="R62" s="25">
        <v>233.32264733148648</v>
      </c>
      <c r="S62" s="25">
        <v>237.9858344367417</v>
      </c>
      <c r="T62" s="25">
        <v>242.33061148307945</v>
      </c>
      <c r="U62" s="24">
        <v>3.0922915830838615E-2</v>
      </c>
    </row>
    <row r="63" spans="1:21" ht="14.65" customHeight="1">
      <c r="A63" s="213"/>
      <c r="B63" s="63" t="s">
        <v>179</v>
      </c>
      <c r="C63" s="25">
        <v>138.27173400499998</v>
      </c>
      <c r="D63" s="25">
        <v>140.00859118537628</v>
      </c>
      <c r="E63" s="25">
        <v>140.00512211816746</v>
      </c>
      <c r="F63" s="25">
        <v>141.91414321929079</v>
      </c>
      <c r="G63" s="25">
        <v>146.36003815423868</v>
      </c>
      <c r="H63" s="25">
        <v>152.92341011090704</v>
      </c>
      <c r="I63" s="25">
        <v>159.32947509413961</v>
      </c>
      <c r="J63" s="25">
        <v>166.34680346043706</v>
      </c>
      <c r="K63" s="25">
        <v>172.97486380814883</v>
      </c>
      <c r="L63" s="25">
        <v>179.80343289188693</v>
      </c>
      <c r="M63" s="25">
        <v>186.95584630693892</v>
      </c>
      <c r="N63" s="25">
        <v>194.36279323663575</v>
      </c>
      <c r="O63" s="25">
        <v>201.83148459889676</v>
      </c>
      <c r="P63" s="25">
        <v>207.50908551198501</v>
      </c>
      <c r="Q63" s="25">
        <v>212.91792368719345</v>
      </c>
      <c r="R63" s="25">
        <v>217.7640753925387</v>
      </c>
      <c r="S63" s="25">
        <v>222.16769401545415</v>
      </c>
      <c r="T63" s="25">
        <v>226.3095901717904</v>
      </c>
      <c r="U63" s="24">
        <v>3.0467423960245377E-2</v>
      </c>
    </row>
    <row r="64" spans="1:21" ht="14.65" customHeight="1">
      <c r="A64" s="213"/>
      <c r="B64" s="63" t="s">
        <v>180</v>
      </c>
      <c r="C64" s="25">
        <v>66.730999999999995</v>
      </c>
      <c r="D64" s="25">
        <v>67.131385999999992</v>
      </c>
      <c r="E64" s="25">
        <v>67.534174315999991</v>
      </c>
      <c r="F64" s="25">
        <v>67.939379361895988</v>
      </c>
      <c r="G64" s="25">
        <v>68.347015638067361</v>
      </c>
      <c r="H64" s="25">
        <v>68.757097731895769</v>
      </c>
      <c r="I64" s="25">
        <v>69.169640318287151</v>
      </c>
      <c r="J64" s="25">
        <v>69.584658160196881</v>
      </c>
      <c r="K64" s="25">
        <v>70.002166109158068</v>
      </c>
      <c r="L64" s="25">
        <v>70.422179105813015</v>
      </c>
      <c r="M64" s="25">
        <v>70.8447121804479</v>
      </c>
      <c r="N64" s="25">
        <v>71.269780453530586</v>
      </c>
      <c r="O64" s="25">
        <v>71.697399136251775</v>
      </c>
      <c r="P64" s="25">
        <v>72.127583531069291</v>
      </c>
      <c r="Q64" s="25">
        <v>72.560349032255701</v>
      </c>
      <c r="R64" s="25">
        <v>72.995711126449237</v>
      </c>
      <c r="S64" s="25">
        <v>73.433685393207938</v>
      </c>
      <c r="T64" s="25">
        <v>73.874287505567182</v>
      </c>
      <c r="U64" s="24">
        <v>6.0000000000000053E-3</v>
      </c>
    </row>
    <row r="65" spans="1:21" ht="15" customHeight="1">
      <c r="A65" s="213"/>
      <c r="B65" s="63" t="s">
        <v>181</v>
      </c>
      <c r="C65" s="25">
        <v>324.10635259099996</v>
      </c>
      <c r="D65" s="25">
        <v>330.55285283583299</v>
      </c>
      <c r="E65" s="25">
        <v>332.93183692853381</v>
      </c>
      <c r="F65" s="25">
        <v>336.35992456992261</v>
      </c>
      <c r="G65" s="25">
        <v>343.60624110611298</v>
      </c>
      <c r="H65" s="25">
        <v>355.50824082294912</v>
      </c>
      <c r="I65" s="25">
        <v>366.19160492084194</v>
      </c>
      <c r="J65" s="25">
        <v>377.7774535301948</v>
      </c>
      <c r="K65" s="25">
        <v>389.30761720929769</v>
      </c>
      <c r="L65" s="25">
        <v>401.1759672251585</v>
      </c>
      <c r="M65" s="25">
        <v>414.02161454847374</v>
      </c>
      <c r="N65" s="25">
        <v>427.52529791061801</v>
      </c>
      <c r="O65" s="25">
        <v>441.45235040088448</v>
      </c>
      <c r="P65" s="25">
        <v>452.36904873608199</v>
      </c>
      <c r="Q65" s="25">
        <v>462.59665033953047</v>
      </c>
      <c r="R65" s="25">
        <v>471.72542486617601</v>
      </c>
      <c r="S65" s="25">
        <v>479.99876397976112</v>
      </c>
      <c r="T65" s="25">
        <v>487.60170933146219</v>
      </c>
      <c r="U65" s="24">
        <v>2.4593318254278129E-2</v>
      </c>
    </row>
    <row r="66" spans="1:21" ht="15" customHeight="1">
      <c r="A66" s="213"/>
      <c r="B66" s="63" t="s">
        <v>182</v>
      </c>
      <c r="C66" s="25">
        <v>133.74528075999999</v>
      </c>
      <c r="D66" s="25">
        <v>136.59375576357564</v>
      </c>
      <c r="E66" s="25">
        <v>138.21498849365926</v>
      </c>
      <c r="F66" s="25">
        <v>139.33509604229354</v>
      </c>
      <c r="G66" s="25">
        <v>141.1943848061797</v>
      </c>
      <c r="H66" s="25">
        <v>143.33292194008959</v>
      </c>
      <c r="I66" s="25">
        <v>145.87002553908985</v>
      </c>
      <c r="J66" s="25">
        <v>148.72132183066816</v>
      </c>
      <c r="K66" s="25">
        <v>151.7830733722916</v>
      </c>
      <c r="L66" s="25">
        <v>154.86123976829214</v>
      </c>
      <c r="M66" s="25">
        <v>158.21648399261812</v>
      </c>
      <c r="N66" s="25">
        <v>161.70274166317435</v>
      </c>
      <c r="O66" s="25">
        <v>165.18905689756207</v>
      </c>
      <c r="P66" s="25">
        <v>168.0735259817323</v>
      </c>
      <c r="Q66" s="25">
        <v>170.81692490499981</v>
      </c>
      <c r="R66" s="25">
        <v>173.29618953904836</v>
      </c>
      <c r="S66" s="25">
        <v>175.86113930982154</v>
      </c>
      <c r="T66" s="25">
        <v>178.0594523075774</v>
      </c>
      <c r="U66" s="24">
        <v>1.6707170887380052E-2</v>
      </c>
    </row>
    <row r="67" spans="1:21" ht="15" customHeight="1">
      <c r="A67" s="213"/>
      <c r="B67" s="63" t="s">
        <v>38</v>
      </c>
      <c r="C67" s="25">
        <v>29.9</v>
      </c>
      <c r="D67" s="25">
        <v>29.9</v>
      </c>
      <c r="E67" s="25">
        <v>29.9</v>
      </c>
      <c r="F67" s="25">
        <v>29.9</v>
      </c>
      <c r="G67" s="25">
        <v>29.9</v>
      </c>
      <c r="H67" s="25">
        <v>29.9</v>
      </c>
      <c r="I67" s="25">
        <v>29.9</v>
      </c>
      <c r="J67" s="25">
        <v>29.9</v>
      </c>
      <c r="K67" s="25">
        <v>29.9</v>
      </c>
      <c r="L67" s="25">
        <v>29.9</v>
      </c>
      <c r="M67" s="25">
        <v>29.9</v>
      </c>
      <c r="N67" s="25">
        <v>29.9</v>
      </c>
      <c r="O67" s="25">
        <v>29.9</v>
      </c>
      <c r="P67" s="25">
        <v>29.9</v>
      </c>
      <c r="Q67" s="25">
        <v>29.9</v>
      </c>
      <c r="R67" s="25">
        <v>29.9</v>
      </c>
      <c r="S67" s="25">
        <v>29.9</v>
      </c>
      <c r="T67" s="25">
        <v>29.9</v>
      </c>
      <c r="U67" s="24">
        <v>0</v>
      </c>
    </row>
    <row r="68" spans="1:21" ht="15" customHeight="1">
      <c r="A68" s="213"/>
      <c r="B68" s="63" t="s">
        <v>183</v>
      </c>
      <c r="C68" s="25">
        <v>35.364829</v>
      </c>
      <c r="D68" s="25">
        <v>36.610428995644455</v>
      </c>
      <c r="E68" s="25">
        <v>37.224364552711087</v>
      </c>
      <c r="F68" s="25">
        <v>37.722982408550337</v>
      </c>
      <c r="G68" s="25">
        <v>38.410338765055684</v>
      </c>
      <c r="H68" s="25">
        <v>39.279926413743418</v>
      </c>
      <c r="I68" s="25">
        <v>40.262220656758601</v>
      </c>
      <c r="J68" s="25">
        <v>41.324870283107145</v>
      </c>
      <c r="K68" s="25">
        <v>42.428445210658282</v>
      </c>
      <c r="L68" s="25">
        <v>43.509062211533916</v>
      </c>
      <c r="M68" s="25">
        <v>44.745557453792081</v>
      </c>
      <c r="N68" s="25">
        <v>46.182351670489354</v>
      </c>
      <c r="O68" s="25">
        <v>47.797769431146733</v>
      </c>
      <c r="P68" s="25">
        <v>49.099186281332869</v>
      </c>
      <c r="Q68" s="25">
        <v>50.254394732357007</v>
      </c>
      <c r="R68" s="25">
        <v>51.243641664699631</v>
      </c>
      <c r="S68" s="25">
        <v>52.15781150182675</v>
      </c>
      <c r="T68" s="25">
        <v>52.938673576188421</v>
      </c>
      <c r="U68" s="24">
        <v>2.331776786774542E-2</v>
      </c>
    </row>
    <row r="69" spans="1:21" ht="15" customHeight="1">
      <c r="A69" s="213"/>
      <c r="B69" s="63" t="s">
        <v>184</v>
      </c>
      <c r="C69" s="25">
        <v>200.97545787999996</v>
      </c>
      <c r="D69" s="25">
        <v>206.79503726745168</v>
      </c>
      <c r="E69" s="25">
        <v>210.15875862874373</v>
      </c>
      <c r="F69" s="25">
        <v>214.30515626381103</v>
      </c>
      <c r="G69" s="25">
        <v>220.58145494987579</v>
      </c>
      <c r="H69" s="25">
        <v>227.8759353222886</v>
      </c>
      <c r="I69" s="25">
        <v>236.86720936589202</v>
      </c>
      <c r="J69" s="25">
        <v>246.45278259860279</v>
      </c>
      <c r="K69" s="25">
        <v>256.46075239140799</v>
      </c>
      <c r="L69" s="25">
        <v>266.45513532334382</v>
      </c>
      <c r="M69" s="25">
        <v>277.27923829267127</v>
      </c>
      <c r="N69" s="25">
        <v>288.26207482126534</v>
      </c>
      <c r="O69" s="25">
        <v>299.29114835488269</v>
      </c>
      <c r="P69" s="25">
        <v>308.02796337110709</v>
      </c>
      <c r="Q69" s="25">
        <v>316.13109745858873</v>
      </c>
      <c r="R69" s="25">
        <v>323.31129586083472</v>
      </c>
      <c r="S69" s="25">
        <v>329.79366270246766</v>
      </c>
      <c r="T69" s="25">
        <v>335.69811764761596</v>
      </c>
      <c r="U69" s="24">
        <v>3.074336910607256E-2</v>
      </c>
    </row>
    <row r="70" spans="1:21" ht="15" customHeight="1">
      <c r="A70" s="213"/>
      <c r="B70" s="63" t="s">
        <v>51</v>
      </c>
      <c r="C70" s="25">
        <v>1036.937472004</v>
      </c>
      <c r="D70" s="25">
        <v>1065.7021434644842</v>
      </c>
      <c r="E70" s="25">
        <v>1077.841672010594</v>
      </c>
      <c r="F70" s="25">
        <v>1097.0950534438434</v>
      </c>
      <c r="G70" s="25">
        <v>1131.0522441016997</v>
      </c>
      <c r="H70" s="25">
        <v>1173.2846024334747</v>
      </c>
      <c r="I70" s="25">
        <v>1221.1318924085949</v>
      </c>
      <c r="J70" s="25">
        <v>1271.9743788024373</v>
      </c>
      <c r="K70" s="25">
        <v>1320.1607223275689</v>
      </c>
      <c r="L70" s="25">
        <v>1369.39743031684</v>
      </c>
      <c r="M70" s="25">
        <v>1422.1160043443317</v>
      </c>
      <c r="N70" s="25">
        <v>1479.8551673347902</v>
      </c>
      <c r="O70" s="25">
        <v>1540.2610155460384</v>
      </c>
      <c r="P70" s="25">
        <v>1586.735725928115</v>
      </c>
      <c r="Q70" s="25">
        <v>1629.1563693455812</v>
      </c>
      <c r="R70" s="25">
        <v>1666.122805119689</v>
      </c>
      <c r="S70" s="25">
        <v>1698.8909585551876</v>
      </c>
      <c r="T70" s="25">
        <v>1728.0502833844785</v>
      </c>
      <c r="U70" s="24">
        <v>3.0670945530911098E-2</v>
      </c>
    </row>
    <row r="71" spans="1:21" ht="15" customHeight="1">
      <c r="A71" s="213"/>
      <c r="B71" s="63" t="s">
        <v>185</v>
      </c>
      <c r="C71" s="25">
        <v>105.19920531</v>
      </c>
      <c r="D71" s="25">
        <v>107.20350502363816</v>
      </c>
      <c r="E71" s="25">
        <v>108.61391516485428</v>
      </c>
      <c r="F71" s="25">
        <v>109.41825641404718</v>
      </c>
      <c r="G71" s="25">
        <v>111.22354565299271</v>
      </c>
      <c r="H71" s="25">
        <v>114.91175546741631</v>
      </c>
      <c r="I71" s="25">
        <v>117.9249876513456</v>
      </c>
      <c r="J71" s="25">
        <v>121.01881427020277</v>
      </c>
      <c r="K71" s="25">
        <v>124.40926734381712</v>
      </c>
      <c r="L71" s="25">
        <v>127.87403963099077</v>
      </c>
      <c r="M71" s="25">
        <v>131.80317555548368</v>
      </c>
      <c r="N71" s="25">
        <v>135.97169149867491</v>
      </c>
      <c r="O71" s="25">
        <v>140.3410792324249</v>
      </c>
      <c r="P71" s="25">
        <v>143.8914906273445</v>
      </c>
      <c r="Q71" s="25">
        <v>147.11839257240447</v>
      </c>
      <c r="R71" s="25">
        <v>149.90853003801519</v>
      </c>
      <c r="S71" s="25">
        <v>152.32252699241789</v>
      </c>
      <c r="T71" s="25">
        <v>154.45335022873746</v>
      </c>
      <c r="U71" s="24">
        <v>2.3085128314674241E-2</v>
      </c>
    </row>
    <row r="72" spans="1:21" ht="15" customHeight="1">
      <c r="A72" s="213"/>
      <c r="B72" s="63" t="s">
        <v>101</v>
      </c>
      <c r="C72" s="25">
        <v>2046.2503552149997</v>
      </c>
      <c r="D72" s="25">
        <v>2086.781981023767</v>
      </c>
      <c r="E72" s="25">
        <v>2112.6382343449031</v>
      </c>
      <c r="F72" s="25">
        <v>2152.6603025549439</v>
      </c>
      <c r="G72" s="25">
        <v>2218.6248822617099</v>
      </c>
      <c r="H72" s="25">
        <v>2296.3424626550027</v>
      </c>
      <c r="I72" s="25">
        <v>2388.9511320519268</v>
      </c>
      <c r="J72" s="25">
        <v>2487.5703144356744</v>
      </c>
      <c r="K72" s="25">
        <v>2586.4723175637573</v>
      </c>
      <c r="L72" s="25">
        <v>2686.0509534120115</v>
      </c>
      <c r="M72" s="25">
        <v>2791.3680007769231</v>
      </c>
      <c r="N72" s="25">
        <v>2897.2716901340796</v>
      </c>
      <c r="O72" s="25">
        <v>3001.9860288881478</v>
      </c>
      <c r="P72" s="25">
        <v>3083.0503650485575</v>
      </c>
      <c r="Q72" s="25">
        <v>3159.5316908111172</v>
      </c>
      <c r="R72" s="25">
        <v>3227.8349808426324</v>
      </c>
      <c r="S72" s="25">
        <v>3290.0399255263051</v>
      </c>
      <c r="T72" s="25">
        <v>3347.5674071337999</v>
      </c>
      <c r="U72" s="24">
        <v>2.9978752715257073E-2</v>
      </c>
    </row>
    <row r="73" spans="1:21" ht="15" customHeight="1">
      <c r="A73" s="213"/>
      <c r="B73" s="63" t="s">
        <v>102</v>
      </c>
      <c r="C73" s="25">
        <v>1049.420116106</v>
      </c>
      <c r="D73" s="25">
        <v>1021.1844096859912</v>
      </c>
      <c r="E73" s="25">
        <v>1160.2792513863596</v>
      </c>
      <c r="F73" s="25">
        <v>1192.2317162760628</v>
      </c>
      <c r="G73" s="25">
        <v>1480.5497952087956</v>
      </c>
      <c r="H73" s="25">
        <v>1641.4842775810052</v>
      </c>
      <c r="I73" s="25">
        <v>1670.44951071629</v>
      </c>
      <c r="J73" s="25">
        <v>1694.4887103969959</v>
      </c>
      <c r="K73" s="25">
        <v>1717.198349467883</v>
      </c>
      <c r="L73" s="25">
        <v>1737.6547562504925</v>
      </c>
      <c r="M73" s="25">
        <v>1757.9656614965265</v>
      </c>
      <c r="N73" s="25">
        <v>1779.4030063949922</v>
      </c>
      <c r="O73" s="25">
        <v>1801.5196507280677</v>
      </c>
      <c r="P73" s="25">
        <v>1813.6335873428854</v>
      </c>
      <c r="Q73" s="25">
        <v>1823.6283088302528</v>
      </c>
      <c r="R73" s="25">
        <v>1831.3740619008684</v>
      </c>
      <c r="S73" s="25">
        <v>1838.1152719888369</v>
      </c>
      <c r="T73" s="25">
        <v>1843.5266343426551</v>
      </c>
      <c r="U73" s="24">
        <v>3.7609830162770752E-2</v>
      </c>
    </row>
    <row r="74" spans="1:21" ht="15" customHeight="1">
      <c r="A74" s="213"/>
      <c r="B74" s="63" t="s">
        <v>186</v>
      </c>
      <c r="C74" s="25">
        <v>105.42894499399999</v>
      </c>
      <c r="D74" s="25">
        <v>105.55047021082743</v>
      </c>
      <c r="E74" s="25">
        <v>106.26330340954858</v>
      </c>
      <c r="F74" s="25">
        <v>106.1089657457015</v>
      </c>
      <c r="G74" s="25">
        <v>106.78391847861226</v>
      </c>
      <c r="H74" s="25">
        <v>108.08760127017524</v>
      </c>
      <c r="I74" s="25">
        <v>109.16405668704357</v>
      </c>
      <c r="J74" s="25">
        <v>110.14241336463792</v>
      </c>
      <c r="K74" s="25">
        <v>111.1404488783114</v>
      </c>
      <c r="L74" s="25">
        <v>112.18971348781159</v>
      </c>
      <c r="M74" s="25">
        <v>113.37003738143548</v>
      </c>
      <c r="N74" s="25">
        <v>114.65680183499543</v>
      </c>
      <c r="O74" s="25">
        <v>115.99270023084169</v>
      </c>
      <c r="P74" s="25">
        <v>117.14023469166253</v>
      </c>
      <c r="Q74" s="25">
        <v>118.19009720507442</v>
      </c>
      <c r="R74" s="25">
        <v>119.13639315420937</v>
      </c>
      <c r="S74" s="25">
        <v>120.02665934612159</v>
      </c>
      <c r="T74" s="25">
        <v>120.8025105781787</v>
      </c>
      <c r="U74" s="24">
        <v>8.4711689398009327E-3</v>
      </c>
    </row>
    <row r="75" spans="1:21" ht="15" customHeight="1">
      <c r="A75" s="213"/>
      <c r="B75" s="63" t="s">
        <v>159</v>
      </c>
      <c r="C75" s="25">
        <v>4551.3834900000002</v>
      </c>
      <c r="D75" s="25">
        <v>2947.5678085999998</v>
      </c>
      <c r="E75" s="25">
        <v>2947.5678085999998</v>
      </c>
      <c r="F75" s="25">
        <v>2947.5678085999998</v>
      </c>
      <c r="G75" s="25">
        <v>2947.5678085999998</v>
      </c>
      <c r="H75" s="25">
        <v>2947.5678085999998</v>
      </c>
      <c r="I75" s="25">
        <v>2947.5678085999998</v>
      </c>
      <c r="J75" s="25">
        <v>2947.5678085999998</v>
      </c>
      <c r="K75" s="25">
        <v>2947.5678085999998</v>
      </c>
      <c r="L75" s="25">
        <v>2947.5678085999998</v>
      </c>
      <c r="M75" s="25">
        <v>2947.5678085999998</v>
      </c>
      <c r="N75" s="25">
        <v>2947.5678085999998</v>
      </c>
      <c r="O75" s="25">
        <v>2947.5678085999998</v>
      </c>
      <c r="P75" s="25">
        <v>2947.5678085999998</v>
      </c>
      <c r="Q75" s="25">
        <v>2947.5678085999998</v>
      </c>
      <c r="R75" s="25">
        <v>2947.5678085999998</v>
      </c>
      <c r="S75" s="25">
        <v>2947.5678085999998</v>
      </c>
      <c r="T75" s="25">
        <v>2947.5678085999998</v>
      </c>
      <c r="U75" s="24">
        <v>0</v>
      </c>
    </row>
    <row r="76" spans="1:21" ht="14.65" customHeight="1" thickBot="1">
      <c r="A76" s="214"/>
      <c r="B76" s="63" t="s">
        <v>187</v>
      </c>
      <c r="C76" s="25">
        <v>1276.7543780000001</v>
      </c>
      <c r="D76" s="25">
        <v>1797.9730496</v>
      </c>
      <c r="E76" s="25">
        <v>1797.9730496</v>
      </c>
      <c r="F76" s="25">
        <v>1797.9730496</v>
      </c>
      <c r="G76" s="25">
        <v>1797.9730496</v>
      </c>
      <c r="H76" s="25">
        <v>1797.9730496</v>
      </c>
      <c r="I76" s="25">
        <v>1797.9730496</v>
      </c>
      <c r="J76" s="25">
        <v>1797.9730496</v>
      </c>
      <c r="K76" s="25">
        <v>1797.9730496</v>
      </c>
      <c r="L76" s="25">
        <v>1797.9730496</v>
      </c>
      <c r="M76" s="25">
        <v>1797.9730496</v>
      </c>
      <c r="N76" s="25">
        <v>1797.9730496</v>
      </c>
      <c r="O76" s="25">
        <v>1797.9730496</v>
      </c>
      <c r="P76" s="25">
        <v>1797.9730496</v>
      </c>
      <c r="Q76" s="25">
        <v>1797.9730496</v>
      </c>
      <c r="R76" s="25">
        <v>1797.9730496</v>
      </c>
      <c r="S76" s="25">
        <v>1797.9730496</v>
      </c>
      <c r="T76" s="25">
        <v>1797.9730496</v>
      </c>
      <c r="U76" s="24">
        <v>0</v>
      </c>
    </row>
    <row r="77" spans="1:21" ht="15.75" customHeight="1" thickBot="1">
      <c r="A77" s="206" t="s">
        <v>188</v>
      </c>
      <c r="B77" s="207"/>
      <c r="C77" s="26">
        <v>90396.838177428901</v>
      </c>
      <c r="D77" s="26">
        <v>91303.8333778862</v>
      </c>
      <c r="E77" s="26">
        <v>92442.254197878501</v>
      </c>
      <c r="F77" s="26">
        <v>94042.634150439204</v>
      </c>
      <c r="G77" s="26">
        <v>96826.342968673707</v>
      </c>
      <c r="H77" s="26">
        <v>100018.571514903</v>
      </c>
      <c r="I77" s="26">
        <v>103569.662146897</v>
      </c>
      <c r="J77" s="26">
        <v>107376.20178482099</v>
      </c>
      <c r="K77" s="26">
        <v>111039.06466584399</v>
      </c>
      <c r="L77" s="26">
        <v>114804.564421156</v>
      </c>
      <c r="M77" s="26">
        <v>118789.03812902801</v>
      </c>
      <c r="N77" s="26">
        <v>123001.75023874899</v>
      </c>
      <c r="O77" s="26">
        <v>127278.181456365</v>
      </c>
      <c r="P77" s="26">
        <v>130401.204749176</v>
      </c>
      <c r="Q77" s="26">
        <v>133323.22097257999</v>
      </c>
      <c r="R77" s="26">
        <v>135931.943498974</v>
      </c>
      <c r="S77" s="26">
        <v>138325.18394635801</v>
      </c>
      <c r="T77" s="26">
        <v>140487.74802554501</v>
      </c>
      <c r="U77" s="27">
        <v>2.7298939899574215E-2</v>
      </c>
    </row>
    <row r="78" spans="1:21" ht="14.65" customHeight="1">
      <c r="A78" s="215" t="s">
        <v>189</v>
      </c>
      <c r="B78" s="63" t="s">
        <v>190</v>
      </c>
      <c r="C78" s="25">
        <v>4685.5035072768005</v>
      </c>
      <c r="D78" s="25">
        <v>2515.9789832396964</v>
      </c>
      <c r="E78" s="25">
        <v>2602.2695346501951</v>
      </c>
      <c r="F78" s="25">
        <v>2657.6446740551219</v>
      </c>
      <c r="G78" s="25">
        <v>2768.0082765762745</v>
      </c>
      <c r="H78" s="25">
        <v>3011.6622060780119</v>
      </c>
      <c r="I78" s="25">
        <v>3160.1055231771315</v>
      </c>
      <c r="J78" s="25">
        <v>3332.6069638311237</v>
      </c>
      <c r="K78" s="25">
        <v>3514.3570729112362</v>
      </c>
      <c r="L78" s="25">
        <v>3701.0449628102433</v>
      </c>
      <c r="M78" s="25">
        <v>3901.1435413215659</v>
      </c>
      <c r="N78" s="25">
        <v>4124.7786004849659</v>
      </c>
      <c r="O78" s="25">
        <v>4475.0544431878188</v>
      </c>
      <c r="P78" s="25">
        <v>4690.2104830811913</v>
      </c>
      <c r="Q78" s="25">
        <v>4872.0136407562532</v>
      </c>
      <c r="R78" s="25">
        <v>5031.3294610268567</v>
      </c>
      <c r="S78" s="25">
        <v>5187.4849525135469</v>
      </c>
      <c r="T78" s="25">
        <v>5435.6314158190144</v>
      </c>
      <c r="U78" s="24">
        <v>4.9322383199453368E-2</v>
      </c>
    </row>
    <row r="79" spans="1:21" ht="14.65" customHeight="1">
      <c r="A79" s="213"/>
      <c r="B79" s="63" t="s">
        <v>191</v>
      </c>
      <c r="C79" s="25">
        <v>3802</v>
      </c>
      <c r="D79" s="25">
        <v>3941.9070000000002</v>
      </c>
      <c r="E79" s="25">
        <v>3941.9070000000002</v>
      </c>
      <c r="F79" s="25">
        <v>3941.9070000000002</v>
      </c>
      <c r="G79" s="25">
        <v>3941.9070000000002</v>
      </c>
      <c r="H79" s="25">
        <v>3941.9070000000002</v>
      </c>
      <c r="I79" s="25">
        <v>3941.9070000000002</v>
      </c>
      <c r="J79" s="25">
        <v>3941.9070000000002</v>
      </c>
      <c r="K79" s="25">
        <v>3941.9070000000002</v>
      </c>
      <c r="L79" s="25">
        <v>3941.9070000000002</v>
      </c>
      <c r="M79" s="25">
        <v>3941.9070000000002</v>
      </c>
      <c r="N79" s="25">
        <v>3941.9070000000002</v>
      </c>
      <c r="O79" s="25">
        <v>3941.9070000000002</v>
      </c>
      <c r="P79" s="25">
        <v>3942.9070000000002</v>
      </c>
      <c r="Q79" s="25">
        <v>3943.9070000000002</v>
      </c>
      <c r="R79" s="25">
        <v>3944.9070000000002</v>
      </c>
      <c r="S79" s="25">
        <v>3945.9070000000002</v>
      </c>
      <c r="T79" s="25">
        <v>3946.9070000000002</v>
      </c>
      <c r="U79" s="24">
        <v>7.9229253282964152E-5</v>
      </c>
    </row>
    <row r="80" spans="1:21" ht="14.65" customHeight="1">
      <c r="A80" s="213"/>
      <c r="B80" s="63" t="s">
        <v>192</v>
      </c>
      <c r="C80" s="25">
        <v>1049.8780705000001</v>
      </c>
      <c r="D80" s="25">
        <v>2022.8500000000001</v>
      </c>
      <c r="E80" s="25">
        <v>2424.9974300000017</v>
      </c>
      <c r="F80" s="25">
        <v>2492.1710407532528</v>
      </c>
      <c r="G80" s="25">
        <v>2609.199330042894</v>
      </c>
      <c r="H80" s="25">
        <v>2749.8822042442775</v>
      </c>
      <c r="I80" s="25">
        <v>2913.58492255695</v>
      </c>
      <c r="J80" s="25">
        <v>3091.7269060012195</v>
      </c>
      <c r="K80" s="25">
        <v>3256.6680972468612</v>
      </c>
      <c r="L80" s="25">
        <v>3427.0032632548946</v>
      </c>
      <c r="M80" s="25">
        <v>3603.2427767485888</v>
      </c>
      <c r="N80" s="25">
        <v>3791.1199496947056</v>
      </c>
      <c r="O80" s="25">
        <v>3981.0926698481944</v>
      </c>
      <c r="P80" s="25">
        <v>4149.8165988619157</v>
      </c>
      <c r="Q80" s="25">
        <v>4295.7314200301307</v>
      </c>
      <c r="R80" s="25">
        <v>4423.9014666974072</v>
      </c>
      <c r="S80" s="25">
        <v>4538.2831933679809</v>
      </c>
      <c r="T80" s="25">
        <v>4643.5192090054825</v>
      </c>
      <c r="U80" s="24">
        <v>5.330761242940274E-2</v>
      </c>
    </row>
    <row r="81" spans="1:21" ht="15" customHeight="1" thickBot="1">
      <c r="A81" s="214"/>
      <c r="B81" s="63" t="s">
        <v>193</v>
      </c>
      <c r="C81" s="25">
        <v>7444.8364918500001</v>
      </c>
      <c r="D81" s="25">
        <v>8421.8100000000013</v>
      </c>
      <c r="E81" s="25">
        <v>8109.236810000004</v>
      </c>
      <c r="F81" s="25">
        <v>8339.7969436067269</v>
      </c>
      <c r="G81" s="25">
        <v>8741.8948595305301</v>
      </c>
      <c r="H81" s="25">
        <v>9240.8979027153109</v>
      </c>
      <c r="I81" s="25">
        <v>9799.4187216375176</v>
      </c>
      <c r="J81" s="25">
        <v>10411.113164645056</v>
      </c>
      <c r="K81" s="25">
        <v>10968.196445909101</v>
      </c>
      <c r="L81" s="25">
        <v>11544.469801905259</v>
      </c>
      <c r="M81" s="25">
        <v>12135.609608965246</v>
      </c>
      <c r="N81" s="25">
        <v>12763.251336508125</v>
      </c>
      <c r="O81" s="25">
        <v>13410.718475992984</v>
      </c>
      <c r="P81" s="25">
        <v>13969.161070734093</v>
      </c>
      <c r="Q81" s="25">
        <v>14456.543095671217</v>
      </c>
      <c r="R81" s="25">
        <v>14886.469913569434</v>
      </c>
      <c r="S81" s="25">
        <v>15273.234049476574</v>
      </c>
      <c r="T81" s="25">
        <v>15644.942711126503</v>
      </c>
      <c r="U81" s="24">
        <v>3.9466586636915935E-2</v>
      </c>
    </row>
    <row r="82" spans="1:21" ht="14.65" customHeight="1" thickBot="1">
      <c r="A82" s="206" t="s">
        <v>194</v>
      </c>
      <c r="B82" s="207"/>
      <c r="C82" s="26">
        <v>16982.218069626801</v>
      </c>
      <c r="D82" s="26">
        <v>16902.545983239699</v>
      </c>
      <c r="E82" s="26">
        <v>17078.410774650201</v>
      </c>
      <c r="F82" s="26">
        <v>17431.519658415102</v>
      </c>
      <c r="G82" s="26">
        <v>18061.009466149699</v>
      </c>
      <c r="H82" s="26">
        <v>18944.349313037601</v>
      </c>
      <c r="I82" s="26">
        <v>19815.016167371599</v>
      </c>
      <c r="J82" s="26">
        <v>20777.354034477401</v>
      </c>
      <c r="K82" s="26">
        <v>21681.128616067199</v>
      </c>
      <c r="L82" s="26">
        <v>22614.425027970399</v>
      </c>
      <c r="M82" s="26">
        <v>23581.9029270354</v>
      </c>
      <c r="N82" s="26">
        <v>24621.056886687798</v>
      </c>
      <c r="O82" s="26">
        <v>25808.772589028998</v>
      </c>
      <c r="P82" s="26">
        <v>26752.095152677201</v>
      </c>
      <c r="Q82" s="26">
        <v>27568.195156457601</v>
      </c>
      <c r="R82" s="26">
        <v>28286.607841293699</v>
      </c>
      <c r="S82" s="26">
        <v>28944.909195358101</v>
      </c>
      <c r="T82" s="26">
        <v>29671.000335951001</v>
      </c>
      <c r="U82" s="27">
        <v>3.579486558674172E-2</v>
      </c>
    </row>
    <row r="83" spans="1:21" ht="14.65" customHeight="1">
      <c r="A83" s="216" t="s">
        <v>195</v>
      </c>
      <c r="B83" s="49" t="s">
        <v>93</v>
      </c>
      <c r="C83" s="25">
        <v>10157.467600469001</v>
      </c>
      <c r="D83" s="25">
        <v>10283.712899556855</v>
      </c>
      <c r="E83" s="25">
        <v>10402.966222615847</v>
      </c>
      <c r="F83" s="25">
        <v>10580.24320383144</v>
      </c>
      <c r="G83" s="25">
        <v>10844.272011678868</v>
      </c>
      <c r="H83" s="25">
        <v>11182.235445207119</v>
      </c>
      <c r="I83" s="25">
        <v>11594.427791442489</v>
      </c>
      <c r="J83" s="25">
        <v>12042.786223521476</v>
      </c>
      <c r="K83" s="25">
        <v>12482.405535867087</v>
      </c>
      <c r="L83" s="25">
        <v>12940.4289922553</v>
      </c>
      <c r="M83" s="25">
        <v>13398.804962214697</v>
      </c>
      <c r="N83" s="25">
        <v>13861.756794676872</v>
      </c>
      <c r="O83" s="25">
        <v>14317.738120156213</v>
      </c>
      <c r="P83" s="25">
        <v>14680.608418446533</v>
      </c>
      <c r="Q83" s="25">
        <v>15015.208109368094</v>
      </c>
      <c r="R83" s="25">
        <v>15334.010048204487</v>
      </c>
      <c r="S83" s="25">
        <v>15634.939099442692</v>
      </c>
      <c r="T83" s="25">
        <v>15913.340061136074</v>
      </c>
      <c r="U83" s="24">
        <v>2.766298116693644E-2</v>
      </c>
    </row>
    <row r="84" spans="1:21" ht="14.65" customHeight="1">
      <c r="A84" s="217"/>
      <c r="B84" s="63" t="s">
        <v>46</v>
      </c>
      <c r="C84" s="25">
        <v>2572.7977599999999</v>
      </c>
      <c r="D84" s="25">
        <v>2669.386840627843</v>
      </c>
      <c r="E84" s="25">
        <v>2682.9766878117762</v>
      </c>
      <c r="F84" s="25">
        <v>2701.2731924948771</v>
      </c>
      <c r="G84" s="25">
        <v>2727.3643484943227</v>
      </c>
      <c r="H84" s="25">
        <v>2762.3061006419825</v>
      </c>
      <c r="I84" s="25">
        <v>2803.2258458543542</v>
      </c>
      <c r="J84" s="25">
        <v>2851.7356012304012</v>
      </c>
      <c r="K84" s="25">
        <v>2899.8178218189128</v>
      </c>
      <c r="L84" s="25">
        <v>2953.808227674474</v>
      </c>
      <c r="M84" s="25">
        <v>3012.4757364261463</v>
      </c>
      <c r="N84" s="25">
        <v>3076.6032813533398</v>
      </c>
      <c r="O84" s="25">
        <v>3142.3182103045351</v>
      </c>
      <c r="P84" s="25">
        <v>3198.5913676247133</v>
      </c>
      <c r="Q84" s="25">
        <v>3247.7839984679731</v>
      </c>
      <c r="R84" s="25">
        <v>3291.3515302964493</v>
      </c>
      <c r="S84" s="25">
        <v>3330.5737187896148</v>
      </c>
      <c r="T84" s="25">
        <v>3365.5575143983265</v>
      </c>
      <c r="U84" s="24">
        <v>1.4589454111405331E-2</v>
      </c>
    </row>
    <row r="85" spans="1:21" ht="14.65" customHeight="1">
      <c r="A85" s="217"/>
      <c r="B85" s="63" t="s">
        <v>196</v>
      </c>
      <c r="C85" s="25">
        <v>1159.494394995</v>
      </c>
      <c r="D85" s="25">
        <v>1204.350609929789</v>
      </c>
      <c r="E85" s="25">
        <v>1209.9792905745217</v>
      </c>
      <c r="F85" s="25">
        <v>1217.5739054976166</v>
      </c>
      <c r="G85" s="25">
        <v>1231.1204757462622</v>
      </c>
      <c r="H85" s="25">
        <v>1250.5024092591061</v>
      </c>
      <c r="I85" s="25">
        <v>1274.0723516629998</v>
      </c>
      <c r="J85" s="25">
        <v>1301.9574290222617</v>
      </c>
      <c r="K85" s="25">
        <v>1328.0191114386982</v>
      </c>
      <c r="L85" s="25">
        <v>1357.4049856178942</v>
      </c>
      <c r="M85" s="25">
        <v>1388.9923081275165</v>
      </c>
      <c r="N85" s="25">
        <v>1423.3457151495479</v>
      </c>
      <c r="O85" s="25">
        <v>1458.1273170895183</v>
      </c>
      <c r="P85" s="25">
        <v>1487.5213668166484</v>
      </c>
      <c r="Q85" s="25">
        <v>1512.8678198001869</v>
      </c>
      <c r="R85" s="25">
        <v>1535.2635792066476</v>
      </c>
      <c r="S85" s="25">
        <v>1555.2347792600704</v>
      </c>
      <c r="T85" s="25">
        <v>1572.9569516141114</v>
      </c>
      <c r="U85" s="24">
        <v>1.6828578429640473E-2</v>
      </c>
    </row>
    <row r="86" spans="1:21" ht="14.65" customHeight="1">
      <c r="A86" s="217"/>
      <c r="B86" s="63" t="s">
        <v>55</v>
      </c>
      <c r="C86" s="25">
        <v>743.92056900199998</v>
      </c>
      <c r="D86" s="25">
        <v>773.9341348827495</v>
      </c>
      <c r="E86" s="25">
        <v>778.53895119336346</v>
      </c>
      <c r="F86" s="25">
        <v>783.96445522034139</v>
      </c>
      <c r="G86" s="25">
        <v>793.71868339770708</v>
      </c>
      <c r="H86" s="25">
        <v>807.74146580012928</v>
      </c>
      <c r="I86" s="25">
        <v>824.64321604076792</v>
      </c>
      <c r="J86" s="25">
        <v>844.73063635985875</v>
      </c>
      <c r="K86" s="25">
        <v>863.80395086402245</v>
      </c>
      <c r="L86" s="25">
        <v>885.32157705895122</v>
      </c>
      <c r="M86" s="25">
        <v>908.5464885719889</v>
      </c>
      <c r="N86" s="25">
        <v>933.76158301058285</v>
      </c>
      <c r="O86" s="25">
        <v>959.17103160646582</v>
      </c>
      <c r="P86" s="25">
        <v>980.81636942571492</v>
      </c>
      <c r="Q86" s="25">
        <v>999.6560514753379</v>
      </c>
      <c r="R86" s="25">
        <v>1016.420772099227</v>
      </c>
      <c r="S86" s="25">
        <v>1031.4045539645963</v>
      </c>
      <c r="T86" s="25">
        <v>1044.7154174837019</v>
      </c>
      <c r="U86" s="24">
        <v>1.8927714626087555E-2</v>
      </c>
    </row>
    <row r="87" spans="1:21" ht="14.65" customHeight="1">
      <c r="A87" s="217"/>
      <c r="B87" s="63" t="s">
        <v>197</v>
      </c>
      <c r="C87" s="25">
        <v>215.99556803999999</v>
      </c>
      <c r="D87" s="25">
        <v>220.38339687961027</v>
      </c>
      <c r="E87" s="25">
        <v>219.57126023632716</v>
      </c>
      <c r="F87" s="25">
        <v>220.45751720194505</v>
      </c>
      <c r="G87" s="25">
        <v>221.39997832661669</v>
      </c>
      <c r="H87" s="25">
        <v>222.39963721445474</v>
      </c>
      <c r="I87" s="25">
        <v>223.32490511780054</v>
      </c>
      <c r="J87" s="25">
        <v>224.47455917705147</v>
      </c>
      <c r="K87" s="25">
        <v>225.60257319093506</v>
      </c>
      <c r="L87" s="25">
        <v>227.07674779008175</v>
      </c>
      <c r="M87" s="25">
        <v>228.73803123115724</v>
      </c>
      <c r="N87" s="25">
        <v>230.63210535607061</v>
      </c>
      <c r="O87" s="25">
        <v>232.69564893922666</v>
      </c>
      <c r="P87" s="25">
        <v>234.33663176829697</v>
      </c>
      <c r="Q87" s="25">
        <v>235.62994102250534</v>
      </c>
      <c r="R87" s="25">
        <v>236.55477289384518</v>
      </c>
      <c r="S87" s="25">
        <v>237.29668126852766</v>
      </c>
      <c r="T87" s="25">
        <v>237.84683654027899</v>
      </c>
      <c r="U87" s="24">
        <v>4.77751233604784E-3</v>
      </c>
    </row>
    <row r="88" spans="1:21" ht="14.65" customHeight="1">
      <c r="A88" s="217"/>
      <c r="B88" s="63" t="s">
        <v>160</v>
      </c>
      <c r="C88" s="25">
        <v>550.50823080000009</v>
      </c>
      <c r="D88" s="25">
        <v>553.46933986841589</v>
      </c>
      <c r="E88" s="25">
        <v>554.7386673232088</v>
      </c>
      <c r="F88" s="25">
        <v>556.04650017552899</v>
      </c>
      <c r="G88" s="25">
        <v>557.78176920545548</v>
      </c>
      <c r="H88" s="25">
        <v>560.04973004563988</v>
      </c>
      <c r="I88" s="25">
        <v>563.20192873614144</v>
      </c>
      <c r="J88" s="25">
        <v>569.8953639185861</v>
      </c>
      <c r="K88" s="25">
        <v>574.4921647638713</v>
      </c>
      <c r="L88" s="25">
        <v>579.55921181471024</v>
      </c>
      <c r="M88" s="25">
        <v>584.91693817245721</v>
      </c>
      <c r="N88" s="25">
        <v>590.09914156079287</v>
      </c>
      <c r="O88" s="25">
        <v>595.10026065441934</v>
      </c>
      <c r="P88" s="25">
        <v>599.60627332956574</v>
      </c>
      <c r="Q88" s="25">
        <v>604.34500733849438</v>
      </c>
      <c r="R88" s="25">
        <v>609.22175871165462</v>
      </c>
      <c r="S88" s="25">
        <v>614.25001524218067</v>
      </c>
      <c r="T88" s="25">
        <v>619.49704691509839</v>
      </c>
      <c r="U88" s="24">
        <v>7.0687147985071253E-3</v>
      </c>
    </row>
    <row r="89" spans="1:21" ht="14.65" customHeight="1">
      <c r="A89" s="217"/>
      <c r="B89" s="63" t="s">
        <v>63</v>
      </c>
      <c r="C89" s="25">
        <v>2228.3823285900003</v>
      </c>
      <c r="D89" s="25">
        <v>2334.123874388938</v>
      </c>
      <c r="E89" s="25">
        <v>2357.7579851052769</v>
      </c>
      <c r="F89" s="25">
        <v>2398.0811448637796</v>
      </c>
      <c r="G89" s="25">
        <v>2455.3076146072444</v>
      </c>
      <c r="H89" s="25">
        <v>2525.7649547735191</v>
      </c>
      <c r="I89" s="25">
        <v>2604.2224054071662</v>
      </c>
      <c r="J89" s="25">
        <v>2693.9556054199302</v>
      </c>
      <c r="K89" s="25">
        <v>2792.1202003560716</v>
      </c>
      <c r="L89" s="25">
        <v>2899.5360897730657</v>
      </c>
      <c r="M89" s="25">
        <v>3027.4854393009641</v>
      </c>
      <c r="N89" s="25">
        <v>3160.1649434175474</v>
      </c>
      <c r="O89" s="25">
        <v>3292.7428887691663</v>
      </c>
      <c r="P89" s="25">
        <v>3399.751372709371</v>
      </c>
      <c r="Q89" s="25">
        <v>3491.7090545531146</v>
      </c>
      <c r="R89" s="25">
        <v>3571.7046676444102</v>
      </c>
      <c r="S89" s="25">
        <v>3641.7728242433022</v>
      </c>
      <c r="T89" s="25">
        <v>3700.6861262659968</v>
      </c>
      <c r="U89" s="24">
        <v>2.9223981467039639E-2</v>
      </c>
    </row>
    <row r="90" spans="1:21" ht="15" customHeight="1" thickBot="1">
      <c r="A90" s="218"/>
      <c r="B90" s="63" t="s">
        <v>0</v>
      </c>
      <c r="C90" s="25">
        <v>501.47260774199998</v>
      </c>
      <c r="D90" s="25">
        <v>523.56019680125098</v>
      </c>
      <c r="E90" s="25">
        <v>531.00801392590699</v>
      </c>
      <c r="F90" s="25">
        <v>541.88536582428696</v>
      </c>
      <c r="G90" s="25">
        <v>555.48886904057565</v>
      </c>
      <c r="H90" s="25">
        <v>571.23097630878726</v>
      </c>
      <c r="I90" s="25">
        <v>588.52680662600164</v>
      </c>
      <c r="J90" s="25">
        <v>607.45690272319689</v>
      </c>
      <c r="K90" s="25">
        <v>628.62733962926302</v>
      </c>
      <c r="L90" s="25">
        <v>651.06305404138288</v>
      </c>
      <c r="M90" s="25">
        <v>679.37367396557272</v>
      </c>
      <c r="N90" s="25">
        <v>707.53997199397486</v>
      </c>
      <c r="O90" s="25">
        <v>735.8040682859546</v>
      </c>
      <c r="P90" s="25">
        <v>758.90808663145651</v>
      </c>
      <c r="Q90" s="25">
        <v>779.30386026014423</v>
      </c>
      <c r="R90" s="25">
        <v>797.07683368730125</v>
      </c>
      <c r="S90" s="25">
        <v>812.54725401986707</v>
      </c>
      <c r="T90" s="25">
        <v>826.09998539254104</v>
      </c>
      <c r="U90" s="24">
        <v>2.8914113690311716E-2</v>
      </c>
    </row>
    <row r="91" spans="1:21" ht="14.65" customHeight="1" thickBot="1">
      <c r="A91" s="219" t="s">
        <v>198</v>
      </c>
      <c r="B91" s="220"/>
      <c r="C91" s="159">
        <v>18130.039059637998</v>
      </c>
      <c r="D91" s="159">
        <v>18563.2034819482</v>
      </c>
      <c r="E91" s="159">
        <v>18738.0053299549</v>
      </c>
      <c r="F91" s="159">
        <v>18999.525285109801</v>
      </c>
      <c r="G91" s="159">
        <v>19386.453750496999</v>
      </c>
      <c r="H91" s="159">
        <v>19882.2307192507</v>
      </c>
      <c r="I91" s="159">
        <v>20475.645250887701</v>
      </c>
      <c r="J91" s="159">
        <v>21136.9923213728</v>
      </c>
      <c r="K91" s="159">
        <v>21794.888697928898</v>
      </c>
      <c r="L91" s="159">
        <v>22494.198886025901</v>
      </c>
      <c r="M91" s="159">
        <v>23229.333578010501</v>
      </c>
      <c r="N91" s="159">
        <v>23983.903536518701</v>
      </c>
      <c r="O91" s="159">
        <v>24733.697545805499</v>
      </c>
      <c r="P91" s="159">
        <v>25340.139886752298</v>
      </c>
      <c r="Q91" s="159">
        <v>25886.503842285802</v>
      </c>
      <c r="R91" s="159">
        <v>26391.603962744</v>
      </c>
      <c r="S91" s="159">
        <v>26858.0189262309</v>
      </c>
      <c r="T91" s="159">
        <v>27280.6999397461</v>
      </c>
      <c r="U91" s="27">
        <v>2.4354221285269428E-2</v>
      </c>
    </row>
    <row r="92" spans="1:21" ht="15" customHeight="1" thickBot="1">
      <c r="A92" s="31" t="s">
        <v>116</v>
      </c>
      <c r="B92" s="160" t="s">
        <v>199</v>
      </c>
      <c r="C92" s="161">
        <v>20989.451741911995</v>
      </c>
      <c r="D92" s="162">
        <v>21027.859340786788</v>
      </c>
      <c r="E92" s="162">
        <v>21139.101417876445</v>
      </c>
      <c r="F92" s="162">
        <v>21422.219644090368</v>
      </c>
      <c r="G92" s="162">
        <v>22077.530695517293</v>
      </c>
      <c r="H92" s="162">
        <v>22911.32201719554</v>
      </c>
      <c r="I92" s="162">
        <v>23928.765662904014</v>
      </c>
      <c r="J92" s="162">
        <v>25047.413557584539</v>
      </c>
      <c r="K92" s="162">
        <v>26167.494973880512</v>
      </c>
      <c r="L92" s="162">
        <v>27337.774123166982</v>
      </c>
      <c r="M92" s="162">
        <v>28593.530031829563</v>
      </c>
      <c r="N92" s="162">
        <v>29885.227443469998</v>
      </c>
      <c r="O92" s="162">
        <v>31177.413150897177</v>
      </c>
      <c r="P92" s="162">
        <v>32155.028424910943</v>
      </c>
      <c r="Q92" s="162">
        <v>33072.768237762175</v>
      </c>
      <c r="R92" s="162">
        <v>33892.455630063116</v>
      </c>
      <c r="S92" s="163">
        <v>34657.337015048688</v>
      </c>
      <c r="T92" s="164">
        <v>35333.297340210214</v>
      </c>
      <c r="U92" s="165">
        <v>3.2967883933616049E-2</v>
      </c>
    </row>
    <row r="93" spans="1:21" ht="14.65" customHeight="1">
      <c r="A93" s="221" t="s">
        <v>200</v>
      </c>
      <c r="B93" s="28" t="s">
        <v>201</v>
      </c>
      <c r="C93" s="25">
        <v>946.0578756000001</v>
      </c>
      <c r="D93" s="25">
        <v>1033.6126282809028</v>
      </c>
      <c r="E93" s="25">
        <v>1089.6098448997816</v>
      </c>
      <c r="F93" s="25">
        <v>1133.3746289814596</v>
      </c>
      <c r="G93" s="25">
        <v>1181.6487321270192</v>
      </c>
      <c r="H93" s="25">
        <v>1232.5372869177108</v>
      </c>
      <c r="I93" s="25">
        <v>1290.8489017869038</v>
      </c>
      <c r="J93" s="25">
        <v>1359.7645030678525</v>
      </c>
      <c r="K93" s="25">
        <v>1431.8695244563326</v>
      </c>
      <c r="L93" s="25">
        <v>1507.2133307744937</v>
      </c>
      <c r="M93" s="25">
        <v>1588.8551331619819</v>
      </c>
      <c r="N93" s="25">
        <v>1675.7539166819167</v>
      </c>
      <c r="O93" s="25">
        <v>1764.0814938462931</v>
      </c>
      <c r="P93" s="25">
        <v>1837.3090971739905</v>
      </c>
      <c r="Q93" s="25">
        <v>1908.2770675248237</v>
      </c>
      <c r="R93" s="25">
        <v>1975.0529001081381</v>
      </c>
      <c r="S93" s="25">
        <v>2039.5142574496354</v>
      </c>
      <c r="T93" s="25">
        <v>2099.7188362531847</v>
      </c>
      <c r="U93" s="24">
        <v>4.5292197362914566E-2</v>
      </c>
    </row>
    <row r="94" spans="1:21" ht="15" customHeight="1" thickBot="1">
      <c r="A94" s="222"/>
      <c r="B94" s="63" t="s">
        <v>202</v>
      </c>
      <c r="C94" s="25">
        <v>953.00775983499989</v>
      </c>
      <c r="D94" s="25">
        <v>974.2428658490677</v>
      </c>
      <c r="E94" s="25">
        <v>989.97111515482129</v>
      </c>
      <c r="F94" s="25">
        <v>1016.4896048046901</v>
      </c>
      <c r="G94" s="25">
        <v>1062.3338623327338</v>
      </c>
      <c r="H94" s="25">
        <v>1118.9335630660196</v>
      </c>
      <c r="I94" s="25">
        <v>1188.3389304270256</v>
      </c>
      <c r="J94" s="25">
        <v>1269.3849409098962</v>
      </c>
      <c r="K94" s="25">
        <v>1350.5027644437196</v>
      </c>
      <c r="L94" s="25">
        <v>1436.4168838348073</v>
      </c>
      <c r="M94" s="25">
        <v>1528.5706388535552</v>
      </c>
      <c r="N94" s="25">
        <v>1626.0886240814868</v>
      </c>
      <c r="O94" s="25">
        <v>1723.1445663761858</v>
      </c>
      <c r="P94" s="25">
        <v>1803.2009715693064</v>
      </c>
      <c r="Q94" s="25">
        <v>1880.4560365205705</v>
      </c>
      <c r="R94" s="25">
        <v>1952.8480590434806</v>
      </c>
      <c r="S94" s="25">
        <v>2019.2321186668917</v>
      </c>
      <c r="T94" s="25">
        <v>2082.9846394303677</v>
      </c>
      <c r="U94" s="24">
        <v>4.8639414141131709E-2</v>
      </c>
    </row>
    <row r="95" spans="1:21" ht="14.65" customHeight="1" thickBot="1">
      <c r="A95" s="29" t="s">
        <v>203</v>
      </c>
      <c r="B95" s="29"/>
      <c r="C95" s="26">
        <v>1899.0656354350001</v>
      </c>
      <c r="D95" s="26">
        <v>2007.92524758689</v>
      </c>
      <c r="E95" s="26">
        <v>2079.6971302573702</v>
      </c>
      <c r="F95" s="26">
        <v>2149.8642337861502</v>
      </c>
      <c r="G95" s="26">
        <v>2243.9825944597501</v>
      </c>
      <c r="H95" s="26">
        <v>2351.4708499837302</v>
      </c>
      <c r="I95" s="26">
        <v>2479.1878322139301</v>
      </c>
      <c r="J95" s="26">
        <v>2629.1494439777498</v>
      </c>
      <c r="K95" s="26">
        <v>2782.3722889000501</v>
      </c>
      <c r="L95" s="26">
        <v>2943.6302146092999</v>
      </c>
      <c r="M95" s="26">
        <v>3117.4257720155401</v>
      </c>
      <c r="N95" s="26">
        <v>3301.8425407633999</v>
      </c>
      <c r="O95" s="26">
        <v>3487.2260602224801</v>
      </c>
      <c r="P95" s="26">
        <v>3640.5100687433001</v>
      </c>
      <c r="Q95" s="26">
        <v>3788.7331040453901</v>
      </c>
      <c r="R95" s="26">
        <v>3927.9009591516201</v>
      </c>
      <c r="S95" s="26">
        <v>4058.74637611653</v>
      </c>
      <c r="T95" s="26">
        <v>4182.7034756835501</v>
      </c>
      <c r="U95" s="27">
        <v>4.6934101141556939E-2</v>
      </c>
    </row>
    <row r="96" spans="1:21" ht="15" customHeight="1" thickBot="1">
      <c r="A96" s="31" t="s">
        <v>204</v>
      </c>
      <c r="B96" s="32" t="s">
        <v>40</v>
      </c>
      <c r="C96" s="26">
        <v>3422.2665919999999</v>
      </c>
      <c r="D96" s="26">
        <v>3562.8721545548601</v>
      </c>
      <c r="E96" s="26">
        <v>3587.5067783731301</v>
      </c>
      <c r="F96" s="26">
        <v>3617.8528899336702</v>
      </c>
      <c r="G96" s="26">
        <v>3666.0121059001999</v>
      </c>
      <c r="H96" s="26">
        <v>3720.1749464510499</v>
      </c>
      <c r="I96" s="26">
        <v>3779.6643313364898</v>
      </c>
      <c r="J96" s="26">
        <v>3845.3113216443098</v>
      </c>
      <c r="K96" s="26">
        <v>3907.58613362191</v>
      </c>
      <c r="L96" s="26">
        <v>3975.3963437747502</v>
      </c>
      <c r="M96" s="26">
        <v>4046.9468280655401</v>
      </c>
      <c r="N96" s="26">
        <v>4118.0271478627901</v>
      </c>
      <c r="O96" s="26">
        <v>4190.1556475674897</v>
      </c>
      <c r="P96" s="26">
        <v>4238.2336287588596</v>
      </c>
      <c r="Q96" s="26">
        <v>4286.83216173457</v>
      </c>
      <c r="R96" s="26">
        <v>4330.9972124113701</v>
      </c>
      <c r="S96" s="26">
        <v>4372.3629325558304</v>
      </c>
      <c r="T96" s="26">
        <v>4412.9780108823397</v>
      </c>
      <c r="U96" s="27">
        <v>1.346375233526409E-2</v>
      </c>
    </row>
    <row r="97" spans="1:21" ht="16.5" thickBot="1">
      <c r="A97" s="31" t="s">
        <v>205</v>
      </c>
      <c r="B97" s="34" t="s">
        <v>64</v>
      </c>
      <c r="C97" s="26">
        <v>6.5825569999999898</v>
      </c>
      <c r="D97" s="26">
        <v>7.0981044281037597</v>
      </c>
      <c r="E97" s="26">
        <v>6.9248343161085097</v>
      </c>
      <c r="F97" s="26">
        <v>6.7606298510843903</v>
      </c>
      <c r="G97" s="26">
        <v>6.6615023441757</v>
      </c>
      <c r="H97" s="26">
        <v>6.6017645682061197</v>
      </c>
      <c r="I97" s="26">
        <v>6.6272595923986302</v>
      </c>
      <c r="J97" s="26">
        <v>6.6533774709468601</v>
      </c>
      <c r="K97" s="26">
        <v>6.9367902501396097</v>
      </c>
      <c r="L97" s="26">
        <v>7.2471928481905898</v>
      </c>
      <c r="M97" s="26">
        <v>7.8658662405478399</v>
      </c>
      <c r="N97" s="26">
        <v>8.4609516829463107</v>
      </c>
      <c r="O97" s="26">
        <v>9.1004024307397202</v>
      </c>
      <c r="P97" s="26">
        <v>9.7819479542420797</v>
      </c>
      <c r="Q97" s="26">
        <v>10.4706623933548</v>
      </c>
      <c r="R97" s="26">
        <v>11.1375007395217</v>
      </c>
      <c r="S97" s="26">
        <v>11.7501399838625</v>
      </c>
      <c r="T97" s="26">
        <v>12.3025566820947</v>
      </c>
      <c r="U97" s="27">
        <v>3.497131195644454E-2</v>
      </c>
    </row>
    <row r="98" spans="1:21" ht="15" customHeight="1">
      <c r="A98" s="215" t="s">
        <v>206</v>
      </c>
      <c r="B98" s="63" t="s">
        <v>207</v>
      </c>
      <c r="C98" s="33">
        <v>539.03366050500006</v>
      </c>
      <c r="D98" s="33">
        <v>539.66056511225679</v>
      </c>
      <c r="E98" s="33">
        <v>548.67113228331118</v>
      </c>
      <c r="F98" s="33">
        <v>561.7387639402674</v>
      </c>
      <c r="G98" s="33">
        <v>581.10507190494729</v>
      </c>
      <c r="H98" s="33">
        <v>613.71375714444923</v>
      </c>
      <c r="I98" s="33">
        <v>644.75229171025217</v>
      </c>
      <c r="J98" s="33">
        <v>676.2721484682836</v>
      </c>
      <c r="K98" s="33">
        <v>706.9008968302785</v>
      </c>
      <c r="L98" s="33">
        <v>733.46676065339193</v>
      </c>
      <c r="M98" s="33">
        <v>762.41424693572503</v>
      </c>
      <c r="N98" s="33">
        <v>792.05026239263987</v>
      </c>
      <c r="O98" s="33">
        <v>821.91624713812666</v>
      </c>
      <c r="P98" s="33">
        <v>845.38031685344936</v>
      </c>
      <c r="Q98" s="33">
        <v>866.59855763404494</v>
      </c>
      <c r="R98" s="33">
        <v>885.53463156896646</v>
      </c>
      <c r="S98" s="33">
        <v>903.12887449220887</v>
      </c>
      <c r="T98" s="33">
        <v>919.0676413589066</v>
      </c>
      <c r="U98" s="24">
        <v>3.3836055928493591E-2</v>
      </c>
    </row>
    <row r="99" spans="1:21" ht="15" customHeight="1">
      <c r="A99" s="213"/>
      <c r="B99" s="63" t="s">
        <v>208</v>
      </c>
      <c r="C99" s="33">
        <v>69.558095999999992</v>
      </c>
      <c r="D99" s="33">
        <v>69.638993157356637</v>
      </c>
      <c r="E99" s="33">
        <v>70.801736678255622</v>
      </c>
      <c r="F99" s="33">
        <v>72.488012775439657</v>
      </c>
      <c r="G99" s="33">
        <v>74.98708399728271</v>
      </c>
      <c r="H99" s="33">
        <v>79.194980877410885</v>
      </c>
      <c r="I99" s="33">
        <v>83.200262041122954</v>
      </c>
      <c r="J99" s="33">
        <v>87.267654085299498</v>
      </c>
      <c r="K99" s="33">
        <v>91.220055530744517</v>
      </c>
      <c r="L99" s="33">
        <v>94.648173367392886</v>
      </c>
      <c r="M99" s="33">
        <v>98.383621034796079</v>
      </c>
      <c r="N99" s="33">
        <v>102.2079180300492</v>
      </c>
      <c r="O99" s="33">
        <v>106.06189077103693</v>
      </c>
      <c r="P99" s="33">
        <v>109.08974623423758</v>
      </c>
      <c r="Q99" s="33">
        <v>111.8277949634859</v>
      </c>
      <c r="R99" s="33">
        <v>114.27134783436668</v>
      </c>
      <c r="S99" s="33">
        <v>116.54174786310638</v>
      </c>
      <c r="T99" s="33">
        <v>118.59852159927104</v>
      </c>
      <c r="U99" s="24">
        <v>3.3836055928493591E-2</v>
      </c>
    </row>
    <row r="100" spans="1:21" ht="15" customHeight="1">
      <c r="A100" s="213"/>
      <c r="B100" s="63" t="s">
        <v>209</v>
      </c>
      <c r="C100" s="33">
        <v>774.31286198800001</v>
      </c>
      <c r="D100" s="33">
        <v>775.21339999926931</v>
      </c>
      <c r="E100" s="33">
        <v>788.15692944011687</v>
      </c>
      <c r="F100" s="33">
        <v>806.92836434127526</v>
      </c>
      <c r="G100" s="33">
        <v>834.74774269368368</v>
      </c>
      <c r="H100" s="33">
        <v>881.58957511247831</v>
      </c>
      <c r="I100" s="33">
        <v>926.17591227933406</v>
      </c>
      <c r="J100" s="33">
        <v>971.45366074665208</v>
      </c>
      <c r="K100" s="33">
        <v>1015.4513468671582</v>
      </c>
      <c r="L100" s="33">
        <v>1053.6127671183294</v>
      </c>
      <c r="M100" s="33">
        <v>1095.1953483056202</v>
      </c>
      <c r="N100" s="33">
        <v>1137.7669901672168</v>
      </c>
      <c r="O100" s="33">
        <v>1180.6689790758544</v>
      </c>
      <c r="P100" s="33">
        <v>1214.3747238305252</v>
      </c>
      <c r="Q100" s="33">
        <v>1244.8543727819122</v>
      </c>
      <c r="R100" s="33">
        <v>1272.0557271270727</v>
      </c>
      <c r="S100" s="33">
        <v>1297.3295636063099</v>
      </c>
      <c r="T100" s="33">
        <v>1320.2253363444165</v>
      </c>
      <c r="U100" s="24">
        <v>3.3836055928493591E-2</v>
      </c>
    </row>
    <row r="101" spans="1:21" ht="15" customHeight="1">
      <c r="A101" s="213"/>
      <c r="B101" s="63" t="s">
        <v>210</v>
      </c>
      <c r="C101" s="33">
        <v>92.93195900000002</v>
      </c>
      <c r="D101" s="33">
        <v>93.04004032687655</v>
      </c>
      <c r="E101" s="33">
        <v>94.593504832456176</v>
      </c>
      <c r="F101" s="33">
        <v>96.846426492735475</v>
      </c>
      <c r="G101" s="33">
        <v>100.18526981481834</v>
      </c>
      <c r="H101" s="33">
        <v>105.80716177028964</v>
      </c>
      <c r="I101" s="33">
        <v>111.15835230445208</v>
      </c>
      <c r="J101" s="33">
        <v>116.59252506683391</v>
      </c>
      <c r="K101" s="33">
        <v>121.87306651638188</v>
      </c>
      <c r="L101" s="33">
        <v>126.45314740649962</v>
      </c>
      <c r="M101" s="33">
        <v>131.44383130149524</v>
      </c>
      <c r="N101" s="33">
        <v>136.55322089097862</v>
      </c>
      <c r="O101" s="33">
        <v>141.70225827625421</v>
      </c>
      <c r="P101" s="33">
        <v>145.74757515445179</v>
      </c>
      <c r="Q101" s="33">
        <v>149.40570047528442</v>
      </c>
      <c r="R101" s="33">
        <v>152.67036941060181</v>
      </c>
      <c r="S101" s="33">
        <v>155.70370031696297</v>
      </c>
      <c r="T101" s="33">
        <v>158.4516193014264</v>
      </c>
      <c r="U101" s="24">
        <v>3.3836055928493591E-2</v>
      </c>
    </row>
    <row r="102" spans="1:21" ht="15.75" customHeight="1" thickBot="1">
      <c r="A102" s="214"/>
      <c r="B102" s="63" t="s">
        <v>211</v>
      </c>
      <c r="C102" s="33">
        <v>166.385053</v>
      </c>
      <c r="D102" s="33">
        <v>166.57856142803885</v>
      </c>
      <c r="E102" s="33">
        <v>169.35987882278445</v>
      </c>
      <c r="F102" s="33">
        <v>173.39350185068619</v>
      </c>
      <c r="G102" s="33">
        <v>179.37135520793063</v>
      </c>
      <c r="H102" s="33">
        <v>189.4367708199201</v>
      </c>
      <c r="I102" s="33">
        <v>199.01752355794983</v>
      </c>
      <c r="J102" s="33">
        <v>208.74684738593518</v>
      </c>
      <c r="K102" s="33">
        <v>218.20111025100334</v>
      </c>
      <c r="L102" s="33">
        <v>226.4012709906099</v>
      </c>
      <c r="M102" s="33">
        <v>235.3365739080389</v>
      </c>
      <c r="N102" s="33">
        <v>244.48440708396328</v>
      </c>
      <c r="O102" s="33">
        <v>253.70322553422389</v>
      </c>
      <c r="P102" s="33">
        <v>260.94594666507516</v>
      </c>
      <c r="Q102" s="33">
        <v>267.49544139150589</v>
      </c>
      <c r="R102" s="33">
        <v>273.34049318719912</v>
      </c>
      <c r="S102" s="33">
        <v>278.7713581883495</v>
      </c>
      <c r="T102" s="33">
        <v>283.69122268695173</v>
      </c>
      <c r="U102" s="24">
        <v>3.3836055928493813E-2</v>
      </c>
    </row>
    <row r="103" spans="1:21" ht="14.65" customHeight="1" thickBot="1">
      <c r="A103" s="210" t="s">
        <v>206</v>
      </c>
      <c r="B103" s="211"/>
      <c r="C103" s="29">
        <v>1642.221630493</v>
      </c>
      <c r="D103" s="29">
        <v>1644.1315600237981</v>
      </c>
      <c r="E103" s="29">
        <v>1671.5831820569242</v>
      </c>
      <c r="F103" s="29">
        <v>1711.3950694004038</v>
      </c>
      <c r="G103" s="29">
        <v>1770.3965236186625</v>
      </c>
      <c r="H103" s="29">
        <v>1869.742245724548</v>
      </c>
      <c r="I103" s="29">
        <v>1964.3043418931109</v>
      </c>
      <c r="J103" s="29">
        <v>2060.332835753004</v>
      </c>
      <c r="K103" s="29">
        <v>2153.6464759955661</v>
      </c>
      <c r="L103" s="29">
        <v>2234.5821195362237</v>
      </c>
      <c r="M103" s="29">
        <v>2322.7736214856754</v>
      </c>
      <c r="N103" s="29">
        <v>2413.062798564848</v>
      </c>
      <c r="O103" s="29">
        <v>2504.0526007954963</v>
      </c>
      <c r="P103" s="29">
        <v>2575.5383087377395</v>
      </c>
      <c r="Q103" s="29">
        <v>2640.1818672462337</v>
      </c>
      <c r="R103" s="29">
        <v>2697.872569128207</v>
      </c>
      <c r="S103" s="29">
        <v>2751.475244466938</v>
      </c>
      <c r="T103" s="29">
        <v>2800.0343412909729</v>
      </c>
      <c r="U103" s="27">
        <v>3.3836055928493813E-2</v>
      </c>
    </row>
    <row r="104" spans="1:21" ht="15.75" thickBot="1">
      <c r="A104" s="210" t="s">
        <v>212</v>
      </c>
      <c r="B104" s="211"/>
      <c r="C104" s="29">
        <v>242765.49952203667</v>
      </c>
      <c r="D104" s="29">
        <v>243047.83960816549</v>
      </c>
      <c r="E104" s="29">
        <v>247105.94395402129</v>
      </c>
      <c r="F104" s="29">
        <v>252991.23528035308</v>
      </c>
      <c r="G104" s="29">
        <v>261713.2720869942</v>
      </c>
      <c r="H104" s="29">
        <v>276399.30069884029</v>
      </c>
      <c r="I104" s="29">
        <v>290378.17790149926</v>
      </c>
      <c r="J104" s="29">
        <v>304573.82899230073</v>
      </c>
      <c r="K104" s="29">
        <v>318368.15009066829</v>
      </c>
      <c r="L104" s="29">
        <v>330332.66302147578</v>
      </c>
      <c r="M104" s="29">
        <v>343369.79127920675</v>
      </c>
      <c r="N104" s="29">
        <v>356717.01358346944</v>
      </c>
      <c r="O104" s="29">
        <v>370167.80754439387</v>
      </c>
      <c r="P104" s="29">
        <v>380735.3602273257</v>
      </c>
      <c r="Q104" s="29">
        <v>390291.45514216705</v>
      </c>
      <c r="R104" s="29">
        <v>398819.72672262957</v>
      </c>
      <c r="S104" s="29">
        <v>406743.67560547183</v>
      </c>
      <c r="T104" s="29">
        <v>413922.04494243331</v>
      </c>
      <c r="U104" s="27">
        <v>3.3836055928493591E-2</v>
      </c>
    </row>
    <row r="105" spans="1:21" ht="15.75" thickBot="1">
      <c r="A105" s="210" t="s">
        <v>213</v>
      </c>
      <c r="B105" s="211"/>
      <c r="C105" s="50">
        <v>12683.045521999999</v>
      </c>
      <c r="D105" s="50">
        <v>8120.4006122700002</v>
      </c>
      <c r="E105" s="50">
        <v>8120.4006122700002</v>
      </c>
      <c r="F105" s="50">
        <v>8120.4006122700002</v>
      </c>
      <c r="G105" s="50">
        <v>8120.4006122700002</v>
      </c>
      <c r="H105" s="50">
        <v>8120.4006122700002</v>
      </c>
      <c r="I105" s="50">
        <v>8120.4006122700002</v>
      </c>
      <c r="J105" s="50">
        <v>8120.4006122700002</v>
      </c>
      <c r="K105" s="50">
        <v>8120.4006122700002</v>
      </c>
      <c r="L105" s="50">
        <v>8120.4006122700002</v>
      </c>
      <c r="M105" s="50">
        <v>8120.4006122700002</v>
      </c>
      <c r="N105" s="50">
        <v>8120.4006122700002</v>
      </c>
      <c r="O105" s="50">
        <v>8120.4006122700002</v>
      </c>
      <c r="P105" s="50">
        <v>8120.4006122700002</v>
      </c>
      <c r="Q105" s="50">
        <v>8120.4006122700002</v>
      </c>
      <c r="R105" s="50">
        <v>8120.4006122700002</v>
      </c>
      <c r="S105" s="50">
        <v>8120.4006122700002</v>
      </c>
      <c r="T105" s="50">
        <v>8120.4006122700002</v>
      </c>
      <c r="U105" s="27">
        <v>0</v>
      </c>
    </row>
    <row r="106" spans="1:21" ht="15.75" thickBot="1">
      <c r="A106" s="210" t="s">
        <v>214</v>
      </c>
      <c r="B106" s="211"/>
      <c r="C106" s="29">
        <v>230082.45400003667</v>
      </c>
      <c r="D106" s="29">
        <v>234927.4389958955</v>
      </c>
      <c r="E106" s="29">
        <v>238985.5433417513</v>
      </c>
      <c r="F106" s="29">
        <v>244870.83466808309</v>
      </c>
      <c r="G106" s="29">
        <v>253592.8714747242</v>
      </c>
      <c r="H106" s="29">
        <v>268278.9000865703</v>
      </c>
      <c r="I106" s="29">
        <v>282257.77728922927</v>
      </c>
      <c r="J106" s="29">
        <v>296453.42838003073</v>
      </c>
      <c r="K106" s="29">
        <v>310247.7494783983</v>
      </c>
      <c r="L106" s="29">
        <v>322212.26240920578</v>
      </c>
      <c r="M106" s="29">
        <v>335249.39066693676</v>
      </c>
      <c r="N106" s="29">
        <v>348596.61297119944</v>
      </c>
      <c r="O106" s="29">
        <v>362047.40693212388</v>
      </c>
      <c r="P106" s="29">
        <v>372614.9596150557</v>
      </c>
      <c r="Q106" s="29">
        <v>382171.05452989705</v>
      </c>
      <c r="R106" s="29">
        <v>390699.32611035957</v>
      </c>
      <c r="S106" s="29">
        <v>398623.27499320183</v>
      </c>
      <c r="T106" s="29">
        <v>405801.64433016331</v>
      </c>
      <c r="U106" s="27">
        <v>3.4751950303296475E-2</v>
      </c>
    </row>
    <row r="107" spans="1:21">
      <c r="A107" s="35" t="s">
        <v>574</v>
      </c>
    </row>
    <row r="108" spans="1:21">
      <c r="A108" s="35" t="s">
        <v>215</v>
      </c>
    </row>
    <row r="109" spans="1:21">
      <c r="A109" s="35"/>
    </row>
    <row r="110" spans="1:21">
      <c r="A110" s="35"/>
    </row>
    <row r="113" spans="2:21">
      <c r="B113" s="6" t="s">
        <v>124</v>
      </c>
      <c r="C113" s="30">
        <f>SUM(C6:C7,C9:C20)</f>
        <v>72246.865853401032</v>
      </c>
      <c r="D113" s="30">
        <f t="shared" ref="D113:O113" si="0">SUM(D6:D7,D9:D20)</f>
        <v>74148.135809764979</v>
      </c>
      <c r="E113" s="30">
        <f>SUM(E6:E7,E9:E20)</f>
        <v>75746.173207569213</v>
      </c>
      <c r="F113" s="30">
        <f>SUM(F6:F7,F9:F20)</f>
        <v>78524.612338964027</v>
      </c>
      <c r="G113" s="30">
        <f t="shared" si="0"/>
        <v>82042.546429001086</v>
      </c>
      <c r="H113" s="30">
        <f t="shared" si="0"/>
        <v>90439.290600075517</v>
      </c>
      <c r="I113" s="30">
        <f t="shared" si="0"/>
        <v>97312.446516244367</v>
      </c>
      <c r="J113" s="30">
        <f t="shared" si="0"/>
        <v>103927.519361477</v>
      </c>
      <c r="K113" s="30">
        <f t="shared" si="0"/>
        <v>109938.76690030737</v>
      </c>
      <c r="L113" s="30">
        <f t="shared" si="0"/>
        <v>114054.18132169179</v>
      </c>
      <c r="M113" s="30">
        <f t="shared" si="0"/>
        <v>118831.91694760823</v>
      </c>
      <c r="N113" s="30">
        <f t="shared" si="0"/>
        <v>123404.99002651966</v>
      </c>
      <c r="O113" s="30">
        <f t="shared" si="0"/>
        <v>127947.1557232093</v>
      </c>
      <c r="P113" s="30">
        <f t="shared" ref="P113:S113" si="1">SUM(P6:P7,P9:P20)</f>
        <v>131633.4175088483</v>
      </c>
      <c r="Q113" s="30">
        <f t="shared" si="1"/>
        <v>134930.00954759822</v>
      </c>
      <c r="R113" s="30">
        <f t="shared" si="1"/>
        <v>137840.66285006682</v>
      </c>
      <c r="S113" s="30">
        <f t="shared" si="1"/>
        <v>140550.29686285774</v>
      </c>
      <c r="T113" s="30">
        <f>SUM(T6:T7,T9:T20)</f>
        <v>143010.56531780746</v>
      </c>
      <c r="U113" s="30"/>
    </row>
    <row r="114" spans="2:21">
      <c r="B114" t="s">
        <v>125</v>
      </c>
      <c r="C114" s="30">
        <f>SUM(C43,C88)</f>
        <v>3205.09896153</v>
      </c>
      <c r="D114" s="30">
        <f t="shared" ref="D114:T114" si="2">SUM(D43,D88)</f>
        <v>2821.7282596110426</v>
      </c>
      <c r="E114" s="30">
        <f t="shared" si="2"/>
        <v>2842.5995438038535</v>
      </c>
      <c r="F114" s="30">
        <f>SUM(F43,F88)</f>
        <v>2867.5051981634979</v>
      </c>
      <c r="G114" s="30">
        <f t="shared" si="2"/>
        <v>2905.6785833732697</v>
      </c>
      <c r="H114" s="30">
        <f t="shared" si="2"/>
        <v>2950.4594804945323</v>
      </c>
      <c r="I114" s="30">
        <f t="shared" si="2"/>
        <v>3009.7377601671656</v>
      </c>
      <c r="J114" s="30">
        <f t="shared" si="2"/>
        <v>3080.4986495642229</v>
      </c>
      <c r="K114" s="30">
        <f t="shared" si="2"/>
        <v>3154.7055721637848</v>
      </c>
      <c r="L114" s="30">
        <f t="shared" si="2"/>
        <v>3232.7683808378993</v>
      </c>
      <c r="M114" s="30">
        <f t="shared" si="2"/>
        <v>3323.8076089541728</v>
      </c>
      <c r="N114" s="30">
        <f t="shared" si="2"/>
        <v>3424.1042706666435</v>
      </c>
      <c r="O114" s="30">
        <f t="shared" si="2"/>
        <v>3529.021483050878</v>
      </c>
      <c r="P114" s="30">
        <f t="shared" si="2"/>
        <v>3614.3523445026585</v>
      </c>
      <c r="Q114" s="30">
        <f t="shared" si="2"/>
        <v>3690.5433850423428</v>
      </c>
      <c r="R114" s="30">
        <f t="shared" si="2"/>
        <v>3759.602615660192</v>
      </c>
      <c r="S114" s="30">
        <f t="shared" si="2"/>
        <v>3824.7986168721563</v>
      </c>
      <c r="T114" s="30">
        <f t="shared" si="2"/>
        <v>3883.0804030847798</v>
      </c>
    </row>
    <row r="115" spans="2:21">
      <c r="B115" t="s">
        <v>126</v>
      </c>
      <c r="C115" s="19">
        <f>SUM(C45:C58)</f>
        <v>76743.446168931012</v>
      </c>
      <c r="D115" s="19">
        <f t="shared" ref="D115:T115" si="3">SUM(D45:D58)</f>
        <v>78630.269701506622</v>
      </c>
      <c r="E115" s="19">
        <f t="shared" si="3"/>
        <v>79555.945526752752</v>
      </c>
      <c r="F115" s="19">
        <f>SUM(F45:F58)</f>
        <v>81015.440819726893</v>
      </c>
      <c r="G115" s="19">
        <f t="shared" si="3"/>
        <v>83313.457160863414</v>
      </c>
      <c r="H115" s="19">
        <f t="shared" si="3"/>
        <v>86098.877245450683</v>
      </c>
      <c r="I115" s="19">
        <f t="shared" si="3"/>
        <v>89342.342266525244</v>
      </c>
      <c r="J115" s="19">
        <f t="shared" si="3"/>
        <v>92828.123097365387</v>
      </c>
      <c r="K115" s="19">
        <f t="shared" si="3"/>
        <v>96180.309989068177</v>
      </c>
      <c r="L115" s="19">
        <f t="shared" si="3"/>
        <v>99632.509774115475</v>
      </c>
      <c r="M115" s="19">
        <f t="shared" si="3"/>
        <v>103285.34655368773</v>
      </c>
      <c r="N115" s="19">
        <f t="shared" si="3"/>
        <v>107148.7355223505</v>
      </c>
      <c r="O115" s="19">
        <f t="shared" si="3"/>
        <v>111069.12215550213</v>
      </c>
      <c r="P115" s="19">
        <f t="shared" si="3"/>
        <v>113922.27136988485</v>
      </c>
      <c r="Q115" s="19">
        <f t="shared" si="3"/>
        <v>116595.27434164668</v>
      </c>
      <c r="R115" s="19">
        <f t="shared" si="3"/>
        <v>118985.47858024359</v>
      </c>
      <c r="S115" s="19">
        <f t="shared" si="3"/>
        <v>121181.73219103971</v>
      </c>
      <c r="T115" s="19">
        <f t="shared" si="3"/>
        <v>123166.89640819878</v>
      </c>
    </row>
    <row r="116" spans="2:21">
      <c r="B116" t="s">
        <v>189</v>
      </c>
      <c r="C116" s="30">
        <f>SUM(C78:C81)</f>
        <v>16982.218069626801</v>
      </c>
      <c r="D116" s="30">
        <f t="shared" ref="D116:T116" si="4">SUM(D78:D81)</f>
        <v>16902.545983239695</v>
      </c>
      <c r="E116" s="30">
        <f t="shared" si="4"/>
        <v>17078.410774650201</v>
      </c>
      <c r="F116" s="30">
        <f>SUM(F78:F81)</f>
        <v>17431.519658415102</v>
      </c>
      <c r="G116" s="30">
        <f t="shared" si="4"/>
        <v>18061.009466149699</v>
      </c>
      <c r="H116" s="30">
        <f t="shared" si="4"/>
        <v>18944.349313037601</v>
      </c>
      <c r="I116" s="30">
        <f t="shared" si="4"/>
        <v>19815.016167371599</v>
      </c>
      <c r="J116" s="30">
        <f t="shared" si="4"/>
        <v>20777.354034477401</v>
      </c>
      <c r="K116" s="30">
        <f t="shared" si="4"/>
        <v>21681.128616067199</v>
      </c>
      <c r="L116" s="30">
        <f t="shared" si="4"/>
        <v>22614.425027970399</v>
      </c>
      <c r="M116" s="30">
        <f t="shared" si="4"/>
        <v>23581.9029270354</v>
      </c>
      <c r="N116" s="30">
        <f t="shared" si="4"/>
        <v>24621.056886687795</v>
      </c>
      <c r="O116" s="30">
        <f t="shared" si="4"/>
        <v>25808.772589028995</v>
      </c>
      <c r="P116" s="30">
        <f t="shared" si="4"/>
        <v>26752.095152677197</v>
      </c>
      <c r="Q116" s="30">
        <f t="shared" si="4"/>
        <v>27568.195156457601</v>
      </c>
      <c r="R116" s="30">
        <f t="shared" si="4"/>
        <v>28286.607841293699</v>
      </c>
      <c r="S116" s="30">
        <f t="shared" si="4"/>
        <v>28944.909195358101</v>
      </c>
      <c r="T116" s="30">
        <f t="shared" si="4"/>
        <v>29671.000335951001</v>
      </c>
    </row>
    <row r="118" spans="2:21">
      <c r="C118" s="41"/>
    </row>
    <row r="119" spans="2:21">
      <c r="C119" s="30"/>
    </row>
    <row r="120" spans="2:21">
      <c r="C120" s="19"/>
    </row>
  </sheetData>
  <mergeCells count="17">
    <mergeCell ref="A106:B106"/>
    <mergeCell ref="A98:A102"/>
    <mergeCell ref="A103:B103"/>
    <mergeCell ref="A104:B104"/>
    <mergeCell ref="A1:U1"/>
    <mergeCell ref="A2:U2"/>
    <mergeCell ref="A3:U3"/>
    <mergeCell ref="A105:B105"/>
    <mergeCell ref="A6:A43"/>
    <mergeCell ref="A44:B44"/>
    <mergeCell ref="A45:A76"/>
    <mergeCell ref="A77:B77"/>
    <mergeCell ref="A78:A81"/>
    <mergeCell ref="A82:B82"/>
    <mergeCell ref="A83:A90"/>
    <mergeCell ref="A91:B91"/>
    <mergeCell ref="A93:A94"/>
  </mergeCells>
  <pageMargins left="0.7" right="0.7" top="0.75" bottom="0.75" header="0.3" footer="0.3"/>
  <pageSetup scale="49"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C1160-7673-46C5-BC24-616041272970}">
  <sheetPr codeName="Sheet63"/>
  <dimension ref="A1:L16"/>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43</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44.1" customHeight="1">
      <c r="A3" s="130" t="s">
        <v>584</v>
      </c>
      <c r="B3" s="134">
        <f>B4/(1-$H$5)</f>
        <v>624844.16333865304</v>
      </c>
      <c r="C3" s="134">
        <f>C4/(1-$H$5)</f>
        <v>659907.26574671967</v>
      </c>
      <c r="D3" s="134">
        <f>D4/(1-$H$5)</f>
        <v>693282.03409704543</v>
      </c>
      <c r="E3" s="134">
        <f>E4/(1-$H$5)</f>
        <v>727174.35319170286</v>
      </c>
      <c r="F3" s="123" t="s">
        <v>594</v>
      </c>
      <c r="H3" s="132">
        <v>0.95946199709706936</v>
      </c>
      <c r="I3" s="123" t="s">
        <v>676</v>
      </c>
    </row>
    <row r="4" spans="1:12" s="7" customFormat="1">
      <c r="A4" s="130" t="s">
        <v>217</v>
      </c>
      <c r="B4" s="131">
        <f>SUMIFS('Form 1.1c (CEC 2025a)'!G:G, 'Form 1.1c (CEC 2025a)'!$B:$B, "Liberty Utilities")*1000</f>
        <v>581105.07190494728</v>
      </c>
      <c r="C4" s="131">
        <f>SUMIFS('Form 1.1c (CEC 2025a)'!H:H, 'Form 1.1c (CEC 2025a)'!$B:$B, "Liberty Utilities")*1000</f>
        <v>613713.75714444928</v>
      </c>
      <c r="D4" s="131">
        <f>SUMIFS('Form 1.1c (CEC 2025a)'!I:I, 'Form 1.1c (CEC 2025a)'!$B:$B, "Liberty Utilities")*1000</f>
        <v>644752.29171025218</v>
      </c>
      <c r="E4" s="131">
        <f>SUMIFS('Form 1.1c (CEC 2025a)'!J:J, 'Form 1.1c (CEC 2025a)'!$B:$B, "Liberty Utilities")*1000</f>
        <v>676272.14846828359</v>
      </c>
      <c r="F4" s="123" t="s">
        <v>575</v>
      </c>
      <c r="H4" s="122">
        <f>0.15</f>
        <v>0.15</v>
      </c>
      <c r="I4" s="123" t="s">
        <v>498</v>
      </c>
    </row>
    <row r="5" spans="1:12" s="7" customFormat="1" ht="30">
      <c r="A5" s="130" t="s">
        <v>585</v>
      </c>
      <c r="B5" s="131">
        <f>IF(0&lt;(B4-B3),B4*(1+$H$5),B3)</f>
        <v>624844.16333865304</v>
      </c>
      <c r="C5" s="131">
        <f t="shared" ref="C5:E5" si="0">IF(0&lt;(C4-C3),C4*(1+$H$5),C3)</f>
        <v>659907.26574671967</v>
      </c>
      <c r="D5" s="131">
        <f t="shared" si="0"/>
        <v>693282.03409704543</v>
      </c>
      <c r="E5" s="131">
        <f t="shared" si="0"/>
        <v>727174.35319170286</v>
      </c>
      <c r="F5" s="123" t="s">
        <v>586</v>
      </c>
      <c r="H5" s="122">
        <f>0.07</f>
        <v>7.0000000000000007E-2</v>
      </c>
      <c r="I5" s="123" t="s">
        <v>499</v>
      </c>
    </row>
    <row r="6" spans="1:12" s="7" customFormat="1" ht="30">
      <c r="A6" s="130" t="s">
        <v>500</v>
      </c>
      <c r="B6" s="131">
        <v>0</v>
      </c>
      <c r="C6" s="131">
        <v>0</v>
      </c>
      <c r="D6" s="131">
        <v>0</v>
      </c>
      <c r="E6" s="131">
        <v>0</v>
      </c>
      <c r="F6" s="95" t="s">
        <v>528</v>
      </c>
      <c r="H6" s="124">
        <v>0.05</v>
      </c>
      <c r="I6" s="123" t="s">
        <v>516</v>
      </c>
    </row>
    <row r="7" spans="1:12" s="7" customFormat="1" ht="30">
      <c r="A7" s="130" t="s">
        <v>501</v>
      </c>
      <c r="B7" s="131">
        <v>0</v>
      </c>
      <c r="C7" s="131">
        <v>0</v>
      </c>
      <c r="D7" s="131">
        <v>0</v>
      </c>
      <c r="E7" s="131">
        <v>0</v>
      </c>
      <c r="F7" s="95" t="s">
        <v>528</v>
      </c>
      <c r="I7" s="12"/>
    </row>
    <row r="8" spans="1:12" s="7" customFormat="1" ht="30">
      <c r="A8" s="130" t="s">
        <v>502</v>
      </c>
      <c r="B8" s="131">
        <v>0</v>
      </c>
      <c r="C8" s="131">
        <v>0</v>
      </c>
      <c r="D8" s="131">
        <v>0</v>
      </c>
      <c r="E8" s="131">
        <v>0</v>
      </c>
      <c r="F8" s="95" t="s">
        <v>528</v>
      </c>
      <c r="H8" s="135">
        <f>SUMIFS('Form 1.1c (CEC 2025a)'!U:U, 'Form 1.1c (CEC 2025a)'!$B:$B, "Liberty Utilities")</f>
        <v>3.3836055928493591E-2</v>
      </c>
      <c r="I8" s="123" t="s">
        <v>580</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226630.97804292946</v>
      </c>
      <c r="C10" s="131">
        <f t="shared" si="1"/>
        <v>251622.64042922418</v>
      </c>
      <c r="D10" s="131">
        <f t="shared" si="1"/>
        <v>277243.48543540842</v>
      </c>
      <c r="E10" s="131">
        <f t="shared" si="1"/>
        <v>304322.46681072761</v>
      </c>
      <c r="F10" s="123" t="s">
        <v>587</v>
      </c>
    </row>
    <row r="11" spans="1:12" s="7" customFormat="1" ht="30">
      <c r="A11" s="130" t="s">
        <v>505</v>
      </c>
      <c r="B11" s="131">
        <f t="shared" ref="B11:E11" si="2">MAX(B5-SUM(B6:B8,B10), B5*$H$6)</f>
        <v>398213.18529572361</v>
      </c>
      <c r="C11" s="131">
        <f t="shared" si="2"/>
        <v>408284.62531749549</v>
      </c>
      <c r="D11" s="131">
        <f t="shared" si="2"/>
        <v>416038.548661637</v>
      </c>
      <c r="E11" s="131">
        <f t="shared" si="2"/>
        <v>422851.88638097525</v>
      </c>
      <c r="F11" s="123" t="s">
        <v>589</v>
      </c>
    </row>
    <row r="12" spans="1:12" s="7" customFormat="1" ht="46.5">
      <c r="A12" s="130" t="s">
        <v>507</v>
      </c>
      <c r="B12" s="131">
        <f>B6*$H$3+B11*$H$2</f>
        <v>173382.02087775807</v>
      </c>
      <c r="C12" s="131">
        <f>C6*$H$3+C11*$H$2</f>
        <v>177767.12586323754</v>
      </c>
      <c r="D12" s="131">
        <f>D6*$H$3+D11*$H$2</f>
        <v>181143.18408727675</v>
      </c>
      <c r="E12" s="131">
        <f>E6*$H$3+E11*$H$2</f>
        <v>184109.71133027662</v>
      </c>
      <c r="F12" s="136" t="s">
        <v>508</v>
      </c>
    </row>
    <row r="13" spans="1:12" s="7" customFormat="1" ht="72.599999999999994" customHeight="1">
      <c r="A13" s="130"/>
      <c r="B13" s="227" t="s">
        <v>557</v>
      </c>
      <c r="C13" s="227"/>
      <c r="D13" s="228"/>
      <c r="E13" s="143">
        <v>0</v>
      </c>
      <c r="F13" s="136" t="s">
        <v>686</v>
      </c>
    </row>
    <row r="14" spans="1:12" s="7" customFormat="1" ht="33">
      <c r="A14" s="130" t="s">
        <v>509</v>
      </c>
      <c r="B14" s="193">
        <f t="shared" ref="B14:E14" si="3">B12/B5</f>
        <v>0.27748042000000006</v>
      </c>
      <c r="C14" s="193">
        <f t="shared" si="3"/>
        <v>0.26938198000000002</v>
      </c>
      <c r="D14" s="193">
        <f t="shared" si="3"/>
        <v>0.26128354000000004</v>
      </c>
      <c r="E14" s="193">
        <f t="shared" si="3"/>
        <v>0.2531851</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173382.02087775807</v>
      </c>
      <c r="C16" s="8">
        <f>C12-C15</f>
        <v>177767.12586323754</v>
      </c>
      <c r="D16" s="8">
        <f>D12-D15</f>
        <v>181143.18408727675</v>
      </c>
      <c r="E16" s="8">
        <f>E12-E15</f>
        <v>184109.71133027662</v>
      </c>
      <c r="F16" s="10" t="s">
        <v>514</v>
      </c>
      <c r="J16" s="7"/>
      <c r="K16" s="7"/>
      <c r="L16" s="7"/>
    </row>
  </sheetData>
  <mergeCells count="3">
    <mergeCell ref="B13:D13"/>
    <mergeCell ref="B1:F1"/>
    <mergeCell ref="H1:I1"/>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81358-9FDF-47EE-A897-752CED9654FD}">
  <sheetPr codeName="Sheet65"/>
  <dimension ref="A1:I18"/>
  <sheetViews>
    <sheetView zoomScaleNormal="100" workbookViewId="0"/>
  </sheetViews>
  <sheetFormatPr defaultRowHeight="15"/>
  <cols>
    <col min="1" max="1" width="37.7109375" customWidth="1"/>
    <col min="6" max="6" width="49.28515625" customWidth="1"/>
    <col min="9" max="9" width="39.7109375" bestFit="1" customWidth="1"/>
  </cols>
  <sheetData>
    <row r="1" spans="1:9" s="7" customFormat="1">
      <c r="A1" s="125" t="s">
        <v>25</v>
      </c>
      <c r="B1" s="223" t="s">
        <v>671</v>
      </c>
      <c r="C1" s="224"/>
      <c r="D1" s="224"/>
      <c r="E1" s="224"/>
      <c r="F1" s="225"/>
      <c r="H1" s="229" t="s">
        <v>4</v>
      </c>
      <c r="I1" s="230"/>
    </row>
    <row r="2" spans="1:9" s="7" customFormat="1" ht="33" customHeight="1">
      <c r="A2" s="126" t="s">
        <v>496</v>
      </c>
      <c r="B2" s="127">
        <v>2027</v>
      </c>
      <c r="C2" s="127">
        <v>2028</v>
      </c>
      <c r="D2" s="127">
        <v>2029</v>
      </c>
      <c r="E2" s="128">
        <v>2030</v>
      </c>
      <c r="F2" s="129" t="s">
        <v>497</v>
      </c>
      <c r="H2" s="120">
        <v>0.43540000000000001</v>
      </c>
      <c r="I2" s="62" t="s">
        <v>7</v>
      </c>
    </row>
    <row r="3" spans="1:9" s="7" customFormat="1" ht="30">
      <c r="A3" s="130" t="s">
        <v>584</v>
      </c>
      <c r="B3" s="131">
        <v>457548.72800000099</v>
      </c>
      <c r="C3" s="131">
        <v>460354.80900000001</v>
      </c>
      <c r="D3" s="131">
        <v>463048.10099999997</v>
      </c>
      <c r="E3" s="131">
        <v>465591.29499999899</v>
      </c>
      <c r="F3" s="123" t="s">
        <v>561</v>
      </c>
      <c r="H3" s="132">
        <v>0.95946199709706936</v>
      </c>
      <c r="I3" s="123" t="s">
        <v>676</v>
      </c>
    </row>
    <row r="4" spans="1:9" s="7" customFormat="1">
      <c r="A4" s="130" t="s">
        <v>217</v>
      </c>
      <c r="B4" s="131">
        <f>SUMIFS('Form 1.1c (CEC 2025a)'!G:G, 'Form 1.1c (CEC 2025a)'!$B:$B, "Lodi Electric Utility")*1000</f>
        <v>453340.20274591201</v>
      </c>
      <c r="C4" s="131">
        <f>SUMIFS('Form 1.1c (CEC 2025a)'!H:H, 'Form 1.1c (CEC 2025a)'!$B:$B, "Lodi Electric Utility")*1000</f>
        <v>469100.10477308789</v>
      </c>
      <c r="D4" s="131">
        <f>SUMIFS('Form 1.1c (CEC 2025a)'!I:I, 'Form 1.1c (CEC 2025a)'!$B:$B, "Lodi Electric Utility")*1000</f>
        <v>487254.62812618329</v>
      </c>
      <c r="E4" s="131">
        <f>SUMIFS('Form 1.1c (CEC 2025a)'!J:J, 'Form 1.1c (CEC 2025a)'!$B:$B, "Lodi Electric Utility")*1000</f>
        <v>507410.49651867052</v>
      </c>
      <c r="F4" s="123" t="s">
        <v>575</v>
      </c>
      <c r="H4" s="122">
        <f>0.15</f>
        <v>0.15</v>
      </c>
      <c r="I4" s="120" t="s">
        <v>498</v>
      </c>
    </row>
    <row r="5" spans="1:9" s="7" customFormat="1" ht="30">
      <c r="A5" s="130" t="s">
        <v>585</v>
      </c>
      <c r="B5" s="131">
        <f t="shared" ref="B5:E5" si="0">IF(0&lt;(B4-B3),B4*(1+$H$5),B3)</f>
        <v>457548.72800000099</v>
      </c>
      <c r="C5" s="131">
        <f t="shared" si="0"/>
        <v>501937.1121072041</v>
      </c>
      <c r="D5" s="131">
        <f t="shared" si="0"/>
        <v>521362.45209501614</v>
      </c>
      <c r="E5" s="131">
        <f t="shared" si="0"/>
        <v>542929.23127497744</v>
      </c>
      <c r="F5" s="123" t="s">
        <v>586</v>
      </c>
      <c r="H5" s="122">
        <f>0.07</f>
        <v>7.0000000000000007E-2</v>
      </c>
      <c r="I5" s="123" t="s">
        <v>499</v>
      </c>
    </row>
    <row r="6" spans="1:9" s="7" customFormat="1">
      <c r="A6" s="130" t="s">
        <v>500</v>
      </c>
      <c r="B6" s="131">
        <v>0</v>
      </c>
      <c r="C6" s="131">
        <v>0</v>
      </c>
      <c r="D6" s="131">
        <v>0</v>
      </c>
      <c r="E6" s="131">
        <v>0</v>
      </c>
      <c r="F6" s="133" t="s">
        <v>525</v>
      </c>
      <c r="H6" s="124">
        <v>0.05</v>
      </c>
      <c r="I6" s="120" t="s">
        <v>11</v>
      </c>
    </row>
    <row r="7" spans="1:9" s="7" customFormat="1">
      <c r="A7" s="130" t="s">
        <v>501</v>
      </c>
      <c r="B7" s="131">
        <v>0</v>
      </c>
      <c r="C7" s="131">
        <v>0</v>
      </c>
      <c r="D7" s="131">
        <v>0</v>
      </c>
      <c r="E7" s="131">
        <v>0</v>
      </c>
      <c r="F7" s="133" t="s">
        <v>526</v>
      </c>
    </row>
    <row r="8" spans="1:9" s="7" customFormat="1" ht="30">
      <c r="A8" s="130" t="s">
        <v>502</v>
      </c>
      <c r="B8" s="134">
        <v>70598.981207656412</v>
      </c>
      <c r="C8" s="134">
        <v>70414.040292691687</v>
      </c>
      <c r="D8" s="134">
        <v>70907.419412882824</v>
      </c>
      <c r="E8" s="134">
        <v>71104.211656695232</v>
      </c>
      <c r="F8" s="123" t="s">
        <v>558</v>
      </c>
      <c r="H8" s="135">
        <f>SUMIFS('Form 1.5a (CEC 2025a)'!U:U, 'Form 1.5a (CEC 2025a)'!$B:$B, "NCPA - Non Bay Area")</f>
        <v>3.5189316129375703E-2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176802.67907090569</v>
      </c>
      <c r="C10" s="131">
        <f t="shared" si="1"/>
        <v>192331.04295696603</v>
      </c>
      <c r="D10" s="131">
        <f t="shared" si="1"/>
        <v>209519.4900942588</v>
      </c>
      <c r="E10" s="131">
        <f t="shared" si="1"/>
        <v>228334.72343340173</v>
      </c>
      <c r="F10" s="123" t="s">
        <v>587</v>
      </c>
    </row>
    <row r="11" spans="1:9" s="7" customFormat="1" ht="30">
      <c r="A11" s="130" t="s">
        <v>505</v>
      </c>
      <c r="B11" s="131">
        <f t="shared" ref="B11:E11" si="2">MAX(B5-SUM(B6:B8,B10), B5*$H$6)</f>
        <v>210147.06772143889</v>
      </c>
      <c r="C11" s="131">
        <f t="shared" si="2"/>
        <v>239192.02885754639</v>
      </c>
      <c r="D11" s="131">
        <f t="shared" si="2"/>
        <v>240935.54258787452</v>
      </c>
      <c r="E11" s="131">
        <f t="shared" si="2"/>
        <v>243490.29618488048</v>
      </c>
      <c r="F11" s="123" t="s">
        <v>589</v>
      </c>
    </row>
    <row r="12" spans="1:9" s="7" customFormat="1" ht="46.5">
      <c r="A12" s="130" t="s">
        <v>507</v>
      </c>
      <c r="B12" s="131">
        <f>B6*$H$3+B11*$H$2</f>
        <v>91498.033285914498</v>
      </c>
      <c r="C12" s="131">
        <f>C6*$H$3+C11*$H$2</f>
        <v>104144.2093645757</v>
      </c>
      <c r="D12" s="131">
        <f>D6*$H$3+D11*$H$2</f>
        <v>104903.33524276057</v>
      </c>
      <c r="E12" s="131">
        <f>E6*$H$3+E11*$H$2</f>
        <v>106015.67495889697</v>
      </c>
      <c r="F12" s="136" t="s">
        <v>508</v>
      </c>
    </row>
    <row r="13" spans="1:9" s="7" customFormat="1" ht="72.599999999999994" customHeight="1">
      <c r="A13" s="130"/>
      <c r="B13" s="227" t="s">
        <v>557</v>
      </c>
      <c r="C13" s="227"/>
      <c r="D13" s="228"/>
      <c r="E13" s="137">
        <v>0</v>
      </c>
      <c r="F13" s="136" t="s">
        <v>686</v>
      </c>
    </row>
    <row r="14" spans="1:9" s="7" customFormat="1" ht="33">
      <c r="A14" s="130" t="s">
        <v>509</v>
      </c>
      <c r="B14" s="193">
        <f t="shared" ref="B14:E14" si="3">B12/B5</f>
        <v>0.19997440203989442</v>
      </c>
      <c r="C14" s="193">
        <f t="shared" si="3"/>
        <v>0.20748457695698838</v>
      </c>
      <c r="D14" s="193">
        <f t="shared" si="3"/>
        <v>0.20120999282020097</v>
      </c>
      <c r="E14" s="193">
        <f t="shared" si="3"/>
        <v>0.1952661025635645</v>
      </c>
      <c r="F14" s="123" t="s">
        <v>588</v>
      </c>
    </row>
    <row r="15" spans="1:9" s="7" customFormat="1" ht="33.75" thickBot="1">
      <c r="A15" s="130" t="s">
        <v>511</v>
      </c>
      <c r="B15" s="138">
        <f>$E$13*B14</f>
        <v>0</v>
      </c>
      <c r="C15" s="138">
        <f>$E$13*C14</f>
        <v>0</v>
      </c>
      <c r="D15" s="138">
        <f>$E$13*D14</f>
        <v>0</v>
      </c>
      <c r="E15" s="138">
        <f>$E$13*E14</f>
        <v>0</v>
      </c>
      <c r="F15" s="123" t="s">
        <v>518</v>
      </c>
      <c r="H15"/>
      <c r="I15" s="2"/>
    </row>
    <row r="16" spans="1:9" ht="30.75" thickBot="1">
      <c r="A16" s="20" t="s">
        <v>513</v>
      </c>
      <c r="B16" s="8">
        <f>B12-B15</f>
        <v>91498.033285914498</v>
      </c>
      <c r="C16" s="8">
        <f>C12-C15</f>
        <v>104144.2093645757</v>
      </c>
      <c r="D16" s="8">
        <f>D12-D15</f>
        <v>104903.33524276057</v>
      </c>
      <c r="E16" s="8">
        <f>E12-E15</f>
        <v>106015.67495889697</v>
      </c>
      <c r="F16" s="10" t="s">
        <v>514</v>
      </c>
      <c r="G16" s="7"/>
    </row>
    <row r="17" spans="1:5">
      <c r="A17" s="9"/>
      <c r="B17" s="9"/>
      <c r="C17" s="9"/>
      <c r="D17" s="9"/>
      <c r="E17" s="9"/>
    </row>
    <row r="18" spans="1:5">
      <c r="A18" s="9"/>
      <c r="B18" s="9"/>
      <c r="C18" s="9"/>
      <c r="D18" s="9"/>
      <c r="E18" s="9"/>
    </row>
  </sheetData>
  <mergeCells count="3">
    <mergeCell ref="B13:D13"/>
    <mergeCell ref="B1:F1"/>
    <mergeCell ref="H1:I1"/>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31C6E-0795-4BA8-BCC3-D6D0D96C80E4}">
  <sheetPr codeName="Sheet66"/>
  <dimension ref="A1:I18"/>
  <sheetViews>
    <sheetView zoomScaleNormal="100" workbookViewId="0"/>
  </sheetViews>
  <sheetFormatPr defaultRowHeight="15"/>
  <cols>
    <col min="1" max="1" width="37.7109375" customWidth="1"/>
    <col min="6" max="6" width="49.28515625" customWidth="1"/>
    <col min="9" max="9" width="54.7109375" bestFit="1" customWidth="1"/>
  </cols>
  <sheetData>
    <row r="1" spans="1:9" s="7" customFormat="1">
      <c r="A1" s="125" t="s">
        <v>26</v>
      </c>
      <c r="B1" s="223" t="s">
        <v>671</v>
      </c>
      <c r="C1" s="224"/>
      <c r="D1" s="224"/>
      <c r="E1" s="224"/>
      <c r="F1" s="225"/>
      <c r="H1" s="229" t="s">
        <v>4</v>
      </c>
      <c r="I1" s="230"/>
    </row>
    <row r="2" spans="1:9" s="7" customFormat="1" ht="18">
      <c r="A2" s="126" t="s">
        <v>496</v>
      </c>
      <c r="B2" s="127">
        <v>2027</v>
      </c>
      <c r="C2" s="127">
        <v>2028</v>
      </c>
      <c r="D2" s="127">
        <v>2029</v>
      </c>
      <c r="E2" s="128">
        <v>2030</v>
      </c>
      <c r="F2" s="129" t="s">
        <v>497</v>
      </c>
      <c r="H2" s="120">
        <v>0.43540000000000001</v>
      </c>
      <c r="I2" s="62" t="s">
        <v>7</v>
      </c>
    </row>
    <row r="3" spans="1:9" s="7" customFormat="1" ht="30">
      <c r="A3" s="130" t="s">
        <v>584</v>
      </c>
      <c r="B3" s="131">
        <v>134582.45600000001</v>
      </c>
      <c r="C3" s="131">
        <v>134595.54800000001</v>
      </c>
      <c r="D3" s="131">
        <v>134670.872</v>
      </c>
      <c r="E3" s="131">
        <v>134807.731</v>
      </c>
      <c r="F3" s="123" t="s">
        <v>561</v>
      </c>
      <c r="H3" s="132">
        <v>0.95946199709706936</v>
      </c>
      <c r="I3" s="123" t="s">
        <v>676</v>
      </c>
    </row>
    <row r="4" spans="1:9" s="7" customFormat="1">
      <c r="A4" s="130" t="s">
        <v>217</v>
      </c>
      <c r="B4" s="131">
        <f>SUMIFS('Form 1.1c (CEC 2025a)'!G:G, 'Form 1.1c (CEC 2025a)'!$B:$B, "Lompoc, City of")*1000</f>
        <v>151130.58804138622</v>
      </c>
      <c r="C4" s="131">
        <f>SUMIFS('Form 1.1c (CEC 2025a)'!H:H, 'Form 1.1c (CEC 2025a)'!$B:$B, "Lompoc, City of")*1000</f>
        <v>158484.55014718664</v>
      </c>
      <c r="D4" s="131">
        <f>SUMIFS('Form 1.1c (CEC 2025a)'!I:I, 'Form 1.1c (CEC 2025a)'!$B:$B, "Lompoc, City of")*1000</f>
        <v>166991.37129893963</v>
      </c>
      <c r="E4" s="131">
        <f>SUMIFS('Form 1.1c (CEC 2025a)'!J:J, 'Form 1.1c (CEC 2025a)'!$B:$B, "Lompoc, City of")*1000</f>
        <v>176491.37410467645</v>
      </c>
      <c r="F4" s="123" t="s">
        <v>575</v>
      </c>
      <c r="H4" s="122">
        <f>0.15</f>
        <v>0.15</v>
      </c>
      <c r="I4" s="120" t="s">
        <v>498</v>
      </c>
    </row>
    <row r="5" spans="1:9" s="7" customFormat="1" ht="30">
      <c r="A5" s="130" t="s">
        <v>585</v>
      </c>
      <c r="B5" s="131">
        <f t="shared" ref="B5:E5" si="0">IF(0&lt;(B4-B3),B4*(1+$H$5),B3)</f>
        <v>161709.72920428327</v>
      </c>
      <c r="C5" s="131">
        <f t="shared" si="0"/>
        <v>169578.46865748972</v>
      </c>
      <c r="D5" s="131">
        <f t="shared" si="0"/>
        <v>178680.76728986541</v>
      </c>
      <c r="E5" s="131">
        <f t="shared" si="0"/>
        <v>188845.77029200381</v>
      </c>
      <c r="F5" s="123" t="s">
        <v>586</v>
      </c>
      <c r="H5" s="122">
        <f>0.07</f>
        <v>7.0000000000000007E-2</v>
      </c>
      <c r="I5" s="123" t="s">
        <v>499</v>
      </c>
    </row>
    <row r="6" spans="1:9" s="7" customFormat="1">
      <c r="A6" s="130" t="s">
        <v>500</v>
      </c>
      <c r="B6" s="131">
        <v>0</v>
      </c>
      <c r="C6" s="131">
        <v>0</v>
      </c>
      <c r="D6" s="131">
        <v>0</v>
      </c>
      <c r="E6" s="131">
        <v>0</v>
      </c>
      <c r="F6" s="133" t="s">
        <v>525</v>
      </c>
      <c r="H6" s="124">
        <v>0.05</v>
      </c>
      <c r="I6" s="120" t="s">
        <v>11</v>
      </c>
    </row>
    <row r="7" spans="1:9" s="7" customFormat="1">
      <c r="A7" s="130" t="s">
        <v>501</v>
      </c>
      <c r="B7" s="131">
        <v>0</v>
      </c>
      <c r="C7" s="131">
        <v>0</v>
      </c>
      <c r="D7" s="131">
        <v>0</v>
      </c>
      <c r="E7" s="131">
        <v>0</v>
      </c>
      <c r="F7" s="133" t="s">
        <v>526</v>
      </c>
    </row>
    <row r="8" spans="1:9" s="7" customFormat="1">
      <c r="A8" s="130" t="s">
        <v>502</v>
      </c>
      <c r="B8" s="134">
        <v>16237.185148853068</v>
      </c>
      <c r="C8" s="134">
        <v>16190.444270833708</v>
      </c>
      <c r="D8" s="134">
        <v>16314.293763325182</v>
      </c>
      <c r="E8" s="134">
        <v>16363.491226499242</v>
      </c>
      <c r="F8" s="123" t="s">
        <v>558</v>
      </c>
      <c r="H8" s="135">
        <f>SUMIFS('Form 1.5a (CEC 2025a)'!U:U, 'Form 1.5a (CEC 2025a)'!$B:$B, "NCPA - Non Bay Area")</f>
        <v>3.5189316129375703E-2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58940.929336140623</v>
      </c>
      <c r="C10" s="131">
        <f t="shared" si="1"/>
        <v>64978.665560346519</v>
      </c>
      <c r="D10" s="131">
        <f t="shared" si="1"/>
        <v>71806.289658544047</v>
      </c>
      <c r="E10" s="131">
        <f t="shared" si="1"/>
        <v>79421.118347104406</v>
      </c>
      <c r="F10" s="123" t="s">
        <v>587</v>
      </c>
    </row>
    <row r="11" spans="1:9" s="7" customFormat="1" ht="30">
      <c r="A11" s="130" t="s">
        <v>505</v>
      </c>
      <c r="B11" s="131">
        <f>MAX(B5-SUM(B6:B8,B10), B5*$H$6)</f>
        <v>86531.614719289573</v>
      </c>
      <c r="C11" s="131">
        <f t="shared" ref="C11:E11" si="2">MAX(C5-SUM(C6:C8,C10), C5*$H$6)</f>
        <v>88409.358826309501</v>
      </c>
      <c r="D11" s="131">
        <f t="shared" si="2"/>
        <v>90560.18386799618</v>
      </c>
      <c r="E11" s="131">
        <f t="shared" si="2"/>
        <v>93061.160718400162</v>
      </c>
      <c r="F11" s="123" t="s">
        <v>589</v>
      </c>
    </row>
    <row r="12" spans="1:9" s="7" customFormat="1" ht="46.5">
      <c r="A12" s="130" t="s">
        <v>507</v>
      </c>
      <c r="B12" s="131">
        <f>B6*$H$3+B11*$H$2</f>
        <v>37675.86504877868</v>
      </c>
      <c r="C12" s="131">
        <f>C6*$H$3+C11*$H$2</f>
        <v>38493.434832975159</v>
      </c>
      <c r="D12" s="131">
        <f>D6*$H$3+D11*$H$2</f>
        <v>39429.904056125539</v>
      </c>
      <c r="E12" s="131">
        <f>E6*$H$3+E11*$H$2</f>
        <v>40518.829376791429</v>
      </c>
      <c r="F12" s="136" t="s">
        <v>508</v>
      </c>
    </row>
    <row r="13" spans="1:9" s="7" customFormat="1" ht="72.599999999999994" customHeight="1">
      <c r="A13" s="130"/>
      <c r="B13" s="227"/>
      <c r="C13" s="227"/>
      <c r="D13" s="228"/>
      <c r="E13" s="137">
        <v>0</v>
      </c>
      <c r="F13" s="136" t="s">
        <v>686</v>
      </c>
    </row>
    <row r="14" spans="1:9" s="7" customFormat="1" ht="33">
      <c r="A14" s="130" t="s">
        <v>509</v>
      </c>
      <c r="B14" s="193">
        <f t="shared" ref="B14:E14" si="3">B12/B5</f>
        <v>0.23298452872420458</v>
      </c>
      <c r="C14" s="193">
        <f t="shared" si="3"/>
        <v>0.22699482509612243</v>
      </c>
      <c r="D14" s="193">
        <f t="shared" si="3"/>
        <v>0.2206723457380293</v>
      </c>
      <c r="E14" s="193">
        <f t="shared" si="3"/>
        <v>0.21456042840747222</v>
      </c>
      <c r="F14" s="123" t="s">
        <v>588</v>
      </c>
    </row>
    <row r="15" spans="1:9" s="7" customFormat="1" ht="33.75" thickBot="1">
      <c r="A15" s="130" t="s">
        <v>511</v>
      </c>
      <c r="B15" s="138">
        <f t="shared" ref="B15:E15" si="4">$E$13*B14</f>
        <v>0</v>
      </c>
      <c r="C15" s="138">
        <f t="shared" si="4"/>
        <v>0</v>
      </c>
      <c r="D15" s="138">
        <f t="shared" si="4"/>
        <v>0</v>
      </c>
      <c r="E15" s="138">
        <f t="shared" si="4"/>
        <v>0</v>
      </c>
      <c r="F15" s="123" t="s">
        <v>518</v>
      </c>
    </row>
    <row r="16" spans="1:9" ht="30.75" thickBot="1">
      <c r="A16" s="20" t="s">
        <v>513</v>
      </c>
      <c r="B16" s="8">
        <f>B12-B15</f>
        <v>37675.86504877868</v>
      </c>
      <c r="C16" s="8">
        <f>C12-C15</f>
        <v>38493.434832975159</v>
      </c>
      <c r="D16" s="8">
        <f>D12-D15</f>
        <v>39429.904056125539</v>
      </c>
      <c r="E16" s="8">
        <f>E12-E15</f>
        <v>40518.829376791429</v>
      </c>
      <c r="F16" s="10" t="s">
        <v>514</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2B72B-D69F-47FE-9D85-50F94601231E}">
  <sheetPr>
    <tabColor theme="5"/>
  </sheetPr>
  <dimension ref="A1:B2"/>
  <sheetViews>
    <sheetView workbookViewId="0">
      <selection activeCell="A2" sqref="A2:B2"/>
    </sheetView>
  </sheetViews>
  <sheetFormatPr defaultRowHeight="15"/>
  <cols>
    <col min="1" max="1" width="34.7109375" customWidth="1"/>
    <col min="2" max="2" width="61.42578125" customWidth="1"/>
  </cols>
  <sheetData>
    <row r="1" spans="1:2" ht="15.75" thickBot="1">
      <c r="A1" s="116" t="s">
        <v>0</v>
      </c>
      <c r="B1" s="117" t="s">
        <v>671</v>
      </c>
    </row>
    <row r="2" spans="1:2" ht="61.5" customHeight="1" thickBot="1">
      <c r="A2" s="231" t="s">
        <v>1</v>
      </c>
      <c r="B2" s="232"/>
    </row>
  </sheetData>
  <mergeCells count="1">
    <mergeCell ref="A2:B2"/>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68003-9AA9-4ADC-887A-1132F38EE913}">
  <sheetPr>
    <tabColor theme="5"/>
  </sheetPr>
  <dimension ref="A1:B2"/>
  <sheetViews>
    <sheetView workbookViewId="0">
      <selection activeCell="A2" sqref="A2:B2"/>
    </sheetView>
  </sheetViews>
  <sheetFormatPr defaultRowHeight="15"/>
  <cols>
    <col min="1" max="1" width="34.7109375" customWidth="1"/>
    <col min="2" max="2" width="61.42578125" customWidth="1"/>
  </cols>
  <sheetData>
    <row r="1" spans="1:2" ht="15.75" thickBot="1">
      <c r="A1" s="116" t="s">
        <v>46</v>
      </c>
      <c r="B1" s="117" t="s">
        <v>671</v>
      </c>
    </row>
    <row r="2" spans="1:2" ht="61.5" customHeight="1" thickBot="1">
      <c r="A2" s="231" t="s">
        <v>1</v>
      </c>
      <c r="B2" s="232"/>
    </row>
  </sheetData>
  <mergeCells count="1">
    <mergeCell ref="A2:B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5601F-5C91-4EE4-9FC7-ADFA502A73F1}">
  <sheetPr codeName="Sheet7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27</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60">
      <c r="A3" s="130" t="s">
        <v>584</v>
      </c>
      <c r="B3" s="134">
        <f>233564.734312306*(1+$H$8)</f>
        <v>239571.09471426939</v>
      </c>
      <c r="C3" s="134">
        <f t="shared" ref="C3:E3" si="0">B3*(1+$H$8)</f>
        <v>245731.91492963096</v>
      </c>
      <c r="D3" s="134">
        <f t="shared" si="0"/>
        <v>252051.16705336308</v>
      </c>
      <c r="E3" s="134">
        <f t="shared" si="0"/>
        <v>258532.92532699736</v>
      </c>
      <c r="F3" s="123" t="s">
        <v>672</v>
      </c>
      <c r="H3" s="132">
        <v>0.95946199709706936</v>
      </c>
      <c r="I3" s="123" t="s">
        <v>676</v>
      </c>
    </row>
    <row r="4" spans="1:12" s="7" customFormat="1">
      <c r="A4" s="130" t="s">
        <v>217</v>
      </c>
      <c r="B4" s="131">
        <f>SUMIFS('Form 1.1c (CEC 2025a)'!G:G, 'Form 1.1c (CEC 2025a)'!$B:$B, "Moreno Valley Electric Utility")*1000</f>
        <v>220581.4549498758</v>
      </c>
      <c r="C4" s="131">
        <f>SUMIFS('Form 1.1c (CEC 2025a)'!H:H, 'Form 1.1c (CEC 2025a)'!$B:$B, "Moreno Valley Electric Utility")*1000</f>
        <v>227875.9353222886</v>
      </c>
      <c r="D4" s="131">
        <f>SUMIFS('Form 1.1c (CEC 2025a)'!I:I, 'Form 1.1c (CEC 2025a)'!$B:$B, "Moreno Valley Electric Utility")*1000</f>
        <v>236867.20936589202</v>
      </c>
      <c r="E4" s="131">
        <f>SUMIFS('Form 1.1c (CEC 2025a)'!J:J, 'Form 1.1c (CEC 2025a)'!$B:$B, "Moreno Valley Electric Utility")*1000</f>
        <v>246452.78259860279</v>
      </c>
      <c r="F4" s="123" t="s">
        <v>575</v>
      </c>
      <c r="H4" s="122">
        <f>0.15</f>
        <v>0.15</v>
      </c>
      <c r="I4" s="123" t="s">
        <v>498</v>
      </c>
    </row>
    <row r="5" spans="1:12" s="7" customFormat="1" ht="30">
      <c r="A5" s="130" t="s">
        <v>585</v>
      </c>
      <c r="B5" s="131">
        <f t="shared" ref="B5:E5" si="1">IF(0&lt;(B4-B3),B4*(1+$H$5),B3)</f>
        <v>239571.09471426939</v>
      </c>
      <c r="C5" s="131">
        <f t="shared" si="1"/>
        <v>245731.91492963096</v>
      </c>
      <c r="D5" s="131">
        <f t="shared" si="1"/>
        <v>252051.16705336308</v>
      </c>
      <c r="E5" s="131">
        <f t="shared" si="1"/>
        <v>258532.92532699736</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0</v>
      </c>
      <c r="C8" s="131">
        <v>0</v>
      </c>
      <c r="D8" s="131">
        <v>0</v>
      </c>
      <c r="E8" s="131">
        <v>0</v>
      </c>
      <c r="F8" s="133" t="s">
        <v>527</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2">B4*B9</f>
        <v>86026.767430451568</v>
      </c>
      <c r="C10" s="131">
        <f t="shared" si="2"/>
        <v>93429.133482138321</v>
      </c>
      <c r="D10" s="131">
        <f t="shared" si="2"/>
        <v>101852.90002733357</v>
      </c>
      <c r="E10" s="131">
        <f t="shared" si="2"/>
        <v>110903.75216937126</v>
      </c>
      <c r="F10" s="123" t="s">
        <v>587</v>
      </c>
    </row>
    <row r="11" spans="1:12" s="7" customFormat="1" ht="30">
      <c r="A11" s="130" t="s">
        <v>505</v>
      </c>
      <c r="B11" s="131">
        <f t="shared" ref="B11:E11" si="3">MAX(B5-SUM(B6:B8,B10), B5*$H$6)</f>
        <v>153544.32728381781</v>
      </c>
      <c r="C11" s="131">
        <f t="shared" si="3"/>
        <v>152302.78144749266</v>
      </c>
      <c r="D11" s="131">
        <f t="shared" si="3"/>
        <v>150198.26702602953</v>
      </c>
      <c r="E11" s="131">
        <f t="shared" si="3"/>
        <v>147629.17315762609</v>
      </c>
      <c r="F11" s="123" t="s">
        <v>589</v>
      </c>
    </row>
    <row r="12" spans="1:12" s="7" customFormat="1" ht="46.5">
      <c r="A12" s="130" t="s">
        <v>507</v>
      </c>
      <c r="B12" s="131">
        <f>B6*$H$3+B11*$H$2</f>
        <v>66853.200099374269</v>
      </c>
      <c r="C12" s="131">
        <f>C6*$H$3+C11*$H$2</f>
        <v>66312.63104223831</v>
      </c>
      <c r="D12" s="131">
        <f>D6*$H$3+D11*$H$2</f>
        <v>65396.32546313326</v>
      </c>
      <c r="E12" s="131">
        <f>E6*$H$3+E11*$H$2</f>
        <v>64277.741992830401</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4">B12/B5</f>
        <v>0.27905369877408814</v>
      </c>
      <c r="C14" s="193">
        <f t="shared" si="4"/>
        <v>0.26985762537693947</v>
      </c>
      <c r="D14" s="193">
        <f t="shared" si="4"/>
        <v>0.25945654696884562</v>
      </c>
      <c r="E14" s="193">
        <f t="shared" si="4"/>
        <v>0.24862497460054919</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66853.200099374269</v>
      </c>
      <c r="C16" s="8">
        <f>C12-C15</f>
        <v>66312.63104223831</v>
      </c>
      <c r="D16" s="8">
        <f>D12-D15</f>
        <v>65396.32546313326</v>
      </c>
      <c r="E16" s="8">
        <f>E12-E15</f>
        <v>64277.741992830401</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E0E2-7B0F-489C-BF5B-E1106E421FD7}">
  <sheetPr codeName="Sheet71"/>
  <dimension ref="A1:L18"/>
  <sheetViews>
    <sheetView zoomScaleNormal="100" workbookViewId="0"/>
  </sheetViews>
  <sheetFormatPr defaultRowHeight="15"/>
  <cols>
    <col min="1" max="1" width="37.7109375" customWidth="1"/>
    <col min="2" max="5" width="11" customWidth="1"/>
    <col min="6" max="6" width="49.28515625" style="1" customWidth="1"/>
    <col min="7" max="7" width="5.7109375" bestFit="1" customWidth="1"/>
    <col min="8" max="8" width="8.7109375" customWidth="1"/>
    <col min="9" max="9" width="34.28515625" customWidth="1"/>
  </cols>
  <sheetData>
    <row r="1" spans="1:12" s="7" customFormat="1" ht="15.75">
      <c r="A1" s="125" t="s">
        <v>28</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44">
        <f>B4/(1-$H$5)</f>
        <v>98677.408463240674</v>
      </c>
      <c r="C3" s="144">
        <f>C4/(1-$H$5)</f>
        <v>102016.2627748817</v>
      </c>
      <c r="D3" s="144">
        <f>D4/(1-$H$5)</f>
        <v>105468.09074774849</v>
      </c>
      <c r="E3" s="144">
        <f>E4/(1-$H$5)</f>
        <v>109036.71496496075</v>
      </c>
      <c r="F3" s="136" t="s">
        <v>529</v>
      </c>
      <c r="H3" s="132">
        <v>0.95946199709706936</v>
      </c>
      <c r="I3" s="123" t="s">
        <v>676</v>
      </c>
    </row>
    <row r="4" spans="1:12" s="7" customFormat="1" ht="30">
      <c r="A4" s="130" t="s">
        <v>217</v>
      </c>
      <c r="B4" s="144">
        <f>88766.4822140438*(1+$H$8)</f>
        <v>91769.989870813821</v>
      </c>
      <c r="C4" s="144">
        <f t="shared" ref="C4:E4" si="0">B4*(1+$H$8)</f>
        <v>94875.124380639973</v>
      </c>
      <c r="D4" s="144">
        <f t="shared" si="0"/>
        <v>98085.324395406089</v>
      </c>
      <c r="E4" s="144">
        <f t="shared" si="0"/>
        <v>101404.14491741349</v>
      </c>
      <c r="F4" s="136" t="s">
        <v>668</v>
      </c>
      <c r="H4" s="122">
        <f>0.15</f>
        <v>0.15</v>
      </c>
      <c r="I4" s="123" t="s">
        <v>498</v>
      </c>
    </row>
    <row r="5" spans="1:12" s="7" customFormat="1" ht="30">
      <c r="A5" s="130" t="s">
        <v>585</v>
      </c>
      <c r="B5" s="131">
        <f t="shared" ref="B5:E5" si="1">IF(0&lt;(B4-B3),B4*(1+$H$5),B3)</f>
        <v>98677.408463240674</v>
      </c>
      <c r="C5" s="131">
        <f t="shared" si="1"/>
        <v>102016.2627748817</v>
      </c>
      <c r="D5" s="131">
        <f t="shared" si="1"/>
        <v>105468.09074774849</v>
      </c>
      <c r="E5" s="131">
        <f t="shared" si="1"/>
        <v>109036.71496496075</v>
      </c>
      <c r="F5" s="123" t="s">
        <v>586</v>
      </c>
      <c r="H5" s="122">
        <f>0.07</f>
        <v>7.0000000000000007E-2</v>
      </c>
      <c r="I5" s="123" t="s">
        <v>499</v>
      </c>
    </row>
    <row r="6" spans="1:12" s="7" customFormat="1">
      <c r="A6" s="130" t="s">
        <v>500</v>
      </c>
      <c r="B6" s="131">
        <v>0</v>
      </c>
      <c r="C6" s="131">
        <v>0</v>
      </c>
      <c r="D6" s="131">
        <v>0</v>
      </c>
      <c r="E6" s="131">
        <v>0</v>
      </c>
      <c r="F6" s="133" t="s">
        <v>530</v>
      </c>
      <c r="H6" s="124">
        <v>0.05</v>
      </c>
      <c r="I6" s="123" t="s">
        <v>516</v>
      </c>
    </row>
    <row r="7" spans="1:12" s="7" customFormat="1">
      <c r="A7" s="130" t="s">
        <v>501</v>
      </c>
      <c r="B7" s="131">
        <v>0</v>
      </c>
      <c r="C7" s="131">
        <v>0</v>
      </c>
      <c r="D7" s="131">
        <v>0</v>
      </c>
      <c r="E7" s="131">
        <v>0</v>
      </c>
      <c r="F7" s="133" t="s">
        <v>531</v>
      </c>
      <c r="I7" s="12"/>
    </row>
    <row r="8" spans="1:12" s="7" customFormat="1" ht="30">
      <c r="A8" s="130" t="s">
        <v>502</v>
      </c>
      <c r="B8" s="134">
        <v>29531.561000000005</v>
      </c>
      <c r="C8" s="134">
        <v>29531.561000000005</v>
      </c>
      <c r="D8" s="134">
        <v>0</v>
      </c>
      <c r="E8" s="134">
        <v>0</v>
      </c>
      <c r="F8" s="133" t="s">
        <v>674</v>
      </c>
      <c r="H8" s="135">
        <f>SUMIFS('Form 1.1c (CEC 2025a)'!U:U, 'Form 1.1c (CEC 2025a)'!$B:$B, "Needles, City of")</f>
        <v>3.3836055928493591E-2</v>
      </c>
      <c r="I8" s="123" t="s">
        <v>581</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2">B4*B9</f>
        <v>35790.296049617391</v>
      </c>
      <c r="C10" s="131">
        <f t="shared" si="2"/>
        <v>38898.800996062389</v>
      </c>
      <c r="D10" s="131">
        <f t="shared" si="2"/>
        <v>42176.689490024619</v>
      </c>
      <c r="E10" s="131">
        <f t="shared" si="2"/>
        <v>45631.86521283607</v>
      </c>
      <c r="F10" s="123" t="s">
        <v>587</v>
      </c>
    </row>
    <row r="11" spans="1:12" s="7" customFormat="1" ht="30">
      <c r="A11" s="130" t="s">
        <v>505</v>
      </c>
      <c r="B11" s="131">
        <f t="shared" ref="B11:E11" si="3">MAX(B5-SUM(B6:B8,B10), B5*$H$6)</f>
        <v>33355.551413623281</v>
      </c>
      <c r="C11" s="131">
        <f t="shared" si="3"/>
        <v>33585.900778819312</v>
      </c>
      <c r="D11" s="131">
        <f t="shared" si="3"/>
        <v>63291.401257723868</v>
      </c>
      <c r="E11" s="131">
        <f t="shared" si="3"/>
        <v>63404.849752124675</v>
      </c>
      <c r="F11" s="123" t="s">
        <v>589</v>
      </c>
      <c r="H11" s="195"/>
    </row>
    <row r="12" spans="1:12" s="7" customFormat="1" ht="46.5">
      <c r="A12" s="130" t="s">
        <v>507</v>
      </c>
      <c r="B12" s="131">
        <f>B6*$H$3+B11*$H$2</f>
        <v>14523.007085491578</v>
      </c>
      <c r="C12" s="131">
        <f>C6*$H$3+C11*$H$2</f>
        <v>14623.301199097928</v>
      </c>
      <c r="D12" s="131">
        <f>D6*$H$3+D11*$H$2</f>
        <v>27557.076107612971</v>
      </c>
      <c r="E12" s="131">
        <f>E6*$H$3+E11*$H$2</f>
        <v>27606.471582075083</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4">B12/B5</f>
        <v>0.14717661632653933</v>
      </c>
      <c r="C14" s="193">
        <f t="shared" si="4"/>
        <v>0.14334284359511409</v>
      </c>
      <c r="D14" s="193">
        <f t="shared" si="4"/>
        <v>0.26128353999999998</v>
      </c>
      <c r="E14" s="193">
        <f t="shared" si="4"/>
        <v>0.2531851</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14523.007085491578</v>
      </c>
      <c r="C16" s="8">
        <f>C12-C15</f>
        <v>14623.301199097928</v>
      </c>
      <c r="D16" s="8">
        <f>D12-D15</f>
        <v>27557.076107612971</v>
      </c>
      <c r="E16" s="8">
        <f>E12-E15</f>
        <v>27606.471582075083</v>
      </c>
      <c r="F16" s="10" t="s">
        <v>514</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C8307-43F8-4D99-B622-D6A6BC7C01F0}">
  <sheetPr codeName="Sheet73"/>
  <dimension ref="A1:S18"/>
  <sheetViews>
    <sheetView zoomScaleNormal="100" workbookViewId="0"/>
  </sheetViews>
  <sheetFormatPr defaultRowHeight="15"/>
  <cols>
    <col min="1" max="1" width="37.7109375" customWidth="1"/>
    <col min="6" max="6" width="49.28515625" customWidth="1"/>
    <col min="9" max="9" width="39.5703125" bestFit="1" customWidth="1"/>
  </cols>
  <sheetData>
    <row r="1" spans="1:19" s="7" customFormat="1" ht="30">
      <c r="A1" s="125" t="s">
        <v>29</v>
      </c>
      <c r="B1" s="223" t="s">
        <v>671</v>
      </c>
      <c r="C1" s="224"/>
      <c r="D1" s="224"/>
      <c r="E1" s="224"/>
      <c r="F1" s="225"/>
      <c r="H1" s="229" t="s">
        <v>4</v>
      </c>
      <c r="I1" s="230"/>
    </row>
    <row r="2" spans="1:19" s="7" customFormat="1" ht="34.15" customHeight="1">
      <c r="A2" s="126" t="s">
        <v>496</v>
      </c>
      <c r="B2" s="127">
        <v>2027</v>
      </c>
      <c r="C2" s="127">
        <v>2028</v>
      </c>
      <c r="D2" s="127">
        <v>2029</v>
      </c>
      <c r="E2" s="128">
        <v>2030</v>
      </c>
      <c r="F2" s="129" t="s">
        <v>497</v>
      </c>
      <c r="H2" s="120">
        <v>0.43540000000000001</v>
      </c>
      <c r="I2" s="62" t="s">
        <v>7</v>
      </c>
    </row>
    <row r="3" spans="1:19" s="7" customFormat="1" ht="30">
      <c r="A3" s="130" t="s">
        <v>584</v>
      </c>
      <c r="B3" s="131">
        <v>117557.02499999999</v>
      </c>
      <c r="C3" s="131">
        <v>118454.03199999999</v>
      </c>
      <c r="D3" s="131">
        <v>118914.917999999</v>
      </c>
      <c r="E3" s="131">
        <v>119401.337</v>
      </c>
      <c r="F3" s="123" t="s">
        <v>561</v>
      </c>
      <c r="H3" s="132">
        <v>0.95946199709706936</v>
      </c>
      <c r="I3" s="123" t="s">
        <v>676</v>
      </c>
    </row>
    <row r="4" spans="1:19" s="7" customFormat="1">
      <c r="A4" s="130" t="s">
        <v>217</v>
      </c>
      <c r="B4" s="131">
        <f>SUMIFS('Form 1.1c (CEC 2025a)'!G:G,'Form 1.1c (CEC 2025a)'!$B:$B,"Port of Oakland")*1000</f>
        <v>87397.28946602263</v>
      </c>
      <c r="C4" s="131">
        <f>SUMIFS('Form 1.1c (CEC 2025a)'!H:H,'Form 1.1c (CEC 2025a)'!$B:$B,"Port of Oakland")*1000</f>
        <v>88741.882554483484</v>
      </c>
      <c r="D4" s="131">
        <f>SUMIFS('Form 1.1c (CEC 2025a)'!I:I,'Form 1.1c (CEC 2025a)'!$B:$B,"Port of Oakland")*1000</f>
        <v>90302.060682617783</v>
      </c>
      <c r="E4" s="131">
        <f>SUMIFS('Form 1.1c (CEC 2025a)'!J:J,'Form 1.1c (CEC 2025a)'!$B:$B,"Port of Oakland")*1000</f>
        <v>91882.429873698231</v>
      </c>
      <c r="F4" s="123" t="s">
        <v>578</v>
      </c>
      <c r="H4" s="122">
        <f>0.15</f>
        <v>0.15</v>
      </c>
      <c r="I4" s="120" t="s">
        <v>498</v>
      </c>
    </row>
    <row r="5" spans="1:19" s="7" customFormat="1" ht="45">
      <c r="A5" s="130" t="s">
        <v>585</v>
      </c>
      <c r="B5" s="131">
        <f>B4*(1+$H$4)</f>
        <v>100506.88288592601</v>
      </c>
      <c r="C5" s="131">
        <f t="shared" ref="C5:E5" si="0">C4*(1+$H$4)</f>
        <v>102053.16493765599</v>
      </c>
      <c r="D5" s="131">
        <f t="shared" si="0"/>
        <v>103847.36978501044</v>
      </c>
      <c r="E5" s="131">
        <f t="shared" si="0"/>
        <v>105664.79435475296</v>
      </c>
      <c r="F5" s="123" t="s">
        <v>678</v>
      </c>
      <c r="H5" s="122">
        <f>0.07</f>
        <v>7.0000000000000007E-2</v>
      </c>
      <c r="I5" s="123" t="s">
        <v>499</v>
      </c>
    </row>
    <row r="6" spans="1:19" s="7" customFormat="1">
      <c r="A6" s="130" t="s">
        <v>500</v>
      </c>
      <c r="B6" s="131">
        <v>0</v>
      </c>
      <c r="C6" s="131">
        <v>0</v>
      </c>
      <c r="D6" s="131">
        <v>0</v>
      </c>
      <c r="E6" s="131">
        <v>0</v>
      </c>
      <c r="F6" s="133" t="s">
        <v>525</v>
      </c>
      <c r="H6" s="124">
        <v>0.05</v>
      </c>
      <c r="I6" s="120" t="s">
        <v>11</v>
      </c>
    </row>
    <row r="7" spans="1:19" s="7" customFormat="1">
      <c r="A7" s="130" t="s">
        <v>501</v>
      </c>
      <c r="B7" s="131">
        <v>0</v>
      </c>
      <c r="C7" s="131">
        <v>0</v>
      </c>
      <c r="D7" s="131">
        <v>0</v>
      </c>
      <c r="E7" s="131">
        <v>0</v>
      </c>
      <c r="F7" s="133" t="s">
        <v>526</v>
      </c>
    </row>
    <row r="8" spans="1:19" s="7" customFormat="1" ht="30">
      <c r="A8" s="130" t="s">
        <v>502</v>
      </c>
      <c r="B8" s="134">
        <v>6156.3877651850999</v>
      </c>
      <c r="C8" s="134">
        <v>6095.5221347564202</v>
      </c>
      <c r="D8" s="134">
        <v>6248.9173534374595</v>
      </c>
      <c r="E8" s="134">
        <v>6307.9538307953499</v>
      </c>
      <c r="F8" s="123" t="s">
        <v>558</v>
      </c>
      <c r="H8" s="135">
        <f>SUMIFS('Form 1.5a (CEC 2025a)'!U:U, 'Form 1.5a (CEC 2025a)'!$B:$B, "NCPA - Greater Bay Area")</f>
        <v>3.7943028258503597E-2</v>
      </c>
      <c r="I8" s="123" t="s">
        <v>579</v>
      </c>
    </row>
    <row r="9" spans="1:19" s="7" customFormat="1" ht="75">
      <c r="A9" s="130" t="s">
        <v>503</v>
      </c>
      <c r="B9" s="203">
        <v>0.39</v>
      </c>
      <c r="C9" s="203">
        <v>0.41</v>
      </c>
      <c r="D9" s="203">
        <v>0.43</v>
      </c>
      <c r="E9" s="203">
        <v>0.45</v>
      </c>
      <c r="F9" s="123" t="s">
        <v>690</v>
      </c>
      <c r="H9" s="16"/>
      <c r="I9" s="2"/>
    </row>
    <row r="10" spans="1:19" s="7" customFormat="1">
      <c r="A10" s="130" t="s">
        <v>504</v>
      </c>
      <c r="B10" s="131">
        <f t="shared" ref="B10:E10" si="1">B4*B9</f>
        <v>34084.942891748826</v>
      </c>
      <c r="C10" s="131">
        <f t="shared" si="1"/>
        <v>36384.171847338228</v>
      </c>
      <c r="D10" s="131">
        <f t="shared" si="1"/>
        <v>38829.886093525645</v>
      </c>
      <c r="E10" s="131">
        <f t="shared" si="1"/>
        <v>41347.093443164202</v>
      </c>
      <c r="F10" s="123" t="s">
        <v>587</v>
      </c>
      <c r="I10" s="21"/>
    </row>
    <row r="11" spans="1:19" s="7" customFormat="1" ht="30">
      <c r="A11" s="130" t="s">
        <v>505</v>
      </c>
      <c r="B11" s="131">
        <f t="shared" ref="B11:E11" si="2">MAX(B5-SUM(B6:B8,B10), B5*$H$6)</f>
        <v>60265.552228992085</v>
      </c>
      <c r="C11" s="131">
        <f t="shared" si="2"/>
        <v>59573.470955561344</v>
      </c>
      <c r="D11" s="131">
        <f t="shared" si="2"/>
        <v>58768.566338047334</v>
      </c>
      <c r="E11" s="131">
        <f t="shared" si="2"/>
        <v>58009.747080793408</v>
      </c>
      <c r="F11" s="123" t="s">
        <v>589</v>
      </c>
      <c r="J11" s="21"/>
      <c r="K11" s="21"/>
      <c r="L11" s="21"/>
      <c r="M11" s="21"/>
      <c r="N11" s="21"/>
      <c r="O11" s="21"/>
      <c r="P11" s="21"/>
      <c r="Q11" s="21"/>
      <c r="R11" s="21"/>
      <c r="S11" s="21"/>
    </row>
    <row r="12" spans="1:19" s="7" customFormat="1" ht="46.5">
      <c r="A12" s="130" t="s">
        <v>507</v>
      </c>
      <c r="B12" s="131">
        <f>B6*$H$3+B11*$H$2</f>
        <v>26239.621440503153</v>
      </c>
      <c r="C12" s="131">
        <f>C6*$H$3+C11*$H$2</f>
        <v>25938.289254051411</v>
      </c>
      <c r="D12" s="131">
        <f>D6*$H$3+D11*$H$2</f>
        <v>25587.833783585811</v>
      </c>
      <c r="E12" s="131">
        <f>E6*$H$3+E11*$H$2</f>
        <v>25257.44387897745</v>
      </c>
      <c r="F12" s="136" t="s">
        <v>508</v>
      </c>
    </row>
    <row r="13" spans="1:19" s="7" customFormat="1" ht="72.599999999999994" customHeight="1">
      <c r="A13" s="130"/>
      <c r="B13" s="227" t="s">
        <v>557</v>
      </c>
      <c r="C13" s="227"/>
      <c r="D13" s="228"/>
      <c r="E13" s="137">
        <v>0</v>
      </c>
      <c r="F13" s="136" t="s">
        <v>686</v>
      </c>
    </row>
    <row r="14" spans="1:19" s="7" customFormat="1" ht="33">
      <c r="A14" s="130" t="s">
        <v>509</v>
      </c>
      <c r="B14" s="193">
        <f t="shared" ref="B14:E14" si="3">B12/B5</f>
        <v>0.26107288065320639</v>
      </c>
      <c r="C14" s="193">
        <f t="shared" si="3"/>
        <v>0.25416447662252362</v>
      </c>
      <c r="D14" s="193">
        <f t="shared" si="3"/>
        <v>0.24639847727062239</v>
      </c>
      <c r="E14" s="193">
        <f t="shared" si="3"/>
        <v>0.23903367278773616</v>
      </c>
      <c r="F14" s="123" t="s">
        <v>588</v>
      </c>
    </row>
    <row r="15" spans="1:19" s="7" customFormat="1" ht="33.75" thickBot="1">
      <c r="A15" s="130" t="s">
        <v>511</v>
      </c>
      <c r="B15" s="138">
        <f>$E$13*B14</f>
        <v>0</v>
      </c>
      <c r="C15" s="138">
        <f>$E$13*C14</f>
        <v>0</v>
      </c>
      <c r="D15" s="138">
        <f>$E$13*D14</f>
        <v>0</v>
      </c>
      <c r="E15" s="138">
        <f>$E$13*E14</f>
        <v>0</v>
      </c>
      <c r="F15" s="123" t="s">
        <v>518</v>
      </c>
    </row>
    <row r="16" spans="1:19" ht="30.75" thickBot="1">
      <c r="A16" s="20" t="s">
        <v>513</v>
      </c>
      <c r="B16" s="8">
        <f>B12-B15</f>
        <v>26239.621440503153</v>
      </c>
      <c r="C16" s="8">
        <f>C12-C15</f>
        <v>25938.289254051411</v>
      </c>
      <c r="D16" s="8">
        <f>D12-D15</f>
        <v>25587.833783585811</v>
      </c>
      <c r="E16" s="8">
        <f>E12-E15</f>
        <v>25257.44387897745</v>
      </c>
      <c r="F16" s="10" t="s">
        <v>514</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E0AB6-519B-4235-8C37-AC36944DCEAA}">
  <sheetPr codeName="Sheet74"/>
  <dimension ref="A1:L23"/>
  <sheetViews>
    <sheetView zoomScale="80" zoomScaleNormal="80" workbookViewId="0"/>
  </sheetViews>
  <sheetFormatPr defaultColWidth="9.28515625" defaultRowHeight="15"/>
  <cols>
    <col min="1" max="1" width="37.7109375" customWidth="1"/>
    <col min="2" max="5" width="11.42578125" customWidth="1"/>
    <col min="6" max="6" width="49.28515625" style="1" customWidth="1"/>
    <col min="8" max="8" width="8.7109375" customWidth="1"/>
    <col min="9" max="9" width="36.5703125" customWidth="1"/>
    <col min="11" max="11" width="14.7109375" customWidth="1"/>
  </cols>
  <sheetData>
    <row r="1" spans="1:10" s="7" customFormat="1" ht="15.75">
      <c r="A1" s="125" t="s">
        <v>532</v>
      </c>
      <c r="B1" s="223" t="s">
        <v>671</v>
      </c>
      <c r="C1" s="224"/>
      <c r="D1" s="224"/>
      <c r="E1" s="224"/>
      <c r="F1" s="225"/>
      <c r="H1" s="229" t="s">
        <v>4</v>
      </c>
      <c r="I1" s="230"/>
      <c r="J1" s="2"/>
    </row>
    <row r="2" spans="1:10" s="7" customFormat="1" ht="33">
      <c r="A2" s="126" t="s">
        <v>496</v>
      </c>
      <c r="B2" s="127">
        <v>2027</v>
      </c>
      <c r="C2" s="127">
        <v>2028</v>
      </c>
      <c r="D2" s="127">
        <v>2029</v>
      </c>
      <c r="E2" s="128">
        <v>2030</v>
      </c>
      <c r="F2" s="129" t="s">
        <v>497</v>
      </c>
      <c r="H2" s="120">
        <v>0.43540000000000001</v>
      </c>
      <c r="I2" s="62" t="s">
        <v>7</v>
      </c>
    </row>
    <row r="3" spans="1:10" s="7" customFormat="1" ht="47.25">
      <c r="A3" s="130" t="s">
        <v>584</v>
      </c>
      <c r="B3" s="131">
        <v>833430</v>
      </c>
      <c r="C3" s="131">
        <v>833940</v>
      </c>
      <c r="D3" s="131">
        <v>829990</v>
      </c>
      <c r="E3" s="131">
        <v>828910</v>
      </c>
      <c r="F3" s="200" t="s">
        <v>698</v>
      </c>
      <c r="H3" s="132">
        <v>0.95946199709706936</v>
      </c>
      <c r="I3" s="123" t="s">
        <v>676</v>
      </c>
    </row>
    <row r="4" spans="1:10" s="7" customFormat="1" ht="32.25">
      <c r="A4" s="130" t="s">
        <v>217</v>
      </c>
      <c r="B4" s="131">
        <v>748032</v>
      </c>
      <c r="C4" s="131">
        <v>743876</v>
      </c>
      <c r="D4" s="131">
        <v>735509</v>
      </c>
      <c r="E4" s="131">
        <v>729360</v>
      </c>
      <c r="F4" s="123" t="s">
        <v>683</v>
      </c>
      <c r="H4" s="122">
        <f>0.15</f>
        <v>0.15</v>
      </c>
      <c r="I4" s="123" t="s">
        <v>498</v>
      </c>
    </row>
    <row r="5" spans="1:10" s="7" customFormat="1" ht="30">
      <c r="A5" s="130" t="s">
        <v>585</v>
      </c>
      <c r="B5" s="131">
        <f t="shared" ref="B5:E5" si="0">IF(0&lt;(B4-B3),B4*(1+$H$5),B3)</f>
        <v>833430</v>
      </c>
      <c r="C5" s="131">
        <f t="shared" si="0"/>
        <v>833940</v>
      </c>
      <c r="D5" s="131">
        <f t="shared" si="0"/>
        <v>829990</v>
      </c>
      <c r="E5" s="131">
        <f t="shared" si="0"/>
        <v>828910</v>
      </c>
      <c r="F5" s="123" t="s">
        <v>586</v>
      </c>
      <c r="H5" s="122">
        <f>0.07</f>
        <v>7.0000000000000007E-2</v>
      </c>
      <c r="I5" s="123" t="s">
        <v>499</v>
      </c>
    </row>
    <row r="6" spans="1:10" s="7" customFormat="1" ht="47.25">
      <c r="A6" s="130" t="s">
        <v>500</v>
      </c>
      <c r="B6" s="196">
        <f>B3*0.305891883678069</f>
        <v>254939.47261381306</v>
      </c>
      <c r="C6" s="196">
        <f>C3*0.292065295001041</f>
        <v>243564.93211316812</v>
      </c>
      <c r="D6" s="196">
        <f>D3*0.293705552363996</f>
        <v>243772.67140659303</v>
      </c>
      <c r="E6" s="196">
        <f>E3*0.204442778384916</f>
        <v>169464.66343104074</v>
      </c>
      <c r="F6" s="141" t="s">
        <v>699</v>
      </c>
      <c r="H6" s="124">
        <v>0.05</v>
      </c>
      <c r="I6" s="123" t="s">
        <v>516</v>
      </c>
    </row>
    <row r="7" spans="1:10" s="7" customFormat="1" ht="47.25">
      <c r="A7" s="130" t="s">
        <v>501</v>
      </c>
      <c r="B7" s="131">
        <v>0</v>
      </c>
      <c r="C7" s="131">
        <v>0</v>
      </c>
      <c r="D7" s="131">
        <v>0</v>
      </c>
      <c r="E7" s="131">
        <v>0</v>
      </c>
      <c r="F7" s="141" t="s">
        <v>700</v>
      </c>
      <c r="I7" s="12"/>
    </row>
    <row r="8" spans="1:10" s="7" customFormat="1" ht="60">
      <c r="A8" s="130" t="s">
        <v>502</v>
      </c>
      <c r="B8" s="131">
        <f>B3*0.06950442146624</f>
        <v>57927.069982608402</v>
      </c>
      <c r="C8" s="131">
        <f>C3*0.0692738921518838</f>
        <v>57770.269621141975</v>
      </c>
      <c r="D8" s="131">
        <f>D3*0.0692836909707609</f>
        <v>57504.770668821839</v>
      </c>
      <c r="E8" s="131">
        <f>E3*0.0682571394867961</f>
        <v>56579.025492000153</v>
      </c>
      <c r="F8" s="141" t="s">
        <v>704</v>
      </c>
      <c r="H8" s="135">
        <v>1.1999999999999999E-3</v>
      </c>
      <c r="I8" s="123" t="s">
        <v>697</v>
      </c>
    </row>
    <row r="9" spans="1:10" s="7" customFormat="1" ht="75">
      <c r="A9" s="130" t="s">
        <v>503</v>
      </c>
      <c r="B9" s="203">
        <v>0.39</v>
      </c>
      <c r="C9" s="203">
        <v>0.41</v>
      </c>
      <c r="D9" s="203">
        <v>0.43</v>
      </c>
      <c r="E9" s="203">
        <v>0.45</v>
      </c>
      <c r="F9" s="123" t="s">
        <v>690</v>
      </c>
      <c r="H9" s="17"/>
    </row>
    <row r="10" spans="1:10" s="7" customFormat="1">
      <c r="A10" s="130" t="s">
        <v>504</v>
      </c>
      <c r="B10" s="131">
        <f t="shared" ref="B10:E10" si="1">B4*B9</f>
        <v>291732.47999999998</v>
      </c>
      <c r="C10" s="131">
        <f t="shared" si="1"/>
        <v>304989.15999999997</v>
      </c>
      <c r="D10" s="131">
        <f t="shared" si="1"/>
        <v>316268.87</v>
      </c>
      <c r="E10" s="131">
        <f t="shared" si="1"/>
        <v>328212</v>
      </c>
      <c r="F10" s="123" t="s">
        <v>587</v>
      </c>
    </row>
    <row r="11" spans="1:10" s="7" customFormat="1" ht="30">
      <c r="A11" s="130" t="s">
        <v>505</v>
      </c>
      <c r="B11" s="131">
        <f t="shared" ref="B11:E11" si="2">MAX(B5-SUM(B6:B8,B10), B5*$H$6)</f>
        <v>228830.97740357858</v>
      </c>
      <c r="C11" s="131">
        <f t="shared" si="2"/>
        <v>227615.63826568995</v>
      </c>
      <c r="D11" s="131">
        <f t="shared" si="2"/>
        <v>212443.68792458507</v>
      </c>
      <c r="E11" s="131">
        <f t="shared" si="2"/>
        <v>274654.31107695913</v>
      </c>
      <c r="F11" s="123" t="s">
        <v>589</v>
      </c>
    </row>
    <row r="12" spans="1:10" s="7" customFormat="1" ht="46.5">
      <c r="A12" s="130" t="s">
        <v>507</v>
      </c>
      <c r="B12" s="131">
        <f>B6*$H$3+B11*$H$2</f>
        <v>344237.74309444078</v>
      </c>
      <c r="C12" s="131">
        <f>C6*$H$3+C11*$H$2</f>
        <v>332795.14508899383</v>
      </c>
      <c r="D12" s="131">
        <f>D6*$H$3+D11*$H$2</f>
        <v>326388.59586782171</v>
      </c>
      <c r="E12" s="131">
        <f>E6*$H$3+E11*$H$2</f>
        <v>282179.39145583706</v>
      </c>
      <c r="F12" s="136" t="s">
        <v>508</v>
      </c>
    </row>
    <row r="13" spans="1:10" s="7" customFormat="1" ht="72.400000000000006" customHeight="1">
      <c r="A13" s="130"/>
      <c r="B13" s="227" t="s">
        <v>557</v>
      </c>
      <c r="C13" s="227"/>
      <c r="D13" s="228"/>
      <c r="E13" s="145">
        <v>0</v>
      </c>
      <c r="F13" s="136" t="s">
        <v>686</v>
      </c>
    </row>
    <row r="14" spans="1:10" s="7" customFormat="1" ht="33">
      <c r="A14" s="130" t="s">
        <v>509</v>
      </c>
      <c r="B14" s="193">
        <f t="shared" ref="B14:E14" si="3">B12/B5</f>
        <v>0.41303737937732116</v>
      </c>
      <c r="C14" s="193">
        <f t="shared" si="3"/>
        <v>0.39906365576539538</v>
      </c>
      <c r="D14" s="193">
        <f t="shared" si="3"/>
        <v>0.39324401000954434</v>
      </c>
      <c r="E14" s="193">
        <f t="shared" si="3"/>
        <v>0.34042223094888113</v>
      </c>
      <c r="F14" s="123" t="s">
        <v>510</v>
      </c>
    </row>
    <row r="15" spans="1:10" s="7" customFormat="1" ht="33.75" thickBot="1">
      <c r="A15" s="130" t="s">
        <v>511</v>
      </c>
      <c r="B15" s="138">
        <f>$E$13*B14</f>
        <v>0</v>
      </c>
      <c r="C15" s="138">
        <f>$E$13*C14</f>
        <v>0</v>
      </c>
      <c r="D15" s="138">
        <f>$E$13*D14</f>
        <v>0</v>
      </c>
      <c r="E15" s="138">
        <f>$E$13*E14</f>
        <v>0</v>
      </c>
      <c r="F15" s="123" t="s">
        <v>518</v>
      </c>
    </row>
    <row r="16" spans="1:10" ht="30.75" thickBot="1">
      <c r="A16" s="20" t="s">
        <v>513</v>
      </c>
      <c r="B16" s="8">
        <f>B12-B15</f>
        <v>344237.74309444078</v>
      </c>
      <c r="C16" s="8">
        <f>C12-C15</f>
        <v>332795.14508899383</v>
      </c>
      <c r="D16" s="8">
        <f>D12-D15</f>
        <v>326388.59586782171</v>
      </c>
      <c r="E16" s="8">
        <f>E12-E15</f>
        <v>282179.39145583706</v>
      </c>
      <c r="F16" s="10" t="s">
        <v>514</v>
      </c>
    </row>
    <row r="17" spans="1:12" ht="15.75">
      <c r="A17" s="13" t="s">
        <v>520</v>
      </c>
      <c r="B17" s="9"/>
      <c r="C17" s="9"/>
      <c r="D17" s="9"/>
      <c r="E17" s="9"/>
      <c r="F17"/>
      <c r="H17" s="3"/>
      <c r="I17" s="3"/>
      <c r="J17" s="7"/>
      <c r="K17" s="7"/>
      <c r="L17" s="7"/>
    </row>
    <row r="18" spans="1:12">
      <c r="A18" t="s">
        <v>701</v>
      </c>
      <c r="F18"/>
    </row>
    <row r="19" spans="1:12">
      <c r="A19" s="14" t="s">
        <v>702</v>
      </c>
      <c r="F19"/>
    </row>
    <row r="20" spans="1:12">
      <c r="A20" t="s">
        <v>694</v>
      </c>
      <c r="F20"/>
    </row>
    <row r="21" spans="1:12">
      <c r="A21" s="14" t="s">
        <v>702</v>
      </c>
      <c r="F21"/>
    </row>
    <row r="22" spans="1:12">
      <c r="A22" s="155" t="s">
        <v>703</v>
      </c>
    </row>
    <row r="23" spans="1:12">
      <c r="A23" s="14" t="s">
        <v>702</v>
      </c>
    </row>
  </sheetData>
  <mergeCells count="3">
    <mergeCell ref="B13:D13"/>
    <mergeCell ref="B1:F1"/>
    <mergeCell ref="H1:I1"/>
  </mergeCells>
  <hyperlinks>
    <hyperlink ref="A19" r:id="rId1" xr:uid="{E5F6AE00-760A-4F9D-8B43-C606FC539817}"/>
    <hyperlink ref="A21" r:id="rId2" xr:uid="{4E2E1613-C1BC-4B36-866A-44CF40A4DD29}"/>
    <hyperlink ref="A23" r:id="rId3" xr:uid="{93724D8A-08F4-43E8-AC73-F3F4FF9AD04E}"/>
  </hyperlinks>
  <pageMargins left="0.7" right="0.7" top="0.75" bottom="0.75" header="0.3" footer="0.3"/>
  <pageSetup orientation="portrait" r:id="rId4"/>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A146-8EBD-4AF9-971F-ADBDC36B5D0B}">
  <sheetPr codeName="Sheet77"/>
  <dimension ref="A1:I18"/>
  <sheetViews>
    <sheetView zoomScaleNormal="100" workbookViewId="0"/>
  </sheetViews>
  <sheetFormatPr defaultRowHeight="15"/>
  <cols>
    <col min="1" max="1" width="37.7109375" customWidth="1"/>
    <col min="2" max="5" width="11.42578125" customWidth="1"/>
    <col min="6" max="6" width="49.28515625" customWidth="1"/>
    <col min="9" max="9" width="39.5703125" bestFit="1" customWidth="1"/>
  </cols>
  <sheetData>
    <row r="1" spans="1:9" s="7" customFormat="1">
      <c r="A1" s="125" t="s">
        <v>30</v>
      </c>
      <c r="B1" s="223" t="s">
        <v>671</v>
      </c>
      <c r="C1" s="224"/>
      <c r="D1" s="224"/>
      <c r="E1" s="224"/>
      <c r="F1" s="225"/>
      <c r="H1" s="229" t="s">
        <v>4</v>
      </c>
      <c r="I1" s="230"/>
    </row>
    <row r="2" spans="1:9" s="7" customFormat="1" ht="34.15" customHeight="1">
      <c r="A2" s="126" t="s">
        <v>496</v>
      </c>
      <c r="B2" s="127">
        <v>2027</v>
      </c>
      <c r="C2" s="127">
        <v>2028</v>
      </c>
      <c r="D2" s="127">
        <v>2029</v>
      </c>
      <c r="E2" s="128">
        <v>2030</v>
      </c>
      <c r="F2" s="129" t="s">
        <v>497</v>
      </c>
      <c r="H2" s="120">
        <v>0.43540000000000001</v>
      </c>
      <c r="I2" s="62" t="s">
        <v>7</v>
      </c>
    </row>
    <row r="3" spans="1:9" s="7" customFormat="1" ht="30">
      <c r="A3" s="130" t="s">
        <v>584</v>
      </c>
      <c r="B3" s="131">
        <v>974926.00300000003</v>
      </c>
      <c r="C3" s="131">
        <v>1050730.2110000001</v>
      </c>
      <c r="D3" s="131">
        <v>1083003.426</v>
      </c>
      <c r="E3" s="131">
        <v>1091617.4470000002</v>
      </c>
      <c r="F3" s="123" t="s">
        <v>561</v>
      </c>
      <c r="H3" s="132">
        <v>0.95946199709706936</v>
      </c>
      <c r="I3" s="123" t="s">
        <v>676</v>
      </c>
    </row>
    <row r="4" spans="1:9" s="7" customFormat="1">
      <c r="A4" s="130" t="s">
        <v>217</v>
      </c>
      <c r="B4" s="131">
        <f>SUMIFS('Form 1.1c (CEC 2025a)'!G:G, 'Form 1.1c (CEC 2025a)'!$B:$B, "Palo Alto, City of")*1000</f>
        <v>931149.33630281442</v>
      </c>
      <c r="C4" s="131">
        <f>SUMIFS('Form 1.1c (CEC 2025a)'!H:H, 'Form 1.1c (CEC 2025a)'!$B:$B, "Palo Alto, City of")*1000</f>
        <v>1014034.1600519285</v>
      </c>
      <c r="D4" s="131">
        <f>SUMIFS('Form 1.1c (CEC 2025a)'!I:I, 'Form 1.1c (CEC 2025a)'!$B:$B, "Palo Alto, City of")*1000</f>
        <v>1064631.5335434373</v>
      </c>
      <c r="E4" s="131">
        <f>SUMIFS('Form 1.1c (CEC 2025a)'!J:J, 'Form 1.1c (CEC 2025a)'!$B:$B, "Palo Alto, City of")*1000</f>
        <v>1106491.1366505395</v>
      </c>
      <c r="F4" s="123" t="s">
        <v>575</v>
      </c>
      <c r="H4" s="122">
        <f>0.15</f>
        <v>0.15</v>
      </c>
      <c r="I4" s="120" t="s">
        <v>498</v>
      </c>
    </row>
    <row r="5" spans="1:9" s="7" customFormat="1" ht="30">
      <c r="A5" s="130" t="s">
        <v>585</v>
      </c>
      <c r="B5" s="131">
        <f t="shared" ref="B5:E5" si="0">IF(0&lt;(B4-B3),B4*(1+$H$5),B3)</f>
        <v>974926.00300000003</v>
      </c>
      <c r="C5" s="131">
        <f t="shared" si="0"/>
        <v>1050730.2110000001</v>
      </c>
      <c r="D5" s="131">
        <f t="shared" si="0"/>
        <v>1083003.426</v>
      </c>
      <c r="E5" s="131">
        <f t="shared" si="0"/>
        <v>1183945.5162160774</v>
      </c>
      <c r="F5" s="123" t="s">
        <v>586</v>
      </c>
      <c r="H5" s="122">
        <f>0.07</f>
        <v>7.0000000000000007E-2</v>
      </c>
      <c r="I5" s="123" t="s">
        <v>499</v>
      </c>
    </row>
    <row r="6" spans="1:9" s="7" customFormat="1">
      <c r="A6" s="130" t="s">
        <v>500</v>
      </c>
      <c r="B6" s="131">
        <v>0</v>
      </c>
      <c r="C6" s="131">
        <v>0</v>
      </c>
      <c r="D6" s="131">
        <v>0</v>
      </c>
      <c r="E6" s="131">
        <v>0</v>
      </c>
      <c r="F6" s="133" t="s">
        <v>525</v>
      </c>
      <c r="H6" s="124">
        <v>0.05</v>
      </c>
      <c r="I6" s="120" t="s">
        <v>11</v>
      </c>
    </row>
    <row r="7" spans="1:9" s="7" customFormat="1">
      <c r="A7" s="130" t="s">
        <v>501</v>
      </c>
      <c r="B7" s="131">
        <v>0</v>
      </c>
      <c r="C7" s="131">
        <v>0</v>
      </c>
      <c r="D7" s="131">
        <v>0</v>
      </c>
      <c r="E7" s="131">
        <v>0</v>
      </c>
      <c r="F7" s="133" t="s">
        <v>526</v>
      </c>
    </row>
    <row r="8" spans="1:9" s="7" customFormat="1" ht="30">
      <c r="A8" s="130" t="s">
        <v>502</v>
      </c>
      <c r="B8" s="134">
        <v>110681.88036004599</v>
      </c>
      <c r="C8" s="134">
        <v>110721.550809455</v>
      </c>
      <c r="D8" s="134">
        <v>110681.880356835</v>
      </c>
      <c r="E8" s="134">
        <v>110681.88035889799</v>
      </c>
      <c r="F8" s="123" t="s">
        <v>558</v>
      </c>
      <c r="H8" s="135">
        <f>SUMIFS('Form 1.5a (CEC 2025a)'!U:U, 'Form 1.5a (CEC 2025a)'!$B:$B, "NCPA - Greater Bay Area")</f>
        <v>3.7943028258503597E-2</v>
      </c>
      <c r="I8" s="123" t="s">
        <v>579</v>
      </c>
    </row>
    <row r="9" spans="1:9" s="7" customFormat="1" ht="75">
      <c r="A9" s="130" t="s">
        <v>503</v>
      </c>
      <c r="B9" s="203">
        <v>0.39</v>
      </c>
      <c r="C9" s="203">
        <v>0.41</v>
      </c>
      <c r="D9" s="203">
        <v>0.43</v>
      </c>
      <c r="E9" s="203">
        <v>0.45</v>
      </c>
      <c r="F9" s="123" t="s">
        <v>690</v>
      </c>
      <c r="H9" s="17"/>
    </row>
    <row r="10" spans="1:9" s="7" customFormat="1">
      <c r="A10" s="130" t="s">
        <v>504</v>
      </c>
      <c r="B10" s="131">
        <f t="shared" ref="B10:E10" si="1">B4*B9</f>
        <v>363148.24115809763</v>
      </c>
      <c r="C10" s="131">
        <f t="shared" si="1"/>
        <v>415754.00562129065</v>
      </c>
      <c r="D10" s="131">
        <f t="shared" si="1"/>
        <v>457791.55942367803</v>
      </c>
      <c r="E10" s="131">
        <f t="shared" si="1"/>
        <v>497921.01149274275</v>
      </c>
      <c r="F10" s="123" t="s">
        <v>587</v>
      </c>
    </row>
    <row r="11" spans="1:9" s="7" customFormat="1" ht="30">
      <c r="A11" s="130" t="s">
        <v>505</v>
      </c>
      <c r="B11" s="131">
        <f t="shared" ref="B11:E11" si="2">MAX(B5-SUM(B6:B8,B10), B5*$H$6)</f>
        <v>501095.8814818564</v>
      </c>
      <c r="C11" s="131">
        <f t="shared" si="2"/>
        <v>524254.65456925449</v>
      </c>
      <c r="D11" s="131">
        <f t="shared" si="2"/>
        <v>514529.98621948692</v>
      </c>
      <c r="E11" s="131">
        <f t="shared" si="2"/>
        <v>575342.6243644366</v>
      </c>
      <c r="F11" s="123" t="s">
        <v>589</v>
      </c>
    </row>
    <row r="12" spans="1:9" s="7" customFormat="1" ht="46.5">
      <c r="A12" s="130" t="s">
        <v>507</v>
      </c>
      <c r="B12" s="131">
        <f>B6*$H$3+B11*$H$2</f>
        <v>218177.14679720029</v>
      </c>
      <c r="C12" s="131">
        <f>C6*$H$3+C11*$H$2</f>
        <v>228260.4765994534</v>
      </c>
      <c r="D12" s="131">
        <f>D6*$H$3+D11*$H$2</f>
        <v>224026.35599996461</v>
      </c>
      <c r="E12" s="131">
        <f>E6*$H$3+E11*$H$2</f>
        <v>250504.1786482757</v>
      </c>
      <c r="F12" s="136" t="s">
        <v>508</v>
      </c>
    </row>
    <row r="13" spans="1:9" s="7" customFormat="1" ht="72.599999999999994" customHeight="1">
      <c r="A13" s="130"/>
      <c r="B13" s="227" t="s">
        <v>557</v>
      </c>
      <c r="C13" s="227"/>
      <c r="D13" s="228"/>
      <c r="E13" s="137">
        <v>0</v>
      </c>
      <c r="F13" s="136" t="s">
        <v>686</v>
      </c>
    </row>
    <row r="14" spans="1:9" s="7" customFormat="1" ht="33">
      <c r="A14" s="130" t="s">
        <v>509</v>
      </c>
      <c r="B14" s="193">
        <f t="shared" ref="B14:E14" si="3">B12/B5</f>
        <v>0.22378841689095894</v>
      </c>
      <c r="C14" s="193">
        <f t="shared" si="3"/>
        <v>0.2172398530182296</v>
      </c>
      <c r="D14" s="193">
        <f t="shared" si="3"/>
        <v>0.20685655337895914</v>
      </c>
      <c r="E14" s="193">
        <f t="shared" si="3"/>
        <v>0.21158421161887075</v>
      </c>
      <c r="F14" s="123" t="s">
        <v>588</v>
      </c>
      <c r="H14"/>
      <c r="I14"/>
    </row>
    <row r="15" spans="1:9" s="7" customFormat="1" ht="33.75" thickBot="1">
      <c r="A15" s="130" t="s">
        <v>511</v>
      </c>
      <c r="B15" s="138">
        <f>$E$13*B14</f>
        <v>0</v>
      </c>
      <c r="C15" s="138">
        <f>$E$13*C14</f>
        <v>0</v>
      </c>
      <c r="D15" s="138">
        <f>$E$13*D14</f>
        <v>0</v>
      </c>
      <c r="E15" s="138">
        <f>$E$13*E14</f>
        <v>0</v>
      </c>
      <c r="F15" s="123" t="s">
        <v>518</v>
      </c>
      <c r="H15"/>
      <c r="I15" s="2"/>
    </row>
    <row r="16" spans="1:9" ht="30.75" thickBot="1">
      <c r="A16" s="20" t="s">
        <v>513</v>
      </c>
      <c r="B16" s="8">
        <f>B12-B15</f>
        <v>218177.14679720029</v>
      </c>
      <c r="C16" s="8">
        <f>C12-C15</f>
        <v>228260.4765994534</v>
      </c>
      <c r="D16" s="8">
        <f>D12-D15</f>
        <v>224026.35599996461</v>
      </c>
      <c r="E16" s="8">
        <f>E12-E15</f>
        <v>250504.1786482757</v>
      </c>
      <c r="F16" s="10" t="s">
        <v>514</v>
      </c>
    </row>
    <row r="17" spans="1:5">
      <c r="A17" s="9"/>
      <c r="B17" s="9"/>
      <c r="C17" s="9"/>
      <c r="D17" s="9"/>
      <c r="E17" s="9"/>
    </row>
    <row r="18" spans="1:5">
      <c r="A18" s="9"/>
      <c r="B18" s="9"/>
      <c r="C18" s="9"/>
      <c r="D18" s="9"/>
      <c r="E18" s="9"/>
    </row>
  </sheetData>
  <mergeCells count="3">
    <mergeCell ref="B13:D13"/>
    <mergeCell ref="B1:F1"/>
    <mergeCell ref="H1:I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8AC94-AD08-4D5B-8CEA-FC59ECAA4F63}">
  <sheetPr>
    <tabColor theme="6"/>
    <pageSetUpPr fitToPage="1"/>
  </sheetPr>
  <dimension ref="A1:U67"/>
  <sheetViews>
    <sheetView zoomScale="80" zoomScaleNormal="80" workbookViewId="0"/>
  </sheetViews>
  <sheetFormatPr defaultRowHeight="15"/>
  <cols>
    <col min="1" max="1" width="52.5703125" style="47" customWidth="1"/>
    <col min="2" max="2" width="11.28515625" style="197" customWidth="1"/>
    <col min="3" max="6" width="13.28515625" style="11" customWidth="1"/>
    <col min="11" max="11" width="11.7109375" bestFit="1" customWidth="1"/>
    <col min="12" max="12" width="13.7109375" bestFit="1" customWidth="1"/>
    <col min="13" max="13" width="14.7109375" bestFit="1" customWidth="1"/>
    <col min="14" max="14" width="15" bestFit="1" customWidth="1"/>
    <col min="17" max="17" width="10.140625" bestFit="1" customWidth="1"/>
    <col min="18" max="21" width="9.7109375" bestFit="1" customWidth="1"/>
  </cols>
  <sheetData>
    <row r="1" spans="1:21" ht="32.25" thickBot="1">
      <c r="A1" s="101" t="s">
        <v>2</v>
      </c>
      <c r="B1" s="102" t="s">
        <v>3</v>
      </c>
      <c r="C1" s="103">
        <v>2027</v>
      </c>
      <c r="D1" s="103">
        <v>2028</v>
      </c>
      <c r="E1" s="103">
        <v>2029</v>
      </c>
      <c r="F1" s="103">
        <v>2030</v>
      </c>
    </row>
    <row r="2" spans="1:21" ht="16.5" customHeight="1">
      <c r="A2" s="104" t="s">
        <v>5</v>
      </c>
      <c r="B2" s="105" t="s">
        <v>6</v>
      </c>
      <c r="C2" s="106">
        <f>ROUND(Alameda!B16,0)</f>
        <v>92538</v>
      </c>
      <c r="D2" s="106">
        <f>ROUND(Alameda!C16,0)</f>
        <v>94529</v>
      </c>
      <c r="E2" s="106">
        <f>ROUND(Alameda!D16,0)</f>
        <v>97000</v>
      </c>
      <c r="F2" s="106">
        <f>ROUND(Alameda!E16,0)</f>
        <v>99635</v>
      </c>
      <c r="G2" s="167"/>
      <c r="H2" s="167"/>
      <c r="I2" s="167"/>
      <c r="K2" s="30"/>
      <c r="Q2" s="170"/>
      <c r="R2" s="170"/>
      <c r="S2" s="170"/>
      <c r="T2" s="170"/>
      <c r="U2" s="170"/>
    </row>
    <row r="3" spans="1:21">
      <c r="A3" s="107" t="s">
        <v>8</v>
      </c>
      <c r="B3" s="121" t="s">
        <v>6</v>
      </c>
      <c r="C3" s="106">
        <f>ROUND(Anza!B16,0)</f>
        <v>25508</v>
      </c>
      <c r="D3" s="106">
        <f>ROUND(Anza!C16,0)</f>
        <v>25993</v>
      </c>
      <c r="E3" s="106">
        <f>ROUND(Anza!D16,0)</f>
        <v>26549</v>
      </c>
      <c r="F3" s="106">
        <f>ROUND(Anza!E16,0)</f>
        <v>27147</v>
      </c>
      <c r="G3" s="167"/>
      <c r="H3" s="167"/>
      <c r="I3" s="167"/>
      <c r="Q3" s="170"/>
      <c r="R3" s="170"/>
      <c r="S3" s="170"/>
      <c r="T3" s="170"/>
      <c r="U3" s="170"/>
    </row>
    <row r="4" spans="1:21">
      <c r="A4" s="107" t="s">
        <v>9</v>
      </c>
      <c r="B4" s="121" t="s">
        <v>10</v>
      </c>
      <c r="C4" s="106">
        <f>ROUND('Bear Valley'!B16,0)</f>
        <v>43669</v>
      </c>
      <c r="D4" s="106">
        <f>ROUND('Bear Valley'!C16,0)</f>
        <v>44295</v>
      </c>
      <c r="E4" s="106">
        <f>ROUND('Bear Valley'!D16,0)</f>
        <v>44764</v>
      </c>
      <c r="F4" s="106">
        <f>ROUND('Bear Valley'!E16,0)</f>
        <v>45287</v>
      </c>
      <c r="G4" s="167"/>
      <c r="H4" s="167"/>
      <c r="I4" s="167"/>
      <c r="Q4" s="170"/>
      <c r="R4" s="170"/>
      <c r="S4" s="170"/>
      <c r="T4" s="170"/>
      <c r="U4" s="170"/>
    </row>
    <row r="5" spans="1:21" ht="26.25">
      <c r="A5" s="107" t="s">
        <v>12</v>
      </c>
      <c r="B5" s="121" t="s">
        <v>13</v>
      </c>
      <c r="C5" s="106">
        <f>ROUND(CCSF!B16,0)</f>
        <v>27192</v>
      </c>
      <c r="D5" s="106">
        <f>ROUND(CCSF!C16,0)</f>
        <v>27854</v>
      </c>
      <c r="E5" s="106">
        <f>ROUND(CCSF!D16,0)</f>
        <v>28507</v>
      </c>
      <c r="F5" s="106">
        <f>ROUND(CCSF!E16,0)</f>
        <v>29334</v>
      </c>
      <c r="G5" s="167"/>
      <c r="H5" s="167"/>
      <c r="I5" s="167"/>
      <c r="Q5" s="170"/>
      <c r="R5" s="170"/>
      <c r="S5" s="170"/>
      <c r="T5" s="170"/>
      <c r="U5" s="170"/>
    </row>
    <row r="6" spans="1:21">
      <c r="A6" s="107" t="s">
        <v>14</v>
      </c>
      <c r="B6" s="121" t="s">
        <v>13</v>
      </c>
      <c r="C6" s="106">
        <f>ROUND(Anaheim!B16,0)</f>
        <v>654333</v>
      </c>
      <c r="D6" s="106">
        <f>ROUND(Anaheim!C16,0)</f>
        <v>655586</v>
      </c>
      <c r="E6" s="106">
        <f>ROUND(Anaheim!D16,0)</f>
        <v>659179</v>
      </c>
      <c r="F6" s="106">
        <f>ROUND(Anaheim!E16,0)</f>
        <v>662183</v>
      </c>
      <c r="G6" s="167"/>
      <c r="H6" s="167"/>
      <c r="I6" s="167"/>
      <c r="Q6" s="170"/>
      <c r="R6" s="170"/>
      <c r="S6" s="170"/>
      <c r="T6" s="170"/>
      <c r="U6" s="170"/>
    </row>
    <row r="7" spans="1:21">
      <c r="A7" s="107" t="s">
        <v>15</v>
      </c>
      <c r="B7" s="121" t="s">
        <v>6</v>
      </c>
      <c r="C7" s="106">
        <f>ROUND(Azusa!B16,0)</f>
        <v>62202</v>
      </c>
      <c r="D7" s="106">
        <f>ROUND(Azusa!C16,0)</f>
        <v>61372</v>
      </c>
      <c r="E7" s="106">
        <f>ROUND(Azusa!D16,0)</f>
        <v>60261</v>
      </c>
      <c r="F7" s="106">
        <f>ROUND(Azusa!E16,0)</f>
        <v>58886</v>
      </c>
      <c r="G7" s="167"/>
      <c r="H7" s="167"/>
      <c r="I7" s="167"/>
      <c r="Q7" s="170"/>
      <c r="R7" s="170"/>
      <c r="S7" s="170"/>
      <c r="T7" s="170"/>
      <c r="U7" s="170"/>
    </row>
    <row r="8" spans="1:21">
      <c r="A8" s="107" t="s">
        <v>16</v>
      </c>
      <c r="B8" s="121" t="s">
        <v>6</v>
      </c>
      <c r="C8" s="106">
        <f>ROUND(Banning!B16,0)</f>
        <v>37754</v>
      </c>
      <c r="D8" s="106">
        <f>ROUND(Banning!C16,0)</f>
        <v>37226</v>
      </c>
      <c r="E8" s="106">
        <f>ROUND(Banning!D16,0)</f>
        <v>36460</v>
      </c>
      <c r="F8" s="106">
        <f>ROUND(Banning!E16,0)</f>
        <v>35531</v>
      </c>
      <c r="G8" s="167"/>
      <c r="H8" s="167"/>
      <c r="I8" s="167"/>
      <c r="Q8" s="170"/>
      <c r="R8" s="170"/>
      <c r="S8" s="170"/>
      <c r="T8" s="170"/>
      <c r="U8" s="170"/>
    </row>
    <row r="9" spans="1:21">
      <c r="A9" s="107" t="s">
        <v>17</v>
      </c>
      <c r="B9" s="121" t="s">
        <v>6</v>
      </c>
      <c r="C9" s="106">
        <f>ROUND(Biggs!B16,0)</f>
        <v>3899</v>
      </c>
      <c r="D9" s="106">
        <f>ROUND(Biggs!C16,0)</f>
        <v>3863</v>
      </c>
      <c r="E9" s="106">
        <f>ROUND(Biggs!D16,0)</f>
        <v>3824</v>
      </c>
      <c r="F9" s="106">
        <f>ROUND(Biggs!E16,0)</f>
        <v>3792</v>
      </c>
      <c r="G9" s="167"/>
      <c r="H9" s="167"/>
      <c r="I9" s="167"/>
      <c r="Q9" s="170"/>
      <c r="R9" s="170"/>
      <c r="S9" s="170"/>
      <c r="T9" s="170"/>
      <c r="U9" s="170"/>
    </row>
    <row r="10" spans="1:21">
      <c r="A10" s="107" t="s">
        <v>18</v>
      </c>
      <c r="B10" s="121" t="s">
        <v>13</v>
      </c>
      <c r="C10" s="106">
        <f>ROUND(Burbank!B16,0)</f>
        <v>304968</v>
      </c>
      <c r="D10" s="106">
        <f>ROUND(Burbank!C16,0)</f>
        <v>309169</v>
      </c>
      <c r="E10" s="106">
        <f>ROUND(Burbank!D16,0)</f>
        <v>314532</v>
      </c>
      <c r="F10" s="106">
        <f>ROUND(Burbank!E16,0)</f>
        <v>321715</v>
      </c>
      <c r="G10" s="167"/>
      <c r="H10" s="167"/>
      <c r="I10" s="167"/>
      <c r="Q10" s="170"/>
      <c r="R10" s="170"/>
      <c r="S10" s="170"/>
      <c r="T10" s="170"/>
      <c r="U10" s="170"/>
    </row>
    <row r="11" spans="1:21">
      <c r="A11" s="107" t="s">
        <v>19</v>
      </c>
      <c r="B11" s="121" t="s">
        <v>6</v>
      </c>
      <c r="C11" s="106">
        <f>ROUND(Cerritos!B16,0)</f>
        <v>17523</v>
      </c>
      <c r="D11" s="106">
        <f>ROUND(Cerritos!C16,0)</f>
        <v>16854</v>
      </c>
      <c r="E11" s="106">
        <f>ROUND(Cerritos!D16,0)</f>
        <v>16178</v>
      </c>
      <c r="F11" s="106">
        <f>ROUND(Cerritos!E16,0)</f>
        <v>15495</v>
      </c>
      <c r="G11" s="167"/>
      <c r="H11" s="167"/>
      <c r="I11" s="167"/>
      <c r="Q11" s="170"/>
      <c r="R11" s="170"/>
      <c r="S11" s="170"/>
      <c r="T11" s="170"/>
      <c r="U11" s="170"/>
    </row>
    <row r="12" spans="1:21">
      <c r="A12" s="107" t="s">
        <v>20</v>
      </c>
      <c r="B12" s="121" t="s">
        <v>6</v>
      </c>
      <c r="C12" s="106">
        <f>ROUND(Colton!B16,0)</f>
        <v>92445</v>
      </c>
      <c r="D12" s="106">
        <f>ROUND(Colton!C16,0)</f>
        <v>92873</v>
      </c>
      <c r="E12" s="106">
        <f>ROUND(Colton!D16,0)</f>
        <v>92754</v>
      </c>
      <c r="F12" s="106">
        <f>ROUND(Colton!E16,0)</f>
        <v>92693</v>
      </c>
      <c r="G12" s="167"/>
      <c r="H12" s="167"/>
      <c r="I12" s="167"/>
      <c r="Q12" s="170"/>
      <c r="R12" s="170"/>
      <c r="S12" s="170"/>
      <c r="T12" s="170"/>
      <c r="U12" s="170"/>
    </row>
    <row r="13" spans="1:21">
      <c r="A13" s="107" t="s">
        <v>21</v>
      </c>
      <c r="B13" s="121" t="s">
        <v>6</v>
      </c>
      <c r="C13" s="106">
        <f>ROUND(Corona!B16,0)</f>
        <v>33149</v>
      </c>
      <c r="D13" s="106">
        <f>ROUND(Corona!C16,0)</f>
        <v>31973</v>
      </c>
      <c r="E13" s="106">
        <f>ROUND(Corona!D16,0)</f>
        <v>38775</v>
      </c>
      <c r="F13" s="106">
        <f>ROUND(Corona!E16,0)</f>
        <v>38275</v>
      </c>
      <c r="G13" s="167"/>
      <c r="H13" s="167"/>
      <c r="I13" s="167"/>
      <c r="Q13" s="170"/>
      <c r="R13" s="170"/>
      <c r="S13" s="170"/>
      <c r="T13" s="170"/>
      <c r="U13" s="170"/>
    </row>
    <row r="14" spans="1:21">
      <c r="A14" s="107" t="s">
        <v>22</v>
      </c>
      <c r="B14" s="121" t="s">
        <v>13</v>
      </c>
      <c r="C14" s="106">
        <f>ROUND(Glendale!B16,0)</f>
        <v>254229</v>
      </c>
      <c r="D14" s="106">
        <f>ROUND(Glendale!C16,0)</f>
        <v>260904</v>
      </c>
      <c r="E14" s="106">
        <f>ROUND(Glendale!D16,0)</f>
        <v>270271</v>
      </c>
      <c r="F14" s="106">
        <f>ROUND(Glendale!E16,0)</f>
        <v>282028</v>
      </c>
      <c r="G14" s="167"/>
      <c r="H14" s="167"/>
      <c r="I14" s="167"/>
      <c r="Q14" s="170"/>
      <c r="R14" s="170"/>
      <c r="S14" s="170"/>
      <c r="T14" s="170"/>
      <c r="U14" s="170"/>
    </row>
    <row r="15" spans="1:21">
      <c r="A15" s="107" t="s">
        <v>23</v>
      </c>
      <c r="B15" s="121" t="s">
        <v>6</v>
      </c>
      <c r="C15" s="106">
        <f>ROUND(Healdsburg!B16,0)</f>
        <v>18430</v>
      </c>
      <c r="D15" s="106">
        <f>ROUND(Healdsburg!C16,0)</f>
        <v>17419</v>
      </c>
      <c r="E15" s="106">
        <f>ROUND(Healdsburg!D16,0)</f>
        <v>19184</v>
      </c>
      <c r="F15" s="106">
        <f>ROUND(Healdsburg!E16,0)</f>
        <v>19787</v>
      </c>
      <c r="G15" s="167"/>
      <c r="H15" s="167"/>
      <c r="I15" s="167"/>
      <c r="Q15" s="170"/>
      <c r="R15" s="170"/>
      <c r="S15" s="170"/>
      <c r="T15" s="170"/>
      <c r="U15" s="170"/>
    </row>
    <row r="16" spans="1:21">
      <c r="A16" s="107" t="s">
        <v>24</v>
      </c>
      <c r="B16" s="121" t="s">
        <v>6</v>
      </c>
      <c r="C16" s="106">
        <f>ROUND(Industry!B16,0)</f>
        <v>12710</v>
      </c>
      <c r="D16" s="106">
        <f>ROUND(Industry!C16,0)</f>
        <v>12656</v>
      </c>
      <c r="E16" s="106">
        <f>ROUND(Industry!D16,0)</f>
        <v>12622</v>
      </c>
      <c r="F16" s="106">
        <f>ROUND(Industry!E16,0)</f>
        <v>12595</v>
      </c>
      <c r="G16" s="167"/>
      <c r="H16" s="167"/>
      <c r="I16" s="167"/>
      <c r="Q16" s="170"/>
      <c r="R16" s="170"/>
      <c r="S16" s="170"/>
      <c r="T16" s="170"/>
      <c r="U16" s="170"/>
    </row>
    <row r="17" spans="1:21">
      <c r="A17" s="107" t="s">
        <v>25</v>
      </c>
      <c r="B17" s="121" t="s">
        <v>6</v>
      </c>
      <c r="C17" s="106">
        <f>ROUND(Lodi!B16,0)</f>
        <v>91498</v>
      </c>
      <c r="D17" s="106">
        <f>ROUND(Lodi!C16,0)</f>
        <v>104144</v>
      </c>
      <c r="E17" s="106">
        <f>ROUND(Lodi!D16,0)</f>
        <v>104903</v>
      </c>
      <c r="F17" s="106">
        <f>ROUND(Lodi!E16,0)</f>
        <v>106016</v>
      </c>
      <c r="G17" s="167"/>
      <c r="H17" s="167"/>
      <c r="I17" s="167"/>
      <c r="Q17" s="170"/>
      <c r="R17" s="170"/>
      <c r="S17" s="170"/>
      <c r="T17" s="170"/>
      <c r="U17" s="170"/>
    </row>
    <row r="18" spans="1:21">
      <c r="A18" s="107" t="s">
        <v>26</v>
      </c>
      <c r="B18" s="121" t="s">
        <v>6</v>
      </c>
      <c r="C18" s="106">
        <f>ROUND(Lompoc!B16,0)</f>
        <v>37676</v>
      </c>
      <c r="D18" s="106">
        <f>ROUND(Lompoc!C16,0)</f>
        <v>38493</v>
      </c>
      <c r="E18" s="106">
        <f>ROUND(Lompoc!D16,0)</f>
        <v>39430</v>
      </c>
      <c r="F18" s="106">
        <f>ROUND(Lompoc!E16,0)</f>
        <v>40519</v>
      </c>
      <c r="G18" s="167"/>
      <c r="H18" s="167"/>
      <c r="I18" s="167"/>
      <c r="Q18" s="170"/>
      <c r="R18" s="170"/>
      <c r="S18" s="170"/>
      <c r="T18" s="170"/>
      <c r="U18" s="170"/>
    </row>
    <row r="19" spans="1:21">
      <c r="A19" s="107" t="s">
        <v>27</v>
      </c>
      <c r="B19" s="121" t="s">
        <v>6</v>
      </c>
      <c r="C19" s="106">
        <f>ROUND(MorenoValley!B16,0)</f>
        <v>66853</v>
      </c>
      <c r="D19" s="106">
        <f>ROUND(MorenoValley!C16,0)</f>
        <v>66313</v>
      </c>
      <c r="E19" s="106">
        <f>ROUND(MorenoValley!D16,0)</f>
        <v>65396</v>
      </c>
      <c r="F19" s="106">
        <f>ROUND(MorenoValley!E16,0)</f>
        <v>64278</v>
      </c>
      <c r="G19" s="167"/>
      <c r="H19" s="167"/>
      <c r="I19" s="167"/>
      <c r="Q19" s="170"/>
      <c r="R19" s="170"/>
      <c r="S19" s="170"/>
      <c r="T19" s="170"/>
      <c r="U19" s="170"/>
    </row>
    <row r="20" spans="1:21">
      <c r="A20" s="107" t="s">
        <v>28</v>
      </c>
      <c r="B20" s="121" t="s">
        <v>6</v>
      </c>
      <c r="C20" s="106">
        <f>ROUND(Needles!B16,0)</f>
        <v>14523</v>
      </c>
      <c r="D20" s="106">
        <f>ROUND(Needles!C16,0)</f>
        <v>14623</v>
      </c>
      <c r="E20" s="106">
        <f>ROUND(Needles!D16,0)</f>
        <v>27557</v>
      </c>
      <c r="F20" s="106">
        <f>ROUND(Needles!E16,0)</f>
        <v>27606</v>
      </c>
      <c r="G20" s="167"/>
      <c r="H20" s="167"/>
      <c r="I20" s="167"/>
      <c r="Q20" s="170"/>
      <c r="R20" s="170"/>
      <c r="S20" s="170"/>
      <c r="T20" s="170"/>
      <c r="U20" s="170"/>
    </row>
    <row r="21" spans="1:21" ht="26.25">
      <c r="A21" s="107" t="s">
        <v>29</v>
      </c>
      <c r="B21" s="121" t="s">
        <v>6</v>
      </c>
      <c r="C21" s="106">
        <f>ROUND(Oakland!B16,0)</f>
        <v>26240</v>
      </c>
      <c r="D21" s="106">
        <f>ROUND(Oakland!C16,0)</f>
        <v>25938</v>
      </c>
      <c r="E21" s="106">
        <f>ROUND(Oakland!D16,0)</f>
        <v>25588</v>
      </c>
      <c r="F21" s="106">
        <f>ROUND(Oakland!E16,0)</f>
        <v>25257</v>
      </c>
      <c r="G21" s="167"/>
      <c r="H21" s="167"/>
      <c r="I21" s="167"/>
      <c r="Q21" s="170"/>
      <c r="R21" s="170"/>
      <c r="S21" s="170"/>
      <c r="T21" s="170"/>
      <c r="U21" s="170"/>
    </row>
    <row r="22" spans="1:21">
      <c r="A22" s="107" t="s">
        <v>30</v>
      </c>
      <c r="B22" s="121" t="s">
        <v>13</v>
      </c>
      <c r="C22" s="106">
        <f>ROUND('Palo Alto'!B16,0)</f>
        <v>218177</v>
      </c>
      <c r="D22" s="106">
        <f>ROUND('Palo Alto'!C16,0)</f>
        <v>228260</v>
      </c>
      <c r="E22" s="106">
        <f>ROUND('Palo Alto'!D16,0)</f>
        <v>224026</v>
      </c>
      <c r="F22" s="106">
        <f>ROUND('Palo Alto'!E16,0)</f>
        <v>250504</v>
      </c>
      <c r="G22" s="167"/>
      <c r="H22" s="167"/>
      <c r="I22" s="167"/>
      <c r="Q22" s="170"/>
      <c r="R22" s="170"/>
      <c r="S22" s="170"/>
      <c r="T22" s="170"/>
      <c r="U22" s="170"/>
    </row>
    <row r="23" spans="1:21">
      <c r="A23" s="107" t="s">
        <v>31</v>
      </c>
      <c r="B23" s="121" t="s">
        <v>6</v>
      </c>
      <c r="C23" s="106">
        <f>ROUND(RanchoCucamonga!B16,0)</f>
        <v>29044</v>
      </c>
      <c r="D23" s="106">
        <f>ROUND(RanchoCucamonga!C16,0)</f>
        <v>28702</v>
      </c>
      <c r="E23" s="106">
        <f>ROUND(RanchoCucamonga!D16,0)</f>
        <v>28455</v>
      </c>
      <c r="F23" s="106">
        <f>ROUND(RanchoCucamonga!E16,0)</f>
        <v>28173</v>
      </c>
      <c r="G23" s="167"/>
      <c r="H23" s="167"/>
      <c r="I23" s="167"/>
      <c r="Q23" s="170"/>
      <c r="R23" s="170"/>
      <c r="S23" s="170"/>
      <c r="T23" s="170"/>
      <c r="U23" s="170"/>
    </row>
    <row r="24" spans="1:21">
      <c r="A24" s="107" t="s">
        <v>32</v>
      </c>
      <c r="B24" s="121" t="s">
        <v>13</v>
      </c>
      <c r="C24" s="106">
        <f>ROUND(Riverside!B16,0)</f>
        <v>601344</v>
      </c>
      <c r="D24" s="106">
        <f>ROUND(Riverside!C16,0)</f>
        <v>604509</v>
      </c>
      <c r="E24" s="106">
        <f>ROUND(Riverside!D16,0)</f>
        <v>610748</v>
      </c>
      <c r="F24" s="106">
        <f>ROUND(Riverside!E16,0)</f>
        <v>616765</v>
      </c>
      <c r="G24" s="167"/>
      <c r="H24" s="167"/>
      <c r="I24" s="167"/>
      <c r="Q24" s="170"/>
      <c r="R24" s="170"/>
      <c r="S24" s="170"/>
      <c r="T24" s="170"/>
      <c r="U24" s="170"/>
    </row>
    <row r="25" spans="1:21">
      <c r="A25" s="107" t="s">
        <v>33</v>
      </c>
      <c r="B25" s="121" t="s">
        <v>13</v>
      </c>
      <c r="C25" s="106">
        <f>ROUND(Roseville!B16,0)</f>
        <v>262860</v>
      </c>
      <c r="D25" s="106">
        <f>ROUND(Roseville!C16,0)</f>
        <v>255073</v>
      </c>
      <c r="E25" s="106">
        <f>ROUND(Roseville!D16,0)</f>
        <v>250800</v>
      </c>
      <c r="F25" s="106">
        <f>ROUND(Roseville!E16,0)</f>
        <v>247200</v>
      </c>
      <c r="G25" s="167"/>
      <c r="H25" s="167"/>
      <c r="I25" s="167"/>
      <c r="Q25" s="170"/>
      <c r="R25" s="170"/>
      <c r="S25" s="170"/>
      <c r="T25" s="170"/>
      <c r="U25" s="170"/>
    </row>
    <row r="26" spans="1:21">
      <c r="A26" s="107" t="s">
        <v>34</v>
      </c>
      <c r="B26" s="121" t="s">
        <v>6</v>
      </c>
      <c r="C26" s="106">
        <f>ROUND(ShastaLake!B16,0)</f>
        <v>53652</v>
      </c>
      <c r="D26" s="106">
        <f>ROUND(ShastaLake!C16,0)</f>
        <v>52008</v>
      </c>
      <c r="E26" s="106">
        <f>ROUND(ShastaLake!D16,0)</f>
        <v>50327</v>
      </c>
      <c r="F26" s="106">
        <f>ROUND(ShastaLake!E16,0)</f>
        <v>48690</v>
      </c>
      <c r="G26" s="167"/>
      <c r="H26" s="167"/>
      <c r="I26" s="167"/>
      <c r="Q26" s="170"/>
      <c r="R26" s="170"/>
      <c r="S26" s="170"/>
      <c r="T26" s="170"/>
      <c r="U26" s="170"/>
    </row>
    <row r="27" spans="1:21">
      <c r="A27" s="107" t="s">
        <v>35</v>
      </c>
      <c r="B27" s="121" t="s">
        <v>6</v>
      </c>
      <c r="C27" s="106">
        <f>ROUND(Ukiah!B16,0)</f>
        <v>27954</v>
      </c>
      <c r="D27" s="106">
        <f>ROUND(Ukiah!C16,0)</f>
        <v>28525</v>
      </c>
      <c r="E27" s="106">
        <f>ROUND(Ukiah!D16,0)</f>
        <v>29345</v>
      </c>
      <c r="F27" s="106">
        <f>ROUND(Ukiah!E16,0)</f>
        <v>30317</v>
      </c>
      <c r="G27" s="167"/>
      <c r="H27" s="167"/>
      <c r="I27" s="167"/>
      <c r="Q27" s="170"/>
      <c r="R27" s="170"/>
      <c r="S27" s="170"/>
      <c r="T27" s="170"/>
      <c r="U27" s="170"/>
    </row>
    <row r="28" spans="1:21">
      <c r="A28" s="107" t="s">
        <v>36</v>
      </c>
      <c r="B28" s="121" t="s">
        <v>13</v>
      </c>
      <c r="C28" s="106">
        <v>364646</v>
      </c>
      <c r="D28" s="106">
        <v>398239</v>
      </c>
      <c r="E28" s="106">
        <v>392814</v>
      </c>
      <c r="F28" s="106">
        <v>385622</v>
      </c>
      <c r="G28" s="167"/>
      <c r="H28" s="167"/>
      <c r="I28" s="167"/>
      <c r="Q28" s="170"/>
      <c r="R28" s="170"/>
      <c r="S28" s="170"/>
      <c r="T28" s="170"/>
      <c r="U28" s="170"/>
    </row>
    <row r="29" spans="1:21">
      <c r="A29" s="107" t="s">
        <v>37</v>
      </c>
      <c r="B29" s="121" t="s">
        <v>6</v>
      </c>
      <c r="C29" s="106">
        <f>ROUND(Victorville!B16,0)</f>
        <v>30676</v>
      </c>
      <c r="D29" s="106">
        <f>ROUND(Victorville!C16,0)</f>
        <v>29513</v>
      </c>
      <c r="E29" s="106">
        <f>ROUND(Victorville!D16,0)</f>
        <v>28370</v>
      </c>
      <c r="F29" s="106">
        <f>ROUND(Victorville!E16,0)</f>
        <v>27228</v>
      </c>
      <c r="G29" s="167"/>
      <c r="H29" s="167"/>
      <c r="I29" s="167"/>
      <c r="Q29" s="170"/>
      <c r="R29" s="170"/>
      <c r="S29" s="170"/>
      <c r="T29" s="170"/>
      <c r="U29" s="170"/>
    </row>
    <row r="30" spans="1:21">
      <c r="A30" s="107" t="s">
        <v>38</v>
      </c>
      <c r="B30" s="121" t="s">
        <v>6</v>
      </c>
      <c r="C30" s="106">
        <f>ROUND(Eastside!B16,0)</f>
        <v>2128</v>
      </c>
      <c r="D30" s="106">
        <f>ROUND(Eastside!C16,0)</f>
        <v>2361</v>
      </c>
      <c r="E30" s="106">
        <f>ROUND(Eastside!D16,0)</f>
        <v>1837</v>
      </c>
      <c r="F30" s="106">
        <f>ROUND(Eastside!E16,0)</f>
        <v>1588</v>
      </c>
      <c r="G30" s="167"/>
      <c r="H30" s="167"/>
      <c r="I30" s="167"/>
      <c r="Q30" s="170"/>
      <c r="R30" s="170"/>
      <c r="S30" s="170"/>
      <c r="T30" s="170"/>
      <c r="U30" s="170"/>
    </row>
    <row r="31" spans="1:21" s="48" customFormat="1">
      <c r="A31" s="107" t="s">
        <v>39</v>
      </c>
      <c r="B31" s="121" t="s">
        <v>6</v>
      </c>
      <c r="C31" s="106">
        <f>ROUND(Gridley!B16,0)</f>
        <v>9203</v>
      </c>
      <c r="D31" s="106">
        <f>ROUND(Gridley!C16,0)</f>
        <v>8716</v>
      </c>
      <c r="E31" s="106">
        <f>ROUND(Gridley!D16,0)</f>
        <v>9243</v>
      </c>
      <c r="F31" s="106">
        <f>ROUND(Gridley!E16,0)</f>
        <v>9308</v>
      </c>
      <c r="G31" s="167"/>
      <c r="H31" s="167"/>
      <c r="I31" s="167"/>
      <c r="K31"/>
      <c r="L31"/>
      <c r="M31"/>
      <c r="N31"/>
      <c r="O31"/>
      <c r="Q31" s="170"/>
      <c r="R31" s="170"/>
      <c r="S31" s="170"/>
      <c r="T31" s="170"/>
      <c r="U31" s="170"/>
    </row>
    <row r="32" spans="1:21">
      <c r="A32" s="107" t="s">
        <v>40</v>
      </c>
      <c r="B32" s="121" t="s">
        <v>13</v>
      </c>
      <c r="C32" s="106">
        <v>1039386</v>
      </c>
      <c r="D32" s="106">
        <v>1035311</v>
      </c>
      <c r="E32" s="106">
        <v>1077552</v>
      </c>
      <c r="F32" s="106">
        <v>1072544</v>
      </c>
      <c r="G32" s="167"/>
      <c r="H32" s="167"/>
      <c r="I32" s="167"/>
      <c r="Q32" s="170"/>
      <c r="R32" s="170"/>
      <c r="S32" s="170"/>
      <c r="T32" s="170"/>
      <c r="U32" s="170"/>
    </row>
    <row r="33" spans="1:21">
      <c r="A33" s="107" t="s">
        <v>41</v>
      </c>
      <c r="B33" s="121" t="s">
        <v>6</v>
      </c>
      <c r="C33" s="106">
        <f>ROUND(Kirkwood!B16,0)</f>
        <v>2153</v>
      </c>
      <c r="D33" s="106">
        <f>ROUND(Kirkwood!C16,0)</f>
        <v>2345</v>
      </c>
      <c r="E33" s="106">
        <f>ROUND(Kirkwood!D16,0)</f>
        <v>2381</v>
      </c>
      <c r="F33" s="106">
        <f>ROUND(Kirkwood!E16,0)</f>
        <v>2422</v>
      </c>
      <c r="G33" s="167"/>
      <c r="H33" s="167"/>
      <c r="I33" s="167"/>
      <c r="K33" s="170"/>
      <c r="L33" s="170"/>
      <c r="M33" s="170"/>
      <c r="N33" s="170"/>
      <c r="O33" s="170"/>
      <c r="Q33" s="170"/>
      <c r="R33" s="170"/>
      <c r="S33" s="170"/>
      <c r="T33" s="170"/>
      <c r="U33" s="170"/>
    </row>
    <row r="34" spans="1:21">
      <c r="A34" s="107" t="s">
        <v>42</v>
      </c>
      <c r="B34" s="121" t="s">
        <v>6</v>
      </c>
      <c r="C34" s="106">
        <f>ROUND(Lassen!B16,0)</f>
        <v>35817</v>
      </c>
      <c r="D34" s="106">
        <f>ROUND(Lassen!C16,0)</f>
        <v>35812</v>
      </c>
      <c r="E34" s="106">
        <f>ROUND(Lassen!D16,0)</f>
        <v>35976</v>
      </c>
      <c r="F34" s="106">
        <f>ROUND(Lassen!E16,0)</f>
        <v>36165</v>
      </c>
      <c r="G34" s="167"/>
      <c r="H34" s="167"/>
      <c r="I34" s="167"/>
      <c r="K34" s="170"/>
      <c r="L34" s="170"/>
      <c r="M34" s="170"/>
      <c r="N34" s="170"/>
      <c r="O34" s="170"/>
      <c r="Q34" s="170"/>
      <c r="R34" s="170"/>
      <c r="S34" s="170"/>
      <c r="T34" s="170"/>
      <c r="U34" s="170"/>
    </row>
    <row r="35" spans="1:21">
      <c r="A35" s="107" t="s">
        <v>149</v>
      </c>
      <c r="B35" s="121" t="s">
        <v>6</v>
      </c>
      <c r="C35" s="106">
        <f>ROUND(Lathrop!B16,0)</f>
        <v>9883</v>
      </c>
      <c r="D35" s="106">
        <f>ROUND(Lathrop!C16,0)</f>
        <v>9951</v>
      </c>
      <c r="E35" s="106">
        <f>ROUND(Lathrop!D16,0)</f>
        <v>10012</v>
      </c>
      <c r="F35" s="106">
        <f>ROUND(Lathrop!E16,0)</f>
        <v>10064</v>
      </c>
      <c r="G35" s="167"/>
      <c r="H35" s="167"/>
      <c r="I35" s="167"/>
      <c r="K35" s="170"/>
      <c r="L35" s="170"/>
      <c r="M35" s="170"/>
      <c r="N35" s="170"/>
      <c r="O35" s="170"/>
      <c r="Q35" s="170"/>
      <c r="R35" s="170"/>
      <c r="S35" s="170"/>
      <c r="T35" s="170"/>
      <c r="U35" s="170"/>
    </row>
    <row r="36" spans="1:21">
      <c r="A36" s="107" t="s">
        <v>43</v>
      </c>
      <c r="B36" s="121" t="s">
        <v>10</v>
      </c>
      <c r="C36" s="106">
        <f>ROUND(Liberty!B16,0)</f>
        <v>173382</v>
      </c>
      <c r="D36" s="106">
        <f>ROUND(Liberty!C16,0)</f>
        <v>177767</v>
      </c>
      <c r="E36" s="106">
        <f>ROUND(Liberty!D16,0)</f>
        <v>181143</v>
      </c>
      <c r="F36" s="106">
        <f>ROUND(Liberty!E16,0)</f>
        <v>184110</v>
      </c>
      <c r="G36" s="167"/>
      <c r="H36" s="167"/>
      <c r="I36" s="167"/>
      <c r="K36" s="170"/>
      <c r="L36" s="170"/>
      <c r="M36" s="170"/>
      <c r="N36" s="170"/>
      <c r="O36" s="170"/>
      <c r="Q36" s="170"/>
      <c r="R36" s="170"/>
      <c r="S36" s="170"/>
      <c r="T36" s="170"/>
      <c r="U36" s="170"/>
    </row>
    <row r="37" spans="1:21">
      <c r="A37" s="107" t="s">
        <v>44</v>
      </c>
      <c r="B37" s="121" t="s">
        <v>45</v>
      </c>
      <c r="C37" s="106">
        <f>ROUND(LADWP!B16,0)</f>
        <v>5359013</v>
      </c>
      <c r="D37" s="106">
        <f>ROUND(LADWP!C16,0)</f>
        <v>5429291</v>
      </c>
      <c r="E37" s="106">
        <f>ROUND(LADWP!D16,0)</f>
        <v>5542469</v>
      </c>
      <c r="F37" s="106">
        <f>ROUND(LADWP!E16,0)</f>
        <v>5722850</v>
      </c>
      <c r="G37" s="167"/>
      <c r="H37" s="167"/>
      <c r="I37" s="167"/>
      <c r="Q37" s="170"/>
      <c r="R37" s="170"/>
      <c r="S37" s="170"/>
      <c r="T37" s="170"/>
      <c r="U37" s="170"/>
    </row>
    <row r="38" spans="1:21">
      <c r="A38" s="107" t="s">
        <v>0</v>
      </c>
      <c r="B38" s="121" t="s">
        <v>6</v>
      </c>
      <c r="C38" s="106">
        <v>120141</v>
      </c>
      <c r="D38" s="106">
        <v>120878</v>
      </c>
      <c r="E38" s="106">
        <v>121768</v>
      </c>
      <c r="F38" s="106">
        <v>122793</v>
      </c>
      <c r="G38" s="167"/>
      <c r="H38" s="167"/>
      <c r="I38" s="167"/>
      <c r="Q38" s="170"/>
      <c r="R38" s="170"/>
      <c r="S38" s="170"/>
      <c r="T38" s="170"/>
      <c r="U38" s="170"/>
    </row>
    <row r="39" spans="1:21">
      <c r="A39" s="107" t="s">
        <v>46</v>
      </c>
      <c r="B39" s="121" t="s">
        <v>13</v>
      </c>
      <c r="C39" s="106">
        <v>638021</v>
      </c>
      <c r="D39" s="106">
        <v>626769</v>
      </c>
      <c r="E39" s="106">
        <v>616542</v>
      </c>
      <c r="F39" s="106">
        <v>607613</v>
      </c>
      <c r="G39" s="167"/>
      <c r="H39" s="167"/>
      <c r="I39" s="167"/>
      <c r="Q39" s="170"/>
      <c r="R39" s="170"/>
      <c r="S39" s="170"/>
      <c r="T39" s="170"/>
      <c r="U39" s="170"/>
    </row>
    <row r="40" spans="1:21">
      <c r="A40" s="107" t="s">
        <v>47</v>
      </c>
      <c r="B40" s="121" t="s">
        <v>48</v>
      </c>
      <c r="C40" s="106">
        <f>ROUND(PGE!B16,0)</f>
        <v>16164766</v>
      </c>
      <c r="D40" s="106">
        <f>ROUND(PGE!C16,0)</f>
        <v>17991864</v>
      </c>
      <c r="E40" s="106">
        <f>ROUND(PGE!D16,0)</f>
        <v>19158381</v>
      </c>
      <c r="F40" s="106">
        <f>ROUND(PGE!E16,0)</f>
        <v>22165137</v>
      </c>
      <c r="G40" s="202"/>
      <c r="H40" s="202"/>
      <c r="I40" s="202"/>
      <c r="L40" s="170"/>
      <c r="Q40" s="170"/>
      <c r="R40" s="170"/>
      <c r="S40" s="170"/>
      <c r="T40" s="170"/>
      <c r="U40" s="170"/>
    </row>
    <row r="41" spans="1:21">
      <c r="A41" s="107" t="s">
        <v>49</v>
      </c>
      <c r="B41" s="121" t="s">
        <v>50</v>
      </c>
      <c r="C41" s="106">
        <f>ROUND(Pacificorp!B16,0)</f>
        <v>344238</v>
      </c>
      <c r="D41" s="106">
        <f>ROUND(Pacificorp!C16,0)</f>
        <v>332795</v>
      </c>
      <c r="E41" s="106">
        <f>ROUND(Pacificorp!D16,0)</f>
        <v>326389</v>
      </c>
      <c r="F41" s="106">
        <f>ROUND(Pacificorp!E16,0)</f>
        <v>282179</v>
      </c>
      <c r="G41" s="167"/>
      <c r="H41" s="167"/>
      <c r="I41" s="167"/>
      <c r="K41" s="170"/>
      <c r="L41" s="170"/>
      <c r="M41" s="170"/>
      <c r="N41" s="170"/>
      <c r="O41" s="170"/>
      <c r="Q41" s="170"/>
      <c r="R41" s="170"/>
      <c r="S41" s="170"/>
      <c r="T41" s="170"/>
      <c r="U41" s="170"/>
    </row>
    <row r="42" spans="1:21">
      <c r="A42" s="107" t="s">
        <v>51</v>
      </c>
      <c r="B42" s="121" t="s">
        <v>13</v>
      </c>
      <c r="C42" s="106">
        <f>ROUND(Pasadena!B16,0)</f>
        <v>280715</v>
      </c>
      <c r="D42" s="106">
        <f>ROUND(Pasadena!C16,0)</f>
        <v>283151</v>
      </c>
      <c r="E42" s="106">
        <f>ROUND(Pasadena!D16,0)</f>
        <v>286243</v>
      </c>
      <c r="F42" s="106">
        <f>ROUND(Pasadena!E16,0)</f>
        <v>289217</v>
      </c>
      <c r="G42" s="167"/>
      <c r="H42" s="167"/>
      <c r="I42" s="167"/>
      <c r="Q42" s="170"/>
      <c r="R42" s="170"/>
      <c r="S42" s="170"/>
      <c r="T42" s="170"/>
      <c r="U42" s="170"/>
    </row>
    <row r="43" spans="1:21">
      <c r="A43" s="107" t="s">
        <v>52</v>
      </c>
      <c r="B43" s="121" t="s">
        <v>6</v>
      </c>
      <c r="C43" s="106">
        <f>ROUND(Pittsburg!B16,0)</f>
        <v>8091</v>
      </c>
      <c r="D43" s="106">
        <f>ROUND(Pittsburg!C16,0)</f>
        <v>7727</v>
      </c>
      <c r="E43" s="106">
        <f>ROUND(Pittsburg!D16,0)</f>
        <v>7343</v>
      </c>
      <c r="F43" s="106">
        <f>ROUND(Pittsburg!E16,0)</f>
        <v>6924</v>
      </c>
      <c r="G43" s="167"/>
      <c r="H43" s="167"/>
      <c r="I43" s="167"/>
      <c r="Q43" s="170"/>
      <c r="R43" s="170"/>
      <c r="S43" s="170"/>
      <c r="T43" s="170"/>
      <c r="U43" s="170"/>
    </row>
    <row r="44" spans="1:21">
      <c r="A44" s="107" t="s">
        <v>53</v>
      </c>
      <c r="B44" s="121" t="s">
        <v>6</v>
      </c>
      <c r="C44" s="106">
        <f>ROUND(PlumasSierra!B16,0)</f>
        <v>41409</v>
      </c>
      <c r="D44" s="106">
        <f>ROUND(PlumasSierra!C16,0)</f>
        <v>41187</v>
      </c>
      <c r="E44" s="106">
        <f>ROUND(PlumasSierra!D16,0)</f>
        <v>41147</v>
      </c>
      <c r="F44" s="106">
        <f>ROUND(PlumasSierra!E16,0)</f>
        <v>41153</v>
      </c>
      <c r="G44" s="167"/>
      <c r="H44" s="167"/>
      <c r="I44" s="167"/>
      <c r="K44" s="170"/>
      <c r="L44" s="170"/>
      <c r="M44" s="170"/>
      <c r="N44" s="170"/>
      <c r="O44" s="170"/>
      <c r="Q44" s="170"/>
      <c r="R44" s="170"/>
      <c r="S44" s="170"/>
      <c r="T44" s="170"/>
      <c r="U44" s="170"/>
    </row>
    <row r="45" spans="1:21">
      <c r="A45" s="107" t="s">
        <v>54</v>
      </c>
      <c r="B45" s="121" t="s">
        <v>6</v>
      </c>
      <c r="C45" s="106">
        <f>ROUND(PWRPA!B16,0)</f>
        <v>39104</v>
      </c>
      <c r="D45" s="106">
        <f>ROUND(PWRPA!C16,0)</f>
        <v>36036</v>
      </c>
      <c r="E45" s="106">
        <f>ROUND(PWRPA!D16,0)</f>
        <v>32969</v>
      </c>
      <c r="F45" s="106">
        <f>ROUND(PWRPA!E16,0)</f>
        <v>29901</v>
      </c>
      <c r="G45" s="167"/>
      <c r="H45" s="167"/>
      <c r="I45" s="167"/>
      <c r="Q45" s="170"/>
      <c r="R45" s="170"/>
      <c r="S45" s="170"/>
      <c r="T45" s="170"/>
      <c r="U45" s="170"/>
    </row>
    <row r="46" spans="1:21">
      <c r="A46" s="107" t="s">
        <v>55</v>
      </c>
      <c r="B46" s="121" t="s">
        <v>13</v>
      </c>
      <c r="C46" s="106">
        <f>ROUND(Redding!B16,0)</f>
        <v>148082</v>
      </c>
      <c r="D46" s="106">
        <f>ROUND(Redding!C16,0)</f>
        <v>145163</v>
      </c>
      <c r="E46" s="106">
        <f>ROUND(Redding!D16,0)</f>
        <v>142795</v>
      </c>
      <c r="F46" s="106">
        <f>ROUND(Redding!E16,0)</f>
        <v>140984</v>
      </c>
      <c r="G46" s="167"/>
      <c r="H46" s="167"/>
      <c r="I46" s="167"/>
      <c r="Q46" s="170"/>
      <c r="R46" s="170"/>
      <c r="S46" s="170"/>
      <c r="T46" s="170"/>
      <c r="U46" s="170"/>
    </row>
    <row r="47" spans="1:21">
      <c r="A47" s="107" t="s">
        <v>56</v>
      </c>
      <c r="B47" s="121" t="s">
        <v>45</v>
      </c>
      <c r="C47" s="106">
        <v>2243387</v>
      </c>
      <c r="D47" s="106">
        <v>2242574</v>
      </c>
      <c r="E47" s="106">
        <v>2255028</v>
      </c>
      <c r="F47" s="106">
        <v>2278380</v>
      </c>
      <c r="G47" s="167"/>
      <c r="H47" s="167"/>
      <c r="I47" s="167"/>
      <c r="Q47" s="170"/>
      <c r="R47" s="170"/>
      <c r="S47" s="170"/>
      <c r="T47" s="170"/>
      <c r="U47" s="170"/>
    </row>
    <row r="48" spans="1:21">
      <c r="A48" s="107" t="s">
        <v>57</v>
      </c>
      <c r="B48" s="121" t="s">
        <v>48</v>
      </c>
      <c r="C48" s="106">
        <v>4312349</v>
      </c>
      <c r="D48" s="106">
        <v>4462125</v>
      </c>
      <c r="E48" s="106">
        <v>4541926</v>
      </c>
      <c r="F48" s="106">
        <v>5040624</v>
      </c>
      <c r="G48" s="167"/>
      <c r="H48" s="167"/>
      <c r="I48" s="167"/>
      <c r="Q48" s="170"/>
      <c r="R48" s="170"/>
      <c r="S48" s="170"/>
      <c r="T48" s="170"/>
      <c r="U48" s="170"/>
    </row>
    <row r="49" spans="1:21">
      <c r="A49" s="107" t="s">
        <v>58</v>
      </c>
      <c r="B49" s="121" t="s">
        <v>13</v>
      </c>
      <c r="C49" s="106">
        <f>ROUND(SiliconValley!B16,0)</f>
        <v>1490333</v>
      </c>
      <c r="D49" s="106">
        <f>ROUND(SiliconValley!C16,0)</f>
        <v>1558779</v>
      </c>
      <c r="E49" s="106">
        <f>ROUND(SiliconValley!D16,0)</f>
        <v>1723791</v>
      </c>
      <c r="F49" s="106">
        <f>ROUND(SiliconValley!E16,0)</f>
        <v>1753089</v>
      </c>
      <c r="G49" s="167"/>
      <c r="H49" s="167"/>
      <c r="I49" s="167"/>
      <c r="Q49" s="170"/>
      <c r="R49" s="170"/>
      <c r="S49" s="170"/>
      <c r="T49" s="170"/>
      <c r="U49" s="170"/>
    </row>
    <row r="50" spans="1:21">
      <c r="A50" s="107" t="s">
        <v>59</v>
      </c>
      <c r="B50" s="121" t="s">
        <v>48</v>
      </c>
      <c r="C50" s="106">
        <f>ROUND(SCE!B16,0)</f>
        <v>16733510</v>
      </c>
      <c r="D50" s="106">
        <f>ROUND(SCE!C16,0)</f>
        <v>17104829</v>
      </c>
      <c r="E50" s="106">
        <f>ROUND(SCE!D16,0)</f>
        <v>17306976</v>
      </c>
      <c r="F50" s="106">
        <f>ROUND(SCE!E16,0)</f>
        <v>19274578</v>
      </c>
      <c r="G50" s="202"/>
      <c r="H50" s="202"/>
      <c r="I50" s="202"/>
      <c r="Q50" s="170"/>
      <c r="R50" s="170"/>
      <c r="S50" s="170"/>
      <c r="T50" s="170"/>
      <c r="U50" s="170"/>
    </row>
    <row r="51" spans="1:21">
      <c r="A51" s="107" t="s">
        <v>60</v>
      </c>
      <c r="B51" s="121" t="s">
        <v>6</v>
      </c>
      <c r="C51" s="106">
        <f>ROUND(Stockton!B16,0)</f>
        <v>6779</v>
      </c>
      <c r="D51" s="106">
        <f>ROUND(Stockton!C16,0)</f>
        <v>6762</v>
      </c>
      <c r="E51" s="106">
        <f>ROUND(Stockton!D16,0)</f>
        <v>6787</v>
      </c>
      <c r="F51" s="106">
        <f>ROUND(Stockton!E16,0)</f>
        <v>6826</v>
      </c>
      <c r="G51" s="167"/>
      <c r="H51" s="167"/>
      <c r="I51" s="167"/>
      <c r="Q51" s="170"/>
      <c r="R51" s="170"/>
      <c r="S51" s="170"/>
      <c r="T51" s="170"/>
      <c r="U51" s="170"/>
    </row>
    <row r="52" spans="1:21">
      <c r="A52" s="107" t="s">
        <v>61</v>
      </c>
      <c r="B52" s="121" t="s">
        <v>6</v>
      </c>
      <c r="C52" s="106">
        <f>ROUND(SurpriseValley!B16,0)</f>
        <v>2345</v>
      </c>
      <c r="D52" s="106">
        <f>ROUND(SurpriseValley!C16,0)</f>
        <v>2477</v>
      </c>
      <c r="E52" s="106">
        <f>ROUND(SurpriseValley!D16,0)</f>
        <v>2602</v>
      </c>
      <c r="F52" s="106">
        <f>ROUND(SurpriseValley!E16,0)</f>
        <v>2729</v>
      </c>
      <c r="G52" s="167"/>
      <c r="H52" s="167"/>
      <c r="I52" s="167"/>
      <c r="Q52" s="170"/>
      <c r="R52" s="170"/>
      <c r="S52" s="170"/>
      <c r="T52" s="170"/>
      <c r="U52" s="170"/>
    </row>
    <row r="53" spans="1:21">
      <c r="A53" s="107" t="s">
        <v>693</v>
      </c>
      <c r="B53" s="121" t="s">
        <v>6</v>
      </c>
      <c r="C53" s="106">
        <f>ROUND(Trinity!B16,0)</f>
        <v>2834</v>
      </c>
      <c r="D53" s="106">
        <f>ROUND(Trinity!C16,0)</f>
        <v>2834</v>
      </c>
      <c r="E53" s="106">
        <f>ROUND(Trinity!D16,0)</f>
        <v>2834</v>
      </c>
      <c r="F53" s="106">
        <f>ROUND(Trinity!E16,0)</f>
        <v>2834</v>
      </c>
      <c r="G53" s="167"/>
      <c r="H53" s="167"/>
      <c r="I53" s="167"/>
      <c r="Q53" s="170"/>
      <c r="R53" s="170"/>
      <c r="S53" s="170"/>
      <c r="T53" s="170"/>
      <c r="U53" s="170"/>
    </row>
    <row r="54" spans="1:21">
      <c r="A54" s="107" t="s">
        <v>62</v>
      </c>
      <c r="B54" s="121" t="s">
        <v>6</v>
      </c>
      <c r="C54" s="106">
        <f>ROUND(TruckeeDonner!B16,0)</f>
        <v>49287</v>
      </c>
      <c r="D54" s="106">
        <f>ROUND(TruckeeDonner!C16,0)</f>
        <v>54437</v>
      </c>
      <c r="E54" s="106">
        <f>ROUND(TruckeeDonner!D16,0)</f>
        <v>55457</v>
      </c>
      <c r="F54" s="106">
        <f>ROUND(TruckeeDonner!E16,0)</f>
        <v>56351</v>
      </c>
      <c r="G54" s="167"/>
      <c r="H54" s="167"/>
      <c r="I54" s="167"/>
      <c r="Q54" s="170"/>
      <c r="R54" s="170"/>
      <c r="S54" s="170"/>
      <c r="T54" s="170"/>
      <c r="U54" s="170"/>
    </row>
    <row r="55" spans="1:21">
      <c r="A55" s="107" t="s">
        <v>63</v>
      </c>
      <c r="B55" s="121" t="s">
        <v>13</v>
      </c>
      <c r="C55" s="106">
        <v>491956</v>
      </c>
      <c r="D55" s="106">
        <v>495888</v>
      </c>
      <c r="E55" s="106">
        <v>477071</v>
      </c>
      <c r="F55" s="106">
        <v>475093</v>
      </c>
      <c r="G55" s="167"/>
      <c r="H55" s="167"/>
      <c r="I55" s="167"/>
      <c r="Q55" s="170"/>
      <c r="R55" s="170"/>
      <c r="S55" s="170"/>
      <c r="T55" s="170"/>
      <c r="U55" s="170"/>
    </row>
    <row r="56" spans="1:21">
      <c r="A56" s="107" t="s">
        <v>64</v>
      </c>
      <c r="B56" s="121" t="s">
        <v>6</v>
      </c>
      <c r="C56" s="106">
        <f>ROUND(ValleyElectric!B16,0)</f>
        <v>2204</v>
      </c>
      <c r="D56" s="106">
        <f>ROUND(ValleyElectric!C16,0)</f>
        <v>2127</v>
      </c>
      <c r="E56" s="106">
        <f>ROUND(ValleyElectric!D16,0)</f>
        <v>2078</v>
      </c>
      <c r="F56" s="106">
        <f>ROUND(ValleyElectric!E16,0)</f>
        <v>2028</v>
      </c>
      <c r="G56" s="167"/>
      <c r="H56" s="167"/>
      <c r="I56" s="167"/>
      <c r="Q56" s="170"/>
      <c r="R56" s="170"/>
      <c r="S56" s="170"/>
      <c r="T56" s="170"/>
      <c r="U56" s="170"/>
    </row>
    <row r="57" spans="1:21" ht="15.75" thickBot="1">
      <c r="A57" s="108" t="s">
        <v>65</v>
      </c>
      <c r="B57" s="109" t="s">
        <v>66</v>
      </c>
      <c r="C57" s="110">
        <f>ROUND(WAPA!B16,0)</f>
        <v>310453</v>
      </c>
      <c r="D57" s="110">
        <f>ROUND(WAPA!C16,0)</f>
        <v>305606</v>
      </c>
      <c r="E57" s="110">
        <f>ROUND(WAPA!D16,0)</f>
        <v>300330</v>
      </c>
      <c r="F57" s="110">
        <f>ROUND(WAPA!E16,0)</f>
        <v>294609</v>
      </c>
      <c r="G57" s="167"/>
      <c r="H57" s="167"/>
      <c r="I57" s="167"/>
      <c r="Q57" s="170"/>
      <c r="R57" s="170"/>
      <c r="S57" s="170"/>
      <c r="T57" s="170"/>
      <c r="U57" s="170"/>
    </row>
    <row r="58" spans="1:21" ht="15.75" thickBot="1">
      <c r="A58" s="111" t="s">
        <v>67</v>
      </c>
      <c r="B58" s="112"/>
      <c r="C58" s="113">
        <f>SUM(C2:C57)</f>
        <v>53566661</v>
      </c>
      <c r="D58" s="113">
        <f t="shared" ref="D58:F58" si="0">SUM(D2:D57)</f>
        <v>56092468</v>
      </c>
      <c r="E58" s="113">
        <f t="shared" si="0"/>
        <v>57867689</v>
      </c>
      <c r="F58" s="113">
        <f t="shared" si="0"/>
        <v>63554651</v>
      </c>
      <c r="G58" s="171"/>
      <c r="H58" s="171"/>
      <c r="I58" s="171"/>
    </row>
    <row r="60" spans="1:21">
      <c r="C60" s="166"/>
      <c r="D60" s="166"/>
      <c r="E60" s="166"/>
      <c r="F60" s="166"/>
    </row>
    <row r="61" spans="1:21">
      <c r="C61" s="158"/>
      <c r="D61" s="158"/>
      <c r="E61" s="158"/>
      <c r="F61" s="158"/>
    </row>
    <row r="62" spans="1:21">
      <c r="C62" s="166"/>
      <c r="D62" s="166"/>
      <c r="E62" s="166"/>
      <c r="F62" s="166"/>
    </row>
    <row r="63" spans="1:21">
      <c r="C63" s="158"/>
      <c r="D63" s="158"/>
      <c r="E63" s="158"/>
      <c r="F63" s="158"/>
    </row>
    <row r="64" spans="1:21">
      <c r="C64" s="158"/>
      <c r="D64" s="158"/>
      <c r="E64" s="158"/>
      <c r="F64" s="158"/>
    </row>
    <row r="66" spans="3:6">
      <c r="C66" s="166"/>
      <c r="D66" s="166"/>
      <c r="E66" s="166"/>
      <c r="F66" s="166"/>
    </row>
    <row r="67" spans="3:6">
      <c r="C67" s="198"/>
      <c r="D67" s="198"/>
      <c r="E67" s="198"/>
      <c r="F67" s="198"/>
    </row>
  </sheetData>
  <autoFilter ref="A1:F1" xr:uid="{79000B5E-F45F-46C1-BB21-023CCC23D993}"/>
  <conditionalFormatting sqref="C2">
    <cfRule type="cellIs" dxfId="6" priority="7" operator="greaterThan">
      <formula>#REF!</formula>
    </cfRule>
  </conditionalFormatting>
  <conditionalFormatting sqref="C2:F57">
    <cfRule type="expression" dxfId="5" priority="14">
      <formula>C2&gt;#REF!</formula>
    </cfRule>
  </conditionalFormatting>
  <conditionalFormatting sqref="G2:G57">
    <cfRule type="cellIs" dxfId="4" priority="11" operator="greaterThan">
      <formula>0.18</formula>
    </cfRule>
  </conditionalFormatting>
  <conditionalFormatting sqref="H2:H57">
    <cfRule type="cellIs" dxfId="3" priority="8" operator="greaterThan">
      <formula>0.24</formula>
    </cfRule>
    <cfRule type="cellIs" dxfId="2" priority="10" operator="greaterThan">
      <formula>24</formula>
    </cfRule>
  </conditionalFormatting>
  <conditionalFormatting sqref="I2:I57">
    <cfRule type="cellIs" dxfId="1" priority="9" operator="greaterThan">
      <formula>0.3</formula>
    </cfRule>
  </conditionalFormatting>
  <conditionalFormatting sqref="Q2:U57">
    <cfRule type="containsText" dxfId="0" priority="1" operator="containsText" text="TRUE">
      <formula>NOT(ISERROR(SEARCH("TRUE",Q2)))</formula>
    </cfRule>
  </conditionalFormatting>
  <pageMargins left="0.7" right="0.7" top="0.75" bottom="0.75" header="0.3" footer="0.3"/>
  <pageSetup scale="63" fitToWidth="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90FA-60CF-45A4-A90E-1E6CF9E7F4C4}">
  <sheetPr codeName="Sheet78"/>
  <dimension ref="A1:J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4.28515625" customWidth="1"/>
    <col min="13" max="13" width="14.28515625" customWidth="1"/>
    <col min="14" max="14" width="10.7109375" bestFit="1" customWidth="1"/>
  </cols>
  <sheetData>
    <row r="1" spans="1:10" s="7" customFormat="1" ht="15.75">
      <c r="A1" s="125" t="s">
        <v>51</v>
      </c>
      <c r="B1" s="223" t="s">
        <v>671</v>
      </c>
      <c r="C1" s="224"/>
      <c r="D1" s="224"/>
      <c r="E1" s="224"/>
      <c r="F1" s="225"/>
      <c r="H1" s="229" t="s">
        <v>4</v>
      </c>
      <c r="I1" s="230"/>
      <c r="J1" s="2"/>
    </row>
    <row r="2" spans="1:10" s="7" customFormat="1" ht="33">
      <c r="A2" s="126" t="s">
        <v>496</v>
      </c>
      <c r="B2" s="127">
        <v>2027</v>
      </c>
      <c r="C2" s="127">
        <v>2028</v>
      </c>
      <c r="D2" s="127">
        <v>2029</v>
      </c>
      <c r="E2" s="128">
        <v>2030</v>
      </c>
      <c r="F2" s="129" t="s">
        <v>497</v>
      </c>
      <c r="H2" s="120">
        <v>0.43540000000000001</v>
      </c>
      <c r="I2" s="62" t="s">
        <v>7</v>
      </c>
    </row>
    <row r="3" spans="1:10" s="7" customFormat="1" ht="30">
      <c r="A3" s="130" t="s">
        <v>584</v>
      </c>
      <c r="B3" s="131">
        <f>SUMIFS('Form 1.5a (CEC 2025a)'!G:G, 'Form 1.5a (CEC 2025a)'!$B:$B, "Pasadena Water and Power")*1000</f>
        <v>1207963.7967006154</v>
      </c>
      <c r="C3" s="131">
        <f>SUMIFS('Form 1.5a (CEC 2025a)'!H:H, 'Form 1.5a (CEC 2025a)'!$B:$B, "Pasadena Water and Power")*1000</f>
        <v>1253067.955398951</v>
      </c>
      <c r="D3" s="131">
        <f>SUMIFS('Form 1.5a (CEC 2025a)'!I:I, 'Form 1.5a (CEC 2025a)'!$B:$B, "Pasadena Water and Power")*1000</f>
        <v>1304168.8610923795</v>
      </c>
      <c r="E3" s="131">
        <f>SUMIFS('Form 1.5a (CEC 2025a)'!J:J, 'Form 1.5a (CEC 2025a)'!$B:$B, "Pasadena Water and Power")*1000</f>
        <v>1358468.636561003</v>
      </c>
      <c r="F3" s="123" t="s">
        <v>577</v>
      </c>
      <c r="H3" s="132">
        <v>0.95946199709706936</v>
      </c>
      <c r="I3" s="123" t="s">
        <v>676</v>
      </c>
    </row>
    <row r="4" spans="1:10" s="7" customFormat="1">
      <c r="A4" s="130" t="s">
        <v>217</v>
      </c>
      <c r="B4" s="131">
        <f>SUMIFS('Form 1.1c (CEC 2025a)'!G:G, 'Form 1.1c (CEC 2025a)'!$B:$B, "Pasadena Water and Power")*1000</f>
        <v>1131052.2441016997</v>
      </c>
      <c r="C4" s="131">
        <f>SUMIFS('Form 1.1c (CEC 2025a)'!H:H, 'Form 1.1c (CEC 2025a)'!$B:$B, "Pasadena Water and Power")*1000</f>
        <v>1173284.6024334747</v>
      </c>
      <c r="D4" s="131">
        <f>SUMIFS('Form 1.1c (CEC 2025a)'!I:I, 'Form 1.1c (CEC 2025a)'!$B:$B, "Pasadena Water and Power")*1000</f>
        <v>1221131.892408595</v>
      </c>
      <c r="E4" s="131">
        <f>SUMIFS('Form 1.1c (CEC 2025a)'!J:J, 'Form 1.1c (CEC 2025a)'!$B:$B, "Pasadena Water and Power")*1000</f>
        <v>1271974.3788024373</v>
      </c>
      <c r="F4" s="123" t="s">
        <v>578</v>
      </c>
      <c r="H4" s="122">
        <f>0.15</f>
        <v>0.15</v>
      </c>
      <c r="I4" s="123" t="s">
        <v>498</v>
      </c>
    </row>
    <row r="5" spans="1:10" s="7" customFormat="1" ht="30">
      <c r="A5" s="130" t="s">
        <v>585</v>
      </c>
      <c r="B5" s="131">
        <f t="shared" ref="B5:E5" si="0">IF(0&lt;(B4-B3),B4*(1+$H$5),B3)</f>
        <v>1207963.7967006154</v>
      </c>
      <c r="C5" s="131">
        <f t="shared" si="0"/>
        <v>1253067.955398951</v>
      </c>
      <c r="D5" s="131">
        <f t="shared" si="0"/>
        <v>1304168.8610923795</v>
      </c>
      <c r="E5" s="131">
        <f t="shared" si="0"/>
        <v>1358468.636561003</v>
      </c>
      <c r="F5" s="123" t="s">
        <v>586</v>
      </c>
      <c r="H5" s="122">
        <f>0.07</f>
        <v>7.0000000000000007E-2</v>
      </c>
      <c r="I5" s="123" t="s">
        <v>499</v>
      </c>
    </row>
    <row r="6" spans="1:10" s="7" customFormat="1">
      <c r="A6" s="130" t="s">
        <v>500</v>
      </c>
      <c r="B6" s="131">
        <v>0</v>
      </c>
      <c r="C6" s="131">
        <v>0</v>
      </c>
      <c r="D6" s="131">
        <v>0</v>
      </c>
      <c r="E6" s="131">
        <v>0</v>
      </c>
      <c r="F6" s="139" t="s">
        <v>515</v>
      </c>
      <c r="H6" s="124">
        <v>0.05</v>
      </c>
      <c r="I6" s="123" t="s">
        <v>516</v>
      </c>
    </row>
    <row r="7" spans="1:10" s="7" customFormat="1">
      <c r="A7" s="130" t="s">
        <v>501</v>
      </c>
      <c r="B7" s="131">
        <v>82178</v>
      </c>
      <c r="C7" s="131">
        <v>82167</v>
      </c>
      <c r="D7" s="131">
        <v>82161</v>
      </c>
      <c r="E7" s="131">
        <v>82168</v>
      </c>
      <c r="F7" s="133" t="s">
        <v>564</v>
      </c>
      <c r="I7" s="12"/>
    </row>
    <row r="8" spans="1:10" s="7" customFormat="1" ht="30">
      <c r="A8" s="130" t="s">
        <v>502</v>
      </c>
      <c r="B8" s="131">
        <v>39947</v>
      </c>
      <c r="C8" s="131">
        <v>39530</v>
      </c>
      <c r="D8" s="131">
        <v>39496</v>
      </c>
      <c r="E8" s="131">
        <v>39657</v>
      </c>
      <c r="F8" s="133" t="s">
        <v>564</v>
      </c>
      <c r="H8" s="135">
        <f>SUMIFS('Form 1.5a (CEC 2025a)'!U:U, 'Form 1.5a (CEC 2025a)'!$B:$B, "Pasadena Water and Power")</f>
        <v>3.0670945530911098E-2</v>
      </c>
      <c r="I8" s="123" t="s">
        <v>579</v>
      </c>
    </row>
    <row r="9" spans="1:10" s="7" customFormat="1" ht="75">
      <c r="A9" s="130" t="s">
        <v>503</v>
      </c>
      <c r="B9" s="203">
        <v>0.39</v>
      </c>
      <c r="C9" s="203">
        <v>0.41</v>
      </c>
      <c r="D9" s="203">
        <v>0.43</v>
      </c>
      <c r="E9" s="203">
        <v>0.45</v>
      </c>
      <c r="F9" s="123" t="s">
        <v>690</v>
      </c>
      <c r="H9" s="16"/>
      <c r="I9" s="2"/>
    </row>
    <row r="10" spans="1:10" s="7" customFormat="1">
      <c r="A10" s="130" t="s">
        <v>504</v>
      </c>
      <c r="B10" s="131">
        <f t="shared" ref="B10:E10" si="1">B4*B9</f>
        <v>441110.37519966287</v>
      </c>
      <c r="C10" s="131">
        <f t="shared" si="1"/>
        <v>481046.68699772464</v>
      </c>
      <c r="D10" s="131">
        <f t="shared" si="1"/>
        <v>525086.71373569581</v>
      </c>
      <c r="E10" s="131">
        <f t="shared" si="1"/>
        <v>572388.47046109685</v>
      </c>
      <c r="F10" s="123" t="s">
        <v>587</v>
      </c>
      <c r="I10" s="12"/>
    </row>
    <row r="11" spans="1:10" s="7" customFormat="1" ht="30">
      <c r="A11" s="130" t="s">
        <v>505</v>
      </c>
      <c r="B11" s="131">
        <f t="shared" ref="B11:E11" si="2">MAX(B5-SUM(B6:B8,B10), B5*$H$6)</f>
        <v>644728.42150095257</v>
      </c>
      <c r="C11" s="131">
        <f t="shared" si="2"/>
        <v>650324.26840122626</v>
      </c>
      <c r="D11" s="131">
        <f t="shared" si="2"/>
        <v>657425.14735668374</v>
      </c>
      <c r="E11" s="131">
        <f t="shared" si="2"/>
        <v>664255.1660999062</v>
      </c>
      <c r="F11" s="123" t="s">
        <v>589</v>
      </c>
    </row>
    <row r="12" spans="1:10" s="7" customFormat="1" ht="46.5">
      <c r="A12" s="130" t="s">
        <v>507</v>
      </c>
      <c r="B12" s="131">
        <f>B6*$H$3+B11*$H$2</f>
        <v>280714.75472151476</v>
      </c>
      <c r="C12" s="131">
        <f>C6*$H$3+C11*$H$2</f>
        <v>283151.1864618939</v>
      </c>
      <c r="D12" s="131">
        <f>D6*$H$3+D11*$H$2</f>
        <v>286242.90915910009</v>
      </c>
      <c r="E12" s="131">
        <f>E6*$H$3+E11*$H$2</f>
        <v>289216.69931989914</v>
      </c>
      <c r="F12" s="136" t="s">
        <v>508</v>
      </c>
    </row>
    <row r="13" spans="1:10" s="7" customFormat="1" ht="72.599999999999994" customHeight="1">
      <c r="A13" s="130"/>
      <c r="B13" s="227" t="s">
        <v>557</v>
      </c>
      <c r="C13" s="227"/>
      <c r="D13" s="228"/>
      <c r="E13" s="137">
        <v>0</v>
      </c>
      <c r="F13" s="136" t="s">
        <v>686</v>
      </c>
    </row>
    <row r="14" spans="1:10" s="7" customFormat="1" ht="33">
      <c r="A14" s="130" t="s">
        <v>509</v>
      </c>
      <c r="B14" s="193">
        <f t="shared" ref="B14:E14" si="3">B12/B5</f>
        <v>0.23238672838395319</v>
      </c>
      <c r="C14" s="193">
        <f t="shared" si="3"/>
        <v>0.22596634543395089</v>
      </c>
      <c r="D14" s="193">
        <f t="shared" si="3"/>
        <v>0.2194830115168839</v>
      </c>
      <c r="E14" s="193">
        <f t="shared" si="3"/>
        <v>0.21289906261808028</v>
      </c>
      <c r="F14" s="123" t="s">
        <v>588</v>
      </c>
      <c r="H14"/>
      <c r="I14"/>
    </row>
    <row r="15" spans="1:10" s="7" customFormat="1" ht="33.75" thickBot="1">
      <c r="A15" s="130" t="s">
        <v>511</v>
      </c>
      <c r="B15" s="138">
        <f>$E$13*B14</f>
        <v>0</v>
      </c>
      <c r="C15" s="138">
        <f>$E$13*C14</f>
        <v>0</v>
      </c>
      <c r="D15" s="138">
        <f>$E$13*D14</f>
        <v>0</v>
      </c>
      <c r="E15" s="138">
        <f>$E$13*E14</f>
        <v>0</v>
      </c>
      <c r="F15" s="123" t="s">
        <v>518</v>
      </c>
      <c r="H15"/>
      <c r="I15"/>
    </row>
    <row r="16" spans="1:10" ht="30.75" thickBot="1">
      <c r="A16" s="20" t="s">
        <v>513</v>
      </c>
      <c r="B16" s="8">
        <f>B12-B15</f>
        <v>280714.75472151476</v>
      </c>
      <c r="C16" s="8">
        <f>C12-C15</f>
        <v>283151.1864618939</v>
      </c>
      <c r="D16" s="8">
        <f>D12-D15</f>
        <v>286242.90915910009</v>
      </c>
      <c r="E16" s="8">
        <f>E12-E15</f>
        <v>289216.69931989914</v>
      </c>
      <c r="F16" s="10" t="s">
        <v>514</v>
      </c>
    </row>
    <row r="17" spans="1:9" ht="15.75">
      <c r="A17" s="9"/>
      <c r="B17" s="9"/>
      <c r="C17" s="9"/>
      <c r="D17" s="9"/>
      <c r="E17" s="9"/>
      <c r="H17" s="3"/>
      <c r="I17" s="5"/>
    </row>
    <row r="18" spans="1:9">
      <c r="A18" s="9"/>
      <c r="B18" s="9"/>
      <c r="C18" s="9"/>
      <c r="D18" s="9"/>
      <c r="E18" s="9"/>
    </row>
  </sheetData>
  <mergeCells count="3">
    <mergeCell ref="B13:D13"/>
    <mergeCell ref="B1:F1"/>
    <mergeCell ref="H1:I1"/>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DFEFA-3AF6-431C-8CFC-CD99ED2EA4BF}">
  <sheetPr codeName="Sheet84"/>
  <dimension ref="A1:L21"/>
  <sheetViews>
    <sheetView zoomScaleNormal="100" workbookViewId="0"/>
  </sheetViews>
  <sheetFormatPr defaultRowHeight="15"/>
  <cols>
    <col min="1" max="1" width="37.7109375" customWidth="1"/>
    <col min="2" max="2" width="11.42578125" customWidth="1"/>
    <col min="3" max="5" width="12" bestFit="1" customWidth="1"/>
    <col min="6" max="6" width="49.28515625" style="1" customWidth="1"/>
    <col min="8" max="8" width="8.7109375" customWidth="1"/>
    <col min="9" max="9" width="36.5703125" customWidth="1"/>
    <col min="11" max="11" width="14.7109375" customWidth="1"/>
  </cols>
  <sheetData>
    <row r="1" spans="1:10" s="7" customFormat="1" ht="15.75">
      <c r="A1" s="125" t="s">
        <v>47</v>
      </c>
      <c r="B1" s="223" t="s">
        <v>671</v>
      </c>
      <c r="C1" s="224"/>
      <c r="D1" s="224"/>
      <c r="E1" s="224"/>
      <c r="F1" s="225"/>
      <c r="H1" s="229" t="s">
        <v>4</v>
      </c>
      <c r="I1" s="230"/>
      <c r="J1" s="2"/>
    </row>
    <row r="2" spans="1:10" s="7" customFormat="1" ht="33">
      <c r="A2" s="126" t="s">
        <v>496</v>
      </c>
      <c r="B2" s="127">
        <v>2027</v>
      </c>
      <c r="C2" s="127">
        <v>2028</v>
      </c>
      <c r="D2" s="127">
        <v>2029</v>
      </c>
      <c r="E2" s="128">
        <v>2030</v>
      </c>
      <c r="F2" s="129" t="s">
        <v>497</v>
      </c>
      <c r="H2" s="120">
        <v>0.43540000000000001</v>
      </c>
      <c r="I2" s="62" t="s">
        <v>7</v>
      </c>
    </row>
    <row r="3" spans="1:10" s="7" customFormat="1" ht="30">
      <c r="A3" s="130" t="s">
        <v>584</v>
      </c>
      <c r="B3" s="131">
        <f>SUMIFS('Form 1.5a (CEC 2025a)'!G:G, 'Form 1.5a (CEC 2025a)'!$B:$B, "PG&amp;E Service Area *")*1000</f>
        <v>90438081.871807113</v>
      </c>
      <c r="C3" s="131">
        <f>SUMIFS('Form 1.5a (CEC 2025a)'!H:H, 'Form 1.5a (CEC 2025a)'!$B:$B, "PG&amp;E Service Area *")*1000</f>
        <v>99599688.023398802</v>
      </c>
      <c r="D3" s="131">
        <f>SUMIFS('Form 1.5a (CEC 2025a)'!I:I, 'Form 1.5a (CEC 2025a)'!$B:$B, "PG&amp;E Service Area *")*1000</f>
        <v>107272388.9583376</v>
      </c>
      <c r="E3" s="131">
        <f>SUMIFS('Form 1.5a (CEC 2025a)'!J:J, 'Form 1.5a (CEC 2025a)'!$B:$B, "PG&amp;E Service Area *")*1000</f>
        <v>114687121.8787268</v>
      </c>
      <c r="F3" s="123" t="s">
        <v>577</v>
      </c>
      <c r="H3" s="132">
        <v>0.95946199709706936</v>
      </c>
      <c r="I3" s="123" t="s">
        <v>676</v>
      </c>
    </row>
    <row r="4" spans="1:10" s="7" customFormat="1">
      <c r="A4" s="130" t="s">
        <v>217</v>
      </c>
      <c r="B4" s="131">
        <f>SUM('Form 1.1c (CEC 2025a)'!G6:G7,'Form 1.1c (CEC 2025a)'!G9:G20)*1000</f>
        <v>82042546.429001093</v>
      </c>
      <c r="C4" s="131">
        <f>SUM('Form 1.1c (CEC 2025a)'!H6:H7,'Form 1.1c (CEC 2025a)'!H9:H20)*1000</f>
        <v>90439290.600075513</v>
      </c>
      <c r="D4" s="131">
        <f>SUM('Form 1.1c (CEC 2025a)'!I6:I7,'Form 1.1c (CEC 2025a)'!I9:I20)*1000</f>
        <v>97312446.516244367</v>
      </c>
      <c r="E4" s="131">
        <f>SUM('Form 1.1c (CEC 2025a)'!J6:J7,'Form 1.1c (CEC 2025a)'!J9:J20)*1000</f>
        <v>103927519.361477</v>
      </c>
      <c r="F4" s="123" t="s">
        <v>578</v>
      </c>
      <c r="H4" s="122">
        <f>0.15</f>
        <v>0.15</v>
      </c>
      <c r="I4" s="123" t="s">
        <v>498</v>
      </c>
    </row>
    <row r="5" spans="1:10" s="7" customFormat="1" ht="30">
      <c r="A5" s="130" t="s">
        <v>585</v>
      </c>
      <c r="B5" s="131">
        <f t="shared" ref="B5:E5" si="0">IF(0&lt;(B4-B3),B4*(1+$H$5),B3)</f>
        <v>90438081.871807113</v>
      </c>
      <c r="C5" s="131">
        <f t="shared" si="0"/>
        <v>99599688.023398802</v>
      </c>
      <c r="D5" s="131">
        <f t="shared" si="0"/>
        <v>107272388.9583376</v>
      </c>
      <c r="E5" s="131">
        <f t="shared" si="0"/>
        <v>114687121.8787268</v>
      </c>
      <c r="F5" s="123" t="s">
        <v>586</v>
      </c>
      <c r="H5" s="122">
        <f>0.07</f>
        <v>7.0000000000000007E-2</v>
      </c>
      <c r="I5" s="123" t="s">
        <v>499</v>
      </c>
    </row>
    <row r="6" spans="1:10" s="7" customFormat="1" ht="30">
      <c r="A6" s="130" t="s">
        <v>500</v>
      </c>
      <c r="B6" s="131">
        <v>0</v>
      </c>
      <c r="C6" s="131">
        <v>0</v>
      </c>
      <c r="D6" s="131">
        <v>0</v>
      </c>
      <c r="E6" s="131">
        <v>0</v>
      </c>
      <c r="F6" s="133" t="s">
        <v>667</v>
      </c>
      <c r="H6" s="124">
        <v>0.05</v>
      </c>
      <c r="I6" s="123" t="s">
        <v>516</v>
      </c>
    </row>
    <row r="7" spans="1:10" s="7" customFormat="1" ht="60">
      <c r="A7" s="130" t="s">
        <v>501</v>
      </c>
      <c r="B7" s="131">
        <f>('PGE CCA PCL'!I3)*(B4/(B4+SCE!B4+('Form 1.1c (CEC 2025a)'!G82*1000)))</f>
        <v>8270440.4943801109</v>
      </c>
      <c r="C7" s="131">
        <f>('PGE CCA PCL'!J3)*(C4/(C4+SCE!C4+('Form 1.1c (CEC 2025a)'!H82*1000)))</f>
        <v>8141823.5731849121</v>
      </c>
      <c r="D7" s="131">
        <f>('PGE CCA PCL'!K3)*(D4/(D4+SCE!D4+('Form 1.1c (CEC 2025a)'!I82*1000)))</f>
        <v>8391999.5489463955</v>
      </c>
      <c r="E7" s="131">
        <f>('PGE CCA PCL'!L3)*(E4/(E4+SCE!E4+('Form 1.1c (CEC 2025a)'!J82*1000)))</f>
        <v>3859603.6215457642</v>
      </c>
      <c r="F7" s="133" t="s">
        <v>689</v>
      </c>
      <c r="I7" s="12"/>
    </row>
    <row r="8" spans="1:10" s="7" customFormat="1" ht="45">
      <c r="A8" s="130" t="s">
        <v>502</v>
      </c>
      <c r="B8" s="131">
        <f>'PGE CCA PCL'!I20</f>
        <v>11550824.409637509</v>
      </c>
      <c r="C8" s="131">
        <f>'PGE CCA PCL'!J20</f>
        <v>11550824.409637509</v>
      </c>
      <c r="D8" s="131">
        <f>'PGE CCA PCL'!K20</f>
        <v>11550824.409637509</v>
      </c>
      <c r="E8" s="131">
        <f>'PGE CCA PCL'!L20</f>
        <v>11550824.409637509</v>
      </c>
      <c r="F8" s="133" t="s">
        <v>667</v>
      </c>
      <c r="H8" s="135">
        <v>4.2922051368564099E-2</v>
      </c>
      <c r="I8" s="123" t="s">
        <v>582</v>
      </c>
    </row>
    <row r="9" spans="1:10" s="7" customFormat="1" ht="75">
      <c r="A9" s="130" t="s">
        <v>503</v>
      </c>
      <c r="B9" s="203">
        <v>0.39</v>
      </c>
      <c r="C9" s="203">
        <v>0.41</v>
      </c>
      <c r="D9" s="203">
        <v>0.43</v>
      </c>
      <c r="E9" s="203">
        <v>0.45</v>
      </c>
      <c r="F9" s="123" t="s">
        <v>690</v>
      </c>
      <c r="H9" s="17"/>
    </row>
    <row r="10" spans="1:10" s="7" customFormat="1">
      <c r="A10" s="130" t="s">
        <v>504</v>
      </c>
      <c r="B10" s="131">
        <f t="shared" ref="B10:E10" si="1">B4*B9</f>
        <v>31996593.107310425</v>
      </c>
      <c r="C10" s="131">
        <f t="shared" si="1"/>
        <v>37080109.146030955</v>
      </c>
      <c r="D10" s="131">
        <f t="shared" si="1"/>
        <v>41844352.001985081</v>
      </c>
      <c r="E10" s="131">
        <f t="shared" si="1"/>
        <v>46767383.712664649</v>
      </c>
      <c r="F10" s="123" t="s">
        <v>587</v>
      </c>
    </row>
    <row r="11" spans="1:10" s="7" customFormat="1" ht="30">
      <c r="A11" s="130" t="s">
        <v>505</v>
      </c>
      <c r="B11" s="131">
        <f t="shared" ref="B11:E11" si="2">MAX(B5-SUM(B6:B8,B10), B5*$H$6)</f>
        <v>38620223.860479072</v>
      </c>
      <c r="C11" s="131">
        <f t="shared" si="2"/>
        <v>42826930.894545421</v>
      </c>
      <c r="D11" s="131">
        <f t="shared" si="2"/>
        <v>45485212.997768618</v>
      </c>
      <c r="E11" s="131">
        <f t="shared" si="2"/>
        <v>52509310.134878874</v>
      </c>
      <c r="F11" s="123" t="s">
        <v>589</v>
      </c>
    </row>
    <row r="12" spans="1:10" s="7" customFormat="1" ht="46.5">
      <c r="A12" s="130" t="s">
        <v>507</v>
      </c>
      <c r="B12" s="131">
        <f>B6*$H$3+B11*$H$2</f>
        <v>16815245.468852587</v>
      </c>
      <c r="C12" s="131">
        <f>C6*$H$3+C11*$H$2</f>
        <v>18646845.711485077</v>
      </c>
      <c r="D12" s="131">
        <f>D6*$H$3+D11*$H$2</f>
        <v>19804261.739228457</v>
      </c>
      <c r="E12" s="131">
        <f>E6*$H$3+E11*$H$2</f>
        <v>22862553.632726263</v>
      </c>
      <c r="F12" s="136" t="s">
        <v>508</v>
      </c>
      <c r="I12" s="115"/>
    </row>
    <row r="13" spans="1:10" s="7" customFormat="1" ht="72.599999999999994" customHeight="1">
      <c r="A13" s="130"/>
      <c r="B13" s="227" t="s">
        <v>557</v>
      </c>
      <c r="C13" s="227"/>
      <c r="D13" s="228"/>
      <c r="E13" s="142">
        <v>3498500.3049259996</v>
      </c>
      <c r="F13" s="136" t="s">
        <v>686</v>
      </c>
    </row>
    <row r="14" spans="1:10" s="7" customFormat="1" ht="33">
      <c r="A14" s="130" t="s">
        <v>509</v>
      </c>
      <c r="B14" s="193">
        <f t="shared" ref="B14:E14" si="3">B12/B5</f>
        <v>0.18593102729321065</v>
      </c>
      <c r="C14" s="193">
        <f t="shared" si="3"/>
        <v>0.1872179128423013</v>
      </c>
      <c r="D14" s="193">
        <f t="shared" si="3"/>
        <v>0.18461658150374582</v>
      </c>
      <c r="E14" s="193">
        <f t="shared" si="3"/>
        <v>0.19934717393031917</v>
      </c>
      <c r="F14" s="123" t="s">
        <v>588</v>
      </c>
    </row>
    <row r="15" spans="1:10" s="7" customFormat="1" ht="33.75" thickBot="1">
      <c r="A15" s="130" t="s">
        <v>511</v>
      </c>
      <c r="B15" s="138">
        <f>$E$13*B14</f>
        <v>650479.75568050181</v>
      </c>
      <c r="C15" s="138">
        <f>$E$13*C14</f>
        <v>654981.92516640027</v>
      </c>
      <c r="D15" s="138">
        <f>$E$13*D14</f>
        <v>645881.16668525047</v>
      </c>
      <c r="E15" s="138">
        <f>$E$13*E14</f>
        <v>697416.14878135792</v>
      </c>
      <c r="F15" s="123" t="s">
        <v>518</v>
      </c>
    </row>
    <row r="16" spans="1:10" ht="30.75" thickBot="1">
      <c r="A16" s="20" t="s">
        <v>513</v>
      </c>
      <c r="B16" s="8">
        <f>B12-B15</f>
        <v>16164765.713172086</v>
      </c>
      <c r="C16" s="8">
        <f>C12-C15</f>
        <v>17991863.786318675</v>
      </c>
      <c r="D16" s="8">
        <f>D12-D15</f>
        <v>19158380.572543208</v>
      </c>
      <c r="E16" s="8">
        <f>E12-E15</f>
        <v>22165137.483944904</v>
      </c>
      <c r="F16" s="10" t="s">
        <v>514</v>
      </c>
    </row>
    <row r="17" spans="1:12" ht="15.75">
      <c r="A17" s="13"/>
      <c r="B17" s="9"/>
      <c r="C17" s="9"/>
      <c r="D17" s="9"/>
      <c r="E17" s="9"/>
      <c r="F17"/>
      <c r="H17" s="3"/>
      <c r="I17" s="3"/>
      <c r="J17" s="7"/>
      <c r="K17" s="7"/>
      <c r="L17" s="7"/>
    </row>
    <row r="18" spans="1:12">
      <c r="F18"/>
    </row>
    <row r="19" spans="1:12">
      <c r="A19" s="14"/>
      <c r="F19"/>
    </row>
    <row r="21" spans="1:12">
      <c r="A21" s="14"/>
    </row>
  </sheetData>
  <mergeCells count="3">
    <mergeCell ref="B13:D13"/>
    <mergeCell ref="B1:F1"/>
    <mergeCell ref="H1:I1"/>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C1E05-756C-4720-A3B0-1C764FC71902}">
  <dimension ref="A1:L27"/>
  <sheetViews>
    <sheetView zoomScale="80" zoomScaleNormal="80" workbookViewId="0">
      <selection activeCell="A7" sqref="A7"/>
    </sheetView>
  </sheetViews>
  <sheetFormatPr defaultRowHeight="15"/>
  <cols>
    <col min="1" max="1" width="63.28515625" style="58" bestFit="1" customWidth="1"/>
    <col min="2" max="2" width="14.5703125" bestFit="1" customWidth="1"/>
    <col min="3" max="3" width="14.42578125" bestFit="1" customWidth="1"/>
    <col min="4" max="4" width="15.42578125" bestFit="1" customWidth="1"/>
    <col min="5" max="6" width="11.7109375" bestFit="1" customWidth="1"/>
    <col min="7" max="7" width="14.28515625" bestFit="1" customWidth="1"/>
    <col min="8" max="12" width="13.5703125" bestFit="1" customWidth="1"/>
  </cols>
  <sheetData>
    <row r="1" spans="1:12" ht="15.75" thickBot="1">
      <c r="A1" s="58" t="s">
        <v>695</v>
      </c>
    </row>
    <row r="2" spans="1:12" ht="40.5" customHeight="1">
      <c r="A2" s="59" t="s">
        <v>228</v>
      </c>
      <c r="B2" s="55" t="s">
        <v>533</v>
      </c>
      <c r="C2" s="55" t="s">
        <v>534</v>
      </c>
      <c r="D2" s="56" t="s">
        <v>535</v>
      </c>
      <c r="E2" s="56" t="s">
        <v>536</v>
      </c>
      <c r="F2" s="56" t="s">
        <v>537</v>
      </c>
      <c r="G2" s="56" t="s">
        <v>538</v>
      </c>
      <c r="H2" s="56" t="s">
        <v>539</v>
      </c>
      <c r="I2" s="56" t="s">
        <v>540</v>
      </c>
      <c r="J2" s="56" t="s">
        <v>541</v>
      </c>
      <c r="K2" s="56" t="s">
        <v>542</v>
      </c>
      <c r="L2" s="56" t="s">
        <v>543</v>
      </c>
    </row>
    <row r="3" spans="1:12">
      <c r="A3" s="64" t="s">
        <v>675</v>
      </c>
      <c r="B3" s="146"/>
      <c r="C3" s="146"/>
      <c r="D3" s="147">
        <v>17652815.353939898</v>
      </c>
      <c r="E3" s="147">
        <v>17745275.878159098</v>
      </c>
      <c r="F3" s="147"/>
      <c r="G3" s="147"/>
      <c r="H3" s="147"/>
      <c r="I3" s="147">
        <v>18489668.570312496</v>
      </c>
      <c r="J3" s="147">
        <v>17598370.75</v>
      </c>
      <c r="K3" s="147">
        <v>17805476.8125</v>
      </c>
      <c r="L3" s="147">
        <v>8078621.96875</v>
      </c>
    </row>
    <row r="4" spans="1:12">
      <c r="B4" s="201"/>
      <c r="C4" s="201"/>
      <c r="D4" s="201"/>
      <c r="E4" s="201"/>
      <c r="F4" s="201"/>
      <c r="G4" s="201"/>
      <c r="H4" s="201"/>
      <c r="I4" s="201"/>
      <c r="J4" s="201"/>
      <c r="K4" s="201"/>
      <c r="L4" s="201"/>
    </row>
    <row r="5" spans="1:12" ht="6" customHeight="1" thickBot="1"/>
    <row r="6" spans="1:12" s="48" customFormat="1" ht="42" customHeight="1">
      <c r="A6" s="59" t="s">
        <v>696</v>
      </c>
      <c r="B6" s="55" t="s">
        <v>533</v>
      </c>
      <c r="C6" s="55" t="s">
        <v>534</v>
      </c>
      <c r="D6" s="56" t="s">
        <v>535</v>
      </c>
      <c r="E6" s="56" t="s">
        <v>536</v>
      </c>
      <c r="F6" s="56" t="s">
        <v>537</v>
      </c>
      <c r="G6" s="56" t="s">
        <v>538</v>
      </c>
      <c r="H6" s="56" t="s">
        <v>539</v>
      </c>
      <c r="I6" s="56" t="s">
        <v>540</v>
      </c>
      <c r="J6" s="56" t="s">
        <v>541</v>
      </c>
      <c r="K6" s="56" t="s">
        <v>542</v>
      </c>
      <c r="L6" s="56" t="s">
        <v>543</v>
      </c>
    </row>
    <row r="7" spans="1:12">
      <c r="A7" s="64" t="s">
        <v>685</v>
      </c>
      <c r="B7" s="150"/>
      <c r="C7" s="150">
        <f>SUMIFS('2021 PCL (CEC 2023b)'!$S:$S, '2021 PCL (CEC 2023b)'!$A:$A, "Pacific Gas and Electric COmpany *")</f>
        <v>1338282.9162930001</v>
      </c>
      <c r="D7" s="151">
        <f>SUMIFS('2022 PCL (CEC 2024b)'!$S:$S, '2022 PCL (CEC 2024b)'!$A:$A, "Pacific Gas and Electric COmpany *")</f>
        <v>2298688.6673952006</v>
      </c>
      <c r="E7" s="151">
        <f>SUMIFS('2023 PCL (CEC2025b)'!$S:$S, '2023 PCL (CEC2025b)'!$A:$A, "Pacific Gas and Electric Company *")</f>
        <v>3596873.3831367935</v>
      </c>
      <c r="F7" s="151"/>
      <c r="G7" s="147"/>
      <c r="H7" s="147"/>
      <c r="I7" s="151">
        <f>AVERAGE($C$7:$E$7)</f>
        <v>2411281.6556083313</v>
      </c>
      <c r="J7" s="151">
        <f t="shared" ref="J7:L7" si="0">AVERAGE($C$7:$E$7)</f>
        <v>2411281.6556083313</v>
      </c>
      <c r="K7" s="151">
        <f t="shared" si="0"/>
        <v>2411281.6556083313</v>
      </c>
      <c r="L7" s="151">
        <f t="shared" si="0"/>
        <v>2411281.6556083313</v>
      </c>
    </row>
    <row r="8" spans="1:12">
      <c r="A8" s="65" t="s">
        <v>133</v>
      </c>
      <c r="B8" s="61"/>
      <c r="C8" s="61">
        <f>(SUMIFS('2021 PCL (CEC 2023b)'!$S:$S, '2021 PCL (CEC 2023b)'!$A:$A, "central coast *"))*('Form 1.1c (CEC 2025a)'!C9/('Form 1.1c (CEC 2025a)'!C48+'Form 1.1c (CEC 2025a)'!C9))</f>
        <v>490439.86903920985</v>
      </c>
      <c r="D8" s="61">
        <f>(SUMIFS('2022 PCL (CEC 2024b)'!$S:$S, '2022 PCL (CEC 2024b)'!$A:$A, "central coast *"))*('Form 1.1c (CEC 2025a)'!C9/('Form 1.1c (CEC 2025a)'!C48+'Form 1.1c (CEC 2025a)'!C9))</f>
        <v>266495.98304463213</v>
      </c>
      <c r="E8" s="148">
        <f>(SUMIFS('2023 PCL (CEC2025b)'!$S:$S, '2023 PCL (CEC2025b)'!$A:$A, "central coast *"))*('Form 1.1c (CEC 2025a)'!C9/('Form 1.1c (CEC 2025a)'!C48+'Form 1.1c (CEC 2025a)'!C9))</f>
        <v>17707.817070339475</v>
      </c>
      <c r="F8" s="148"/>
      <c r="G8" s="148"/>
      <c r="H8" s="148"/>
      <c r="I8" s="148">
        <f>AVERAGE($C$8:$E$8)</f>
        <v>258214.55638472716</v>
      </c>
      <c r="J8" s="148">
        <f>AVERAGE($C$8:$E$8)</f>
        <v>258214.55638472716</v>
      </c>
      <c r="K8" s="148">
        <f>AVERAGE($C$8:$E$8)</f>
        <v>258214.55638472716</v>
      </c>
      <c r="L8" s="148">
        <f>AVERAGE($C$8:$E$8)</f>
        <v>258214.55638472716</v>
      </c>
    </row>
    <row r="9" spans="1:12">
      <c r="A9" s="65" t="s">
        <v>134</v>
      </c>
      <c r="B9" s="61"/>
      <c r="C9" s="61">
        <f>SUMIFS('2021 PCL (CEC 2023b)'!$S:$S, '2021 PCL (CEC 2023b)'!$A:$A, "CleanPowerSF *")</f>
        <v>1025918.6270000001</v>
      </c>
      <c r="D9" s="61">
        <f>SUMIFS('2022 PCL (CEC 2024b)'!$S:$S, '2022 PCL (CEC 2024b)'!$A:$A, "CleanPowerSF *")</f>
        <v>975430.446</v>
      </c>
      <c r="E9" s="148">
        <f>SUMIFS('2023 PCL (CEC2025b)'!$S:$S, '2023 PCL (CEC2025b)'!$A:$A, "CleanPowerSF *")</f>
        <v>1073767.0896613926</v>
      </c>
      <c r="F9" s="148"/>
      <c r="G9" s="148"/>
      <c r="H9" s="148"/>
      <c r="I9" s="148">
        <f>AVERAGE($C$9:$E$9)</f>
        <v>1025038.7208871309</v>
      </c>
      <c r="J9" s="148">
        <f>AVERAGE($C$9:$E$9)</f>
        <v>1025038.7208871309</v>
      </c>
      <c r="K9" s="148">
        <f>AVERAGE($C$9:$E$9)</f>
        <v>1025038.7208871309</v>
      </c>
      <c r="L9" s="148">
        <f>AVERAGE($C$9:$E$9)</f>
        <v>1025038.7208871309</v>
      </c>
    </row>
    <row r="10" spans="1:12">
      <c r="A10" s="65" t="s">
        <v>135</v>
      </c>
      <c r="B10" s="61"/>
      <c r="C10" s="61">
        <f>SUMIFS('2021 PCL (CEC 2023b)'!$S:$S, '2021 PCL (CEC 2023b)'!$A:$A, "east bay*")</f>
        <v>1470971.8245065529</v>
      </c>
      <c r="D10" s="61">
        <f>SUMIFS('2022 PCL (CEC 2024b)'!$S:$S, '2022 PCL (CEC 2024b)'!$A:$A, "east bay*")</f>
        <v>1135464.5302417341</v>
      </c>
      <c r="E10" s="148">
        <f>SUMIFS('2023 PCL (CEC2025b)'!$S:$S, '2023 PCL (CEC2025b)'!$A:$A, "AVA *")</f>
        <v>1512202.1009999998</v>
      </c>
      <c r="F10" s="148"/>
      <c r="G10" s="148"/>
      <c r="H10" s="148"/>
      <c r="I10" s="148">
        <f>AVERAGE($C$10:$E$10)</f>
        <v>1372879.485249429</v>
      </c>
      <c r="J10" s="148">
        <f>AVERAGE($C$10:$E$10)</f>
        <v>1372879.485249429</v>
      </c>
      <c r="K10" s="148">
        <f>AVERAGE($C$10:$E$10)</f>
        <v>1372879.485249429</v>
      </c>
      <c r="L10" s="148">
        <f>AVERAGE($C$10:$E$10)</f>
        <v>1372879.485249429</v>
      </c>
    </row>
    <row r="11" spans="1:12">
      <c r="A11" s="65" t="s">
        <v>136</v>
      </c>
      <c r="B11" s="61"/>
      <c r="C11" s="61">
        <f>SUMIFS('2021 PCL (CEC 2023b)'!$S:$S, '2021 PCL (CEC 2023b)'!$A:$A, "king*")</f>
        <v>0</v>
      </c>
      <c r="D11" s="61">
        <f>SUMIFS('2022 PCL (CEC 2024b)'!$S:$S, '2022 PCL (CEC 2024b)'!$A:$A, "king*")</f>
        <v>0</v>
      </c>
      <c r="E11" s="148">
        <f>SUMIFS('2023 PCL (CEC2025b)'!$S:$S, '2023 PCL (CEC2025b)'!$A:$A, "king*")</f>
        <v>0</v>
      </c>
      <c r="F11" s="148"/>
      <c r="G11" s="148"/>
      <c r="H11" s="148"/>
      <c r="I11" s="148">
        <f>AVERAGE($C$11:$E$11)</f>
        <v>0</v>
      </c>
      <c r="J11" s="148">
        <f>AVERAGE($C$11:$E$11)</f>
        <v>0</v>
      </c>
      <c r="K11" s="148">
        <f>AVERAGE($C$11:$E$11)</f>
        <v>0</v>
      </c>
      <c r="L11" s="148">
        <f>AVERAGE($C$11:$E$11)</f>
        <v>0</v>
      </c>
    </row>
    <row r="12" spans="1:12">
      <c r="A12" s="65" t="s">
        <v>137</v>
      </c>
      <c r="B12" s="61"/>
      <c r="C12" s="41">
        <f>SUMIFS('2021 PCL (CEC 2023b)'!$S:$S, '2021 PCL (CEC 2023b)'!$A:$A, "marin*")</f>
        <v>1894130.8911633997</v>
      </c>
      <c r="D12" s="41">
        <f>SUMIFS('2022 PCL (CEC 2024b)'!$S:$S, '2022 PCL (CEC 2024b)'!$A:$A, "mce*")</f>
        <v>2095062.9229270215</v>
      </c>
      <c r="E12" s="148">
        <f>SUMIFS('2023 PCL (CEC2025b)'!$S:$S, '2023 PCL (CEC2025b)'!$A:$A, "mce*")</f>
        <v>2025715.7432990551</v>
      </c>
      <c r="F12" s="148"/>
      <c r="G12" s="148"/>
      <c r="H12" s="148"/>
      <c r="I12" s="148">
        <f>AVERAGE($C$12:$E$12)</f>
        <v>2004969.8524631588</v>
      </c>
      <c r="J12" s="148">
        <f>AVERAGE($C$12:$E$12)</f>
        <v>2004969.8524631588</v>
      </c>
      <c r="K12" s="148">
        <f>AVERAGE($C$12:$E$12)</f>
        <v>2004969.8524631588</v>
      </c>
      <c r="L12" s="148">
        <f>AVERAGE($C$12:$E$12)</f>
        <v>2004969.8524631588</v>
      </c>
    </row>
    <row r="13" spans="1:12">
      <c r="A13" s="65" t="s">
        <v>138</v>
      </c>
      <c r="B13" s="61"/>
      <c r="C13" s="61">
        <f>SUMIFS('2021 PCL (CEC 2023b)'!$S:$S, '2021 PCL (CEC 2023b)'!$A:$A, "peninsula*")</f>
        <v>1539082.0818791981</v>
      </c>
      <c r="D13" s="61">
        <f>SUMIFS('2022 PCL (CEC 2024b)'!$S:$S, '2022 PCL (CEC 2024b)'!$A:$A, "peninsula*")</f>
        <v>1490434.5857083406</v>
      </c>
      <c r="E13" s="148">
        <f>SUMIFS('2023 PCL (CEC2025b)'!$S:$S, '2023 PCL (CEC2025b)'!$A:$A, "peninsula*")</f>
        <v>1481267.8202922004</v>
      </c>
      <c r="F13" s="148"/>
      <c r="G13" s="148"/>
      <c r="H13" s="148"/>
      <c r="I13" s="148">
        <f>AVERAGE($C$13:$E$13)</f>
        <v>1503594.8292932464</v>
      </c>
      <c r="J13" s="148">
        <f>AVERAGE($C$13:$E$13)</f>
        <v>1503594.8292932464</v>
      </c>
      <c r="K13" s="148">
        <f>AVERAGE($C$13:$E$13)</f>
        <v>1503594.8292932464</v>
      </c>
      <c r="L13" s="148">
        <f>AVERAGE($C$13:$E$13)</f>
        <v>1503594.8292932464</v>
      </c>
    </row>
    <row r="14" spans="1:12">
      <c r="A14" s="65" t="s">
        <v>139</v>
      </c>
      <c r="B14" s="61"/>
      <c r="C14" s="61">
        <f>SUMIFS('2021 PCL (CEC 2023b)'!$S:$S, '2021 PCL (CEC 2023b)'!$A:$A, "pioneer*")</f>
        <v>4735.2300000000005</v>
      </c>
      <c r="D14" s="61">
        <f>SUMIFS('2022 PCL (CEC 2024b)'!$S:$S, '2022 PCL (CEC 2024b)'!$A:$A, "pioneer*")</f>
        <v>21237.143999999971</v>
      </c>
      <c r="E14" s="148">
        <f>SUMIFS('2023 PCL (CEC2025b)'!$S:$S, '2023 PCL (CEC2025b)'!$A:$A, "pioneer*")</f>
        <v>64125.311000000009</v>
      </c>
      <c r="F14" s="148"/>
      <c r="G14" s="148"/>
      <c r="H14" s="148"/>
      <c r="I14" s="148">
        <f>AVERAGE($C$14:$E$14)</f>
        <v>30032.561666666661</v>
      </c>
      <c r="J14" s="148">
        <f>AVERAGE($C$14:$E$14)</f>
        <v>30032.561666666661</v>
      </c>
      <c r="K14" s="148">
        <f>AVERAGE($C$14:$E$14)</f>
        <v>30032.561666666661</v>
      </c>
      <c r="L14" s="148">
        <f>AVERAGE($C$14:$E$14)</f>
        <v>30032.561666666661</v>
      </c>
    </row>
    <row r="15" spans="1:12">
      <c r="A15" s="65" t="s">
        <v>140</v>
      </c>
      <c r="B15" s="61"/>
      <c r="C15" s="61">
        <f>SUMIFS('2021 PCL (CEC 2023b)'!$S:$S, '2021 PCL (CEC 2023b)'!$A:$A, "redwood*")</f>
        <v>67696.153000000006</v>
      </c>
      <c r="D15" s="61">
        <f>SUMIFS('2022 PCL (CEC 2024b)'!$S:$S, '2022 PCL (CEC 2024b)'!$A:$A, "redwood*")</f>
        <v>266553.65999999997</v>
      </c>
      <c r="E15" s="148">
        <f>SUMIFS('2023 PCL (CEC2025b)'!$S:$S, '2023 PCL (CEC2025b)'!$A:$A, "redwood*")</f>
        <v>361716.21380000003</v>
      </c>
      <c r="F15" s="148"/>
      <c r="G15" s="148"/>
      <c r="H15" s="148"/>
      <c r="I15" s="148">
        <f>AVERAGE($C$15:$E$15)</f>
        <v>231988.67559999999</v>
      </c>
      <c r="J15" s="148">
        <f>AVERAGE($C$15:$E$15)</f>
        <v>231988.67559999999</v>
      </c>
      <c r="K15" s="148">
        <f>AVERAGE($C$15:$E$15)</f>
        <v>231988.67559999999</v>
      </c>
      <c r="L15" s="148">
        <f>AVERAGE($C$15:$E$15)</f>
        <v>231988.67559999999</v>
      </c>
    </row>
    <row r="16" spans="1:12">
      <c r="A16" s="65" t="s">
        <v>141</v>
      </c>
      <c r="B16" s="61"/>
      <c r="C16" s="61">
        <f>SUMIFS('2021 PCL (CEC 2023b)'!$S:$S, '2021 PCL (CEC 2023b)'!$A:$A, "san jos*")</f>
        <v>850880.37208485103</v>
      </c>
      <c r="D16" s="61">
        <f>SUMIFS('2022 PCL (CEC 2024b)'!$S:$S, '2022 PCL (CEC 2024b)'!$A:$A, "san jos*")</f>
        <v>275443.84099999996</v>
      </c>
      <c r="E16" s="148">
        <f>SUMIFS('2023 PCL (CEC2025b)'!$S:$S, '2023 PCL (CEC2025b)'!$A:$A, "san jos*")</f>
        <v>532101.38441349973</v>
      </c>
      <c r="F16" s="148"/>
      <c r="G16" s="148"/>
      <c r="H16" s="148"/>
      <c r="I16" s="148">
        <f>AVERAGE($C$16:$E$16)</f>
        <v>552808.53249945026</v>
      </c>
      <c r="J16" s="148">
        <f>AVERAGE($C$16:$E$16)</f>
        <v>552808.53249945026</v>
      </c>
      <c r="K16" s="148">
        <f>AVERAGE($C$16:$E$16)</f>
        <v>552808.53249945026</v>
      </c>
      <c r="L16" s="148">
        <f>AVERAGE($C$16:$E$16)</f>
        <v>552808.53249945026</v>
      </c>
    </row>
    <row r="17" spans="1:12">
      <c r="A17" s="65" t="s">
        <v>142</v>
      </c>
      <c r="B17" s="61"/>
      <c r="C17" s="61">
        <f>SUMIFS('2021 PCL (CEC 2023b)'!$S:$S, '2021 PCL (CEC 2023b)'!$A:$A, "silicon valley clean*")</f>
        <v>1297634.0263122178</v>
      </c>
      <c r="D17" s="61">
        <f>SUMIFS('2022 PCL (CEC 2024b)'!$S:$S, '2022 PCL (CEC 2024b)'!$A:$A, "silicon valley clean*")</f>
        <v>1111911.6872073663</v>
      </c>
      <c r="E17" s="148">
        <f>SUMIFS('2023 PCL (CEC2025b)'!$S:$S, '2023 PCL (CEC2025b)'!$A:$A, "silicon valley clean*")</f>
        <v>1405701.9807561182</v>
      </c>
      <c r="F17" s="148"/>
      <c r="G17" s="148"/>
      <c r="H17" s="148"/>
      <c r="I17" s="148">
        <f>AVERAGE($C$17:$E$17)</f>
        <v>1271749.2314252341</v>
      </c>
      <c r="J17" s="148">
        <f>AVERAGE($C$17:$E$17)</f>
        <v>1271749.2314252341</v>
      </c>
      <c r="K17" s="148">
        <f>AVERAGE($C$17:$E$17)</f>
        <v>1271749.2314252341</v>
      </c>
      <c r="L17" s="148">
        <f>AVERAGE($C$17:$E$17)</f>
        <v>1271749.2314252341</v>
      </c>
    </row>
    <row r="18" spans="1:12">
      <c r="A18" s="65" t="s">
        <v>143</v>
      </c>
      <c r="B18" s="61"/>
      <c r="C18" s="61">
        <f>SUMIFS('2021 PCL (CEC 2023b)'!$S:$S, '2021 PCL (CEC 2023b)'!$A:$A, "sonoma *")</f>
        <v>890836</v>
      </c>
      <c r="D18" s="61">
        <f>SUMIFS('2022 PCL (CEC 2024b)'!$S:$S, '2022 PCL (CEC 2024b)'!$A:$A, "sonoma *")</f>
        <v>832545.78897706955</v>
      </c>
      <c r="E18" s="148">
        <f>SUMIFS('2023 PCL (CEC2025b)'!$S:$S, '2023 PCL (CEC2025b)'!$A:$A, "sonoma *")</f>
        <v>722648.64570333238</v>
      </c>
      <c r="F18" s="148"/>
      <c r="G18" s="148"/>
      <c r="H18" s="148"/>
      <c r="I18" s="148">
        <f>AVERAGE($C$18:$E$18)</f>
        <v>815343.47822680057</v>
      </c>
      <c r="J18" s="148">
        <f>AVERAGE($C$18:$E$18)</f>
        <v>815343.47822680057</v>
      </c>
      <c r="K18" s="148">
        <f>AVERAGE($C$18:$E$18)</f>
        <v>815343.47822680057</v>
      </c>
      <c r="L18" s="148">
        <f>AVERAGE($C$18:$E$18)</f>
        <v>815343.47822680057</v>
      </c>
    </row>
    <row r="19" spans="1:12" ht="15.75" thickBot="1">
      <c r="A19" s="96" t="s">
        <v>144</v>
      </c>
      <c r="B19" s="61"/>
      <c r="C19" s="61">
        <f>SUMIFS('2021 PCL (CEC 2023b)'!$S:$S, '2021 PCL (CEC 2023b)'!$A:$A, "valley clean *")</f>
        <v>81809.135000000009</v>
      </c>
      <c r="D19" s="61">
        <f>SUMIFS('2022 PCL (CEC 2024b)'!$S:$S, '2022 PCL (CEC 2024b)'!$A:$A, "valley clean *")</f>
        <v>53886.370999999977</v>
      </c>
      <c r="E19" s="148">
        <f>SUMIFS('2023 PCL (CEC2025b)'!$S:$S, '2023 PCL (CEC2025b)'!$A:$A, "valley clean *")</f>
        <v>83072.984999999986</v>
      </c>
      <c r="F19" s="148"/>
      <c r="G19" s="148"/>
      <c r="H19" s="148"/>
      <c r="I19" s="148">
        <f>AVERAGE($C$19:$E$19)</f>
        <v>72922.830333333332</v>
      </c>
      <c r="J19" s="148">
        <f>AVERAGE($C$19:$E$19)</f>
        <v>72922.830333333332</v>
      </c>
      <c r="K19" s="148">
        <f>AVERAGE($C$19:$E$19)</f>
        <v>72922.830333333332</v>
      </c>
      <c r="L19" s="148">
        <f>AVERAGE($C$19:$E$19)</f>
        <v>72922.830333333332</v>
      </c>
    </row>
    <row r="20" spans="1:12" ht="15.75" thickBot="1">
      <c r="A20" s="60" t="s">
        <v>67</v>
      </c>
      <c r="B20" s="57">
        <f>SUM(B7:B19)</f>
        <v>0</v>
      </c>
      <c r="C20" s="57">
        <f>SUM(C7:C19)</f>
        <v>10952417.126278428</v>
      </c>
      <c r="D20" s="57">
        <f>SUM(D7:D19)</f>
        <v>10823155.627501363</v>
      </c>
      <c r="E20" s="57">
        <f>SUM(E7:E19)</f>
        <v>12876900.475132732</v>
      </c>
      <c r="F20" s="57"/>
      <c r="G20" s="57"/>
      <c r="H20" s="57"/>
      <c r="I20" s="57">
        <f>SUM(I7:I19)</f>
        <v>11550824.409637509</v>
      </c>
      <c r="J20" s="57">
        <f>SUM(J7:J19)</f>
        <v>11550824.409637509</v>
      </c>
      <c r="K20" s="57">
        <f>SUM(K7:K19)</f>
        <v>11550824.409637509</v>
      </c>
      <c r="L20" s="57">
        <f>SUM(L7:L19)</f>
        <v>11550824.409637509</v>
      </c>
    </row>
    <row r="21" spans="1:12">
      <c r="F21" t="s">
        <v>544</v>
      </c>
    </row>
    <row r="25" spans="1:12">
      <c r="C25" s="19"/>
      <c r="D25" s="19"/>
    </row>
    <row r="27" spans="1:12">
      <c r="D27" s="19"/>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1B899-D403-4790-B7BF-04FA29325A40}">
  <sheetPr codeName="Sheet87"/>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52</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36000</v>
      </c>
      <c r="C3" s="134">
        <v>36000</v>
      </c>
      <c r="D3" s="134">
        <v>36000</v>
      </c>
      <c r="E3" s="134">
        <v>36000</v>
      </c>
      <c r="F3" s="123" t="s">
        <v>566</v>
      </c>
      <c r="H3" s="132">
        <v>0.95946199709706936</v>
      </c>
      <c r="I3" s="123" t="s">
        <v>676</v>
      </c>
    </row>
    <row r="4" spans="1:12" s="7" customFormat="1">
      <c r="A4" s="130" t="s">
        <v>217</v>
      </c>
      <c r="B4" s="131">
        <f>SUMIFS('Form 1.1c (CEC 2025a)'!G:G, 'Form 1.1c (CEC 2025a)'!$B:$B, "Pittsburg, City of (dba Island Energy on Mare Island)")*1000</f>
        <v>31838.465005934424</v>
      </c>
      <c r="C4" s="131">
        <f>SUMIFS('Form 1.1c (CEC 2025a)'!H:H, 'Form 1.1c (CEC 2025a)'!$B:$B, "Pittsburg, City of (dba Island Energy on Mare Island)")*1000</f>
        <v>32325.929503195901</v>
      </c>
      <c r="D4" s="131">
        <f>SUMIFS('Form 1.1c (CEC 2025a)'!I:I, 'Form 1.1c (CEC 2025a)'!$B:$B, "Pittsburg, City of (dba Island Energy on Mare Island)")*1000</f>
        <v>32872.628882594356</v>
      </c>
      <c r="E4" s="131">
        <f>SUMIFS('Form 1.1c (CEC 2025a)'!J:J, 'Form 1.1c (CEC 2025a)'!$B:$B, "Pittsburg, City of (dba Island Energy on Mare Island)")*1000</f>
        <v>33547.188203527221</v>
      </c>
      <c r="F4" s="123" t="s">
        <v>575</v>
      </c>
      <c r="H4" s="122">
        <f>0.15</f>
        <v>0.15</v>
      </c>
      <c r="I4" s="123" t="s">
        <v>498</v>
      </c>
    </row>
    <row r="5" spans="1:12" s="7" customFormat="1" ht="30">
      <c r="A5" s="130" t="s">
        <v>585</v>
      </c>
      <c r="B5" s="131">
        <f t="shared" ref="B5:E5" si="0">IF(0&lt;(B4-B3),B4*(1+$H$5),B3)</f>
        <v>36000</v>
      </c>
      <c r="C5" s="131">
        <f t="shared" si="0"/>
        <v>36000</v>
      </c>
      <c r="D5" s="131">
        <f t="shared" si="0"/>
        <v>36000</v>
      </c>
      <c r="E5" s="131">
        <f t="shared" si="0"/>
        <v>36000</v>
      </c>
      <c r="F5" s="123" t="s">
        <v>586</v>
      </c>
      <c r="H5" s="122">
        <f>0.07</f>
        <v>7.0000000000000007E-2</v>
      </c>
      <c r="I5" s="123" t="s">
        <v>499</v>
      </c>
    </row>
    <row r="6" spans="1:12" s="7" customFormat="1">
      <c r="A6" s="130" t="s">
        <v>500</v>
      </c>
      <c r="B6" s="131">
        <v>0</v>
      </c>
      <c r="C6" s="131">
        <v>0</v>
      </c>
      <c r="D6" s="131">
        <v>0</v>
      </c>
      <c r="E6" s="131">
        <v>0</v>
      </c>
      <c r="F6" s="139" t="s">
        <v>515</v>
      </c>
      <c r="H6" s="124">
        <v>0.05</v>
      </c>
      <c r="I6" s="123" t="s">
        <v>516</v>
      </c>
    </row>
    <row r="7" spans="1:12" s="7" customFormat="1">
      <c r="A7" s="130" t="s">
        <v>501</v>
      </c>
      <c r="B7" s="131">
        <v>0</v>
      </c>
      <c r="C7" s="131">
        <v>0</v>
      </c>
      <c r="D7" s="131">
        <v>0</v>
      </c>
      <c r="E7" s="131">
        <v>0</v>
      </c>
      <c r="F7" s="140" t="s">
        <v>517</v>
      </c>
      <c r="I7" s="12"/>
    </row>
    <row r="8" spans="1:12" s="7" customFormat="1" ht="30">
      <c r="A8" s="130" t="s">
        <v>502</v>
      </c>
      <c r="B8" s="134">
        <v>5000</v>
      </c>
      <c r="C8" s="134">
        <v>5000</v>
      </c>
      <c r="D8" s="134">
        <v>5000</v>
      </c>
      <c r="E8" s="134">
        <v>5000</v>
      </c>
      <c r="F8" s="123" t="s">
        <v>564</v>
      </c>
      <c r="H8" s="135">
        <f>SUMIFS('Form 1.5a (CEC 2025a)'!U:U, 'Form 1.5a (CEC 2025a)'!$B:$B, "Other NP15 LSEs - Non Bay Area")</f>
        <v>3.0946625287634033E-2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12417.001352314426</v>
      </c>
      <c r="C10" s="131">
        <f t="shared" si="1"/>
        <v>13253.631096310319</v>
      </c>
      <c r="D10" s="131">
        <f t="shared" si="1"/>
        <v>14135.230419515572</v>
      </c>
      <c r="E10" s="131">
        <f t="shared" si="1"/>
        <v>15096.234691587249</v>
      </c>
      <c r="F10" s="123" t="s">
        <v>587</v>
      </c>
    </row>
    <row r="11" spans="1:12" s="7" customFormat="1" ht="30">
      <c r="A11" s="130" t="s">
        <v>505</v>
      </c>
      <c r="B11" s="131">
        <f t="shared" ref="B11:E11" si="2">MAX(B5-SUM(B6:B8,B10), B5*$H$6)</f>
        <v>18582.998647685574</v>
      </c>
      <c r="C11" s="131">
        <f t="shared" si="2"/>
        <v>17746.368903689683</v>
      </c>
      <c r="D11" s="131">
        <f t="shared" si="2"/>
        <v>16864.769580484426</v>
      </c>
      <c r="E11" s="131">
        <f t="shared" si="2"/>
        <v>15903.765308412752</v>
      </c>
      <c r="F11" s="123" t="s">
        <v>589</v>
      </c>
    </row>
    <row r="12" spans="1:12" s="7" customFormat="1" ht="46.5">
      <c r="A12" s="130" t="s">
        <v>507</v>
      </c>
      <c r="B12" s="131">
        <f>B6*$H$3+B11*$H$2</f>
        <v>8091.0376112022986</v>
      </c>
      <c r="C12" s="131">
        <f>C6*$H$3+C11*$H$2</f>
        <v>7726.7690206664884</v>
      </c>
      <c r="D12" s="131">
        <f>D6*$H$3+D11*$H$2</f>
        <v>7342.9206753429189</v>
      </c>
      <c r="E12" s="131">
        <f>E6*$H$3+E11*$H$2</f>
        <v>6924.4994152829122</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0.22475104475561941</v>
      </c>
      <c r="C14" s="193">
        <f t="shared" si="3"/>
        <v>0.21463247279629136</v>
      </c>
      <c r="D14" s="193">
        <f t="shared" si="3"/>
        <v>0.20397001875952553</v>
      </c>
      <c r="E14" s="193">
        <f t="shared" si="3"/>
        <v>0.1923472059800809</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8091.0376112022986</v>
      </c>
      <c r="C16" s="8">
        <f>C12-C15</f>
        <v>7726.7690206664884</v>
      </c>
      <c r="D16" s="8">
        <f>D12-D15</f>
        <v>7342.9206753429189</v>
      </c>
      <c r="E16" s="8">
        <f>E12-E15</f>
        <v>6924.4994152829122</v>
      </c>
      <c r="F16" s="10" t="s">
        <v>514</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18F60-20B6-41BA-8397-4293D135C834}">
  <sheetPr codeName="Sheet89"/>
  <dimension ref="A1:I18"/>
  <sheetViews>
    <sheetView zoomScaleNormal="100" workbookViewId="0"/>
  </sheetViews>
  <sheetFormatPr defaultRowHeight="15"/>
  <cols>
    <col min="1" max="1" width="37.7109375" customWidth="1"/>
    <col min="2" max="5" width="11.42578125" customWidth="1"/>
    <col min="6" max="6" width="49.28515625" customWidth="1"/>
    <col min="9" max="9" width="39.5703125" bestFit="1" customWidth="1"/>
  </cols>
  <sheetData>
    <row r="1" spans="1:9" s="7" customFormat="1">
      <c r="A1" s="125" t="s">
        <v>53</v>
      </c>
      <c r="B1" s="223" t="s">
        <v>671</v>
      </c>
      <c r="C1" s="224"/>
      <c r="D1" s="224"/>
      <c r="E1" s="224"/>
      <c r="F1" s="225"/>
      <c r="H1" s="229" t="s">
        <v>4</v>
      </c>
      <c r="I1" s="230"/>
    </row>
    <row r="2" spans="1:9" s="7" customFormat="1" ht="18">
      <c r="A2" s="126" t="s">
        <v>496</v>
      </c>
      <c r="B2" s="127">
        <v>2027</v>
      </c>
      <c r="C2" s="127">
        <v>2028</v>
      </c>
      <c r="D2" s="127">
        <v>2029</v>
      </c>
      <c r="E2" s="128">
        <v>2030</v>
      </c>
      <c r="F2" s="129" t="s">
        <v>497</v>
      </c>
      <c r="H2" s="120">
        <v>0.43540000000000001</v>
      </c>
      <c r="I2" s="120" t="s">
        <v>545</v>
      </c>
    </row>
    <row r="3" spans="1:9" s="7" customFormat="1" ht="30">
      <c r="A3" s="130" t="s">
        <v>584</v>
      </c>
      <c r="B3" s="131">
        <v>149765.23200000098</v>
      </c>
      <c r="C3" s="131">
        <v>148977.57299999901</v>
      </c>
      <c r="D3" s="131">
        <v>148246.337</v>
      </c>
      <c r="E3" s="131">
        <v>147503.82200000001</v>
      </c>
      <c r="F3" s="123" t="s">
        <v>561</v>
      </c>
      <c r="H3" s="132">
        <v>0.95946199709706936</v>
      </c>
      <c r="I3" s="123" t="s">
        <v>676</v>
      </c>
    </row>
    <row r="4" spans="1:9" s="7" customFormat="1">
      <c r="A4" s="130" t="s">
        <v>217</v>
      </c>
      <c r="B4" s="131">
        <f>SUMIFS('Form 1.1c (CEC 2025a)'!G:G, 'Form 1.1c (CEC 2025a)'!$B:$B, "Plumas-Sierra Rural Electric Cooperative")*1000</f>
        <v>151864.3015854554</v>
      </c>
      <c r="C4" s="131">
        <f>SUMIFS('Form 1.1c (CEC 2025a)'!H:H, 'Form 1.1c (CEC 2025a)'!$B:$B, "Plumas-Sierra Rural Electric Cooperative")*1000</f>
        <v>155697.24502466398</v>
      </c>
      <c r="D4" s="131">
        <f>SUMIFS('Form 1.1c (CEC 2025a)'!I:I, 'Form 1.1c (CEC 2025a)'!$B:$B, "Plumas-Sierra Rural Electric Cooperative")*1000</f>
        <v>160414.40546491111</v>
      </c>
      <c r="E4" s="131">
        <f>SUMIFS('Form 1.1c (CEC 2025a)'!J:J, 'Form 1.1c (CEC 2025a)'!$B:$B, "Plumas-Sierra Rural Electric Cooperative")*1000</f>
        <v>165610.08795869508</v>
      </c>
      <c r="F4" s="123" t="s">
        <v>575</v>
      </c>
      <c r="H4" s="122">
        <f>0.15</f>
        <v>0.15</v>
      </c>
      <c r="I4" s="120" t="s">
        <v>498</v>
      </c>
    </row>
    <row r="5" spans="1:9" s="7" customFormat="1" ht="30">
      <c r="A5" s="130" t="s">
        <v>585</v>
      </c>
      <c r="B5" s="131">
        <f t="shared" ref="B5:E5" si="0">IF(0&lt;(B4-B3),B4*(1+$H$5),B3)</f>
        <v>162494.80269643728</v>
      </c>
      <c r="C5" s="131">
        <f t="shared" si="0"/>
        <v>166596.05217639045</v>
      </c>
      <c r="D5" s="131">
        <f t="shared" si="0"/>
        <v>171643.41384745488</v>
      </c>
      <c r="E5" s="131">
        <f t="shared" si="0"/>
        <v>177202.79411580373</v>
      </c>
      <c r="F5" s="123" t="s">
        <v>586</v>
      </c>
      <c r="H5" s="122">
        <f>0.07</f>
        <v>7.0000000000000007E-2</v>
      </c>
      <c r="I5" s="123" t="s">
        <v>499</v>
      </c>
    </row>
    <row r="6" spans="1:9" s="7" customFormat="1">
      <c r="A6" s="130" t="s">
        <v>500</v>
      </c>
      <c r="B6" s="131">
        <v>0</v>
      </c>
      <c r="C6" s="131">
        <v>0</v>
      </c>
      <c r="D6" s="131">
        <v>0</v>
      </c>
      <c r="E6" s="131">
        <v>0</v>
      </c>
      <c r="F6" s="133" t="s">
        <v>525</v>
      </c>
      <c r="H6" s="124">
        <v>0.05</v>
      </c>
      <c r="I6" s="120" t="s">
        <v>11</v>
      </c>
    </row>
    <row r="7" spans="1:9" s="7" customFormat="1">
      <c r="A7" s="130" t="s">
        <v>501</v>
      </c>
      <c r="B7" s="131">
        <v>0</v>
      </c>
      <c r="C7" s="131">
        <v>0</v>
      </c>
      <c r="D7" s="131">
        <v>0</v>
      </c>
      <c r="E7" s="131">
        <v>0</v>
      </c>
      <c r="F7" s="133" t="s">
        <v>526</v>
      </c>
    </row>
    <row r="8" spans="1:9" s="7" customFormat="1" ht="30">
      <c r="A8" s="130" t="s">
        <v>502</v>
      </c>
      <c r="B8" s="134">
        <v>8161.0985082238403</v>
      </c>
      <c r="C8" s="134">
        <v>8164.0235980799098</v>
      </c>
      <c r="D8" s="134">
        <v>8161.0985079871007</v>
      </c>
      <c r="E8" s="134">
        <v>8161.0985081393892</v>
      </c>
      <c r="F8" s="123" t="s">
        <v>558</v>
      </c>
      <c r="H8" s="135">
        <f>SUMIFS('Form 1.5a (CEC 2025a)'!U:U, 'Form 1.5a (CEC 2025a)'!$B:$B, "NCPA - Non Bay Area")</f>
        <v>3.5189316129375703E-2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59227.077618327603</v>
      </c>
      <c r="C10" s="131">
        <f t="shared" si="1"/>
        <v>63835.87046011223</v>
      </c>
      <c r="D10" s="131">
        <f t="shared" si="1"/>
        <v>68978.194349911777</v>
      </c>
      <c r="E10" s="131">
        <f t="shared" si="1"/>
        <v>74524.539581412784</v>
      </c>
      <c r="F10" s="123" t="s">
        <v>587</v>
      </c>
    </row>
    <row r="11" spans="1:9" s="7" customFormat="1" ht="30">
      <c r="A11" s="130" t="s">
        <v>505</v>
      </c>
      <c r="B11" s="131">
        <f t="shared" ref="B11:E11" si="2">MAX(B5-SUM(B6:B8,B10), B5*$H$6)</f>
        <v>95106.626569885848</v>
      </c>
      <c r="C11" s="131">
        <f t="shared" si="2"/>
        <v>94596.15811819832</v>
      </c>
      <c r="D11" s="131">
        <f t="shared" si="2"/>
        <v>94504.120989556002</v>
      </c>
      <c r="E11" s="131">
        <f t="shared" si="2"/>
        <v>94517.156026251556</v>
      </c>
      <c r="F11" s="123" t="s">
        <v>589</v>
      </c>
    </row>
    <row r="12" spans="1:9" s="7" customFormat="1" ht="46.5">
      <c r="A12" s="130" t="s">
        <v>507</v>
      </c>
      <c r="B12" s="131">
        <f>B6*$H$3+B11*$H$2</f>
        <v>41409.425208528301</v>
      </c>
      <c r="C12" s="131">
        <f>C6*$H$3+C11*$H$2</f>
        <v>41187.167244663549</v>
      </c>
      <c r="D12" s="131">
        <f>D6*$H$3+D11*$H$2</f>
        <v>41147.094278852681</v>
      </c>
      <c r="E12" s="131">
        <f>E6*$H$3+E11*$H$2</f>
        <v>41152.769733829926</v>
      </c>
      <c r="F12" s="136" t="s">
        <v>508</v>
      </c>
    </row>
    <row r="13" spans="1:9" s="7" customFormat="1" ht="72.599999999999994" customHeight="1">
      <c r="A13" s="130"/>
      <c r="B13" s="227" t="s">
        <v>557</v>
      </c>
      <c r="C13" s="227"/>
      <c r="D13" s="228"/>
      <c r="E13" s="137">
        <v>0</v>
      </c>
      <c r="F13" s="136" t="s">
        <v>686</v>
      </c>
    </row>
    <row r="14" spans="1:9" s="7" customFormat="1" ht="33">
      <c r="A14" s="130" t="s">
        <v>509</v>
      </c>
      <c r="B14" s="193">
        <f t="shared" ref="B14:E14" si="3">B12/B5</f>
        <v>0.25483538255612287</v>
      </c>
      <c r="C14" s="193">
        <f t="shared" si="3"/>
        <v>0.24722775063754171</v>
      </c>
      <c r="D14" s="193">
        <f t="shared" si="3"/>
        <v>0.23972428278210225</v>
      </c>
      <c r="E14" s="193">
        <f t="shared" si="3"/>
        <v>0.23223544492721823</v>
      </c>
      <c r="F14" s="123" t="s">
        <v>588</v>
      </c>
    </row>
    <row r="15" spans="1:9" s="7" customFormat="1" ht="33.75" thickBot="1">
      <c r="A15" s="130" t="s">
        <v>511</v>
      </c>
      <c r="B15" s="138">
        <f>$E$13*B14</f>
        <v>0</v>
      </c>
      <c r="C15" s="138">
        <f>$E$13*C14</f>
        <v>0</v>
      </c>
      <c r="D15" s="138">
        <f>$E$13*D14</f>
        <v>0</v>
      </c>
      <c r="E15" s="138">
        <f>$E$13*E14</f>
        <v>0</v>
      </c>
      <c r="F15" s="123" t="s">
        <v>518</v>
      </c>
    </row>
    <row r="16" spans="1:9" ht="30.75" thickBot="1">
      <c r="A16" s="20" t="s">
        <v>513</v>
      </c>
      <c r="B16" s="8">
        <f>B12-B15</f>
        <v>41409.425208528301</v>
      </c>
      <c r="C16" s="8">
        <f>C12-C15</f>
        <v>41187.167244663549</v>
      </c>
      <c r="D16" s="8">
        <f>D12-D15</f>
        <v>41147.094278852681</v>
      </c>
      <c r="E16" s="8">
        <f>E12-E15</f>
        <v>41152.769733829926</v>
      </c>
      <c r="F16" s="10" t="s">
        <v>514</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7CDE3-3C15-4DD6-92CD-BCF63BC62DDD}">
  <sheetPr codeName="Sheet9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30">
      <c r="A1" s="125" t="s">
        <v>54</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f>AVERAGE(497104,299091,302067)</f>
        <v>366087.33333333331</v>
      </c>
      <c r="C3" s="134">
        <f t="shared" ref="C3:E3" si="0">AVERAGE(497104,299091,302067)</f>
        <v>366087.33333333331</v>
      </c>
      <c r="D3" s="134">
        <f t="shared" si="0"/>
        <v>366087.33333333331</v>
      </c>
      <c r="E3" s="134">
        <f t="shared" si="0"/>
        <v>366087.33333333331</v>
      </c>
      <c r="F3" s="123" t="s">
        <v>682</v>
      </c>
      <c r="H3" s="132">
        <v>0.95946199709706936</v>
      </c>
      <c r="I3" s="123" t="s">
        <v>676</v>
      </c>
    </row>
    <row r="4" spans="1:12" s="7" customFormat="1">
      <c r="A4" s="130" t="s">
        <v>217</v>
      </c>
      <c r="B4" s="131">
        <f>AVERAGE(474779,290313,291714)</f>
        <v>352268.66666666669</v>
      </c>
      <c r="C4" s="131">
        <f t="shared" ref="C4:E4" si="1">AVERAGE(474779,290313,291714)</f>
        <v>352268.66666666669</v>
      </c>
      <c r="D4" s="131">
        <f t="shared" si="1"/>
        <v>352268.66666666669</v>
      </c>
      <c r="E4" s="131">
        <f t="shared" si="1"/>
        <v>352268.66666666669</v>
      </c>
      <c r="F4" s="123" t="s">
        <v>682</v>
      </c>
      <c r="H4" s="122">
        <f>0.15</f>
        <v>0.15</v>
      </c>
      <c r="I4" s="123" t="s">
        <v>498</v>
      </c>
    </row>
    <row r="5" spans="1:12" s="7" customFormat="1" ht="30">
      <c r="A5" s="130" t="s">
        <v>585</v>
      </c>
      <c r="B5" s="131">
        <f t="shared" ref="B5:E5" si="2">IF(0&lt;(B4-B3),B4*(1+$H$5),B3)</f>
        <v>366087.33333333331</v>
      </c>
      <c r="C5" s="131">
        <f t="shared" si="2"/>
        <v>366087.33333333331</v>
      </c>
      <c r="D5" s="131">
        <f t="shared" si="2"/>
        <v>366087.33333333331</v>
      </c>
      <c r="E5" s="131">
        <f t="shared" si="2"/>
        <v>366087.33333333331</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4">
        <f>AVERAGE(56380,156986,203309)</f>
        <v>138891.66666666666</v>
      </c>
      <c r="C8" s="134">
        <f t="shared" ref="C8:E8" si="3">AVERAGE(56380,156986,203309)</f>
        <v>138891.66666666666</v>
      </c>
      <c r="D8" s="134">
        <f t="shared" si="3"/>
        <v>138891.66666666666</v>
      </c>
      <c r="E8" s="134">
        <f t="shared" si="3"/>
        <v>138891.66666666666</v>
      </c>
      <c r="F8" s="123" t="s">
        <v>682</v>
      </c>
      <c r="H8" s="135">
        <f>SUMIFS('Form 1.1c (CEC 2025a)'!U:U, 'Form 1.1c (CEC 2025a)'!$B:$B, "Power and Water Resource Pooling Authority")</f>
        <v>0</v>
      </c>
      <c r="I8" s="123" t="s">
        <v>580</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4">B4*B9</f>
        <v>137384.78</v>
      </c>
      <c r="C10" s="131">
        <f t="shared" si="4"/>
        <v>144430.15333333332</v>
      </c>
      <c r="D10" s="131">
        <f t="shared" si="4"/>
        <v>151475.52666666667</v>
      </c>
      <c r="E10" s="131">
        <f t="shared" si="4"/>
        <v>158520.90000000002</v>
      </c>
      <c r="F10" s="123" t="s">
        <v>587</v>
      </c>
    </row>
    <row r="11" spans="1:12" s="7" customFormat="1" ht="30">
      <c r="A11" s="130" t="s">
        <v>505</v>
      </c>
      <c r="B11" s="131">
        <f t="shared" ref="B11:E11" si="5">MAX(B5-SUM(B6:B8,B10), B5*$H$6)</f>
        <v>89810.886666666658</v>
      </c>
      <c r="C11" s="131">
        <f t="shared" si="5"/>
        <v>82765.513333333365</v>
      </c>
      <c r="D11" s="131">
        <f t="shared" si="5"/>
        <v>75720.139999999956</v>
      </c>
      <c r="E11" s="131">
        <f t="shared" si="5"/>
        <v>68674.766666666663</v>
      </c>
      <c r="F11" s="123" t="s">
        <v>589</v>
      </c>
    </row>
    <row r="12" spans="1:12" s="7" customFormat="1" ht="46.5">
      <c r="A12" s="130" t="s">
        <v>507</v>
      </c>
      <c r="B12" s="131">
        <f>B6*$H$3+B11*$H$2</f>
        <v>39103.660054666667</v>
      </c>
      <c r="C12" s="131">
        <f>C6*$H$3+C11*$H$2</f>
        <v>36036.104505333351</v>
      </c>
      <c r="D12" s="131">
        <f>D6*$H$3+D11*$H$2</f>
        <v>32968.548955999984</v>
      </c>
      <c r="E12" s="131">
        <f>E6*$H$3+E11*$H$2</f>
        <v>29900.993406666665</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6">B12/B5</f>
        <v>0.10681511348293941</v>
      </c>
      <c r="C14" s="193">
        <f t="shared" si="6"/>
        <v>9.8435813600033562E-2</v>
      </c>
      <c r="D14" s="193">
        <f t="shared" si="6"/>
        <v>9.005651371712757E-2</v>
      </c>
      <c r="E14" s="193">
        <f t="shared" si="6"/>
        <v>8.1677213834221704E-2</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39103.660054666667</v>
      </c>
      <c r="C16" s="8">
        <f>C12-C15</f>
        <v>36036.104505333351</v>
      </c>
      <c r="D16" s="8">
        <f>D12-D15</f>
        <v>32968.548955999984</v>
      </c>
      <c r="E16" s="8">
        <f>E12-E15</f>
        <v>29900.993406666665</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D8D92-59DD-44CA-A2AA-698CAD29BEFA}">
  <sheetPr codeName="Sheet92"/>
  <dimension ref="A1:L17"/>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31</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45">
      <c r="A3" s="130" t="s">
        <v>584</v>
      </c>
      <c r="B3" s="134">
        <f>111872.597966404*(1+$H$8)</f>
        <v>114749.51833911618</v>
      </c>
      <c r="C3" s="134">
        <f t="shared" ref="C3:E3" si="0">B3*(1+$H$8)</f>
        <v>117700.4217155431</v>
      </c>
      <c r="D3" s="134">
        <f t="shared" si="0"/>
        <v>120727.21064567904</v>
      </c>
      <c r="E3" s="134">
        <f t="shared" si="0"/>
        <v>123831.8366055729</v>
      </c>
      <c r="F3" s="123" t="s">
        <v>673</v>
      </c>
      <c r="H3" s="132">
        <v>0.95946199709706936</v>
      </c>
      <c r="I3" s="123" t="s">
        <v>676</v>
      </c>
    </row>
    <row r="4" spans="1:12" s="7" customFormat="1">
      <c r="A4" s="130" t="s">
        <v>217</v>
      </c>
      <c r="B4" s="131">
        <f>SUMIFS('Form 1.1c (CEC 2025a)'!G:G, 'Form 1.1c (CEC 2025a)'!$B:$B, "Rancho Cucamonga Municipal Utility")*1000</f>
        <v>111223.54565299272</v>
      </c>
      <c r="C4" s="131">
        <f>SUMIFS('Form 1.1c (CEC 2025a)'!H:H, 'Form 1.1c (CEC 2025a)'!$B:$B, "Rancho Cucamonga Municipal Utility")*1000</f>
        <v>114911.75546741631</v>
      </c>
      <c r="D4" s="131">
        <f>SUMIFS('Form 1.1c (CEC 2025a)'!I:I, 'Form 1.1c (CEC 2025a)'!$B:$B, "Rancho Cucamonga Municipal Utility")*1000</f>
        <v>117924.9876513456</v>
      </c>
      <c r="E4" s="131">
        <f>SUMIFS('Form 1.1c (CEC 2025a)'!J:J, 'Form 1.1c (CEC 2025a)'!$B:$B, "Rancho Cucamonga Municipal Utility")*1000</f>
        <v>121018.81427020277</v>
      </c>
      <c r="F4" s="123" t="s">
        <v>575</v>
      </c>
      <c r="H4" s="122">
        <f>0.15</f>
        <v>0.15</v>
      </c>
      <c r="I4" s="123" t="s">
        <v>498</v>
      </c>
    </row>
    <row r="5" spans="1:12" s="7" customFormat="1" ht="30">
      <c r="A5" s="130" t="s">
        <v>585</v>
      </c>
      <c r="B5" s="131">
        <f t="shared" ref="B5:E5" si="1">IF(0&lt;(B4-B3),B4*(1+$H$5),B3)</f>
        <v>114749.51833911618</v>
      </c>
      <c r="C5" s="131">
        <f t="shared" si="1"/>
        <v>117700.4217155431</v>
      </c>
      <c r="D5" s="131">
        <f t="shared" si="1"/>
        <v>120727.21064567904</v>
      </c>
      <c r="E5" s="131">
        <f t="shared" si="1"/>
        <v>123831.8366055729</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4666.666666666667</v>
      </c>
      <c r="C8" s="131">
        <v>4666.666666666667</v>
      </c>
      <c r="D8" s="131">
        <v>4666.666666666667</v>
      </c>
      <c r="E8" s="131">
        <v>4666.666666666667</v>
      </c>
      <c r="F8" s="139" t="s">
        <v>569</v>
      </c>
      <c r="H8" s="135">
        <f>SUMIFS('Form 1.5a (CEC 2025a)'!U:U, 'Form 1.5a (CEC 2025a)'!$B:$B, "Other SP15 LSEs - LA Basin")</f>
        <v>2.5716041506215204E-2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2">B4*B9</f>
        <v>43377.182804667158</v>
      </c>
      <c r="C10" s="131">
        <f t="shared" si="2"/>
        <v>47113.819741640684</v>
      </c>
      <c r="D10" s="131">
        <f t="shared" si="2"/>
        <v>50707.744690078609</v>
      </c>
      <c r="E10" s="131">
        <f t="shared" si="2"/>
        <v>54458.466421591249</v>
      </c>
      <c r="F10" s="123" t="s">
        <v>587</v>
      </c>
    </row>
    <row r="11" spans="1:12" s="7" customFormat="1" ht="30">
      <c r="A11" s="130" t="s">
        <v>505</v>
      </c>
      <c r="B11" s="131">
        <f t="shared" ref="B11:E11" si="3">MAX(B5-SUM(B6:B8,B10), B5*$H$6)</f>
        <v>66705.668867782369</v>
      </c>
      <c r="C11" s="131">
        <f t="shared" si="3"/>
        <v>65919.935307235748</v>
      </c>
      <c r="D11" s="131">
        <f t="shared" si="3"/>
        <v>65352.799288933762</v>
      </c>
      <c r="E11" s="131">
        <f t="shared" si="3"/>
        <v>64706.703517314985</v>
      </c>
      <c r="F11" s="123" t="s">
        <v>589</v>
      </c>
    </row>
    <row r="12" spans="1:12" s="7" customFormat="1" ht="46.5">
      <c r="A12" s="130" t="s">
        <v>507</v>
      </c>
      <c r="B12" s="131">
        <f>B6*$H$3+B11*$H$2</f>
        <v>29043.648225032444</v>
      </c>
      <c r="C12" s="131">
        <f>C6*$H$3+C11*$H$2</f>
        <v>28701.539832770446</v>
      </c>
      <c r="D12" s="131">
        <f>D6*$H$3+D11*$H$2</f>
        <v>28454.608810401762</v>
      </c>
      <c r="E12" s="131">
        <f>E6*$H$3+E11*$H$2</f>
        <v>28173.298711438943</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4">B12/B5</f>
        <v>0.25310475063782428</v>
      </c>
      <c r="C14" s="193">
        <f t="shared" si="4"/>
        <v>0.2438524808529231</v>
      </c>
      <c r="D14" s="193">
        <f t="shared" si="4"/>
        <v>0.23569341706993363</v>
      </c>
      <c r="E14" s="193">
        <f t="shared" si="4"/>
        <v>0.22751256448837195</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29043.648225032444</v>
      </c>
      <c r="C16" s="8">
        <f>C12-C15</f>
        <v>28701.539832770446</v>
      </c>
      <c r="D16" s="8">
        <f>D12-D15</f>
        <v>28454.608810401762</v>
      </c>
      <c r="E16" s="8">
        <f>E12-E15</f>
        <v>28173.298711438943</v>
      </c>
      <c r="F16" s="10" t="s">
        <v>514</v>
      </c>
      <c r="J16" s="7"/>
      <c r="K16" s="7"/>
      <c r="L16" s="7"/>
    </row>
    <row r="17" spans="1:12">
      <c r="A17" s="9"/>
      <c r="B17" s="9"/>
      <c r="C17" s="9"/>
      <c r="D17" s="9"/>
      <c r="E17" s="9"/>
      <c r="J17" s="7"/>
      <c r="K17" s="7"/>
      <c r="L17" s="7"/>
    </row>
  </sheetData>
  <mergeCells count="3">
    <mergeCell ref="B13:D13"/>
    <mergeCell ref="B1:F1"/>
    <mergeCell ref="H1:I1"/>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A103C-5A69-4443-A9B2-07B9C0F77F2A}">
  <sheetPr codeName="Sheet93"/>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11.42578125" customWidth="1"/>
    <col min="13" max="13" width="14.28515625" customWidth="1"/>
    <col min="14" max="14" width="10.7109375" bestFit="1" customWidth="1"/>
  </cols>
  <sheetData>
    <row r="1" spans="1:12" s="7" customFormat="1" ht="15.75">
      <c r="A1" s="125" t="s">
        <v>55</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1">
        <f>SUMIFS('Form 1.5a (CEC 2025a)'!G:G, 'Form 1.5a (CEC 2025a)'!$B:$B, "Redding, City of")*1000</f>
        <v>844516.6791351604</v>
      </c>
      <c r="C3" s="131">
        <f>SUMIFS('Form 1.5a (CEC 2025a)'!H:H, 'Form 1.5a (CEC 2025a)'!$B:$B, "Redding, City of")*1000</f>
        <v>859436.91961133759</v>
      </c>
      <c r="D3" s="131">
        <f>SUMIFS('Form 1.5a (CEC 2025a)'!I:I, 'Form 1.5a (CEC 2025a)'!$B:$B, "Redding, City of")*1000</f>
        <v>877420.3818673772</v>
      </c>
      <c r="E3" s="131">
        <f>SUMIFS('Form 1.5a (CEC 2025a)'!J:J, 'Form 1.5a (CEC 2025a)'!$B:$B, "Redding, City of")*1000</f>
        <v>898793.39708688972</v>
      </c>
      <c r="F3" s="123" t="s">
        <v>577</v>
      </c>
      <c r="H3" s="132">
        <v>0.95946199709706936</v>
      </c>
      <c r="I3" s="123" t="s">
        <v>676</v>
      </c>
    </row>
    <row r="4" spans="1:12" s="7" customFormat="1">
      <c r="A4" s="130" t="s">
        <v>217</v>
      </c>
      <c r="B4" s="131">
        <f>SUMIFS('Form 1.1c (CEC 2025a)'!G:G, 'Form 1.1c (CEC 2025a)'!$B:$B, "Redding Electric Utility")*1000</f>
        <v>793718.68339770706</v>
      </c>
      <c r="C4" s="131">
        <f>SUMIFS('Form 1.1c (CEC 2025a)'!H:H, 'Form 1.1c (CEC 2025a)'!$B:$B, "Redding Electric Utility")*1000</f>
        <v>807741.46580012923</v>
      </c>
      <c r="D4" s="131">
        <f>SUMIFS('Form 1.1c (CEC 2025a)'!I:I, 'Form 1.1c (CEC 2025a)'!$B:$B, "Redding Electric Utility")*1000</f>
        <v>824643.21604076796</v>
      </c>
      <c r="E4" s="131">
        <f>SUMIFS('Form 1.1c (CEC 2025a)'!J:J, 'Form 1.1c (CEC 2025a)'!$B:$B, "Redding Electric Utility")*1000</f>
        <v>844730.63635985879</v>
      </c>
      <c r="F4" s="123" t="s">
        <v>578</v>
      </c>
      <c r="H4" s="122">
        <f>0.15</f>
        <v>0.15</v>
      </c>
      <c r="I4" s="123" t="s">
        <v>498</v>
      </c>
    </row>
    <row r="5" spans="1:12" s="7" customFormat="1" ht="30">
      <c r="A5" s="130" t="s">
        <v>585</v>
      </c>
      <c r="B5" s="131">
        <f t="shared" ref="B5:E5" si="0">IF(0&lt;(B4-B3),B4*(1+$H$5),B3)</f>
        <v>844516.6791351604</v>
      </c>
      <c r="C5" s="131">
        <f t="shared" si="0"/>
        <v>859436.91961133759</v>
      </c>
      <c r="D5" s="131">
        <f t="shared" si="0"/>
        <v>877420.3818673772</v>
      </c>
      <c r="E5" s="131">
        <f t="shared" si="0"/>
        <v>898793.39708688972</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194860.82323035627</v>
      </c>
      <c r="C8" s="131">
        <v>194860.82323035627</v>
      </c>
      <c r="D8" s="131">
        <v>194860.82323035627</v>
      </c>
      <c r="E8" s="131">
        <v>194860.82323035627</v>
      </c>
      <c r="F8" s="123" t="s">
        <v>564</v>
      </c>
      <c r="H8" s="135">
        <f>SUMIFS('Form 1.5a (CEC 2025a)'!U:U, 'Form 1.5a (CEC 2025a)'!$B:$B, "Redding, City of")</f>
        <v>1.8927714626087555E-2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309550.28652510577</v>
      </c>
      <c r="C10" s="131">
        <f t="shared" si="1"/>
        <v>331174.00097805297</v>
      </c>
      <c r="D10" s="131">
        <f t="shared" si="1"/>
        <v>354596.58289753023</v>
      </c>
      <c r="E10" s="131">
        <f t="shared" si="1"/>
        <v>380128.78636193648</v>
      </c>
      <c r="F10" s="123" t="s">
        <v>587</v>
      </c>
    </row>
    <row r="11" spans="1:12" s="7" customFormat="1" ht="30">
      <c r="A11" s="130" t="s">
        <v>505</v>
      </c>
      <c r="B11" s="131">
        <f t="shared" ref="B11:E11" si="2">MAX(B5-SUM(B6:B8,B10), B5*$H$6)</f>
        <v>340105.56937969837</v>
      </c>
      <c r="C11" s="131">
        <f t="shared" si="2"/>
        <v>333402.0954029283</v>
      </c>
      <c r="D11" s="131">
        <f t="shared" si="2"/>
        <v>327962.97573949071</v>
      </c>
      <c r="E11" s="131">
        <f t="shared" si="2"/>
        <v>323803.78749459703</v>
      </c>
      <c r="F11" s="123" t="s">
        <v>589</v>
      </c>
    </row>
    <row r="12" spans="1:12" s="7" customFormat="1" ht="46.5">
      <c r="A12" s="130" t="s">
        <v>507</v>
      </c>
      <c r="B12" s="131">
        <f>B6*$H$3+B11*$H$2</f>
        <v>148081.96490792069</v>
      </c>
      <c r="C12" s="131">
        <f>C6*$H$3+C11*$H$2</f>
        <v>145163.272338435</v>
      </c>
      <c r="D12" s="131">
        <f>D6*$H$3+D11*$H$2</f>
        <v>142795.07963697426</v>
      </c>
      <c r="E12" s="131">
        <f>E6*$H$3+E11*$H$2</f>
        <v>140984.16907514754</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0.17534522238159486</v>
      </c>
      <c r="C14" s="193">
        <f t="shared" si="3"/>
        <v>0.16890509242270166</v>
      </c>
      <c r="D14" s="193">
        <f t="shared" si="3"/>
        <v>0.1627442017395008</v>
      </c>
      <c r="E14" s="193">
        <f t="shared" si="3"/>
        <v>0.15685937339114439</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148081.96490792069</v>
      </c>
      <c r="C16" s="8">
        <f>C12-C15</f>
        <v>145163.272338435</v>
      </c>
      <c r="D16" s="8">
        <f>D12-D15</f>
        <v>142795.07963697426</v>
      </c>
      <c r="E16" s="8">
        <f>E12-E15</f>
        <v>140984.16907514754</v>
      </c>
      <c r="F16" s="10" t="s">
        <v>514</v>
      </c>
      <c r="J16" s="7"/>
      <c r="K16" s="7"/>
      <c r="L16" s="7"/>
    </row>
    <row r="17" spans="1:9" ht="15.7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79142-0511-49A5-B50A-EB2585914E79}">
  <sheetPr codeName="Sheet95"/>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32</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1">
        <f>SUMIFS('Form 1.5a (CEC 2025a)'!G:G, 'Form 1.5a (CEC 2025a)'!$B:$B, "Riverside, City of")*1000</f>
        <v>2369491.3742555063</v>
      </c>
      <c r="C3" s="131">
        <f>SUMIFS('Form 1.5a (CEC 2025a)'!H:H, 'Form 1.5a (CEC 2025a)'!$B:$B, "Riverside, City of")*1000</f>
        <v>2452493.7501155431</v>
      </c>
      <c r="D3" s="131">
        <f>SUMIFS('Form 1.5a (CEC 2025a)'!I:I, 'Form 1.5a (CEC 2025a)'!$B:$B, "Riverside, City of")*1000</f>
        <v>2551399.8090314581</v>
      </c>
      <c r="E3" s="131">
        <f>SUMIFS('Form 1.5a (CEC 2025a)'!J:J, 'Form 1.5a (CEC 2025a)'!$B:$B, "Riverside, City of")*1000</f>
        <v>2656725.0958173005</v>
      </c>
      <c r="F3" s="123" t="s">
        <v>577</v>
      </c>
      <c r="H3" s="132">
        <v>0.95946199709706936</v>
      </c>
      <c r="I3" s="123" t="s">
        <v>676</v>
      </c>
    </row>
    <row r="4" spans="1:12" s="7" customFormat="1">
      <c r="A4" s="130" t="s">
        <v>217</v>
      </c>
      <c r="B4" s="131">
        <f>SUMIFS('Form 1.1c (CEC 2025a)'!G:G, 'Form 1.1c (CEC 2025a)'!$B:$B, "Riverside, City of")*1000</f>
        <v>2218624.8822617098</v>
      </c>
      <c r="C4" s="131">
        <f>SUMIFS('Form 1.1c (CEC 2025a)'!H:H, 'Form 1.1c (CEC 2025a)'!$B:$B, "Riverside, City of")*1000</f>
        <v>2296342.4626550027</v>
      </c>
      <c r="D4" s="131">
        <f>SUMIFS('Form 1.1c (CEC 2025a)'!I:I, 'Form 1.1c (CEC 2025a)'!$B:$B, "Riverside, City of")*1000</f>
        <v>2388951.132051927</v>
      </c>
      <c r="E4" s="131">
        <f>SUMIFS('Form 1.1c (CEC 2025a)'!J:J, 'Form 1.1c (CEC 2025a)'!$B:$B, "Riverside, City of")*1000</f>
        <v>2487570.3144356743</v>
      </c>
      <c r="F4" s="123" t="s">
        <v>578</v>
      </c>
      <c r="H4" s="122">
        <f>0.15</f>
        <v>0.15</v>
      </c>
      <c r="I4" s="123" t="s">
        <v>498</v>
      </c>
    </row>
    <row r="5" spans="1:12" s="7" customFormat="1" ht="30">
      <c r="A5" s="130" t="s">
        <v>585</v>
      </c>
      <c r="B5" s="131">
        <f t="shared" ref="B5:E5" si="0">IF(0&lt;(B4-B3),B4*(1+$H$5),B3)</f>
        <v>2369491.3742555063</v>
      </c>
      <c r="C5" s="131">
        <f t="shared" si="0"/>
        <v>2452493.7501155431</v>
      </c>
      <c r="D5" s="131">
        <f t="shared" si="0"/>
        <v>2551399.8090314581</v>
      </c>
      <c r="E5" s="131">
        <f t="shared" si="0"/>
        <v>2656725.0958173005</v>
      </c>
      <c r="F5" s="123" t="s">
        <v>586</v>
      </c>
      <c r="H5" s="122">
        <f>0.07</f>
        <v>7.0000000000000007E-2</v>
      </c>
      <c r="I5" s="123" t="s">
        <v>499</v>
      </c>
    </row>
    <row r="6" spans="1:12" s="7" customFormat="1">
      <c r="A6" s="130" t="s">
        <v>500</v>
      </c>
      <c r="B6" s="131">
        <v>0</v>
      </c>
      <c r="C6" s="131">
        <v>0</v>
      </c>
      <c r="D6" s="131">
        <v>0</v>
      </c>
      <c r="E6" s="131">
        <v>0</v>
      </c>
      <c r="F6" s="139" t="s">
        <v>515</v>
      </c>
      <c r="H6" s="124">
        <v>0.05</v>
      </c>
      <c r="I6" s="123" t="s">
        <v>516</v>
      </c>
    </row>
    <row r="7" spans="1:12" s="7" customFormat="1">
      <c r="A7" s="130" t="s">
        <v>501</v>
      </c>
      <c r="B7" s="131">
        <v>94069.832999999999</v>
      </c>
      <c r="C7" s="131">
        <v>94337.217000000004</v>
      </c>
      <c r="D7" s="131">
        <v>94076.58</v>
      </c>
      <c r="E7" s="131">
        <v>94063.202999999994</v>
      </c>
      <c r="F7" s="123" t="s">
        <v>564</v>
      </c>
      <c r="I7" s="12"/>
    </row>
    <row r="8" spans="1:12" s="7" customFormat="1" ht="30">
      <c r="A8" s="130" t="s">
        <v>502</v>
      </c>
      <c r="B8" s="131">
        <v>29027.175599999999</v>
      </c>
      <c r="C8" s="131">
        <v>28257.1122</v>
      </c>
      <c r="D8" s="131">
        <v>27346.286319999999</v>
      </c>
      <c r="E8" s="131">
        <v>26707.039980000001</v>
      </c>
      <c r="F8" s="123" t="s">
        <v>564</v>
      </c>
      <c r="H8" s="114">
        <f>SUMIFS('Form 1.5a (CEC 2025a)'!U:U, 'Form 1.5a (CEC 2025a)'!$B:$B, "Riverside, City of")</f>
        <v>2.9978752715257073E-2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865263.70408206689</v>
      </c>
      <c r="C10" s="131">
        <f t="shared" si="1"/>
        <v>941500.4096885511</v>
      </c>
      <c r="D10" s="131">
        <f t="shared" si="1"/>
        <v>1027248.9867823286</v>
      </c>
      <c r="E10" s="131">
        <f t="shared" si="1"/>
        <v>1119406.6414960534</v>
      </c>
      <c r="F10" s="123" t="s">
        <v>587</v>
      </c>
      <c r="I10" s="12"/>
    </row>
    <row r="11" spans="1:12" s="7" customFormat="1" ht="30">
      <c r="A11" s="130" t="s">
        <v>505</v>
      </c>
      <c r="B11" s="131">
        <f t="shared" ref="B11:E11" si="2">MAX(B5-SUM(B6:B8,B10), B5*$H$6)</f>
        <v>1381130.6615734394</v>
      </c>
      <c r="C11" s="131">
        <f t="shared" si="2"/>
        <v>1388399.0112269921</v>
      </c>
      <c r="D11" s="131">
        <f t="shared" si="2"/>
        <v>1402727.9559291296</v>
      </c>
      <c r="E11" s="131">
        <f t="shared" si="2"/>
        <v>1416548.211341247</v>
      </c>
      <c r="F11" s="123" t="s">
        <v>589</v>
      </c>
    </row>
    <row r="12" spans="1:12" s="7" customFormat="1" ht="46.5">
      <c r="A12" s="130" t="s">
        <v>507</v>
      </c>
      <c r="B12" s="131">
        <f>B6*$H$3+B11*$H$2</f>
        <v>601344.2900490755</v>
      </c>
      <c r="C12" s="131">
        <f>C6*$H$3+C11*$H$2</f>
        <v>604508.92948823236</v>
      </c>
      <c r="D12" s="131">
        <f>D6*$H$3+D11*$H$2</f>
        <v>610747.75201154302</v>
      </c>
      <c r="E12" s="131">
        <f>E6*$H$3+E11*$H$2</f>
        <v>616765.09121797897</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0.25378623302142966</v>
      </c>
      <c r="C14" s="193">
        <f t="shared" si="3"/>
        <v>0.24648744954385812</v>
      </c>
      <c r="D14" s="193">
        <f t="shared" si="3"/>
        <v>0.23937751733366719</v>
      </c>
      <c r="E14" s="193">
        <f t="shared" si="3"/>
        <v>0.23215239400907631</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601344.2900490755</v>
      </c>
      <c r="C16" s="8">
        <f>C12-C15</f>
        <v>604508.92948823236</v>
      </c>
      <c r="D16" s="8">
        <f>D12-D15</f>
        <v>610747.75201154302</v>
      </c>
      <c r="E16" s="8">
        <f>E12-E15</f>
        <v>616765.09121797897</v>
      </c>
      <c r="F16" s="10" t="s">
        <v>514</v>
      </c>
      <c r="J16" s="7"/>
      <c r="K16" s="7"/>
      <c r="L16" s="7"/>
    </row>
    <row r="17" spans="1:12" ht="15.75">
      <c r="A17" s="9"/>
      <c r="B17" s="9"/>
      <c r="C17" s="9"/>
      <c r="D17" s="9"/>
      <c r="E17" s="9"/>
      <c r="H17" s="3"/>
      <c r="I17" s="5"/>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B764-37B0-47A8-BDB2-6EBCDED93405}">
  <sheetPr codeName="Sheet96"/>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9.7109375" customWidth="1"/>
    <col min="13" max="13" width="14.28515625" customWidth="1"/>
    <col min="14" max="14" width="10.7109375" bestFit="1" customWidth="1"/>
  </cols>
  <sheetData>
    <row r="1" spans="1:12" s="7" customFormat="1" ht="15.75">
      <c r="A1" s="125" t="s">
        <v>33</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1">
        <f>SUMIFS('Form 1.5a (CEC 2025a)'!G:G, 'Form 1.5a (CEC 2025a)'!$B:$B, "Roseville, City of")*1000</f>
        <v>1309912.1861940229</v>
      </c>
      <c r="C3" s="131">
        <f>SUMIFS('Form 1.5a (CEC 2025a)'!H:H, 'Form 1.5a (CEC 2025a)'!$B:$B, "Roseville, City of")*1000</f>
        <v>1330534.563451689</v>
      </c>
      <c r="D3" s="131">
        <f>SUMIFS('Form 1.5a (CEC 2025a)'!I:I, 'Form 1.5a (CEC 2025a)'!$B:$B, "Roseville, City of")*1000</f>
        <v>1355612.9821694319</v>
      </c>
      <c r="E3" s="131">
        <f>SUMIFS('Form 1.5a (CEC 2025a)'!J:J, 'Form 1.5a (CEC 2025a)'!$B:$B, "Roseville, City of")*1000</f>
        <v>1385282.7044796867</v>
      </c>
      <c r="F3" s="123" t="s">
        <v>577</v>
      </c>
      <c r="H3" s="132">
        <v>0.95946199709706936</v>
      </c>
      <c r="I3" s="123" t="s">
        <v>676</v>
      </c>
    </row>
    <row r="4" spans="1:12" s="7" customFormat="1">
      <c r="A4" s="130" t="s">
        <v>217</v>
      </c>
      <c r="B4" s="131">
        <f>SUMIFS('Form 1.1c (CEC 2025a)'!G:G, 'Form 1.1c (CEC 2025a)'!$B:$B, "Roseville Electric")*1000</f>
        <v>1231120.4757462621</v>
      </c>
      <c r="C4" s="131">
        <f>SUMIFS('Form 1.1c (CEC 2025a)'!H:H, 'Form 1.1c (CEC 2025a)'!$B:$B, "Roseville Electric")*1000</f>
        <v>1250502.409259106</v>
      </c>
      <c r="D4" s="131">
        <f>SUMIFS('Form 1.1c (CEC 2025a)'!I:I, 'Form 1.1c (CEC 2025a)'!$B:$B, "Roseville Electric")*1000</f>
        <v>1274072.351663</v>
      </c>
      <c r="E4" s="131">
        <f>SUMIFS('Form 1.1c (CEC 2025a)'!J:J, 'Form 1.1c (CEC 2025a)'!$B:$B, "Roseville Electric")*1000</f>
        <v>1301957.4290222616</v>
      </c>
      <c r="F4" s="123" t="s">
        <v>578</v>
      </c>
      <c r="H4" s="122">
        <f>0.15</f>
        <v>0.15</v>
      </c>
      <c r="I4" s="123" t="s">
        <v>498</v>
      </c>
    </row>
    <row r="5" spans="1:12" s="7" customFormat="1" ht="30">
      <c r="A5" s="130" t="s">
        <v>585</v>
      </c>
      <c r="B5" s="131">
        <f t="shared" ref="B5:E5" si="0">IF(0&lt;(B4-B3),B4*(1+$H$5),B3)</f>
        <v>1309912.1861940229</v>
      </c>
      <c r="C5" s="131">
        <f t="shared" si="0"/>
        <v>1330534.563451689</v>
      </c>
      <c r="D5" s="131">
        <f t="shared" si="0"/>
        <v>1355612.9821694319</v>
      </c>
      <c r="E5" s="131">
        <f t="shared" si="0"/>
        <v>1385282.7044796867</v>
      </c>
      <c r="F5" s="123" t="s">
        <v>586</v>
      </c>
      <c r="H5" s="122">
        <f>0.07</f>
        <v>7.0000000000000007E-2</v>
      </c>
      <c r="I5" s="123" t="s">
        <v>499</v>
      </c>
    </row>
    <row r="6" spans="1:12" s="7" customFormat="1">
      <c r="A6" s="130" t="s">
        <v>500</v>
      </c>
      <c r="B6" s="131">
        <v>0</v>
      </c>
      <c r="C6" s="131">
        <v>0</v>
      </c>
      <c r="D6" s="131">
        <v>0</v>
      </c>
      <c r="E6" s="131">
        <v>0</v>
      </c>
      <c r="F6" s="139" t="s">
        <v>515</v>
      </c>
      <c r="H6" s="124">
        <v>0.05</v>
      </c>
      <c r="I6" s="123" t="s">
        <v>516</v>
      </c>
    </row>
    <row r="7" spans="1:12" s="7" customFormat="1">
      <c r="A7" s="130" t="s">
        <v>501</v>
      </c>
      <c r="B7" s="131">
        <v>0</v>
      </c>
      <c r="C7" s="131">
        <v>0</v>
      </c>
      <c r="D7" s="131">
        <v>0</v>
      </c>
      <c r="E7" s="131">
        <v>0</v>
      </c>
      <c r="F7" s="140" t="s">
        <v>517</v>
      </c>
      <c r="I7" s="12"/>
    </row>
    <row r="8" spans="1:12" s="7" customFormat="1" ht="30">
      <c r="A8" s="130" t="s">
        <v>502</v>
      </c>
      <c r="B8" s="131">
        <v>226055.27151262853</v>
      </c>
      <c r="C8" s="131">
        <v>231992.10471227867</v>
      </c>
      <c r="D8" s="131">
        <v>231740.23432444769</v>
      </c>
      <c r="E8" s="131">
        <v>231649.19618945423</v>
      </c>
      <c r="F8" s="123" t="s">
        <v>564</v>
      </c>
      <c r="H8" s="114">
        <f>SUMIFS('Form 1.5a (CEC 2025a)'!U:U, 'Form 1.5a (CEC 2025a)'!$B:$B, "Roseville, City of")</f>
        <v>1.6828578429640473E-2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480136.98554104223</v>
      </c>
      <c r="C10" s="131">
        <f t="shared" si="1"/>
        <v>512705.98779623344</v>
      </c>
      <c r="D10" s="131">
        <f t="shared" si="1"/>
        <v>547851.11121508991</v>
      </c>
      <c r="E10" s="131">
        <f t="shared" si="1"/>
        <v>585880.8430600178</v>
      </c>
      <c r="F10" s="123" t="s">
        <v>587</v>
      </c>
    </row>
    <row r="11" spans="1:12" s="7" customFormat="1" ht="30">
      <c r="A11" s="130" t="s">
        <v>505</v>
      </c>
      <c r="B11" s="131">
        <f t="shared" ref="B11:E11" si="2">MAX(B5-SUM(B6:B8,B10), B5*$H$6)</f>
        <v>603719.92914035218</v>
      </c>
      <c r="C11" s="131">
        <f t="shared" si="2"/>
        <v>585836.47094317689</v>
      </c>
      <c r="D11" s="131">
        <f t="shared" si="2"/>
        <v>576021.63662989426</v>
      </c>
      <c r="E11" s="131">
        <f t="shared" si="2"/>
        <v>567752.6652302146</v>
      </c>
      <c r="F11" s="123" t="s">
        <v>589</v>
      </c>
    </row>
    <row r="12" spans="1:12" s="7" customFormat="1" ht="46.5">
      <c r="A12" s="130" t="s">
        <v>507</v>
      </c>
      <c r="B12" s="131">
        <f>B6*$H$3+B11*$H$2</f>
        <v>262859.65714770934</v>
      </c>
      <c r="C12" s="131">
        <f>C6*$H$3+C11*$H$2</f>
        <v>255073.19944865923</v>
      </c>
      <c r="D12" s="131">
        <f>D6*$H$3+D11*$H$2</f>
        <v>250799.82058865597</v>
      </c>
      <c r="E12" s="131">
        <f>E6*$H$3+E11*$H$2</f>
        <v>247199.51044123544</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0.20066967840909514</v>
      </c>
      <c r="C14" s="193">
        <f t="shared" si="3"/>
        <v>0.191707308066425</v>
      </c>
      <c r="D14" s="193">
        <f t="shared" si="3"/>
        <v>0.18500842341247928</v>
      </c>
      <c r="E14" s="193">
        <f t="shared" si="3"/>
        <v>0.17844697666537587</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262859.65714770934</v>
      </c>
      <c r="C16" s="8">
        <f>C12-C15</f>
        <v>255073.19944865923</v>
      </c>
      <c r="D16" s="8">
        <f>D12-D15</f>
        <v>250799.82058865597</v>
      </c>
      <c r="E16" s="8">
        <f>E12-E15</f>
        <v>247199.51044123544</v>
      </c>
      <c r="F16" s="10" t="s">
        <v>514</v>
      </c>
      <c r="J16" s="7"/>
      <c r="K16" s="7"/>
      <c r="L16" s="7"/>
    </row>
    <row r="17" spans="1:12" ht="15.75">
      <c r="A17" s="9"/>
      <c r="B17" s="9"/>
      <c r="C17" s="9"/>
      <c r="D17" s="9"/>
      <c r="E17" s="9"/>
      <c r="I17" s="3"/>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E8C6-4328-4F44-A0D9-E112EF06806E}">
  <dimension ref="A1:T156"/>
  <sheetViews>
    <sheetView zoomScale="70" zoomScaleNormal="70" workbookViewId="0">
      <pane ySplit="1" topLeftCell="A2" activePane="bottomLeft" state="frozen"/>
      <selection pane="bottomLeft"/>
    </sheetView>
  </sheetViews>
  <sheetFormatPr defaultRowHeight="15"/>
  <cols>
    <col min="1" max="1" width="54.5703125" style="90" customWidth="1"/>
    <col min="2" max="2" width="14.28515625" style="90" customWidth="1"/>
    <col min="3" max="3" width="17.5703125" customWidth="1"/>
    <col min="4" max="4" width="12.5703125" customWidth="1"/>
    <col min="5" max="5" width="11" customWidth="1"/>
    <col min="6" max="6" width="13.5703125" customWidth="1"/>
    <col min="7" max="7" width="14.7109375" customWidth="1"/>
    <col min="11" max="11" width="14.5703125" customWidth="1"/>
    <col min="12" max="12" width="13.42578125" customWidth="1"/>
    <col min="13" max="13" width="10.28515625" customWidth="1"/>
    <col min="14" max="14" width="8.28515625" customWidth="1"/>
    <col min="15" max="15" width="12" customWidth="1"/>
    <col min="16" max="16" width="11.42578125" customWidth="1"/>
    <col min="18" max="18" width="13.28515625" style="94" bestFit="1" customWidth="1"/>
    <col min="19" max="19" width="14.5703125" style="94" customWidth="1"/>
    <col min="20" max="20" width="11.5703125" style="46" bestFit="1" customWidth="1"/>
  </cols>
  <sheetData>
    <row r="1" spans="1:20" ht="51.75">
      <c r="A1" s="67" t="s">
        <v>216</v>
      </c>
      <c r="B1" s="68" t="s">
        <v>393</v>
      </c>
      <c r="C1" s="69" t="s">
        <v>394</v>
      </c>
      <c r="D1" s="70" t="s">
        <v>395</v>
      </c>
      <c r="E1" s="70" t="s">
        <v>220</v>
      </c>
      <c r="F1" s="71" t="s">
        <v>221</v>
      </c>
      <c r="G1" s="70" t="s">
        <v>222</v>
      </c>
      <c r="H1" s="71" t="s">
        <v>223</v>
      </c>
      <c r="I1" s="71" t="s">
        <v>224</v>
      </c>
      <c r="J1" s="72" t="s">
        <v>225</v>
      </c>
      <c r="K1" s="69" t="s">
        <v>226</v>
      </c>
      <c r="L1" s="72" t="s">
        <v>227</v>
      </c>
      <c r="M1" s="72" t="s">
        <v>228</v>
      </c>
      <c r="N1" s="72" t="s">
        <v>396</v>
      </c>
      <c r="O1" s="69" t="s">
        <v>397</v>
      </c>
      <c r="P1" s="73" t="s">
        <v>231</v>
      </c>
      <c r="R1" s="74" t="s">
        <v>232</v>
      </c>
      <c r="S1" s="74" t="s">
        <v>233</v>
      </c>
      <c r="T1" s="75" t="s">
        <v>234</v>
      </c>
    </row>
    <row r="2" spans="1:20">
      <c r="A2" s="76" t="s">
        <v>398</v>
      </c>
      <c r="B2" s="77">
        <v>237870519.685332</v>
      </c>
      <c r="C2" s="78">
        <v>455.55221071476501</v>
      </c>
      <c r="D2" s="79">
        <v>0.33610000000000001</v>
      </c>
      <c r="E2" s="80">
        <v>2.2599999999999999E-2</v>
      </c>
      <c r="F2" s="80">
        <v>4.7600000000000003E-2</v>
      </c>
      <c r="G2" s="80">
        <v>1.0200000000000001E-2</v>
      </c>
      <c r="H2" s="80">
        <v>0.1421</v>
      </c>
      <c r="I2" s="80">
        <v>0.11360000000000001</v>
      </c>
      <c r="J2" s="79">
        <v>2.98E-2</v>
      </c>
      <c r="K2" s="79">
        <v>9.2399999999999996E-2</v>
      </c>
      <c r="L2" s="79">
        <v>0.37930000000000003</v>
      </c>
      <c r="M2" s="79">
        <v>9.2700000000000005E-2</v>
      </c>
      <c r="N2" s="79">
        <v>1.8E-3</v>
      </c>
      <c r="O2" s="79">
        <v>6.8000000000000005E-2</v>
      </c>
      <c r="P2" s="79">
        <v>1</v>
      </c>
      <c r="R2" s="81">
        <f t="shared" ref="R2:R65" si="0">J2*B2</f>
        <v>7088541.4866228933</v>
      </c>
      <c r="S2" s="81">
        <f t="shared" ref="S2:S65" si="1">B2*K2</f>
        <v>21979236.018924676</v>
      </c>
      <c r="T2" s="82">
        <f t="shared" ref="T2:T65" si="2">B2*M2</f>
        <v>22050597.174830277</v>
      </c>
    </row>
    <row r="3" spans="1:20">
      <c r="A3" s="83" t="s">
        <v>399</v>
      </c>
      <c r="B3" s="84">
        <v>353648.913</v>
      </c>
      <c r="C3" s="85">
        <v>91.998505971867274</v>
      </c>
      <c r="D3" s="86">
        <v>0.92522269395466794</v>
      </c>
      <c r="E3" s="87">
        <v>2.7419849583985571E-2</v>
      </c>
      <c r="F3" s="87">
        <v>0</v>
      </c>
      <c r="G3" s="87">
        <v>2.7852482046226449E-3</v>
      </c>
      <c r="H3" s="87">
        <v>0.88083121013297161</v>
      </c>
      <c r="I3" s="87">
        <v>1.4186386033088132E-2</v>
      </c>
      <c r="J3" s="86">
        <v>0</v>
      </c>
      <c r="K3" s="86">
        <v>0</v>
      </c>
      <c r="L3" s="86">
        <v>0</v>
      </c>
      <c r="M3" s="86">
        <v>0</v>
      </c>
      <c r="N3" s="86">
        <v>0</v>
      </c>
      <c r="O3" s="86">
        <v>7.4777306045332032E-2</v>
      </c>
      <c r="P3" s="86">
        <v>1</v>
      </c>
      <c r="R3" s="81">
        <f t="shared" si="0"/>
        <v>0</v>
      </c>
      <c r="S3" s="81">
        <f t="shared" si="1"/>
        <v>0</v>
      </c>
      <c r="T3" s="82">
        <f t="shared" si="2"/>
        <v>0</v>
      </c>
    </row>
    <row r="4" spans="1:20">
      <c r="A4" s="83" t="s">
        <v>400</v>
      </c>
      <c r="B4" s="84">
        <v>176538.962</v>
      </c>
      <c r="C4" s="85">
        <v>887.65964309776837</v>
      </c>
      <c r="D4" s="86">
        <v>0.1036541723860368</v>
      </c>
      <c r="E4" s="87">
        <v>3.9464376141511472E-2</v>
      </c>
      <c r="F4" s="87">
        <v>3.5516239185772486E-2</v>
      </c>
      <c r="G4" s="87">
        <v>6.3158862347904819E-3</v>
      </c>
      <c r="H4" s="87">
        <v>2.235767082396236E-2</v>
      </c>
      <c r="I4" s="87">
        <v>0</v>
      </c>
      <c r="J4" s="86">
        <v>0</v>
      </c>
      <c r="K4" s="86">
        <v>0</v>
      </c>
      <c r="L4" s="86">
        <v>0</v>
      </c>
      <c r="M4" s="86">
        <v>0</v>
      </c>
      <c r="N4" s="86">
        <v>0</v>
      </c>
      <c r="O4" s="86">
        <v>0.8963458276139632</v>
      </c>
      <c r="P4" s="86">
        <v>1</v>
      </c>
      <c r="R4" s="81">
        <f t="shared" si="0"/>
        <v>0</v>
      </c>
      <c r="S4" s="81">
        <f t="shared" si="1"/>
        <v>0</v>
      </c>
      <c r="T4" s="82">
        <f t="shared" si="2"/>
        <v>0</v>
      </c>
    </row>
    <row r="5" spans="1:20">
      <c r="A5" s="83" t="s">
        <v>401</v>
      </c>
      <c r="B5" s="84">
        <v>5597.6319999999996</v>
      </c>
      <c r="C5" s="85">
        <v>943.57735999999989</v>
      </c>
      <c r="D5" s="86">
        <v>7.1458788287618771E-2</v>
      </c>
      <c r="E5" s="87">
        <v>0</v>
      </c>
      <c r="F5" s="87">
        <v>0</v>
      </c>
      <c r="G5" s="87">
        <v>0</v>
      </c>
      <c r="H5" s="87">
        <v>7.1458788287618771E-2</v>
      </c>
      <c r="I5" s="87">
        <v>0</v>
      </c>
      <c r="J5" s="86">
        <v>0</v>
      </c>
      <c r="K5" s="86">
        <v>0</v>
      </c>
      <c r="L5" s="86">
        <v>0</v>
      </c>
      <c r="M5" s="86">
        <v>0</v>
      </c>
      <c r="N5" s="86">
        <v>0</v>
      </c>
      <c r="O5" s="86">
        <v>0.92854121171238124</v>
      </c>
      <c r="P5" s="86">
        <v>1</v>
      </c>
      <c r="R5" s="81">
        <f t="shared" si="0"/>
        <v>0</v>
      </c>
      <c r="S5" s="81">
        <f t="shared" si="1"/>
        <v>0</v>
      </c>
      <c r="T5" s="82">
        <f t="shared" si="2"/>
        <v>0</v>
      </c>
    </row>
    <row r="6" spans="1:20">
      <c r="A6" s="83" t="s">
        <v>239</v>
      </c>
      <c r="B6" s="84">
        <v>15434</v>
      </c>
      <c r="C6" s="85">
        <v>116.96445334233653</v>
      </c>
      <c r="D6" s="86">
        <v>0.79644276198870112</v>
      </c>
      <c r="E6" s="87">
        <v>0.23409284651283757</v>
      </c>
      <c r="F6" s="87">
        <v>0.49270202713441508</v>
      </c>
      <c r="G6" s="87">
        <v>7.5681611304561419E-3</v>
      </c>
      <c r="H6" s="87">
        <v>5.1147938911444717E-4</v>
      </c>
      <c r="I6" s="87">
        <v>6.1568247821878017E-2</v>
      </c>
      <c r="J6" s="86">
        <v>0</v>
      </c>
      <c r="K6" s="86">
        <v>0.20355723801129885</v>
      </c>
      <c r="L6" s="86">
        <v>0</v>
      </c>
      <c r="M6" s="86">
        <v>0</v>
      </c>
      <c r="N6" s="86">
        <v>0</v>
      </c>
      <c r="O6" s="86">
        <v>0</v>
      </c>
      <c r="P6" s="86">
        <v>1</v>
      </c>
      <c r="R6" s="81">
        <f t="shared" si="0"/>
        <v>0</v>
      </c>
      <c r="S6" s="81">
        <f t="shared" si="1"/>
        <v>3141.7024114663864</v>
      </c>
      <c r="T6" s="82">
        <f t="shared" si="2"/>
        <v>0</v>
      </c>
    </row>
    <row r="7" spans="1:20">
      <c r="A7" s="83" t="s">
        <v>240</v>
      </c>
      <c r="B7" s="84">
        <v>304140.46599999996</v>
      </c>
      <c r="C7" s="85">
        <v>116.96445334233653</v>
      </c>
      <c r="D7" s="86">
        <v>0.79644276198870156</v>
      </c>
      <c r="E7" s="87">
        <v>0.2340928465128376</v>
      </c>
      <c r="F7" s="87">
        <v>0.49270202713441524</v>
      </c>
      <c r="G7" s="87">
        <v>7.5681611304561427E-3</v>
      </c>
      <c r="H7" s="87">
        <v>5.1147938911444727E-4</v>
      </c>
      <c r="I7" s="87">
        <v>6.1568247821878037E-2</v>
      </c>
      <c r="J7" s="86">
        <v>0</v>
      </c>
      <c r="K7" s="86">
        <v>0.20355723801129882</v>
      </c>
      <c r="L7" s="86">
        <v>0</v>
      </c>
      <c r="M7" s="86">
        <v>0</v>
      </c>
      <c r="N7" s="86">
        <v>0</v>
      </c>
      <c r="O7" s="86">
        <v>0</v>
      </c>
      <c r="P7" s="86">
        <v>1.0000000000000002</v>
      </c>
      <c r="R7" s="81">
        <f t="shared" si="0"/>
        <v>0</v>
      </c>
      <c r="S7" s="81">
        <f t="shared" si="1"/>
        <v>61909.993226429331</v>
      </c>
      <c r="T7" s="82">
        <f t="shared" si="2"/>
        <v>0</v>
      </c>
    </row>
    <row r="8" spans="1:20">
      <c r="A8" s="83" t="s">
        <v>100</v>
      </c>
      <c r="B8" s="84">
        <v>2073415.9169999999</v>
      </c>
      <c r="C8" s="85">
        <v>1166.9495497736</v>
      </c>
      <c r="D8" s="86">
        <v>0.35895495966668611</v>
      </c>
      <c r="E8" s="87">
        <v>0.17818518560162092</v>
      </c>
      <c r="F8" s="87">
        <v>5.1295870321034102E-2</v>
      </c>
      <c r="G8" s="87">
        <v>1.2853185789448148E-3</v>
      </c>
      <c r="H8" s="87">
        <v>4.9517442215622792E-2</v>
      </c>
      <c r="I8" s="87">
        <v>7.8671142949463535E-2</v>
      </c>
      <c r="J8" s="86">
        <v>0.55129556529492008</v>
      </c>
      <c r="K8" s="86">
        <v>1.8644112685279438E-2</v>
      </c>
      <c r="L8" s="86">
        <v>7.1105362353114265E-2</v>
      </c>
      <c r="M8" s="86">
        <v>0</v>
      </c>
      <c r="N8" s="86">
        <v>0</v>
      </c>
      <c r="O8" s="86">
        <v>0</v>
      </c>
      <c r="P8" s="86">
        <v>0.99999999999999989</v>
      </c>
      <c r="R8" s="81">
        <f t="shared" si="0"/>
        <v>1143065.0000539999</v>
      </c>
      <c r="S8" s="81">
        <f t="shared" si="1"/>
        <v>38657</v>
      </c>
      <c r="T8" s="82">
        <f t="shared" si="2"/>
        <v>0</v>
      </c>
    </row>
    <row r="9" spans="1:20">
      <c r="A9" s="83" t="s">
        <v>8</v>
      </c>
      <c r="B9" s="84">
        <v>75406</v>
      </c>
      <c r="C9" s="85">
        <v>875.57256863003431</v>
      </c>
      <c r="D9" s="86">
        <v>0.24990053841869347</v>
      </c>
      <c r="E9" s="87">
        <v>0</v>
      </c>
      <c r="F9" s="87">
        <v>0</v>
      </c>
      <c r="G9" s="87">
        <v>0</v>
      </c>
      <c r="H9" s="87">
        <v>0.24990053841869347</v>
      </c>
      <c r="I9" s="87">
        <v>0</v>
      </c>
      <c r="J9" s="86">
        <v>0.16036896268201467</v>
      </c>
      <c r="K9" s="86">
        <v>5.4133623319099274E-2</v>
      </c>
      <c r="L9" s="86">
        <v>0.16858074954247673</v>
      </c>
      <c r="M9" s="86">
        <v>0</v>
      </c>
      <c r="N9" s="86">
        <v>0</v>
      </c>
      <c r="O9" s="86">
        <v>0.36701612603771583</v>
      </c>
      <c r="P9" s="86">
        <v>1</v>
      </c>
      <c r="R9" s="81">
        <f t="shared" si="0"/>
        <v>12092.781999999997</v>
      </c>
      <c r="S9" s="81">
        <f t="shared" si="1"/>
        <v>4082</v>
      </c>
      <c r="T9" s="82">
        <f t="shared" si="2"/>
        <v>0</v>
      </c>
    </row>
    <row r="10" spans="1:20">
      <c r="A10" s="83" t="s">
        <v>402</v>
      </c>
      <c r="B10" s="84">
        <v>258645.81556627603</v>
      </c>
      <c r="C10" s="85">
        <v>556.59979126951396</v>
      </c>
      <c r="D10" s="86">
        <v>0.36458351276066497</v>
      </c>
      <c r="E10" s="87">
        <v>0</v>
      </c>
      <c r="F10" s="87">
        <v>3.6617642467032793E-2</v>
      </c>
      <c r="G10" s="87">
        <v>0</v>
      </c>
      <c r="H10" s="87">
        <v>4.9956346564938303E-2</v>
      </c>
      <c r="I10" s="87">
        <v>0.27800952372869392</v>
      </c>
      <c r="J10" s="86">
        <v>0</v>
      </c>
      <c r="K10" s="86">
        <v>2.4973649721948994E-2</v>
      </c>
      <c r="L10" s="86">
        <v>0</v>
      </c>
      <c r="M10" s="86">
        <v>7.2337686805552609E-2</v>
      </c>
      <c r="N10" s="86">
        <v>0</v>
      </c>
      <c r="O10" s="86">
        <v>0.53810515071183351</v>
      </c>
      <c r="P10" s="86">
        <v>1</v>
      </c>
      <c r="R10" s="81">
        <f t="shared" si="0"/>
        <v>0</v>
      </c>
      <c r="S10" s="81">
        <f t="shared" si="1"/>
        <v>6459.33</v>
      </c>
      <c r="T10" s="82">
        <f t="shared" si="2"/>
        <v>18709.84</v>
      </c>
    </row>
    <row r="11" spans="1:20">
      <c r="A11" s="83" t="s">
        <v>403</v>
      </c>
      <c r="B11" s="84">
        <v>475.17333779999996</v>
      </c>
      <c r="C11" s="85">
        <v>689.40084698437431</v>
      </c>
      <c r="D11" s="86">
        <v>0.32409225802315211</v>
      </c>
      <c r="E11" s="87">
        <v>0</v>
      </c>
      <c r="F11" s="87">
        <v>0</v>
      </c>
      <c r="G11" s="87">
        <v>0</v>
      </c>
      <c r="H11" s="87">
        <v>5.4716874731181524E-2</v>
      </c>
      <c r="I11" s="87">
        <v>0.26937538329197058</v>
      </c>
      <c r="J11" s="86">
        <v>0</v>
      </c>
      <c r="K11" s="86">
        <v>0</v>
      </c>
      <c r="L11" s="86">
        <v>0</v>
      </c>
      <c r="M11" s="86">
        <v>0</v>
      </c>
      <c r="N11" s="86">
        <v>0</v>
      </c>
      <c r="O11" s="86">
        <v>0.67590774197684789</v>
      </c>
      <c r="P11" s="86">
        <v>1</v>
      </c>
      <c r="R11" s="81">
        <f t="shared" si="0"/>
        <v>0</v>
      </c>
      <c r="S11" s="81">
        <f t="shared" si="1"/>
        <v>0</v>
      </c>
      <c r="T11" s="82">
        <f t="shared" si="2"/>
        <v>0</v>
      </c>
    </row>
    <row r="12" spans="1:20">
      <c r="A12" s="83" t="s">
        <v>404</v>
      </c>
      <c r="B12" s="84">
        <v>235704</v>
      </c>
      <c r="C12" s="85">
        <v>539.87192726061539</v>
      </c>
      <c r="D12" s="86">
        <v>0.31628228625733973</v>
      </c>
      <c r="E12" s="87">
        <v>0</v>
      </c>
      <c r="F12" s="87">
        <v>0</v>
      </c>
      <c r="G12" s="87">
        <v>4.3571598275803551E-3</v>
      </c>
      <c r="H12" s="87">
        <v>0.19218171944472728</v>
      </c>
      <c r="I12" s="87">
        <v>0.11974340698503208</v>
      </c>
      <c r="J12" s="86">
        <v>0</v>
      </c>
      <c r="K12" s="86">
        <v>1.5744323388656958E-2</v>
      </c>
      <c r="L12" s="86">
        <v>0.20380873015731593</v>
      </c>
      <c r="M12" s="86">
        <v>7.9322837117740908E-2</v>
      </c>
      <c r="N12" s="86">
        <v>0</v>
      </c>
      <c r="O12" s="86">
        <v>0.38484182307894649</v>
      </c>
      <c r="P12" s="86">
        <v>1</v>
      </c>
      <c r="R12" s="81">
        <f t="shared" si="0"/>
        <v>0</v>
      </c>
      <c r="S12" s="81">
        <f t="shared" si="1"/>
        <v>3710.9999999999995</v>
      </c>
      <c r="T12" s="82">
        <f t="shared" si="2"/>
        <v>18696.710000000003</v>
      </c>
    </row>
    <row r="13" spans="1:20">
      <c r="A13" s="83" t="s">
        <v>405</v>
      </c>
      <c r="B13" s="84">
        <v>44.606222299999999</v>
      </c>
      <c r="C13" s="85">
        <v>689.73545776834646</v>
      </c>
      <c r="D13" s="86">
        <v>0.31385755793984821</v>
      </c>
      <c r="E13" s="87">
        <v>0</v>
      </c>
      <c r="F13" s="87">
        <v>0</v>
      </c>
      <c r="G13" s="87">
        <v>0</v>
      </c>
      <c r="H13" s="87">
        <v>4.4836793991406894E-2</v>
      </c>
      <c r="I13" s="87">
        <v>0.26902076394844132</v>
      </c>
      <c r="J13" s="86">
        <v>0</v>
      </c>
      <c r="K13" s="86">
        <v>0</v>
      </c>
      <c r="L13" s="86">
        <v>0</v>
      </c>
      <c r="M13" s="86">
        <v>0</v>
      </c>
      <c r="N13" s="86">
        <v>0</v>
      </c>
      <c r="O13" s="86">
        <v>0.68614244206015174</v>
      </c>
      <c r="P13" s="86">
        <v>1</v>
      </c>
      <c r="R13" s="81">
        <f t="shared" si="0"/>
        <v>0</v>
      </c>
      <c r="S13" s="81">
        <f t="shared" si="1"/>
        <v>0</v>
      </c>
      <c r="T13" s="82">
        <f t="shared" si="2"/>
        <v>0</v>
      </c>
    </row>
    <row r="14" spans="1:20">
      <c r="A14" s="83" t="s">
        <v>406</v>
      </c>
      <c r="B14" s="84">
        <v>144317.95621468735</v>
      </c>
      <c r="C14" s="85">
        <v>738.37853637191711</v>
      </c>
      <c r="D14" s="86">
        <v>0.27201743310168069</v>
      </c>
      <c r="E14" s="87">
        <v>0</v>
      </c>
      <c r="F14" s="87">
        <v>6.9291446901617718E-2</v>
      </c>
      <c r="G14" s="87">
        <v>0</v>
      </c>
      <c r="H14" s="87">
        <v>1.3844431090943221E-2</v>
      </c>
      <c r="I14" s="87">
        <v>0.18888155510911975</v>
      </c>
      <c r="J14" s="86">
        <v>0</v>
      </c>
      <c r="K14" s="86">
        <v>0</v>
      </c>
      <c r="L14" s="86">
        <v>0</v>
      </c>
      <c r="M14" s="86">
        <v>0</v>
      </c>
      <c r="N14" s="86">
        <v>0</v>
      </c>
      <c r="O14" s="86">
        <v>0.72798256689831931</v>
      </c>
      <c r="P14" s="86">
        <v>1</v>
      </c>
      <c r="R14" s="81">
        <f t="shared" si="0"/>
        <v>0</v>
      </c>
      <c r="S14" s="81">
        <f t="shared" si="1"/>
        <v>0</v>
      </c>
      <c r="T14" s="82">
        <f t="shared" si="2"/>
        <v>0</v>
      </c>
    </row>
    <row r="15" spans="1:20">
      <c r="A15" s="83" t="s">
        <v>407</v>
      </c>
      <c r="B15" s="84">
        <v>136924</v>
      </c>
      <c r="C15" s="85">
        <v>309.90143066669248</v>
      </c>
      <c r="D15" s="86">
        <v>0.54068753469077746</v>
      </c>
      <c r="E15" s="87">
        <v>0.31698066080453391</v>
      </c>
      <c r="F15" s="87">
        <v>7.9518565043381728E-2</v>
      </c>
      <c r="G15" s="87">
        <v>0</v>
      </c>
      <c r="H15" s="87">
        <v>0.14418830884286174</v>
      </c>
      <c r="I15" s="87">
        <v>0</v>
      </c>
      <c r="J15" s="86">
        <v>0</v>
      </c>
      <c r="K15" s="86">
        <v>1.0816219216499664E-2</v>
      </c>
      <c r="L15" s="86">
        <v>0</v>
      </c>
      <c r="M15" s="86">
        <v>0.13644795653063013</v>
      </c>
      <c r="N15" s="86">
        <v>0</v>
      </c>
      <c r="O15" s="86">
        <v>0.3120482895620928</v>
      </c>
      <c r="P15" s="86">
        <v>1</v>
      </c>
      <c r="R15" s="81">
        <f t="shared" si="0"/>
        <v>0</v>
      </c>
      <c r="S15" s="81">
        <f t="shared" si="1"/>
        <v>1481</v>
      </c>
      <c r="T15" s="82">
        <f t="shared" si="2"/>
        <v>18683</v>
      </c>
    </row>
    <row r="16" spans="1:20">
      <c r="A16" s="83" t="s">
        <v>408</v>
      </c>
      <c r="B16" s="84">
        <v>319120</v>
      </c>
      <c r="C16" s="85">
        <v>0.95714707017986822</v>
      </c>
      <c r="D16" s="86">
        <v>0.14847845428750059</v>
      </c>
      <c r="E16" s="87">
        <v>0</v>
      </c>
      <c r="F16" s="87">
        <v>0</v>
      </c>
      <c r="G16" s="87">
        <v>1.2675539845140192E-2</v>
      </c>
      <c r="H16" s="87">
        <v>8.2431587553503577E-2</v>
      </c>
      <c r="I16" s="87">
        <v>5.3371326888856825E-2</v>
      </c>
      <c r="J16" s="86">
        <v>0</v>
      </c>
      <c r="K16" s="86">
        <v>0.84965493194825181</v>
      </c>
      <c r="L16" s="86">
        <v>0</v>
      </c>
      <c r="M16" s="86">
        <v>8.7469340643485795E-4</v>
      </c>
      <c r="N16" s="86">
        <v>0</v>
      </c>
      <c r="O16" s="86">
        <v>9.919203578127255E-4</v>
      </c>
      <c r="P16" s="86">
        <v>1</v>
      </c>
      <c r="R16" s="81">
        <f t="shared" si="0"/>
        <v>0</v>
      </c>
      <c r="S16" s="81">
        <f t="shared" si="1"/>
        <v>271141.8818833261</v>
      </c>
      <c r="T16" s="82">
        <f t="shared" si="2"/>
        <v>279.13215986149186</v>
      </c>
    </row>
    <row r="17" spans="1:20">
      <c r="A17" s="83" t="s">
        <v>179</v>
      </c>
      <c r="B17" s="84">
        <v>133705.78</v>
      </c>
      <c r="C17" s="85">
        <v>947.20376291553123</v>
      </c>
      <c r="D17" s="86">
        <v>0</v>
      </c>
      <c r="E17" s="87">
        <v>0</v>
      </c>
      <c r="F17" s="87">
        <v>0</v>
      </c>
      <c r="G17" s="87">
        <v>0</v>
      </c>
      <c r="H17" s="87">
        <v>0</v>
      </c>
      <c r="I17" s="87">
        <v>0</v>
      </c>
      <c r="J17" s="86">
        <v>0</v>
      </c>
      <c r="K17" s="86">
        <v>0</v>
      </c>
      <c r="L17" s="86">
        <v>1.4252562604249421E-2</v>
      </c>
      <c r="M17" s="86">
        <v>0</v>
      </c>
      <c r="N17" s="86">
        <v>0</v>
      </c>
      <c r="O17" s="86">
        <v>0.98574743739575066</v>
      </c>
      <c r="P17" s="86">
        <v>1</v>
      </c>
      <c r="R17" s="81">
        <f t="shared" si="0"/>
        <v>0</v>
      </c>
      <c r="S17" s="81">
        <f t="shared" si="1"/>
        <v>0</v>
      </c>
      <c r="T17" s="82">
        <f t="shared" si="2"/>
        <v>0</v>
      </c>
    </row>
    <row r="18" spans="1:20">
      <c r="A18" s="83" t="s">
        <v>409</v>
      </c>
      <c r="B18" s="84">
        <v>16463.989000000001</v>
      </c>
      <c r="C18" s="85">
        <v>422.58500839739554</v>
      </c>
      <c r="D18" s="86">
        <v>0.23718431784666522</v>
      </c>
      <c r="E18" s="87">
        <v>0.12147724345539831</v>
      </c>
      <c r="F18" s="87">
        <v>0.10932951910985848</v>
      </c>
      <c r="G18" s="87">
        <v>6.0131235510422166E-3</v>
      </c>
      <c r="H18" s="87">
        <v>3.6443173036619495E-4</v>
      </c>
      <c r="I18" s="87">
        <v>0</v>
      </c>
      <c r="J18" s="86">
        <v>0</v>
      </c>
      <c r="K18" s="86">
        <v>0.3089773687288056</v>
      </c>
      <c r="L18" s="86">
        <v>0.28389231795526587</v>
      </c>
      <c r="M18" s="86">
        <v>6.0738621727699157E-5</v>
      </c>
      <c r="N18" s="86">
        <v>0</v>
      </c>
      <c r="O18" s="86">
        <v>0.16988525684753561</v>
      </c>
      <c r="P18" s="86">
        <v>1</v>
      </c>
      <c r="R18" s="81">
        <f t="shared" si="0"/>
        <v>0</v>
      </c>
      <c r="S18" s="81">
        <f t="shared" si="1"/>
        <v>5087</v>
      </c>
      <c r="T18" s="82">
        <f t="shared" si="2"/>
        <v>1</v>
      </c>
    </row>
    <row r="19" spans="1:20">
      <c r="A19" s="83" t="s">
        <v>201</v>
      </c>
      <c r="B19" s="84">
        <v>966465.665375949</v>
      </c>
      <c r="C19" s="85">
        <v>786.92722733114783</v>
      </c>
      <c r="D19" s="86">
        <v>0.36801203885669981</v>
      </c>
      <c r="E19" s="87">
        <v>3.7219118369825908E-2</v>
      </c>
      <c r="F19" s="87">
        <v>2.1217515256502461E-2</v>
      </c>
      <c r="G19" s="87">
        <v>2.9301609994581743E-2</v>
      </c>
      <c r="H19" s="87">
        <v>0.16670845718800173</v>
      </c>
      <c r="I19" s="87">
        <v>0.113565338047788</v>
      </c>
      <c r="J19" s="86">
        <v>0.25542655972571215</v>
      </c>
      <c r="K19" s="86">
        <v>1.9578553773702309E-2</v>
      </c>
      <c r="L19" s="86">
        <v>0.27184893865189474</v>
      </c>
      <c r="M19" s="86">
        <v>8.5133908991990928E-2</v>
      </c>
      <c r="N19" s="86">
        <v>0</v>
      </c>
      <c r="O19" s="86">
        <v>0</v>
      </c>
      <c r="P19" s="86">
        <v>1</v>
      </c>
      <c r="R19" s="81">
        <f t="shared" si="0"/>
        <v>246860.99999999997</v>
      </c>
      <c r="S19" s="81">
        <f t="shared" si="1"/>
        <v>18922</v>
      </c>
      <c r="T19" s="82">
        <f t="shared" si="2"/>
        <v>82279</v>
      </c>
    </row>
    <row r="20" spans="1:20">
      <c r="A20" s="83" t="s">
        <v>250</v>
      </c>
      <c r="B20" s="84">
        <v>1133</v>
      </c>
      <c r="C20" s="85">
        <v>0.4787889267687388</v>
      </c>
      <c r="D20" s="86">
        <v>1</v>
      </c>
      <c r="E20" s="87">
        <v>8.8261253309797005E-2</v>
      </c>
      <c r="F20" s="87">
        <v>0</v>
      </c>
      <c r="G20" s="87">
        <v>0.91173874669020305</v>
      </c>
      <c r="H20" s="87">
        <v>0</v>
      </c>
      <c r="I20" s="87">
        <v>0</v>
      </c>
      <c r="J20" s="86">
        <v>0</v>
      </c>
      <c r="K20" s="86">
        <v>0</v>
      </c>
      <c r="L20" s="86">
        <v>0</v>
      </c>
      <c r="M20" s="86">
        <v>0</v>
      </c>
      <c r="N20" s="86">
        <v>0</v>
      </c>
      <c r="O20" s="86">
        <v>0</v>
      </c>
      <c r="P20" s="86">
        <v>1</v>
      </c>
      <c r="R20" s="81">
        <f t="shared" si="0"/>
        <v>0</v>
      </c>
      <c r="S20" s="81">
        <f t="shared" si="1"/>
        <v>0</v>
      </c>
      <c r="T20" s="82">
        <f t="shared" si="2"/>
        <v>0</v>
      </c>
    </row>
    <row r="21" spans="1:20">
      <c r="A21" s="83" t="s">
        <v>410</v>
      </c>
      <c r="B21" s="84">
        <v>4252371.0630000001</v>
      </c>
      <c r="C21" s="85">
        <v>756.15192076384778</v>
      </c>
      <c r="D21" s="86">
        <v>0.30929332847828195</v>
      </c>
      <c r="E21" s="87">
        <v>1.1871259410834722E-2</v>
      </c>
      <c r="F21" s="87">
        <v>1.2801799088905145E-2</v>
      </c>
      <c r="G21" s="87">
        <v>3.7209828976771022E-3</v>
      </c>
      <c r="H21" s="87">
        <v>7.7438444369359594E-2</v>
      </c>
      <c r="I21" s="87">
        <v>0.20346084271150539</v>
      </c>
      <c r="J21" s="86">
        <v>0</v>
      </c>
      <c r="K21" s="86">
        <v>1.2890613539573884E-2</v>
      </c>
      <c r="L21" s="86">
        <v>0</v>
      </c>
      <c r="M21" s="86">
        <v>0</v>
      </c>
      <c r="N21" s="86">
        <v>0</v>
      </c>
      <c r="O21" s="86">
        <v>0.67781605798214406</v>
      </c>
      <c r="P21" s="86">
        <v>0.99999999999999989</v>
      </c>
      <c r="R21" s="81">
        <f t="shared" si="0"/>
        <v>0</v>
      </c>
      <c r="S21" s="81">
        <f t="shared" si="1"/>
        <v>54815.671999999991</v>
      </c>
      <c r="T21" s="82">
        <f t="shared" si="2"/>
        <v>0</v>
      </c>
    </row>
    <row r="22" spans="1:20">
      <c r="A22" s="83" t="s">
        <v>411</v>
      </c>
      <c r="B22" s="84">
        <v>1323427</v>
      </c>
      <c r="C22" s="85">
        <v>692.96574593643447</v>
      </c>
      <c r="D22" s="86">
        <v>0.33118487079378006</v>
      </c>
      <c r="E22" s="87">
        <v>0</v>
      </c>
      <c r="F22" s="87">
        <v>7.3957233757509858E-2</v>
      </c>
      <c r="G22" s="87">
        <v>0</v>
      </c>
      <c r="H22" s="87">
        <v>8.9678539126071932E-2</v>
      </c>
      <c r="I22" s="87">
        <v>0.16754909791019829</v>
      </c>
      <c r="J22" s="86">
        <v>0</v>
      </c>
      <c r="K22" s="86">
        <v>0</v>
      </c>
      <c r="L22" s="86">
        <v>0</v>
      </c>
      <c r="M22" s="86">
        <v>0</v>
      </c>
      <c r="N22" s="86">
        <v>0</v>
      </c>
      <c r="O22" s="86">
        <v>0.66881512920621988</v>
      </c>
      <c r="P22" s="86">
        <v>1</v>
      </c>
      <c r="R22" s="81">
        <f t="shared" si="0"/>
        <v>0</v>
      </c>
      <c r="S22" s="81">
        <f t="shared" si="1"/>
        <v>0</v>
      </c>
      <c r="T22" s="82">
        <f t="shared" si="2"/>
        <v>0</v>
      </c>
    </row>
    <row r="23" spans="1:20">
      <c r="A23" s="83" t="s">
        <v>412</v>
      </c>
      <c r="B23" s="84">
        <v>4616178.2633379437</v>
      </c>
      <c r="C23" s="85">
        <v>493.51135777546267</v>
      </c>
      <c r="D23" s="86">
        <v>0.38449252146440843</v>
      </c>
      <c r="E23" s="87">
        <v>1.6064587580804843E-2</v>
      </c>
      <c r="F23" s="87">
        <v>7.3560634063221539E-2</v>
      </c>
      <c r="G23" s="87">
        <v>7.073816940593624E-3</v>
      </c>
      <c r="H23" s="87">
        <v>0.17810252618049977</v>
      </c>
      <c r="I23" s="87">
        <v>0.10969095669928869</v>
      </c>
      <c r="J23" s="86">
        <v>0</v>
      </c>
      <c r="K23" s="86">
        <v>0.11788444921954963</v>
      </c>
      <c r="L23" s="86">
        <v>0</v>
      </c>
      <c r="M23" s="86">
        <v>0</v>
      </c>
      <c r="N23" s="86">
        <v>0</v>
      </c>
      <c r="O23" s="86">
        <v>0.49762302931604202</v>
      </c>
      <c r="P23" s="86">
        <v>1</v>
      </c>
      <c r="R23" s="81">
        <f t="shared" si="0"/>
        <v>0</v>
      </c>
      <c r="S23" s="81">
        <f t="shared" si="1"/>
        <v>544175.6320728506</v>
      </c>
      <c r="T23" s="82">
        <f t="shared" si="2"/>
        <v>0</v>
      </c>
    </row>
    <row r="24" spans="1:20">
      <c r="A24" s="83" t="s">
        <v>413</v>
      </c>
      <c r="B24" s="84">
        <v>38705.980000000003</v>
      </c>
      <c r="C24" s="85">
        <v>0</v>
      </c>
      <c r="D24" s="86">
        <v>1</v>
      </c>
      <c r="E24" s="87">
        <v>0</v>
      </c>
      <c r="F24" s="87">
        <v>0</v>
      </c>
      <c r="G24" s="87">
        <v>0</v>
      </c>
      <c r="H24" s="87">
        <v>0.5</v>
      </c>
      <c r="I24" s="87">
        <v>0.5</v>
      </c>
      <c r="J24" s="86">
        <v>0</v>
      </c>
      <c r="K24" s="86">
        <v>0</v>
      </c>
      <c r="L24" s="86">
        <v>0</v>
      </c>
      <c r="M24" s="86">
        <v>0</v>
      </c>
      <c r="N24" s="86">
        <v>0</v>
      </c>
      <c r="O24" s="86">
        <v>0</v>
      </c>
      <c r="P24" s="86">
        <v>1</v>
      </c>
      <c r="R24" s="81">
        <f t="shared" si="0"/>
        <v>0</v>
      </c>
      <c r="S24" s="81">
        <f t="shared" si="1"/>
        <v>0</v>
      </c>
      <c r="T24" s="82">
        <f t="shared" si="2"/>
        <v>0</v>
      </c>
    </row>
    <row r="25" spans="1:20">
      <c r="A25" s="83" t="s">
        <v>414</v>
      </c>
      <c r="B25" s="84">
        <v>64408</v>
      </c>
      <c r="C25" s="85">
        <v>842.41245632874791</v>
      </c>
      <c r="D25" s="86">
        <v>0</v>
      </c>
      <c r="E25" s="87">
        <v>0</v>
      </c>
      <c r="F25" s="87">
        <v>0</v>
      </c>
      <c r="G25" s="87">
        <v>0</v>
      </c>
      <c r="H25" s="87">
        <v>0</v>
      </c>
      <c r="I25" s="87">
        <v>0</v>
      </c>
      <c r="J25" s="86">
        <v>0</v>
      </c>
      <c r="K25" s="86">
        <v>8.0362687864861504E-2</v>
      </c>
      <c r="L25" s="86">
        <v>0.7010309278350515</v>
      </c>
      <c r="M25" s="86">
        <v>0</v>
      </c>
      <c r="N25" s="86">
        <v>0</v>
      </c>
      <c r="O25" s="86">
        <v>0.21860638430008694</v>
      </c>
      <c r="P25" s="86">
        <v>1</v>
      </c>
      <c r="R25" s="81">
        <f t="shared" si="0"/>
        <v>0</v>
      </c>
      <c r="S25" s="81">
        <f t="shared" si="1"/>
        <v>5176</v>
      </c>
      <c r="T25" s="82">
        <f t="shared" si="2"/>
        <v>0</v>
      </c>
    </row>
    <row r="26" spans="1:20">
      <c r="A26" s="83" t="s">
        <v>415</v>
      </c>
      <c r="B26" s="84">
        <v>5723.3059747500001</v>
      </c>
      <c r="C26" s="85">
        <v>471.73146948949636</v>
      </c>
      <c r="D26" s="86">
        <v>0.50006063149978897</v>
      </c>
      <c r="E26" s="87">
        <v>0</v>
      </c>
      <c r="F26" s="87">
        <v>0</v>
      </c>
      <c r="G26" s="87">
        <v>0</v>
      </c>
      <c r="H26" s="87">
        <v>0.2682016314997121</v>
      </c>
      <c r="I26" s="87">
        <v>0.23185900000007684</v>
      </c>
      <c r="J26" s="86">
        <v>0</v>
      </c>
      <c r="K26" s="86">
        <v>0</v>
      </c>
      <c r="L26" s="86">
        <v>0</v>
      </c>
      <c r="M26" s="86">
        <v>0</v>
      </c>
      <c r="N26" s="86">
        <v>0</v>
      </c>
      <c r="O26" s="86">
        <v>0.49993936850021109</v>
      </c>
      <c r="P26" s="86">
        <v>1</v>
      </c>
      <c r="R26" s="81">
        <f t="shared" si="0"/>
        <v>0</v>
      </c>
      <c r="S26" s="81">
        <f t="shared" si="1"/>
        <v>0</v>
      </c>
      <c r="T26" s="82">
        <f t="shared" si="2"/>
        <v>0</v>
      </c>
    </row>
    <row r="27" spans="1:20">
      <c r="A27" s="83" t="s">
        <v>416</v>
      </c>
      <c r="B27" s="84">
        <v>419722.5461673775</v>
      </c>
      <c r="C27" s="85">
        <v>238.20967763047267</v>
      </c>
      <c r="D27" s="86">
        <v>0.52120621586232785</v>
      </c>
      <c r="E27" s="87">
        <v>0</v>
      </c>
      <c r="F27" s="87">
        <v>0</v>
      </c>
      <c r="G27" s="87">
        <v>4.9401682586122667E-2</v>
      </c>
      <c r="H27" s="87">
        <v>0.20861400179604053</v>
      </c>
      <c r="I27" s="87">
        <v>0.26319053148016458</v>
      </c>
      <c r="J27" s="86">
        <v>0</v>
      </c>
      <c r="K27" s="86">
        <v>0.22633999738035462</v>
      </c>
      <c r="L27" s="86">
        <v>0</v>
      </c>
      <c r="M27" s="86">
        <v>0</v>
      </c>
      <c r="N27" s="86">
        <v>0</v>
      </c>
      <c r="O27" s="86">
        <v>0.25245378675731756</v>
      </c>
      <c r="P27" s="86">
        <v>1</v>
      </c>
      <c r="R27" s="81">
        <f t="shared" si="0"/>
        <v>0</v>
      </c>
      <c r="S27" s="81">
        <f>B27*K27</f>
        <v>95000</v>
      </c>
      <c r="T27" s="82">
        <f t="shared" si="2"/>
        <v>0</v>
      </c>
    </row>
    <row r="28" spans="1:20">
      <c r="A28" s="83" t="s">
        <v>417</v>
      </c>
      <c r="B28" s="84">
        <v>3375.8555856670778</v>
      </c>
      <c r="C28" s="85">
        <v>0</v>
      </c>
      <c r="D28" s="86">
        <v>1</v>
      </c>
      <c r="E28" s="87">
        <v>0</v>
      </c>
      <c r="F28" s="87">
        <v>0</v>
      </c>
      <c r="G28" s="87">
        <v>0</v>
      </c>
      <c r="H28" s="87">
        <v>0.26806872037914692</v>
      </c>
      <c r="I28" s="87">
        <v>0.73193127962085314</v>
      </c>
      <c r="J28" s="86">
        <v>0</v>
      </c>
      <c r="K28" s="86">
        <v>0</v>
      </c>
      <c r="L28" s="86">
        <v>0</v>
      </c>
      <c r="M28" s="86">
        <v>0</v>
      </c>
      <c r="N28" s="86">
        <v>0</v>
      </c>
      <c r="O28" s="86">
        <v>0</v>
      </c>
      <c r="P28" s="86">
        <v>1</v>
      </c>
      <c r="R28" s="81">
        <f t="shared" si="0"/>
        <v>0</v>
      </c>
      <c r="S28" s="81">
        <f t="shared" si="1"/>
        <v>0</v>
      </c>
      <c r="T28" s="82">
        <f t="shared" si="2"/>
        <v>0</v>
      </c>
    </row>
    <row r="29" spans="1:20" ht="25.5">
      <c r="A29" s="83" t="s">
        <v>284</v>
      </c>
      <c r="B29" s="84">
        <v>2801512.8460981175</v>
      </c>
      <c r="C29" s="85">
        <v>0</v>
      </c>
      <c r="D29" s="86">
        <v>1.0000000000000002</v>
      </c>
      <c r="E29" s="87">
        <v>0</v>
      </c>
      <c r="F29" s="87">
        <v>0</v>
      </c>
      <c r="G29" s="87">
        <v>0</v>
      </c>
      <c r="H29" s="87">
        <v>0.47916929173628703</v>
      </c>
      <c r="I29" s="87">
        <v>0.52083070826371325</v>
      </c>
      <c r="J29" s="86">
        <v>0</v>
      </c>
      <c r="K29" s="86">
        <v>0</v>
      </c>
      <c r="L29" s="86">
        <v>0</v>
      </c>
      <c r="M29" s="86">
        <v>0</v>
      </c>
      <c r="N29" s="86">
        <v>0</v>
      </c>
      <c r="O29" s="86">
        <v>0</v>
      </c>
      <c r="P29" s="86">
        <v>1.0000000000000002</v>
      </c>
      <c r="R29" s="81">
        <f t="shared" si="0"/>
        <v>0</v>
      </c>
      <c r="S29" s="81">
        <f t="shared" si="1"/>
        <v>0</v>
      </c>
      <c r="T29" s="82">
        <f t="shared" si="2"/>
        <v>0</v>
      </c>
    </row>
    <row r="30" spans="1:20">
      <c r="A30" s="83" t="s">
        <v>285</v>
      </c>
      <c r="B30" s="84">
        <v>5603480.2501859339</v>
      </c>
      <c r="C30" s="85">
        <v>501.1232857502626</v>
      </c>
      <c r="D30" s="86">
        <v>0.40613491944126789</v>
      </c>
      <c r="E30" s="87">
        <v>3.0503542864156317E-2</v>
      </c>
      <c r="F30" s="87">
        <v>6.5879057927928072E-2</v>
      </c>
      <c r="G30" s="87">
        <v>1.1347233712100648E-2</v>
      </c>
      <c r="H30" s="87">
        <v>7.4027029895614577E-2</v>
      </c>
      <c r="I30" s="87">
        <v>0.22437805504146829</v>
      </c>
      <c r="J30" s="86">
        <v>0</v>
      </c>
      <c r="K30" s="86">
        <v>0.21576037498479322</v>
      </c>
      <c r="L30" s="86">
        <v>0</v>
      </c>
      <c r="M30" s="86">
        <v>0</v>
      </c>
      <c r="N30" s="86">
        <v>0</v>
      </c>
      <c r="O30" s="86">
        <v>0.37810470557393888</v>
      </c>
      <c r="P30" s="86">
        <v>1</v>
      </c>
      <c r="R30" s="81">
        <f t="shared" si="0"/>
        <v>0</v>
      </c>
      <c r="S30" s="81">
        <f t="shared" si="1"/>
        <v>1209009</v>
      </c>
      <c r="T30" s="82">
        <f t="shared" si="2"/>
        <v>0</v>
      </c>
    </row>
    <row r="31" spans="1:20">
      <c r="A31" s="83" t="s">
        <v>286</v>
      </c>
      <c r="B31" s="84">
        <v>2311125.3774183481</v>
      </c>
      <c r="C31" s="85">
        <v>565.59367173585997</v>
      </c>
      <c r="D31" s="86">
        <v>0</v>
      </c>
      <c r="E31" s="87">
        <v>0</v>
      </c>
      <c r="F31" s="87">
        <v>0</v>
      </c>
      <c r="G31" s="87">
        <v>0</v>
      </c>
      <c r="H31" s="87">
        <v>0</v>
      </c>
      <c r="I31" s="87">
        <v>0</v>
      </c>
      <c r="J31" s="86">
        <v>0</v>
      </c>
      <c r="K31" s="86">
        <v>0.40058579644613357</v>
      </c>
      <c r="L31" s="86">
        <v>0</v>
      </c>
      <c r="M31" s="86">
        <v>0</v>
      </c>
      <c r="N31" s="86">
        <v>0</v>
      </c>
      <c r="O31" s="86">
        <v>0.59941420355386643</v>
      </c>
      <c r="P31" s="86">
        <v>1</v>
      </c>
      <c r="R31" s="81">
        <f t="shared" si="0"/>
        <v>0</v>
      </c>
      <c r="S31" s="81">
        <f t="shared" si="1"/>
        <v>925804</v>
      </c>
      <c r="T31" s="82">
        <f t="shared" si="2"/>
        <v>0</v>
      </c>
    </row>
    <row r="32" spans="1:20">
      <c r="A32" s="83" t="s">
        <v>287</v>
      </c>
      <c r="B32" s="84">
        <v>3500.5596056999984</v>
      </c>
      <c r="C32" s="85">
        <v>0</v>
      </c>
      <c r="D32" s="86">
        <v>1</v>
      </c>
      <c r="E32" s="87">
        <v>0</v>
      </c>
      <c r="F32" s="87">
        <v>0</v>
      </c>
      <c r="G32" s="87">
        <v>0</v>
      </c>
      <c r="H32" s="87">
        <v>1</v>
      </c>
      <c r="I32" s="87">
        <v>0</v>
      </c>
      <c r="J32" s="86">
        <v>0</v>
      </c>
      <c r="K32" s="86">
        <v>0</v>
      </c>
      <c r="L32" s="86">
        <v>0</v>
      </c>
      <c r="M32" s="86">
        <v>0</v>
      </c>
      <c r="N32" s="86">
        <v>0</v>
      </c>
      <c r="O32" s="86">
        <v>0</v>
      </c>
      <c r="P32" s="86">
        <v>1</v>
      </c>
      <c r="R32" s="81">
        <f t="shared" si="0"/>
        <v>0</v>
      </c>
      <c r="S32" s="81">
        <f t="shared" si="1"/>
        <v>0</v>
      </c>
      <c r="T32" s="82">
        <f t="shared" si="2"/>
        <v>0</v>
      </c>
    </row>
    <row r="33" spans="1:20">
      <c r="A33" s="83" t="s">
        <v>288</v>
      </c>
      <c r="B33" s="84">
        <v>2725268</v>
      </c>
      <c r="C33" s="85">
        <v>81.829675227280021</v>
      </c>
      <c r="D33" s="86">
        <v>0.55382699976662841</v>
      </c>
      <c r="E33" s="87">
        <v>0</v>
      </c>
      <c r="F33" s="87">
        <v>9.1504395164071939E-2</v>
      </c>
      <c r="G33" s="87">
        <v>1.2164675180569398E-2</v>
      </c>
      <c r="H33" s="87">
        <v>0.18966281481307526</v>
      </c>
      <c r="I33" s="87">
        <v>0.26049511460891184</v>
      </c>
      <c r="J33" s="86">
        <v>0</v>
      </c>
      <c r="K33" s="86">
        <v>0.37644687678422822</v>
      </c>
      <c r="L33" s="86">
        <v>0</v>
      </c>
      <c r="M33" s="86">
        <v>5.0306978983351367E-4</v>
      </c>
      <c r="N33" s="86">
        <v>0</v>
      </c>
      <c r="O33" s="86">
        <v>6.9223053659309891E-2</v>
      </c>
      <c r="P33" s="86">
        <v>1</v>
      </c>
      <c r="R33" s="81">
        <f t="shared" si="0"/>
        <v>0</v>
      </c>
      <c r="S33" s="81">
        <f t="shared" si="1"/>
        <v>1025918.6270000001</v>
      </c>
      <c r="T33" s="82">
        <f t="shared" si="2"/>
        <v>1371.0000000000002</v>
      </c>
    </row>
    <row r="34" spans="1:20">
      <c r="A34" s="83" t="s">
        <v>289</v>
      </c>
      <c r="B34" s="84">
        <v>177218</v>
      </c>
      <c r="C34" s="85">
        <v>0</v>
      </c>
      <c r="D34" s="86">
        <v>1</v>
      </c>
      <c r="E34" s="87">
        <v>0</v>
      </c>
      <c r="F34" s="87">
        <v>0</v>
      </c>
      <c r="G34" s="87">
        <v>0</v>
      </c>
      <c r="H34" s="87">
        <v>0.5</v>
      </c>
      <c r="I34" s="87">
        <v>0.5</v>
      </c>
      <c r="J34" s="86">
        <v>0</v>
      </c>
      <c r="K34" s="86">
        <v>0</v>
      </c>
      <c r="L34" s="86">
        <v>0</v>
      </c>
      <c r="M34" s="86">
        <v>0</v>
      </c>
      <c r="N34" s="86">
        <v>0</v>
      </c>
      <c r="O34" s="86">
        <v>0</v>
      </c>
      <c r="P34" s="86">
        <v>1</v>
      </c>
      <c r="R34" s="81">
        <f t="shared" si="0"/>
        <v>0</v>
      </c>
      <c r="S34" s="81">
        <f t="shared" si="1"/>
        <v>0</v>
      </c>
      <c r="T34" s="82">
        <f t="shared" si="2"/>
        <v>0</v>
      </c>
    </row>
    <row r="35" spans="1:20">
      <c r="A35" s="83" t="s">
        <v>418</v>
      </c>
      <c r="B35" s="84">
        <v>351326</v>
      </c>
      <c r="C35" s="85">
        <v>657.44100222934344</v>
      </c>
      <c r="D35" s="86">
        <v>0.25284493604230829</v>
      </c>
      <c r="E35" s="87">
        <v>0.12353768294973899</v>
      </c>
      <c r="F35" s="87">
        <v>0</v>
      </c>
      <c r="G35" s="87">
        <v>2.9232109209110626E-3</v>
      </c>
      <c r="H35" s="87">
        <v>0.10764076669532002</v>
      </c>
      <c r="I35" s="87">
        <v>1.8743275476338216E-2</v>
      </c>
      <c r="J35" s="86">
        <v>0</v>
      </c>
      <c r="K35" s="86">
        <v>8.4508405298782327E-3</v>
      </c>
      <c r="L35" s="86">
        <v>0.16617329773486733</v>
      </c>
      <c r="M35" s="86">
        <v>5.3218378372224089E-2</v>
      </c>
      <c r="N35" s="86">
        <v>0</v>
      </c>
      <c r="O35" s="86">
        <v>0.51931254732072207</v>
      </c>
      <c r="P35" s="86">
        <v>1</v>
      </c>
      <c r="R35" s="81">
        <f t="shared" si="0"/>
        <v>0</v>
      </c>
      <c r="S35" s="81">
        <f t="shared" si="1"/>
        <v>2969</v>
      </c>
      <c r="T35" s="82">
        <f t="shared" si="2"/>
        <v>18697</v>
      </c>
    </row>
    <row r="36" spans="1:20">
      <c r="A36" s="83" t="s">
        <v>419</v>
      </c>
      <c r="B36" s="84">
        <v>277526</v>
      </c>
      <c r="C36" s="85">
        <v>514.97950227874401</v>
      </c>
      <c r="D36" s="86">
        <v>0.27641374141521902</v>
      </c>
      <c r="E36" s="87">
        <v>8.4038972925059297E-2</v>
      </c>
      <c r="F36" s="87">
        <v>0</v>
      </c>
      <c r="G36" s="87">
        <v>0</v>
      </c>
      <c r="H36" s="87">
        <v>0.192374768490159</v>
      </c>
      <c r="I36" s="87">
        <v>0</v>
      </c>
      <c r="J36" s="86">
        <v>0</v>
      </c>
      <c r="K36" s="86">
        <v>3.7873374026217398E-2</v>
      </c>
      <c r="L36" s="86">
        <v>0</v>
      </c>
      <c r="M36" s="86">
        <v>0.148268122626349</v>
      </c>
      <c r="N36" s="86">
        <v>0</v>
      </c>
      <c r="O36" s="86">
        <v>0.53744476193221502</v>
      </c>
      <c r="P36" s="86">
        <v>1</v>
      </c>
      <c r="R36" s="81">
        <f t="shared" si="0"/>
        <v>0</v>
      </c>
      <c r="S36" s="81">
        <f t="shared" si="1"/>
        <v>10510.846000000009</v>
      </c>
      <c r="T36" s="82">
        <f t="shared" si="2"/>
        <v>41148.259000000136</v>
      </c>
    </row>
    <row r="37" spans="1:20">
      <c r="A37" s="83" t="s">
        <v>420</v>
      </c>
      <c r="B37" s="84">
        <v>7296478.3899999997</v>
      </c>
      <c r="C37" s="85">
        <v>835.415466458776</v>
      </c>
      <c r="D37" s="86">
        <v>0.102244118343781</v>
      </c>
      <c r="E37" s="87">
        <v>2.8668076408844102E-2</v>
      </c>
      <c r="F37" s="87">
        <v>0</v>
      </c>
      <c r="G37" s="87">
        <v>0</v>
      </c>
      <c r="H37" s="87">
        <v>3.10190735725594E-2</v>
      </c>
      <c r="I37" s="87">
        <v>4.2556968362377399E-2</v>
      </c>
      <c r="J37" s="86">
        <v>0</v>
      </c>
      <c r="K37" s="86">
        <v>6.7770460428924796E-3</v>
      </c>
      <c r="L37" s="86">
        <v>0</v>
      </c>
      <c r="M37" s="86">
        <v>2.2292070407954698E-2</v>
      </c>
      <c r="N37" s="86">
        <v>0</v>
      </c>
      <c r="O37" s="86">
        <v>0.86868676520537202</v>
      </c>
      <c r="P37" s="86">
        <v>1</v>
      </c>
      <c r="R37" s="81">
        <f t="shared" si="0"/>
        <v>0</v>
      </c>
      <c r="S37" s="81">
        <f t="shared" si="1"/>
        <v>49448.569999999985</v>
      </c>
      <c r="T37" s="82">
        <f t="shared" si="2"/>
        <v>162653.60999999993</v>
      </c>
    </row>
    <row r="38" spans="1:20">
      <c r="A38" s="83" t="s">
        <v>421</v>
      </c>
      <c r="B38" s="84">
        <v>141205</v>
      </c>
      <c r="C38" s="85">
        <v>809.77721496774188</v>
      </c>
      <c r="D38" s="86">
        <v>4.3397896675046919E-2</v>
      </c>
      <c r="E38" s="87">
        <v>0</v>
      </c>
      <c r="F38" s="87">
        <v>0</v>
      </c>
      <c r="G38" s="87">
        <v>0</v>
      </c>
      <c r="H38" s="87">
        <v>4.3397896675046919E-2</v>
      </c>
      <c r="I38" s="87">
        <v>0</v>
      </c>
      <c r="J38" s="86">
        <v>0</v>
      </c>
      <c r="K38" s="86">
        <v>9.8105591161786063E-2</v>
      </c>
      <c r="L38" s="86">
        <v>0</v>
      </c>
      <c r="M38" s="86">
        <v>2.9743989235508656E-4</v>
      </c>
      <c r="N38" s="86">
        <v>0</v>
      </c>
      <c r="O38" s="86">
        <v>0.85819907227081194</v>
      </c>
      <c r="P38" s="86">
        <v>1</v>
      </c>
      <c r="R38" s="81">
        <f t="shared" si="0"/>
        <v>0</v>
      </c>
      <c r="S38" s="81">
        <f t="shared" si="1"/>
        <v>13853.000000000002</v>
      </c>
      <c r="T38" s="82">
        <f t="shared" si="2"/>
        <v>42</v>
      </c>
    </row>
    <row r="39" spans="1:20">
      <c r="A39" s="83" t="s">
        <v>422</v>
      </c>
      <c r="B39" s="84">
        <v>377809</v>
      </c>
      <c r="C39" s="85">
        <v>0</v>
      </c>
      <c r="D39" s="86">
        <v>0.35800100050554645</v>
      </c>
      <c r="E39" s="87">
        <v>0</v>
      </c>
      <c r="F39" s="87">
        <v>0</v>
      </c>
      <c r="G39" s="87">
        <v>9.487598230852097E-2</v>
      </c>
      <c r="H39" s="87">
        <v>7.4392087006926774E-2</v>
      </c>
      <c r="I39" s="87">
        <v>0.18873293119009871</v>
      </c>
      <c r="J39" s="86">
        <v>0</v>
      </c>
      <c r="K39" s="86">
        <v>0.64199899949445349</v>
      </c>
      <c r="L39" s="86">
        <v>0</v>
      </c>
      <c r="M39" s="86">
        <v>0</v>
      </c>
      <c r="N39" s="86">
        <v>0</v>
      </c>
      <c r="O39" s="86">
        <v>0</v>
      </c>
      <c r="P39" s="86">
        <v>1</v>
      </c>
      <c r="R39" s="81">
        <f t="shared" si="0"/>
        <v>0</v>
      </c>
      <c r="S39" s="81">
        <f t="shared" si="1"/>
        <v>242552.99999999997</v>
      </c>
      <c r="T39" s="82">
        <f t="shared" si="2"/>
        <v>0</v>
      </c>
    </row>
    <row r="40" spans="1:20">
      <c r="A40" s="83" t="s">
        <v>423</v>
      </c>
      <c r="B40" s="84">
        <v>40648</v>
      </c>
      <c r="C40" s="85">
        <v>254.27933481204485</v>
      </c>
      <c r="D40" s="86">
        <v>2.0763629206849047E-2</v>
      </c>
      <c r="E40" s="87">
        <v>0</v>
      </c>
      <c r="F40" s="87">
        <v>0</v>
      </c>
      <c r="G40" s="87">
        <v>5.5353276913993306E-3</v>
      </c>
      <c r="H40" s="87">
        <v>4.3052548710883686E-3</v>
      </c>
      <c r="I40" s="87">
        <v>1.0923046644361346E-2</v>
      </c>
      <c r="J40" s="86">
        <v>0</v>
      </c>
      <c r="K40" s="86">
        <v>0.70975201731942528</v>
      </c>
      <c r="L40" s="86">
        <v>0</v>
      </c>
      <c r="M40" s="86">
        <v>0</v>
      </c>
      <c r="N40" s="86">
        <v>0</v>
      </c>
      <c r="O40" s="86">
        <v>0.26948435347372562</v>
      </c>
      <c r="P40" s="86">
        <v>1</v>
      </c>
      <c r="R40" s="81">
        <f t="shared" si="0"/>
        <v>0</v>
      </c>
      <c r="S40" s="81">
        <f t="shared" si="1"/>
        <v>28850</v>
      </c>
      <c r="T40" s="82">
        <f t="shared" si="2"/>
        <v>0</v>
      </c>
    </row>
    <row r="41" spans="1:20">
      <c r="A41" s="83" t="s">
        <v>424</v>
      </c>
      <c r="B41" s="84">
        <v>2767084.1184999999</v>
      </c>
      <c r="C41" s="85">
        <v>728.57818320746401</v>
      </c>
      <c r="D41" s="86">
        <v>0.19891336021196601</v>
      </c>
      <c r="E41" s="87">
        <v>9.0347813544433102E-3</v>
      </c>
      <c r="F41" s="87">
        <v>1.40375204860257E-2</v>
      </c>
      <c r="G41" s="87">
        <v>0</v>
      </c>
      <c r="H41" s="87">
        <v>9.4312636994016999E-2</v>
      </c>
      <c r="I41" s="87">
        <v>8.1528421377479704E-2</v>
      </c>
      <c r="J41" s="86">
        <v>0</v>
      </c>
      <c r="K41" s="86">
        <v>1.56074040941737E-2</v>
      </c>
      <c r="L41" s="86">
        <v>0</v>
      </c>
      <c r="M41" s="86">
        <v>5.8508521268866499E-2</v>
      </c>
      <c r="N41" s="86">
        <v>0</v>
      </c>
      <c r="O41" s="86">
        <v>0.72697071442499395</v>
      </c>
      <c r="P41" s="86">
        <v>1</v>
      </c>
      <c r="R41" s="81">
        <f t="shared" si="0"/>
        <v>0</v>
      </c>
      <c r="S41" s="81">
        <f t="shared" si="1"/>
        <v>43186.99999999992</v>
      </c>
      <c r="T41" s="82">
        <f t="shared" si="2"/>
        <v>161897.99999999994</v>
      </c>
    </row>
    <row r="42" spans="1:20">
      <c r="A42" s="83" t="s">
        <v>297</v>
      </c>
      <c r="B42" s="84">
        <v>5342524</v>
      </c>
      <c r="C42" s="85">
        <v>563.9906984272485</v>
      </c>
      <c r="D42" s="86">
        <v>0.42332762566906579</v>
      </c>
      <c r="E42" s="87">
        <v>4.6494877702000026E-3</v>
      </c>
      <c r="F42" s="87">
        <v>0</v>
      </c>
      <c r="G42" s="87">
        <v>2.4071019615447679E-3</v>
      </c>
      <c r="H42" s="87">
        <v>0.19010958116425869</v>
      </c>
      <c r="I42" s="87">
        <v>0.22616145477306232</v>
      </c>
      <c r="J42" s="86">
        <v>0</v>
      </c>
      <c r="K42" s="86">
        <v>0.15866578690269861</v>
      </c>
      <c r="L42" s="86">
        <v>0</v>
      </c>
      <c r="M42" s="86">
        <v>1.6964747168723544E-2</v>
      </c>
      <c r="N42" s="86">
        <v>1.1875441042650354E-3</v>
      </c>
      <c r="O42" s="86">
        <v>0.39985429615524692</v>
      </c>
      <c r="P42" s="86">
        <v>0.99999999999999989</v>
      </c>
      <c r="R42" s="81">
        <f t="shared" si="0"/>
        <v>0</v>
      </c>
      <c r="S42" s="81">
        <f t="shared" si="1"/>
        <v>847675.77450655296</v>
      </c>
      <c r="T42" s="82">
        <f t="shared" si="2"/>
        <v>90634.568902837578</v>
      </c>
    </row>
    <row r="43" spans="1:20">
      <c r="A43" s="83" t="s">
        <v>298</v>
      </c>
      <c r="B43" s="84">
        <v>970866</v>
      </c>
      <c r="C43" s="85">
        <v>0</v>
      </c>
      <c r="D43" s="86">
        <v>0.35799991965935568</v>
      </c>
      <c r="E43" s="87">
        <v>0</v>
      </c>
      <c r="F43" s="87">
        <v>0</v>
      </c>
      <c r="G43" s="87">
        <v>0</v>
      </c>
      <c r="H43" s="87">
        <v>0.17899998557988436</v>
      </c>
      <c r="I43" s="87">
        <v>0.17899993407947132</v>
      </c>
      <c r="J43" s="86">
        <v>0</v>
      </c>
      <c r="K43" s="86">
        <v>0.64200008034064437</v>
      </c>
      <c r="L43" s="86">
        <v>0</v>
      </c>
      <c r="M43" s="86">
        <v>0</v>
      </c>
      <c r="N43" s="86">
        <v>0</v>
      </c>
      <c r="O43" s="86">
        <v>0</v>
      </c>
      <c r="P43" s="86">
        <v>1</v>
      </c>
      <c r="R43" s="81">
        <f t="shared" si="0"/>
        <v>0</v>
      </c>
      <c r="S43" s="81">
        <f t="shared" si="1"/>
        <v>623296.05000000005</v>
      </c>
      <c r="T43" s="82">
        <f t="shared" si="2"/>
        <v>0</v>
      </c>
    </row>
    <row r="44" spans="1:20">
      <c r="A44" s="83" t="s">
        <v>299</v>
      </c>
      <c r="B44" s="84">
        <v>97229</v>
      </c>
      <c r="C44" s="85">
        <v>0</v>
      </c>
      <c r="D44" s="86">
        <v>1</v>
      </c>
      <c r="E44" s="87">
        <v>0</v>
      </c>
      <c r="F44" s="87">
        <v>0</v>
      </c>
      <c r="G44" s="87">
        <v>0</v>
      </c>
      <c r="H44" s="87">
        <v>0.50000514249863726</v>
      </c>
      <c r="I44" s="87">
        <v>0.49999485750136274</v>
      </c>
      <c r="J44" s="86">
        <v>0</v>
      </c>
      <c r="K44" s="86">
        <v>0</v>
      </c>
      <c r="L44" s="86">
        <v>0</v>
      </c>
      <c r="M44" s="86">
        <v>0</v>
      </c>
      <c r="N44" s="86">
        <v>0</v>
      </c>
      <c r="O44" s="86">
        <v>0</v>
      </c>
      <c r="P44" s="86">
        <v>1</v>
      </c>
      <c r="R44" s="81">
        <f t="shared" si="0"/>
        <v>0</v>
      </c>
      <c r="S44" s="81">
        <f t="shared" si="1"/>
        <v>0</v>
      </c>
      <c r="T44" s="82">
        <f t="shared" si="2"/>
        <v>0</v>
      </c>
    </row>
    <row r="45" spans="1:20">
      <c r="A45" s="83" t="s">
        <v>38</v>
      </c>
      <c r="B45" s="84">
        <v>23760</v>
      </c>
      <c r="C45" s="85">
        <v>258.76894266666665</v>
      </c>
      <c r="D45" s="86">
        <v>0.23922558922558923</v>
      </c>
      <c r="E45" s="87">
        <v>0</v>
      </c>
      <c r="F45" s="87">
        <v>0</v>
      </c>
      <c r="G45" s="87">
        <v>8.2491582491582491E-3</v>
      </c>
      <c r="H45" s="87">
        <v>0.23097643097643097</v>
      </c>
      <c r="I45" s="87">
        <v>0</v>
      </c>
      <c r="J45" s="86">
        <v>0</v>
      </c>
      <c r="K45" s="86">
        <v>0.48653198653198654</v>
      </c>
      <c r="L45" s="86">
        <v>0</v>
      </c>
      <c r="M45" s="86">
        <v>0</v>
      </c>
      <c r="N45" s="86">
        <v>0</v>
      </c>
      <c r="O45" s="86">
        <v>0.27424242424242423</v>
      </c>
      <c r="P45" s="86">
        <v>1</v>
      </c>
      <c r="R45" s="81">
        <f t="shared" si="0"/>
        <v>0</v>
      </c>
      <c r="S45" s="81">
        <f t="shared" si="1"/>
        <v>11560</v>
      </c>
      <c r="T45" s="82">
        <f t="shared" si="2"/>
        <v>0</v>
      </c>
    </row>
    <row r="46" spans="1:20">
      <c r="A46" s="83" t="s">
        <v>425</v>
      </c>
      <c r="B46" s="84">
        <v>1038340.81</v>
      </c>
      <c r="C46" s="85">
        <v>838.014077724309</v>
      </c>
      <c r="D46" s="86">
        <v>0.21245143971563599</v>
      </c>
      <c r="E46" s="87">
        <v>0</v>
      </c>
      <c r="F46" s="87">
        <v>1.66698639149125E-2</v>
      </c>
      <c r="G46" s="87">
        <v>0</v>
      </c>
      <c r="H46" s="87">
        <v>0.104177741025126</v>
      </c>
      <c r="I46" s="87">
        <v>9.1603834775597401E-2</v>
      </c>
      <c r="J46" s="86">
        <v>0</v>
      </c>
      <c r="K46" s="86">
        <v>0</v>
      </c>
      <c r="L46" s="86">
        <v>0</v>
      </c>
      <c r="M46" s="86">
        <v>0</v>
      </c>
      <c r="N46" s="86">
        <v>0</v>
      </c>
      <c r="O46" s="86">
        <v>0.78754856028436404</v>
      </c>
      <c r="P46" s="86">
        <v>1</v>
      </c>
      <c r="R46" s="81">
        <f t="shared" si="0"/>
        <v>0</v>
      </c>
      <c r="S46" s="81">
        <f t="shared" si="1"/>
        <v>0</v>
      </c>
      <c r="T46" s="82">
        <f t="shared" si="2"/>
        <v>0</v>
      </c>
    </row>
    <row r="47" spans="1:20">
      <c r="A47" s="83" t="s">
        <v>426</v>
      </c>
      <c r="B47" s="84">
        <v>973037</v>
      </c>
      <c r="C47" s="85">
        <v>489.41508882111816</v>
      </c>
      <c r="D47" s="86">
        <v>0.35332263938769376</v>
      </c>
      <c r="E47" s="87">
        <v>0.14104807936388852</v>
      </c>
      <c r="F47" s="87">
        <v>3.6274057409944327E-2</v>
      </c>
      <c r="G47" s="87">
        <v>8.3219857004409911E-2</v>
      </c>
      <c r="H47" s="87">
        <v>3.7100445500359543E-4</v>
      </c>
      <c r="I47" s="87">
        <v>9.2409641154447358E-2</v>
      </c>
      <c r="J47" s="86">
        <v>3.5472443493926746E-2</v>
      </c>
      <c r="K47" s="86">
        <v>0.21350377114463809</v>
      </c>
      <c r="L47" s="86">
        <v>0.31301173542218858</v>
      </c>
      <c r="M47" s="86">
        <v>8.4364938283725821E-2</v>
      </c>
      <c r="N47" s="86">
        <v>4.3554434742459165E-5</v>
      </c>
      <c r="O47" s="86">
        <v>2.8091783308469855E-4</v>
      </c>
      <c r="P47" s="86">
        <v>1.0000000000000002</v>
      </c>
      <c r="R47" s="81">
        <f t="shared" si="0"/>
        <v>34516</v>
      </c>
      <c r="S47" s="81">
        <f t="shared" si="1"/>
        <v>207747.06896326522</v>
      </c>
      <c r="T47" s="82">
        <f t="shared" si="2"/>
        <v>82090.206452781727</v>
      </c>
    </row>
    <row r="48" spans="1:20">
      <c r="A48" s="83" t="s">
        <v>39</v>
      </c>
      <c r="B48" s="84">
        <v>30418</v>
      </c>
      <c r="C48" s="85">
        <v>310.13543664797567</v>
      </c>
      <c r="D48" s="86">
        <v>0.28407521862055363</v>
      </c>
      <c r="E48" s="87">
        <v>9.8625813662962719E-2</v>
      </c>
      <c r="F48" s="87">
        <v>0.11729896771648365</v>
      </c>
      <c r="G48" s="87">
        <v>7.298310211059241E-3</v>
      </c>
      <c r="H48" s="87">
        <v>6.0852127030047998E-2</v>
      </c>
      <c r="I48" s="87">
        <v>0</v>
      </c>
      <c r="J48" s="86">
        <v>0</v>
      </c>
      <c r="K48" s="86">
        <v>0.3767506081925176</v>
      </c>
      <c r="L48" s="86">
        <v>0.33910842264448682</v>
      </c>
      <c r="M48" s="86">
        <v>3.2875271220987576E-5</v>
      </c>
      <c r="N48" s="86">
        <v>0</v>
      </c>
      <c r="O48" s="86">
        <v>3.2875271220987576E-5</v>
      </c>
      <c r="P48" s="86">
        <v>1</v>
      </c>
      <c r="R48" s="81">
        <f t="shared" si="0"/>
        <v>0</v>
      </c>
      <c r="S48" s="81">
        <f t="shared" si="1"/>
        <v>11460</v>
      </c>
      <c r="T48" s="82">
        <f t="shared" si="2"/>
        <v>1</v>
      </c>
    </row>
    <row r="49" spans="1:20">
      <c r="A49" s="83" t="s">
        <v>427</v>
      </c>
      <c r="B49" s="84">
        <v>6057</v>
      </c>
      <c r="C49" s="85">
        <v>99.118239522830507</v>
      </c>
      <c r="D49" s="86">
        <v>1</v>
      </c>
      <c r="E49" s="87">
        <v>0</v>
      </c>
      <c r="F49" s="87">
        <v>1</v>
      </c>
      <c r="G49" s="87">
        <v>0</v>
      </c>
      <c r="H49" s="87">
        <v>0</v>
      </c>
      <c r="I49" s="87">
        <v>0</v>
      </c>
      <c r="J49" s="86">
        <v>0</v>
      </c>
      <c r="K49" s="86">
        <v>0</v>
      </c>
      <c r="L49" s="86">
        <v>0</v>
      </c>
      <c r="M49" s="86">
        <v>0</v>
      </c>
      <c r="N49" s="86">
        <v>0</v>
      </c>
      <c r="O49" s="86">
        <v>0</v>
      </c>
      <c r="P49" s="86">
        <v>1</v>
      </c>
      <c r="R49" s="81">
        <f t="shared" si="0"/>
        <v>0</v>
      </c>
      <c r="S49" s="81">
        <f t="shared" si="1"/>
        <v>0</v>
      </c>
      <c r="T49" s="82">
        <f t="shared" si="2"/>
        <v>0</v>
      </c>
    </row>
    <row r="50" spans="1:20">
      <c r="A50" s="83" t="s">
        <v>428</v>
      </c>
      <c r="B50" s="84">
        <v>65503</v>
      </c>
      <c r="C50" s="85">
        <v>420.78594548800203</v>
      </c>
      <c r="D50" s="86">
        <v>0.45300215257316501</v>
      </c>
      <c r="E50" s="87">
        <v>0</v>
      </c>
      <c r="F50" s="87">
        <v>0.353464726806406</v>
      </c>
      <c r="G50" s="87">
        <v>3.8776849915271101E-3</v>
      </c>
      <c r="H50" s="87">
        <v>9.5659740775231705E-2</v>
      </c>
      <c r="I50" s="87">
        <v>0</v>
      </c>
      <c r="J50" s="86">
        <v>0</v>
      </c>
      <c r="K50" s="86">
        <v>0.117811397951239</v>
      </c>
      <c r="L50" s="86">
        <v>0.42918644947559698</v>
      </c>
      <c r="M50" s="86">
        <v>0</v>
      </c>
      <c r="N50" s="86">
        <v>0</v>
      </c>
      <c r="O50" s="86">
        <v>0</v>
      </c>
      <c r="P50" s="86">
        <v>1</v>
      </c>
      <c r="R50" s="81">
        <f t="shared" si="0"/>
        <v>0</v>
      </c>
      <c r="S50" s="81">
        <f t="shared" si="1"/>
        <v>7717.0000000000082</v>
      </c>
      <c r="T50" s="82">
        <f t="shared" si="2"/>
        <v>0</v>
      </c>
    </row>
    <row r="51" spans="1:20">
      <c r="A51" s="83" t="s">
        <v>429</v>
      </c>
      <c r="B51" s="84">
        <v>818734</v>
      </c>
      <c r="C51" s="85">
        <v>1.1110411160947626E-4</v>
      </c>
      <c r="D51" s="86">
        <v>1.4778914763525149E-4</v>
      </c>
      <c r="E51" s="87">
        <v>0</v>
      </c>
      <c r="F51" s="87">
        <v>0</v>
      </c>
      <c r="G51" s="87">
        <v>1.4778914763525149E-4</v>
      </c>
      <c r="H51" s="87">
        <v>0</v>
      </c>
      <c r="I51" s="87">
        <v>0</v>
      </c>
      <c r="J51" s="86">
        <v>0</v>
      </c>
      <c r="K51" s="86">
        <v>0.9998520931046142</v>
      </c>
      <c r="L51" s="86">
        <v>0</v>
      </c>
      <c r="M51" s="86">
        <v>0</v>
      </c>
      <c r="N51" s="86">
        <v>0</v>
      </c>
      <c r="O51" s="86">
        <v>1.1774775054954294E-7</v>
      </c>
      <c r="P51" s="86">
        <v>1</v>
      </c>
      <c r="R51" s="81">
        <f t="shared" si="0"/>
        <v>0</v>
      </c>
      <c r="S51" s="81">
        <f t="shared" si="1"/>
        <v>818612.9035959132</v>
      </c>
      <c r="T51" s="82">
        <f t="shared" si="2"/>
        <v>0</v>
      </c>
    </row>
    <row r="52" spans="1:20">
      <c r="A52" s="83" t="s">
        <v>430</v>
      </c>
      <c r="B52" s="84">
        <v>57581</v>
      </c>
      <c r="C52" s="85">
        <v>0</v>
      </c>
      <c r="D52" s="86">
        <v>1</v>
      </c>
      <c r="E52" s="87">
        <v>0</v>
      </c>
      <c r="F52" s="87">
        <v>0</v>
      </c>
      <c r="G52" s="87">
        <v>1</v>
      </c>
      <c r="H52" s="87">
        <v>0</v>
      </c>
      <c r="I52" s="87">
        <v>0</v>
      </c>
      <c r="J52" s="86">
        <v>0</v>
      </c>
      <c r="K52" s="86">
        <v>0</v>
      </c>
      <c r="L52" s="86">
        <v>0</v>
      </c>
      <c r="M52" s="86">
        <v>0</v>
      </c>
      <c r="N52" s="86">
        <v>0</v>
      </c>
      <c r="O52" s="86">
        <v>0</v>
      </c>
      <c r="P52" s="86">
        <v>1</v>
      </c>
      <c r="R52" s="81">
        <f t="shared" si="0"/>
        <v>0</v>
      </c>
      <c r="S52" s="81">
        <f t="shared" si="1"/>
        <v>0</v>
      </c>
      <c r="T52" s="82">
        <f t="shared" si="2"/>
        <v>0</v>
      </c>
    </row>
    <row r="53" spans="1:20">
      <c r="A53" s="83" t="s">
        <v>40</v>
      </c>
      <c r="B53" s="84">
        <v>3515688.8355100001</v>
      </c>
      <c r="C53" s="85">
        <v>564.53487519912619</v>
      </c>
      <c r="D53" s="86">
        <v>0.40016567615146048</v>
      </c>
      <c r="E53" s="87">
        <v>8.7700594229430065E-2</v>
      </c>
      <c r="F53" s="87">
        <v>0.12086820531668503</v>
      </c>
      <c r="G53" s="87">
        <v>6.8642309172106356E-2</v>
      </c>
      <c r="H53" s="87">
        <v>0.12295456743323906</v>
      </c>
      <c r="I53" s="87">
        <v>0</v>
      </c>
      <c r="J53" s="86">
        <v>0</v>
      </c>
      <c r="K53" s="86">
        <v>4.8102438218593543E-2</v>
      </c>
      <c r="L53" s="86">
        <v>0.35611456490528165</v>
      </c>
      <c r="M53" s="86">
        <v>3.4671716394838757E-2</v>
      </c>
      <c r="N53" s="86">
        <v>2.6238332165039744E-4</v>
      </c>
      <c r="O53" s="86">
        <v>0.16068322100817498</v>
      </c>
      <c r="P53" s="86">
        <v>0.99999999999999989</v>
      </c>
      <c r="R53" s="81">
        <f t="shared" si="0"/>
        <v>0</v>
      </c>
      <c r="S53" s="81">
        <f t="shared" si="1"/>
        <v>169113.20500591886</v>
      </c>
      <c r="T53" s="82">
        <f t="shared" si="2"/>
        <v>121894.96623730366</v>
      </c>
    </row>
    <row r="54" spans="1:20">
      <c r="A54" s="83" t="s">
        <v>431</v>
      </c>
      <c r="B54" s="84">
        <v>39320</v>
      </c>
      <c r="C54" s="85">
        <v>943.57735999999989</v>
      </c>
      <c r="D54" s="86">
        <v>0</v>
      </c>
      <c r="E54" s="87">
        <v>0</v>
      </c>
      <c r="F54" s="87">
        <v>0</v>
      </c>
      <c r="G54" s="87">
        <v>0</v>
      </c>
      <c r="H54" s="87">
        <v>0</v>
      </c>
      <c r="I54" s="87">
        <v>0</v>
      </c>
      <c r="J54" s="86">
        <v>0</v>
      </c>
      <c r="K54" s="86">
        <v>0</v>
      </c>
      <c r="L54" s="86">
        <v>0</v>
      </c>
      <c r="M54" s="86">
        <v>0</v>
      </c>
      <c r="N54" s="86">
        <v>0</v>
      </c>
      <c r="O54" s="86">
        <v>1</v>
      </c>
      <c r="P54" s="86">
        <v>1</v>
      </c>
      <c r="R54" s="81">
        <f t="shared" si="0"/>
        <v>0</v>
      </c>
      <c r="S54" s="81">
        <f t="shared" si="1"/>
        <v>0</v>
      </c>
      <c r="T54" s="82">
        <f t="shared" si="2"/>
        <v>0</v>
      </c>
    </row>
    <row r="55" spans="1:20">
      <c r="A55" s="83" t="s">
        <v>432</v>
      </c>
      <c r="B55" s="84">
        <v>34420</v>
      </c>
      <c r="C55" s="85">
        <v>566.61244781638595</v>
      </c>
      <c r="D55" s="86">
        <v>0.39950610110400903</v>
      </c>
      <c r="E55" s="87">
        <v>0</v>
      </c>
      <c r="F55" s="87">
        <v>0</v>
      </c>
      <c r="G55" s="87">
        <v>0</v>
      </c>
      <c r="H55" s="87">
        <v>0.39950610110400903</v>
      </c>
      <c r="I55" s="87">
        <v>0</v>
      </c>
      <c r="J55" s="86">
        <v>0</v>
      </c>
      <c r="K55" s="86">
        <v>0</v>
      </c>
      <c r="L55" s="86">
        <v>0</v>
      </c>
      <c r="M55" s="86">
        <v>0</v>
      </c>
      <c r="N55" s="86">
        <v>0</v>
      </c>
      <c r="O55" s="86">
        <v>0.60049389889599103</v>
      </c>
      <c r="P55" s="86">
        <v>1</v>
      </c>
      <c r="R55" s="81">
        <f t="shared" si="0"/>
        <v>0</v>
      </c>
      <c r="S55" s="81">
        <f t="shared" si="1"/>
        <v>0</v>
      </c>
      <c r="T55" s="82">
        <f t="shared" si="2"/>
        <v>0</v>
      </c>
    </row>
    <row r="56" spans="1:20">
      <c r="A56" s="83" t="s">
        <v>41</v>
      </c>
      <c r="B56" s="84">
        <v>6213</v>
      </c>
      <c r="C56" s="85">
        <v>972.38717059869919</v>
      </c>
      <c r="D56" s="86">
        <v>0</v>
      </c>
      <c r="E56" s="87">
        <v>0</v>
      </c>
      <c r="F56" s="87">
        <v>0</v>
      </c>
      <c r="G56" s="87">
        <v>0</v>
      </c>
      <c r="H56" s="87">
        <v>0</v>
      </c>
      <c r="I56" s="87">
        <v>0</v>
      </c>
      <c r="J56" s="86">
        <v>0</v>
      </c>
      <c r="K56" s="86">
        <v>0</v>
      </c>
      <c r="L56" s="86">
        <v>0</v>
      </c>
      <c r="M56" s="86">
        <v>0</v>
      </c>
      <c r="N56" s="86">
        <v>3.1868662481892802E-2</v>
      </c>
      <c r="O56" s="86">
        <v>0.9681313375181072</v>
      </c>
      <c r="P56" s="86">
        <v>1</v>
      </c>
      <c r="R56" s="81">
        <f t="shared" si="0"/>
        <v>0</v>
      </c>
      <c r="S56" s="81">
        <f t="shared" si="1"/>
        <v>0</v>
      </c>
      <c r="T56" s="82">
        <f t="shared" si="2"/>
        <v>0</v>
      </c>
    </row>
    <row r="57" spans="1:20">
      <c r="A57" s="83" t="s">
        <v>307</v>
      </c>
      <c r="B57" s="84">
        <v>38195</v>
      </c>
      <c r="C57" s="85">
        <v>0</v>
      </c>
      <c r="D57" s="86">
        <v>1</v>
      </c>
      <c r="E57" s="87">
        <v>0</v>
      </c>
      <c r="F57" s="87">
        <v>0</v>
      </c>
      <c r="G57" s="87">
        <v>0</v>
      </c>
      <c r="H57" s="87">
        <v>1</v>
      </c>
      <c r="I57" s="87">
        <v>0</v>
      </c>
      <c r="J57" s="86">
        <v>0</v>
      </c>
      <c r="K57" s="86">
        <v>0</v>
      </c>
      <c r="L57" s="86">
        <v>0</v>
      </c>
      <c r="M57" s="86">
        <v>0</v>
      </c>
      <c r="N57" s="86">
        <v>0</v>
      </c>
      <c r="O57" s="86">
        <v>0</v>
      </c>
      <c r="P57" s="86">
        <v>1</v>
      </c>
      <c r="R57" s="81">
        <f t="shared" si="0"/>
        <v>0</v>
      </c>
      <c r="S57" s="81">
        <f t="shared" si="1"/>
        <v>0</v>
      </c>
      <c r="T57" s="82">
        <f t="shared" si="2"/>
        <v>0</v>
      </c>
    </row>
    <row r="58" spans="1:20">
      <c r="A58" s="83" t="s">
        <v>433</v>
      </c>
      <c r="B58" s="84">
        <v>20619884</v>
      </c>
      <c r="C58" s="85">
        <v>609.48313321982926</v>
      </c>
      <c r="D58" s="86">
        <v>0.35240309449650636</v>
      </c>
      <c r="E58" s="87">
        <v>9.3038062677752601E-4</v>
      </c>
      <c r="F58" s="87">
        <v>9.709104086133559E-2</v>
      </c>
      <c r="G58" s="87">
        <v>4.8281576654844414E-3</v>
      </c>
      <c r="H58" s="87">
        <v>0.14311882346976346</v>
      </c>
      <c r="I58" s="87">
        <v>0.10643469187314536</v>
      </c>
      <c r="J58" s="86">
        <v>0.18577435902806241</v>
      </c>
      <c r="K58" s="86">
        <v>6.5588050834815559E-2</v>
      </c>
      <c r="L58" s="86">
        <v>0.25904680229743271</v>
      </c>
      <c r="M58" s="86">
        <v>0.13685372817810226</v>
      </c>
      <c r="N58" s="86">
        <v>1.1344986053267806E-4</v>
      </c>
      <c r="O58" s="86">
        <v>2.2051530454778503E-4</v>
      </c>
      <c r="P58" s="86">
        <v>0.99999999999999978</v>
      </c>
      <c r="R58" s="81">
        <f t="shared" si="0"/>
        <v>3830645.7333329995</v>
      </c>
      <c r="S58" s="81">
        <f t="shared" si="1"/>
        <v>1352418</v>
      </c>
      <c r="T58" s="82">
        <f t="shared" si="2"/>
        <v>2821908</v>
      </c>
    </row>
    <row r="59" spans="1:20">
      <c r="A59" s="83" t="s">
        <v>434</v>
      </c>
      <c r="B59" s="84">
        <v>609625.93879373092</v>
      </c>
      <c r="C59" s="85">
        <v>650.42365989117729</v>
      </c>
      <c r="D59" s="86">
        <v>0.27170431810652368</v>
      </c>
      <c r="E59" s="87">
        <v>1.7807641225832362E-2</v>
      </c>
      <c r="F59" s="87">
        <v>5.1634942014254892E-2</v>
      </c>
      <c r="G59" s="87">
        <v>1.6108238470677397E-3</v>
      </c>
      <c r="H59" s="87">
        <v>8.1176007861345448E-2</v>
      </c>
      <c r="I59" s="87">
        <v>0.11947490315802323</v>
      </c>
      <c r="J59" s="86">
        <v>0</v>
      </c>
      <c r="K59" s="86">
        <v>2.1772236309798718E-2</v>
      </c>
      <c r="L59" s="86">
        <v>0</v>
      </c>
      <c r="M59" s="86">
        <v>7.1559553529366021E-2</v>
      </c>
      <c r="N59" s="86">
        <v>0</v>
      </c>
      <c r="O59" s="86">
        <v>0.63496389205431158</v>
      </c>
      <c r="P59" s="86">
        <v>1</v>
      </c>
      <c r="R59" s="81">
        <f t="shared" si="0"/>
        <v>0</v>
      </c>
      <c r="S59" s="81">
        <f t="shared" si="1"/>
        <v>13272.92</v>
      </c>
      <c r="T59" s="82">
        <f t="shared" si="2"/>
        <v>43624.560000000005</v>
      </c>
    </row>
    <row r="60" spans="1:20">
      <c r="A60" s="83" t="s">
        <v>435</v>
      </c>
      <c r="B60" s="84">
        <v>5743.5432052500028</v>
      </c>
      <c r="C60" s="85">
        <v>690.57863038797996</v>
      </c>
      <c r="D60" s="86">
        <v>0.3217526070511314</v>
      </c>
      <c r="E60" s="87">
        <v>0</v>
      </c>
      <c r="F60" s="87">
        <v>0</v>
      </c>
      <c r="G60" s="87">
        <v>0</v>
      </c>
      <c r="H60" s="87">
        <v>0.26812717254260954</v>
      </c>
      <c r="I60" s="87">
        <v>5.3625434508521905E-2</v>
      </c>
      <c r="J60" s="86">
        <v>0</v>
      </c>
      <c r="K60" s="86">
        <v>0</v>
      </c>
      <c r="L60" s="86">
        <v>0</v>
      </c>
      <c r="M60" s="86">
        <v>0</v>
      </c>
      <c r="N60" s="86">
        <v>0</v>
      </c>
      <c r="O60" s="86">
        <v>0.6782473929488686</v>
      </c>
      <c r="P60" s="86">
        <v>1</v>
      </c>
      <c r="R60" s="81">
        <f t="shared" si="0"/>
        <v>0</v>
      </c>
      <c r="S60" s="81">
        <f t="shared" si="1"/>
        <v>0</v>
      </c>
      <c r="T60" s="82">
        <f t="shared" si="2"/>
        <v>0</v>
      </c>
    </row>
    <row r="61" spans="1:20">
      <c r="A61" s="83" t="s">
        <v>436</v>
      </c>
      <c r="B61" s="84">
        <v>129855</v>
      </c>
      <c r="C61" s="85">
        <v>563.46977896787087</v>
      </c>
      <c r="D61" s="86">
        <v>0.34591659928381657</v>
      </c>
      <c r="E61" s="87">
        <v>0.28454814985945864</v>
      </c>
      <c r="F61" s="87">
        <v>0</v>
      </c>
      <c r="G61" s="87">
        <v>1.7481036540756998E-3</v>
      </c>
      <c r="H61" s="87">
        <v>5.9620345770282239E-2</v>
      </c>
      <c r="I61" s="87">
        <v>0</v>
      </c>
      <c r="J61" s="86">
        <v>0</v>
      </c>
      <c r="K61" s="86">
        <v>7.8818682376496862E-2</v>
      </c>
      <c r="L61" s="86">
        <v>0</v>
      </c>
      <c r="M61" s="86">
        <v>0</v>
      </c>
      <c r="N61" s="86">
        <v>0</v>
      </c>
      <c r="O61" s="86">
        <v>0.57526471833968662</v>
      </c>
      <c r="P61" s="86">
        <v>1</v>
      </c>
      <c r="R61" s="81">
        <f t="shared" si="0"/>
        <v>0</v>
      </c>
      <c r="S61" s="81">
        <f t="shared" si="1"/>
        <v>10235</v>
      </c>
      <c r="T61" s="82">
        <f t="shared" si="2"/>
        <v>0</v>
      </c>
    </row>
    <row r="62" spans="1:20">
      <c r="A62" s="83" t="s">
        <v>149</v>
      </c>
      <c r="B62" s="84">
        <v>21656</v>
      </c>
      <c r="C62" s="85">
        <v>647.2062294717399</v>
      </c>
      <c r="D62" s="86">
        <v>0.31409309198374585</v>
      </c>
      <c r="E62" s="87">
        <v>0</v>
      </c>
      <c r="F62" s="87">
        <v>0</v>
      </c>
      <c r="G62" s="87">
        <v>0</v>
      </c>
      <c r="H62" s="87">
        <v>0.31409309198374585</v>
      </c>
      <c r="I62" s="87">
        <v>0</v>
      </c>
      <c r="J62" s="86">
        <v>0</v>
      </c>
      <c r="K62" s="86">
        <v>0</v>
      </c>
      <c r="L62" s="86">
        <v>0</v>
      </c>
      <c r="M62" s="86">
        <v>0</v>
      </c>
      <c r="N62" s="86">
        <v>0</v>
      </c>
      <c r="O62" s="86">
        <v>0.6859069080162542</v>
      </c>
      <c r="P62" s="86">
        <v>1</v>
      </c>
      <c r="R62" s="81">
        <f t="shared" si="0"/>
        <v>0</v>
      </c>
      <c r="S62" s="81">
        <f t="shared" si="1"/>
        <v>0</v>
      </c>
      <c r="T62" s="82">
        <f t="shared" si="2"/>
        <v>0</v>
      </c>
    </row>
    <row r="63" spans="1:20">
      <c r="A63" s="83" t="s">
        <v>43</v>
      </c>
      <c r="B63" s="84">
        <v>560675.15300000005</v>
      </c>
      <c r="C63" s="85">
        <v>655.28798591617999</v>
      </c>
      <c r="D63" s="86">
        <v>0.30552807464967147</v>
      </c>
      <c r="E63" s="87">
        <v>0</v>
      </c>
      <c r="F63" s="87">
        <v>3.9950049293516664E-2</v>
      </c>
      <c r="G63" s="87">
        <v>0</v>
      </c>
      <c r="H63" s="87">
        <v>0.26557802535615482</v>
      </c>
      <c r="I63" s="87">
        <v>0</v>
      </c>
      <c r="J63" s="86">
        <v>0</v>
      </c>
      <c r="K63" s="86">
        <v>0</v>
      </c>
      <c r="L63" s="86">
        <v>0</v>
      </c>
      <c r="M63" s="86">
        <v>0</v>
      </c>
      <c r="N63" s="86">
        <v>0</v>
      </c>
      <c r="O63" s="86">
        <v>0.69447192535032853</v>
      </c>
      <c r="P63" s="86">
        <v>1</v>
      </c>
      <c r="R63" s="81">
        <f t="shared" si="0"/>
        <v>0</v>
      </c>
      <c r="S63" s="81">
        <f t="shared" si="1"/>
        <v>0</v>
      </c>
      <c r="T63" s="82">
        <f t="shared" si="2"/>
        <v>0</v>
      </c>
    </row>
    <row r="64" spans="1:20">
      <c r="A64" s="83" t="s">
        <v>150</v>
      </c>
      <c r="B64" s="84">
        <v>422653</v>
      </c>
      <c r="C64" s="85">
        <v>602.5453635232941</v>
      </c>
      <c r="D64" s="86">
        <v>0.27509327983002607</v>
      </c>
      <c r="E64" s="87">
        <v>0</v>
      </c>
      <c r="F64" s="87">
        <v>0.19341398262877585</v>
      </c>
      <c r="G64" s="87">
        <v>8.4821354633706613E-3</v>
      </c>
      <c r="H64" s="87">
        <v>7.3197161737879532E-2</v>
      </c>
      <c r="I64" s="87">
        <v>0</v>
      </c>
      <c r="J64" s="86">
        <v>0</v>
      </c>
      <c r="K64" s="86">
        <v>8.251757351775571E-2</v>
      </c>
      <c r="L64" s="86">
        <v>0.41806872304230658</v>
      </c>
      <c r="M64" s="86">
        <v>2.3660071027533223E-6</v>
      </c>
      <c r="N64" s="86">
        <v>0</v>
      </c>
      <c r="O64" s="86">
        <v>0.22431805760280896</v>
      </c>
      <c r="P64" s="86">
        <v>1</v>
      </c>
      <c r="R64" s="81">
        <f t="shared" si="0"/>
        <v>0</v>
      </c>
      <c r="S64" s="81">
        <f t="shared" si="1"/>
        <v>34876.300000000003</v>
      </c>
      <c r="T64" s="82">
        <f t="shared" si="2"/>
        <v>0.99999999999999989</v>
      </c>
    </row>
    <row r="65" spans="1:20">
      <c r="A65" s="83" t="s">
        <v>151</v>
      </c>
      <c r="B65" s="84">
        <v>116026</v>
      </c>
      <c r="C65" s="85">
        <v>632.37408632972631</v>
      </c>
      <c r="D65" s="86">
        <v>0.25609777118921623</v>
      </c>
      <c r="E65" s="87">
        <v>0</v>
      </c>
      <c r="F65" s="87">
        <v>0.25226242393946186</v>
      </c>
      <c r="G65" s="87">
        <v>2.9131401582403946E-3</v>
      </c>
      <c r="H65" s="87">
        <v>9.2220709151397096E-4</v>
      </c>
      <c r="I65" s="87">
        <v>0</v>
      </c>
      <c r="J65" s="86">
        <v>0</v>
      </c>
      <c r="K65" s="86">
        <v>8.8325030596590415E-2</v>
      </c>
      <c r="L65" s="86">
        <v>0.31530863771913192</v>
      </c>
      <c r="M65" s="86">
        <v>8.6187578646165519E-6</v>
      </c>
      <c r="N65" s="86">
        <v>0</v>
      </c>
      <c r="O65" s="86">
        <v>0.34025994173719681</v>
      </c>
      <c r="P65" s="86">
        <v>1</v>
      </c>
      <c r="R65" s="81">
        <f t="shared" si="0"/>
        <v>0</v>
      </c>
      <c r="S65" s="81">
        <f t="shared" si="1"/>
        <v>10248</v>
      </c>
      <c r="T65" s="82">
        <f t="shared" si="2"/>
        <v>1</v>
      </c>
    </row>
    <row r="66" spans="1:20">
      <c r="A66" s="83" t="s">
        <v>437</v>
      </c>
      <c r="B66" s="84">
        <v>5143728.6073443899</v>
      </c>
      <c r="C66" s="85">
        <v>74.666787236467641</v>
      </c>
      <c r="D66" s="86">
        <v>0.60457901851202422</v>
      </c>
      <c r="E66" s="87">
        <v>6.1083975066525763E-2</v>
      </c>
      <c r="F66" s="87">
        <v>5.6352700954347357E-2</v>
      </c>
      <c r="G66" s="87">
        <v>1.3926473472515355E-2</v>
      </c>
      <c r="H66" s="87">
        <v>0.31274220039984058</v>
      </c>
      <c r="I66" s="87">
        <v>0.16047366861879508</v>
      </c>
      <c r="J66" s="86">
        <v>0</v>
      </c>
      <c r="K66" s="86">
        <v>0.36824082990282486</v>
      </c>
      <c r="L66" s="86">
        <v>0</v>
      </c>
      <c r="M66" s="86">
        <v>9.4783716683469015E-3</v>
      </c>
      <c r="N66" s="86">
        <v>6.1234569598484184E-4</v>
      </c>
      <c r="O66" s="86">
        <v>1.7089434220818839E-2</v>
      </c>
      <c r="P66" s="86">
        <v>1</v>
      </c>
      <c r="R66" s="81">
        <f t="shared" ref="R66:R129" si="3">J66*B66</f>
        <v>0</v>
      </c>
      <c r="S66" s="81">
        <f t="shared" ref="S66:S129" si="4">B66*K66</f>
        <v>1894130.8911633997</v>
      </c>
      <c r="T66" s="82">
        <f t="shared" ref="T66:T129" si="5">B66*M66</f>
        <v>48754.171501518525</v>
      </c>
    </row>
    <row r="67" spans="1:20">
      <c r="A67" s="83" t="s">
        <v>438</v>
      </c>
      <c r="B67" s="84">
        <v>187021.14183354122</v>
      </c>
      <c r="C67" s="85">
        <v>0</v>
      </c>
      <c r="D67" s="86">
        <v>0.99999999999999989</v>
      </c>
      <c r="E67" s="87">
        <v>0</v>
      </c>
      <c r="F67" s="87">
        <v>0</v>
      </c>
      <c r="G67" s="87">
        <v>0</v>
      </c>
      <c r="H67" s="87">
        <v>0.4999997513660257</v>
      </c>
      <c r="I67" s="87">
        <v>0.50000024863397419</v>
      </c>
      <c r="J67" s="86">
        <v>0</v>
      </c>
      <c r="K67" s="86">
        <v>0</v>
      </c>
      <c r="L67" s="86">
        <v>0</v>
      </c>
      <c r="M67" s="86">
        <v>0</v>
      </c>
      <c r="N67" s="86">
        <v>0</v>
      </c>
      <c r="O67" s="86">
        <v>0</v>
      </c>
      <c r="P67" s="86">
        <v>1</v>
      </c>
      <c r="R67" s="81">
        <f t="shared" si="3"/>
        <v>0</v>
      </c>
      <c r="S67" s="81">
        <f t="shared" si="4"/>
        <v>0</v>
      </c>
      <c r="T67" s="82">
        <f t="shared" si="5"/>
        <v>0</v>
      </c>
    </row>
    <row r="68" spans="1:20">
      <c r="A68" s="83" t="s">
        <v>439</v>
      </c>
      <c r="B68" s="84">
        <v>1878.62</v>
      </c>
      <c r="C68" s="85">
        <v>0</v>
      </c>
      <c r="D68" s="86">
        <v>1</v>
      </c>
      <c r="E68" s="87">
        <v>0</v>
      </c>
      <c r="F68" s="87">
        <v>0</v>
      </c>
      <c r="G68" s="87">
        <v>0</v>
      </c>
      <c r="H68" s="87">
        <v>1</v>
      </c>
      <c r="I68" s="87">
        <v>0</v>
      </c>
      <c r="J68" s="86">
        <v>0</v>
      </c>
      <c r="K68" s="86">
        <v>0</v>
      </c>
      <c r="L68" s="86">
        <v>0</v>
      </c>
      <c r="M68" s="86">
        <v>0</v>
      </c>
      <c r="N68" s="86">
        <v>0</v>
      </c>
      <c r="O68" s="86">
        <v>0</v>
      </c>
      <c r="P68" s="86">
        <v>1</v>
      </c>
      <c r="R68" s="81">
        <f t="shared" si="3"/>
        <v>0</v>
      </c>
      <c r="S68" s="81">
        <f t="shared" si="4"/>
        <v>0</v>
      </c>
      <c r="T68" s="82">
        <f t="shared" si="5"/>
        <v>0</v>
      </c>
    </row>
    <row r="69" spans="1:20">
      <c r="A69" s="83" t="s">
        <v>440</v>
      </c>
      <c r="B69" s="84">
        <v>577.94382207129411</v>
      </c>
      <c r="C69" s="85">
        <v>0</v>
      </c>
      <c r="D69" s="86">
        <v>1</v>
      </c>
      <c r="E69" s="87">
        <v>0</v>
      </c>
      <c r="F69" s="87">
        <v>0</v>
      </c>
      <c r="G69" s="87">
        <v>0</v>
      </c>
      <c r="H69" s="87">
        <v>1</v>
      </c>
      <c r="I69" s="87">
        <v>0</v>
      </c>
      <c r="J69" s="86">
        <v>0</v>
      </c>
      <c r="K69" s="86">
        <v>0</v>
      </c>
      <c r="L69" s="86">
        <v>0</v>
      </c>
      <c r="M69" s="86">
        <v>0</v>
      </c>
      <c r="N69" s="86">
        <v>0</v>
      </c>
      <c r="O69" s="86">
        <v>0</v>
      </c>
      <c r="P69" s="86">
        <v>1</v>
      </c>
      <c r="R69" s="81">
        <f t="shared" si="3"/>
        <v>0</v>
      </c>
      <c r="S69" s="81">
        <f t="shared" si="4"/>
        <v>0</v>
      </c>
      <c r="T69" s="82">
        <f t="shared" si="5"/>
        <v>0</v>
      </c>
    </row>
    <row r="70" spans="1:20">
      <c r="A70" s="83" t="s">
        <v>0</v>
      </c>
      <c r="B70" s="84">
        <v>521527.65</v>
      </c>
      <c r="C70" s="85">
        <v>925.89368567009626</v>
      </c>
      <c r="D70" s="86">
        <v>3.2788290323629055E-4</v>
      </c>
      <c r="E70" s="87">
        <v>0</v>
      </c>
      <c r="F70" s="87">
        <v>0</v>
      </c>
      <c r="G70" s="87">
        <v>3.2788290323629055E-4</v>
      </c>
      <c r="H70" s="87">
        <v>0</v>
      </c>
      <c r="I70" s="87">
        <v>0</v>
      </c>
      <c r="J70" s="86">
        <v>0</v>
      </c>
      <c r="K70" s="86">
        <v>1.8413213565953788E-2</v>
      </c>
      <c r="L70" s="86">
        <v>0</v>
      </c>
      <c r="M70" s="86">
        <v>0</v>
      </c>
      <c r="N70" s="86">
        <v>0</v>
      </c>
      <c r="O70" s="86">
        <v>0.98125890353080991</v>
      </c>
      <c r="P70" s="86">
        <v>1</v>
      </c>
      <c r="R70" s="81">
        <f t="shared" si="3"/>
        <v>0</v>
      </c>
      <c r="S70" s="81">
        <f t="shared" si="4"/>
        <v>9603</v>
      </c>
      <c r="T70" s="82">
        <f t="shared" si="5"/>
        <v>0</v>
      </c>
    </row>
    <row r="71" spans="1:20">
      <c r="A71" s="83" t="s">
        <v>46</v>
      </c>
      <c r="B71" s="84">
        <v>2640606</v>
      </c>
      <c r="C71" s="85">
        <v>472.59515166382386</v>
      </c>
      <c r="D71" s="86">
        <v>0.33845488497716053</v>
      </c>
      <c r="E71" s="87">
        <v>2.4577691635935083E-4</v>
      </c>
      <c r="F71" s="87">
        <v>0</v>
      </c>
      <c r="G71" s="87">
        <v>1.8639660744541216E-3</v>
      </c>
      <c r="H71" s="87">
        <v>0.14667693703642271</v>
      </c>
      <c r="I71" s="87">
        <v>0.18966820494992437</v>
      </c>
      <c r="J71" s="86">
        <v>0</v>
      </c>
      <c r="K71" s="86">
        <v>0.16844029537789812</v>
      </c>
      <c r="L71" s="86">
        <v>0.14955279204849189</v>
      </c>
      <c r="M71" s="86">
        <v>1.6289165112201118E-2</v>
      </c>
      <c r="N71" s="86">
        <v>9.6275375149642228E-4</v>
      </c>
      <c r="O71" s="86">
        <v>0.326300108732752</v>
      </c>
      <c r="P71" s="86">
        <v>1.0000000000000002</v>
      </c>
      <c r="R71" s="81">
        <f t="shared" si="3"/>
        <v>0</v>
      </c>
      <c r="S71" s="81">
        <f t="shared" si="4"/>
        <v>444784.45461665007</v>
      </c>
      <c r="T71" s="82">
        <f t="shared" si="5"/>
        <v>43013.267130268941</v>
      </c>
    </row>
    <row r="72" spans="1:20">
      <c r="A72" s="83" t="s">
        <v>441</v>
      </c>
      <c r="B72" s="84">
        <v>214142</v>
      </c>
      <c r="C72" s="85">
        <v>654.06916784675582</v>
      </c>
      <c r="D72" s="86">
        <v>0.30681977379495851</v>
      </c>
      <c r="E72" s="87">
        <v>0</v>
      </c>
      <c r="F72" s="87">
        <v>0</v>
      </c>
      <c r="G72" s="87">
        <v>0.10742404572666735</v>
      </c>
      <c r="H72" s="87">
        <v>0.19939572806829114</v>
      </c>
      <c r="I72" s="87">
        <v>0</v>
      </c>
      <c r="J72" s="86">
        <v>0</v>
      </c>
      <c r="K72" s="86">
        <v>0</v>
      </c>
      <c r="L72" s="86">
        <v>0</v>
      </c>
      <c r="M72" s="86">
        <v>0</v>
      </c>
      <c r="N72" s="86">
        <v>0</v>
      </c>
      <c r="O72" s="86">
        <v>0.69318022620504149</v>
      </c>
      <c r="P72" s="86">
        <v>1</v>
      </c>
      <c r="R72" s="81">
        <f t="shared" si="3"/>
        <v>0</v>
      </c>
      <c r="S72" s="81">
        <f t="shared" si="4"/>
        <v>0</v>
      </c>
      <c r="T72" s="82">
        <f t="shared" si="5"/>
        <v>0</v>
      </c>
    </row>
    <row r="73" spans="1:20">
      <c r="A73" s="83" t="s">
        <v>208</v>
      </c>
      <c r="B73" s="84">
        <v>79161</v>
      </c>
      <c r="C73" s="85">
        <v>592.80368925203061</v>
      </c>
      <c r="D73" s="86">
        <v>0</v>
      </c>
      <c r="E73" s="87">
        <v>0</v>
      </c>
      <c r="F73" s="87">
        <v>0</v>
      </c>
      <c r="G73" s="87">
        <v>0</v>
      </c>
      <c r="H73" s="87">
        <v>0</v>
      </c>
      <c r="I73" s="87">
        <v>0</v>
      </c>
      <c r="J73" s="86">
        <v>0</v>
      </c>
      <c r="K73" s="86">
        <v>0.37174871464483772</v>
      </c>
      <c r="L73" s="86">
        <v>0</v>
      </c>
      <c r="M73" s="86">
        <v>0</v>
      </c>
      <c r="N73" s="86">
        <v>0</v>
      </c>
      <c r="O73" s="86">
        <v>0.62825128535516228</v>
      </c>
      <c r="P73" s="86">
        <v>1</v>
      </c>
      <c r="R73" s="81">
        <f t="shared" si="3"/>
        <v>0</v>
      </c>
      <c r="S73" s="81">
        <f t="shared" si="4"/>
        <v>29428</v>
      </c>
      <c r="T73" s="82">
        <f t="shared" si="5"/>
        <v>0</v>
      </c>
    </row>
    <row r="74" spans="1:20">
      <c r="A74" s="83" t="s">
        <v>323</v>
      </c>
      <c r="B74" s="84">
        <v>406957.70939999999</v>
      </c>
      <c r="C74" s="85">
        <v>57.598010465745851</v>
      </c>
      <c r="D74" s="86">
        <v>0.93895782910078951</v>
      </c>
      <c r="E74" s="87">
        <v>0</v>
      </c>
      <c r="F74" s="87">
        <v>0</v>
      </c>
      <c r="G74" s="87">
        <v>0</v>
      </c>
      <c r="H74" s="87">
        <v>0.93895782910078951</v>
      </c>
      <c r="I74" s="87">
        <v>0</v>
      </c>
      <c r="J74" s="86">
        <v>0</v>
      </c>
      <c r="K74" s="86">
        <v>0</v>
      </c>
      <c r="L74" s="86">
        <v>0</v>
      </c>
      <c r="M74" s="86">
        <v>0</v>
      </c>
      <c r="N74" s="86">
        <v>0</v>
      </c>
      <c r="O74" s="86">
        <v>6.1042170899210484E-2</v>
      </c>
      <c r="P74" s="86">
        <v>1</v>
      </c>
      <c r="R74" s="81">
        <f t="shared" si="3"/>
        <v>0</v>
      </c>
      <c r="S74" s="81">
        <f t="shared" si="4"/>
        <v>0</v>
      </c>
      <c r="T74" s="82">
        <f t="shared" si="5"/>
        <v>0</v>
      </c>
    </row>
    <row r="75" spans="1:20">
      <c r="A75" s="83" t="s">
        <v>324</v>
      </c>
      <c r="B75" s="84">
        <v>127463</v>
      </c>
      <c r="C75" s="85">
        <v>77.805562658274297</v>
      </c>
      <c r="D75" s="86">
        <v>0.70872789962150495</v>
      </c>
      <c r="E75" s="87">
        <v>2.0768208557391102E-2</v>
      </c>
      <c r="F75" s="87">
        <v>2.6139388771697566E-2</v>
      </c>
      <c r="G75" s="87">
        <v>8.7688091522969882E-3</v>
      </c>
      <c r="H75" s="87">
        <v>0.59846204587872021</v>
      </c>
      <c r="I75" s="87">
        <v>5.4589447261399013E-2</v>
      </c>
      <c r="J75" s="86">
        <v>0</v>
      </c>
      <c r="K75" s="86">
        <v>2.0185640621007341E-2</v>
      </c>
      <c r="L75" s="86">
        <v>7.4411014710044007E-2</v>
      </c>
      <c r="M75" s="86">
        <v>0.196675445047443</v>
      </c>
      <c r="N75" s="86">
        <v>0</v>
      </c>
      <c r="O75" s="86">
        <v>0</v>
      </c>
      <c r="P75" s="86">
        <v>0.99999999999999911</v>
      </c>
      <c r="R75" s="81">
        <f t="shared" si="3"/>
        <v>0</v>
      </c>
      <c r="S75" s="81">
        <f t="shared" si="4"/>
        <v>2572.9223104754587</v>
      </c>
      <c r="T75" s="82">
        <f t="shared" si="5"/>
        <v>25068.842252082228</v>
      </c>
    </row>
    <row r="76" spans="1:20">
      <c r="A76" s="83" t="s">
        <v>325</v>
      </c>
      <c r="B76" s="84">
        <v>33085648.339000002</v>
      </c>
      <c r="C76" s="85">
        <v>98.494139519413338</v>
      </c>
      <c r="D76" s="86">
        <v>0.4773880683031651</v>
      </c>
      <c r="E76" s="87">
        <v>4.1519863839551641E-2</v>
      </c>
      <c r="F76" s="87">
        <v>5.2278776753342956E-2</v>
      </c>
      <c r="G76" s="87">
        <v>1.7537618039560367E-2</v>
      </c>
      <c r="H76" s="87">
        <v>0.25687291679785557</v>
      </c>
      <c r="I76" s="87">
        <v>0.10917889287285461</v>
      </c>
      <c r="J76" s="86">
        <v>0</v>
      </c>
      <c r="K76" s="86">
        <v>4.0371280631912074E-2</v>
      </c>
      <c r="L76" s="86">
        <v>8.8889766914469689E-2</v>
      </c>
      <c r="M76" s="86">
        <v>0.39335088415045222</v>
      </c>
      <c r="N76" s="86">
        <v>0</v>
      </c>
      <c r="O76" s="86">
        <v>0</v>
      </c>
      <c r="P76" s="86">
        <v>0.99999999999999911</v>
      </c>
      <c r="R76" s="81">
        <f t="shared" si="3"/>
        <v>0</v>
      </c>
      <c r="S76" s="81">
        <f t="shared" si="4"/>
        <v>1335709.9939825246</v>
      </c>
      <c r="T76" s="82">
        <f t="shared" si="5"/>
        <v>13014269.026836591</v>
      </c>
    </row>
    <row r="77" spans="1:20">
      <c r="A77" s="83" t="s">
        <v>326</v>
      </c>
      <c r="B77" s="84">
        <v>127705</v>
      </c>
      <c r="C77" s="85">
        <v>95.092784350538267</v>
      </c>
      <c r="D77" s="86">
        <v>0.89922099831799873</v>
      </c>
      <c r="E77" s="87">
        <v>0</v>
      </c>
      <c r="F77" s="87">
        <v>0</v>
      </c>
      <c r="G77" s="87">
        <v>0</v>
      </c>
      <c r="H77" s="87">
        <v>0.89922099831799873</v>
      </c>
      <c r="I77" s="87">
        <v>0</v>
      </c>
      <c r="J77" s="86">
        <v>0</v>
      </c>
      <c r="K77" s="86">
        <v>0</v>
      </c>
      <c r="L77" s="86">
        <v>0</v>
      </c>
      <c r="M77" s="86">
        <v>0</v>
      </c>
      <c r="N77" s="86">
        <v>0</v>
      </c>
      <c r="O77" s="86">
        <v>0.10077900168200123</v>
      </c>
      <c r="P77" s="86">
        <v>1</v>
      </c>
      <c r="R77" s="81">
        <f t="shared" si="3"/>
        <v>0</v>
      </c>
      <c r="S77" s="81">
        <f t="shared" si="4"/>
        <v>0</v>
      </c>
      <c r="T77" s="82">
        <f t="shared" si="5"/>
        <v>0</v>
      </c>
    </row>
    <row r="78" spans="1:20">
      <c r="A78" s="83" t="s">
        <v>442</v>
      </c>
      <c r="B78" s="84">
        <v>9283</v>
      </c>
      <c r="C78" s="85">
        <v>1410.0634099239576</v>
      </c>
      <c r="D78" s="86">
        <v>0.13325525165512825</v>
      </c>
      <c r="E78" s="87">
        <v>5.3747641611531121E-4</v>
      </c>
      <c r="F78" s="87">
        <v>4.0457928609234422E-3</v>
      </c>
      <c r="G78" s="87">
        <v>1.0602347892038538E-2</v>
      </c>
      <c r="H78" s="87">
        <v>1.6022340624199129E-2</v>
      </c>
      <c r="I78" s="87">
        <v>0.10204729386185182</v>
      </c>
      <c r="J78" s="86">
        <v>0.46445671632407987</v>
      </c>
      <c r="K78" s="86">
        <v>3.4892103682459541E-2</v>
      </c>
      <c r="L78" s="86">
        <v>0.18280212987678082</v>
      </c>
      <c r="M78" s="86">
        <v>8.1361204102589808E-4</v>
      </c>
      <c r="N78" s="86">
        <v>5.3985132738473803E-5</v>
      </c>
      <c r="O78" s="86">
        <v>0.18372619993512512</v>
      </c>
      <c r="P78" s="86">
        <v>0.99999999864733802</v>
      </c>
      <c r="R78" s="81">
        <f t="shared" si="3"/>
        <v>4311.5516976364333</v>
      </c>
      <c r="S78" s="81">
        <f t="shared" si="4"/>
        <v>323.90339848427192</v>
      </c>
      <c r="T78" s="82">
        <f t="shared" si="5"/>
        <v>7.5527605768434123</v>
      </c>
    </row>
    <row r="79" spans="1:20">
      <c r="A79" s="83" t="s">
        <v>328</v>
      </c>
      <c r="B79" s="84">
        <v>788792</v>
      </c>
      <c r="C79" s="85">
        <v>1409.9911537935689</v>
      </c>
      <c r="D79" s="86">
        <v>0.13329314513832446</v>
      </c>
      <c r="E79" s="87">
        <v>5.3747630164148561E-4</v>
      </c>
      <c r="F79" s="87">
        <v>4.0457919992346828E-3</v>
      </c>
      <c r="G79" s="87">
        <v>1.0602345633909093E-2</v>
      </c>
      <c r="H79" s="87">
        <v>1.606025907611847E-2</v>
      </c>
      <c r="I79" s="87">
        <v>0.10204727212742074</v>
      </c>
      <c r="J79" s="86">
        <v>0.4644566174022749</v>
      </c>
      <c r="K79" s="86">
        <v>3.4925581383766363E-2</v>
      </c>
      <c r="L79" s="86">
        <v>0.18280209094286948</v>
      </c>
      <c r="M79" s="86">
        <v>8.1863859589058428E-4</v>
      </c>
      <c r="N79" s="86">
        <v>5.4327800989621327E-5</v>
      </c>
      <c r="O79" s="86">
        <v>0.18364959873588452</v>
      </c>
      <c r="P79" s="86">
        <v>0.99999999999999989</v>
      </c>
      <c r="R79" s="81">
        <f t="shared" si="3"/>
        <v>366359.6641539752</v>
      </c>
      <c r="S79" s="81">
        <f t="shared" si="4"/>
        <v>27549.019190863837</v>
      </c>
      <c r="T79" s="82">
        <f t="shared" si="5"/>
        <v>645.73557532972575</v>
      </c>
    </row>
    <row r="80" spans="1:20">
      <c r="A80" s="83" t="s">
        <v>443</v>
      </c>
      <c r="B80" s="84">
        <v>23663</v>
      </c>
      <c r="C80" s="85">
        <v>746.87080897603846</v>
      </c>
      <c r="D80" s="86">
        <v>0</v>
      </c>
      <c r="E80" s="87">
        <v>0</v>
      </c>
      <c r="F80" s="87">
        <v>0</v>
      </c>
      <c r="G80" s="87">
        <v>0</v>
      </c>
      <c r="H80" s="87">
        <v>0</v>
      </c>
      <c r="I80" s="87">
        <v>0</v>
      </c>
      <c r="J80" s="86">
        <v>0</v>
      </c>
      <c r="K80" s="86">
        <v>0</v>
      </c>
      <c r="L80" s="86">
        <v>0</v>
      </c>
      <c r="M80" s="86">
        <v>0</v>
      </c>
      <c r="N80" s="86">
        <v>0.20846891771964671</v>
      </c>
      <c r="O80" s="86">
        <v>0.79153108228035329</v>
      </c>
      <c r="P80" s="86">
        <v>1</v>
      </c>
      <c r="R80" s="81">
        <f t="shared" si="3"/>
        <v>0</v>
      </c>
      <c r="S80" s="81">
        <f t="shared" si="4"/>
        <v>0</v>
      </c>
      <c r="T80" s="82">
        <f t="shared" si="5"/>
        <v>0</v>
      </c>
    </row>
    <row r="81" spans="1:20">
      <c r="A81" s="83" t="s">
        <v>444</v>
      </c>
      <c r="B81" s="84">
        <v>776382</v>
      </c>
      <c r="C81" s="85">
        <v>273.47004360944123</v>
      </c>
      <c r="D81" s="86">
        <v>0.33685737175771718</v>
      </c>
      <c r="E81" s="87">
        <v>7.2108833022919136E-2</v>
      </c>
      <c r="F81" s="87">
        <v>0</v>
      </c>
      <c r="G81" s="87">
        <v>7.5066140121744195E-3</v>
      </c>
      <c r="H81" s="87">
        <v>0.21692414301207397</v>
      </c>
      <c r="I81" s="87">
        <v>4.0317781710549706E-2</v>
      </c>
      <c r="J81" s="86">
        <v>0</v>
      </c>
      <c r="K81" s="86">
        <v>0.38325205890914527</v>
      </c>
      <c r="L81" s="86">
        <v>1.9294625583797667E-3</v>
      </c>
      <c r="M81" s="86">
        <v>3.8640772197191589E-5</v>
      </c>
      <c r="N81" s="86">
        <v>2.5760514798127726E-6</v>
      </c>
      <c r="O81" s="86">
        <v>0.2779198899510808</v>
      </c>
      <c r="P81" s="86">
        <v>1</v>
      </c>
      <c r="R81" s="81">
        <f t="shared" si="3"/>
        <v>0</v>
      </c>
      <c r="S81" s="81">
        <f t="shared" si="4"/>
        <v>297550</v>
      </c>
      <c r="T81" s="82">
        <f t="shared" si="5"/>
        <v>30</v>
      </c>
    </row>
    <row r="82" spans="1:20">
      <c r="A82" s="83" t="s">
        <v>445</v>
      </c>
      <c r="B82" s="84">
        <v>43906.225000000006</v>
      </c>
      <c r="C82" s="85">
        <v>4.8354169825689242E-3</v>
      </c>
      <c r="D82" s="86">
        <v>0.99999487544192178</v>
      </c>
      <c r="E82" s="87">
        <v>0</v>
      </c>
      <c r="F82" s="87">
        <v>0</v>
      </c>
      <c r="G82" s="87">
        <v>0</v>
      </c>
      <c r="H82" s="87">
        <v>0.99999487544192178</v>
      </c>
      <c r="I82" s="87">
        <v>0</v>
      </c>
      <c r="J82" s="86">
        <v>0</v>
      </c>
      <c r="K82" s="86">
        <v>0</v>
      </c>
      <c r="L82" s="86">
        <v>0</v>
      </c>
      <c r="M82" s="86">
        <v>0</v>
      </c>
      <c r="N82" s="86">
        <v>0</v>
      </c>
      <c r="O82" s="86">
        <v>5.1245580781727589E-6</v>
      </c>
      <c r="P82" s="86">
        <v>1</v>
      </c>
      <c r="R82" s="81">
        <f t="shared" si="3"/>
        <v>0</v>
      </c>
      <c r="S82" s="81">
        <f t="shared" si="4"/>
        <v>0</v>
      </c>
      <c r="T82" s="82">
        <f t="shared" si="5"/>
        <v>0</v>
      </c>
    </row>
    <row r="83" spans="1:20">
      <c r="A83" s="83" t="s">
        <v>446</v>
      </c>
      <c r="B83" s="84">
        <v>873834.57200000004</v>
      </c>
      <c r="C83" s="85">
        <v>1031.314527758638</v>
      </c>
      <c r="D83" s="86">
        <v>0.3321691976368637</v>
      </c>
      <c r="E83" s="87">
        <v>9.3009595413443988E-2</v>
      </c>
      <c r="F83" s="87">
        <v>1.8699191498685635E-2</v>
      </c>
      <c r="G83" s="87">
        <v>0</v>
      </c>
      <c r="H83" s="87">
        <v>6.631796281069112E-2</v>
      </c>
      <c r="I83" s="87">
        <v>0.15414244791404291</v>
      </c>
      <c r="J83" s="86">
        <v>0.47601662784596827</v>
      </c>
      <c r="K83" s="86">
        <v>4.7544889056707264E-2</v>
      </c>
      <c r="L83" s="86">
        <v>5.903202837313553E-2</v>
      </c>
      <c r="M83" s="86">
        <v>8.523725708732531E-2</v>
      </c>
      <c r="N83" s="86">
        <v>0</v>
      </c>
      <c r="O83" s="86">
        <v>0</v>
      </c>
      <c r="P83" s="86">
        <v>1</v>
      </c>
      <c r="R83" s="81">
        <f t="shared" si="3"/>
        <v>415959.78625866497</v>
      </c>
      <c r="S83" s="81">
        <f t="shared" si="4"/>
        <v>41546.36777965528</v>
      </c>
      <c r="T83" s="82">
        <f t="shared" si="5"/>
        <v>74483.262065356888</v>
      </c>
    </row>
    <row r="84" spans="1:20">
      <c r="A84" s="83" t="s">
        <v>329</v>
      </c>
      <c r="B84" s="84">
        <v>270988</v>
      </c>
      <c r="C84" s="85">
        <v>0</v>
      </c>
      <c r="D84" s="86">
        <v>1</v>
      </c>
      <c r="E84" s="87">
        <v>0</v>
      </c>
      <c r="F84" s="87">
        <v>0</v>
      </c>
      <c r="G84" s="87">
        <v>0</v>
      </c>
      <c r="H84" s="87">
        <v>0.5</v>
      </c>
      <c r="I84" s="87">
        <v>0.5</v>
      </c>
      <c r="J84" s="86">
        <v>0</v>
      </c>
      <c r="K84" s="86">
        <v>0</v>
      </c>
      <c r="L84" s="86">
        <v>0</v>
      </c>
      <c r="M84" s="86">
        <v>0</v>
      </c>
      <c r="N84" s="86">
        <v>0</v>
      </c>
      <c r="O84" s="86">
        <v>0</v>
      </c>
      <c r="P84" s="86">
        <v>1</v>
      </c>
      <c r="R84" s="81">
        <f t="shared" si="3"/>
        <v>0</v>
      </c>
      <c r="S84" s="81">
        <f t="shared" si="4"/>
        <v>0</v>
      </c>
      <c r="T84" s="82">
        <f t="shared" si="5"/>
        <v>0</v>
      </c>
    </row>
    <row r="85" spans="1:20">
      <c r="A85" s="83" t="s">
        <v>330</v>
      </c>
      <c r="B85" s="84">
        <v>3030741.2753500002</v>
      </c>
      <c r="C85" s="85">
        <v>5.4341404319292916</v>
      </c>
      <c r="D85" s="86">
        <v>0.49217635487494432</v>
      </c>
      <c r="E85" s="87">
        <v>8.9953747633562731E-2</v>
      </c>
      <c r="F85" s="87">
        <v>0</v>
      </c>
      <c r="G85" s="87">
        <v>5.5449236940985341E-3</v>
      </c>
      <c r="H85" s="87">
        <v>0.20251437645506107</v>
      </c>
      <c r="I85" s="87">
        <v>0.19416330709222207</v>
      </c>
      <c r="J85" s="86">
        <v>0</v>
      </c>
      <c r="K85" s="86">
        <v>0.50782364512505596</v>
      </c>
      <c r="L85" s="86">
        <v>0</v>
      </c>
      <c r="M85" s="86">
        <v>0</v>
      </c>
      <c r="N85" s="86">
        <v>0</v>
      </c>
      <c r="O85" s="86">
        <v>0</v>
      </c>
      <c r="P85" s="86">
        <v>1.0000000000000004</v>
      </c>
      <c r="R85" s="81">
        <f t="shared" si="3"/>
        <v>0</v>
      </c>
      <c r="S85" s="81">
        <f t="shared" si="4"/>
        <v>1539082.0818791981</v>
      </c>
      <c r="T85" s="82">
        <f t="shared" si="5"/>
        <v>0</v>
      </c>
    </row>
    <row r="86" spans="1:20">
      <c r="A86" s="83" t="s">
        <v>447</v>
      </c>
      <c r="B86" s="84">
        <v>5888.0395329000003</v>
      </c>
      <c r="C86" s="85">
        <v>690.53750809089024</v>
      </c>
      <c r="D86" s="86">
        <v>0.32183887173506581</v>
      </c>
      <c r="E86" s="87">
        <v>0</v>
      </c>
      <c r="F86" s="87">
        <v>0</v>
      </c>
      <c r="G86" s="87">
        <v>0</v>
      </c>
      <c r="H86" s="87">
        <v>0.32183887173506581</v>
      </c>
      <c r="I86" s="87">
        <v>0</v>
      </c>
      <c r="J86" s="86">
        <v>0</v>
      </c>
      <c r="K86" s="86">
        <v>0</v>
      </c>
      <c r="L86" s="86">
        <v>0</v>
      </c>
      <c r="M86" s="86">
        <v>0</v>
      </c>
      <c r="N86" s="86">
        <v>0</v>
      </c>
      <c r="O86" s="86">
        <v>0.67816112826493424</v>
      </c>
      <c r="P86" s="86">
        <v>1</v>
      </c>
      <c r="R86" s="81">
        <f t="shared" si="3"/>
        <v>0</v>
      </c>
      <c r="S86" s="81">
        <f t="shared" si="4"/>
        <v>0</v>
      </c>
      <c r="T86" s="82">
        <f t="shared" si="5"/>
        <v>0</v>
      </c>
    </row>
    <row r="87" spans="1:20">
      <c r="A87" s="83" t="s">
        <v>448</v>
      </c>
      <c r="B87" s="84">
        <v>212096.64908409477</v>
      </c>
      <c r="C87" s="85">
        <v>641.62494104407256</v>
      </c>
      <c r="D87" s="86">
        <v>0.28936336460302142</v>
      </c>
      <c r="E87" s="87">
        <v>0</v>
      </c>
      <c r="F87" s="87">
        <v>8.9888265950118187E-2</v>
      </c>
      <c r="G87" s="87">
        <v>0</v>
      </c>
      <c r="H87" s="87">
        <v>5.6304519904343632E-2</v>
      </c>
      <c r="I87" s="87">
        <v>0.1431705787485596</v>
      </c>
      <c r="J87" s="86">
        <v>0</v>
      </c>
      <c r="K87" s="86">
        <v>2.3695895346311193E-2</v>
      </c>
      <c r="L87" s="86">
        <v>0</v>
      </c>
      <c r="M87" s="86">
        <v>6.8636633642561784E-2</v>
      </c>
      <c r="N87" s="86">
        <v>0</v>
      </c>
      <c r="O87" s="86">
        <v>0.61830410640810551</v>
      </c>
      <c r="P87" s="86">
        <v>0.99999999999999989</v>
      </c>
      <c r="R87" s="81">
        <f t="shared" si="3"/>
        <v>0</v>
      </c>
      <c r="S87" s="81">
        <f t="shared" si="4"/>
        <v>5025.82</v>
      </c>
      <c r="T87" s="82">
        <f t="shared" si="5"/>
        <v>14557.6</v>
      </c>
    </row>
    <row r="88" spans="1:20">
      <c r="A88" s="83" t="s">
        <v>449</v>
      </c>
      <c r="B88" s="84">
        <v>980333</v>
      </c>
      <c r="C88" s="85">
        <v>857.57254836681</v>
      </c>
      <c r="D88" s="86">
        <v>9.1147599846174696E-2</v>
      </c>
      <c r="E88" s="87">
        <v>0</v>
      </c>
      <c r="F88" s="87">
        <v>0</v>
      </c>
      <c r="G88" s="87">
        <v>0</v>
      </c>
      <c r="H88" s="87">
        <v>8.0959225079641303E-2</v>
      </c>
      <c r="I88" s="87">
        <v>1.0188374766533399E-2</v>
      </c>
      <c r="J88" s="86">
        <v>0</v>
      </c>
      <c r="K88" s="86">
        <v>0</v>
      </c>
      <c r="L88" s="86">
        <v>0</v>
      </c>
      <c r="M88" s="86">
        <v>0</v>
      </c>
      <c r="N88" s="86">
        <v>0</v>
      </c>
      <c r="O88" s="86">
        <v>0.90885240015382496</v>
      </c>
      <c r="P88" s="86">
        <v>1</v>
      </c>
      <c r="R88" s="81">
        <f t="shared" si="3"/>
        <v>0</v>
      </c>
      <c r="S88" s="81">
        <f t="shared" si="4"/>
        <v>0</v>
      </c>
      <c r="T88" s="82">
        <f t="shared" si="5"/>
        <v>0</v>
      </c>
    </row>
    <row r="89" spans="1:20">
      <c r="A89" s="83" t="s">
        <v>450</v>
      </c>
      <c r="B89" s="84">
        <v>1096579.3922433231</v>
      </c>
      <c r="C89" s="85">
        <v>542.49646622621492</v>
      </c>
      <c r="D89" s="86">
        <v>0.30805977423022912</v>
      </c>
      <c r="E89" s="87">
        <v>2.2711533862633228E-2</v>
      </c>
      <c r="F89" s="87">
        <v>7.3040767104099916E-2</v>
      </c>
      <c r="G89" s="87">
        <v>6.9087564964187649E-3</v>
      </c>
      <c r="H89" s="87">
        <v>0.12885523930094661</v>
      </c>
      <c r="I89" s="87">
        <v>7.6543477466130605E-2</v>
      </c>
      <c r="J89" s="86">
        <v>0</v>
      </c>
      <c r="K89" s="86">
        <v>4.3181825533971799E-3</v>
      </c>
      <c r="L89" s="86">
        <v>0</v>
      </c>
      <c r="M89" s="86">
        <v>0.20367301317152753</v>
      </c>
      <c r="N89" s="86">
        <v>0</v>
      </c>
      <c r="O89" s="86">
        <v>0.48394903004484613</v>
      </c>
      <c r="P89" s="86">
        <v>1</v>
      </c>
      <c r="R89" s="81">
        <f t="shared" si="3"/>
        <v>0</v>
      </c>
      <c r="S89" s="81">
        <f t="shared" si="4"/>
        <v>4735.2300000000005</v>
      </c>
      <c r="T89" s="82">
        <f t="shared" si="5"/>
        <v>223343.62900000002</v>
      </c>
    </row>
    <row r="90" spans="1:20">
      <c r="A90" s="83" t="s">
        <v>451</v>
      </c>
      <c r="B90" s="84">
        <v>451.06743796469578</v>
      </c>
      <c r="C90" s="85">
        <v>83.816130703831647</v>
      </c>
      <c r="D90" s="86">
        <v>0.9998504925006334</v>
      </c>
      <c r="E90" s="87">
        <v>0</v>
      </c>
      <c r="F90" s="87">
        <v>0</v>
      </c>
      <c r="G90" s="87">
        <v>0</v>
      </c>
      <c r="H90" s="87">
        <v>0</v>
      </c>
      <c r="I90" s="87">
        <v>0.9998504925006334</v>
      </c>
      <c r="J90" s="86">
        <v>0</v>
      </c>
      <c r="K90" s="86">
        <v>0</v>
      </c>
      <c r="L90" s="86">
        <v>0</v>
      </c>
      <c r="M90" s="86">
        <v>0</v>
      </c>
      <c r="N90" s="86">
        <v>0</v>
      </c>
      <c r="O90" s="86">
        <v>1.4950749936656435E-4</v>
      </c>
      <c r="P90" s="86">
        <v>1</v>
      </c>
      <c r="R90" s="81">
        <f t="shared" si="3"/>
        <v>0</v>
      </c>
      <c r="S90" s="81">
        <f t="shared" si="4"/>
        <v>0</v>
      </c>
      <c r="T90" s="82">
        <f t="shared" si="5"/>
        <v>0</v>
      </c>
    </row>
    <row r="91" spans="1:20">
      <c r="A91" s="83" t="s">
        <v>52</v>
      </c>
      <c r="B91" s="84">
        <v>23662</v>
      </c>
      <c r="C91" s="85">
        <v>386.17205452793502</v>
      </c>
      <c r="D91" s="86">
        <v>0.29507226777110979</v>
      </c>
      <c r="E91" s="87">
        <v>0</v>
      </c>
      <c r="F91" s="87">
        <v>0</v>
      </c>
      <c r="G91" s="87">
        <v>5.0714225340207928E-3</v>
      </c>
      <c r="H91" s="87">
        <v>0.29000084523708902</v>
      </c>
      <c r="I91" s="87">
        <v>0</v>
      </c>
      <c r="J91" s="86">
        <v>0</v>
      </c>
      <c r="K91" s="86">
        <v>0.25445862564449329</v>
      </c>
      <c r="L91" s="86">
        <v>0</v>
      </c>
      <c r="M91" s="86">
        <v>0</v>
      </c>
      <c r="N91" s="86">
        <v>4.1205308088918945E-2</v>
      </c>
      <c r="O91" s="86">
        <v>0.409263798495478</v>
      </c>
      <c r="P91" s="86">
        <v>1</v>
      </c>
      <c r="R91" s="81">
        <f t="shared" si="3"/>
        <v>0</v>
      </c>
      <c r="S91" s="81">
        <f t="shared" si="4"/>
        <v>6021</v>
      </c>
      <c r="T91" s="82">
        <f t="shared" si="5"/>
        <v>0</v>
      </c>
    </row>
    <row r="92" spans="1:20">
      <c r="A92" s="83" t="s">
        <v>53</v>
      </c>
      <c r="B92" s="84">
        <v>142473</v>
      </c>
      <c r="C92" s="85">
        <v>640.66249823994553</v>
      </c>
      <c r="D92" s="86">
        <v>4.4296112245829036E-2</v>
      </c>
      <c r="E92" s="87">
        <v>0</v>
      </c>
      <c r="F92" s="87">
        <v>3.9060032427196731E-2</v>
      </c>
      <c r="G92" s="87">
        <v>5.0957023436019452E-3</v>
      </c>
      <c r="H92" s="87">
        <v>1.4037747503035662E-4</v>
      </c>
      <c r="I92" s="87">
        <v>0</v>
      </c>
      <c r="J92" s="86">
        <v>5.0346381419637404E-2</v>
      </c>
      <c r="K92" s="86">
        <v>0.30120794817263624</v>
      </c>
      <c r="L92" s="86">
        <v>0.42936556400160031</v>
      </c>
      <c r="M92" s="86">
        <v>2.5618889193040084E-3</v>
      </c>
      <c r="N92" s="86">
        <v>0</v>
      </c>
      <c r="O92" s="86">
        <v>0.17222210524099302</v>
      </c>
      <c r="P92" s="86">
        <v>1</v>
      </c>
      <c r="R92" s="81">
        <f t="shared" si="3"/>
        <v>7173</v>
      </c>
      <c r="S92" s="81">
        <f t="shared" si="4"/>
        <v>42914</v>
      </c>
      <c r="T92" s="82">
        <f t="shared" si="5"/>
        <v>365</v>
      </c>
    </row>
    <row r="93" spans="1:20">
      <c r="A93" s="83" t="s">
        <v>452</v>
      </c>
      <c r="B93" s="84">
        <v>339786.15028039261</v>
      </c>
      <c r="C93" s="85">
        <v>705.9627558159965</v>
      </c>
      <c r="D93" s="86">
        <v>0.31566913457622892</v>
      </c>
      <c r="E93" s="87">
        <v>1.4715137729639611E-2</v>
      </c>
      <c r="F93" s="87">
        <v>7.8881967313506093E-2</v>
      </c>
      <c r="G93" s="87">
        <v>0</v>
      </c>
      <c r="H93" s="87">
        <v>2.6322438370779334E-2</v>
      </c>
      <c r="I93" s="87">
        <v>0.19574959116230389</v>
      </c>
      <c r="J93" s="86">
        <v>0</v>
      </c>
      <c r="K93" s="86">
        <v>0</v>
      </c>
      <c r="L93" s="86">
        <v>0</v>
      </c>
      <c r="M93" s="86">
        <v>0</v>
      </c>
      <c r="N93" s="86">
        <v>0</v>
      </c>
      <c r="O93" s="86">
        <v>0.68433086542377108</v>
      </c>
      <c r="P93" s="86">
        <v>1</v>
      </c>
      <c r="R93" s="81">
        <f t="shared" si="3"/>
        <v>0</v>
      </c>
      <c r="S93" s="81">
        <f t="shared" si="4"/>
        <v>0</v>
      </c>
      <c r="T93" s="82">
        <f t="shared" si="5"/>
        <v>0</v>
      </c>
    </row>
    <row r="94" spans="1:20">
      <c r="A94" s="83" t="s">
        <v>453</v>
      </c>
      <c r="B94" s="84">
        <v>134.562348472727</v>
      </c>
      <c r="C94" s="85">
        <v>706.81046350129293</v>
      </c>
      <c r="D94" s="86">
        <v>0.32698596969655214</v>
      </c>
      <c r="E94" s="87">
        <v>0</v>
      </c>
      <c r="F94" s="87">
        <v>0.27496547451755521</v>
      </c>
      <c r="G94" s="87">
        <v>0</v>
      </c>
      <c r="H94" s="87">
        <v>5.2020495178996935E-2</v>
      </c>
      <c r="I94" s="87">
        <v>0</v>
      </c>
      <c r="J94" s="86">
        <v>0</v>
      </c>
      <c r="K94" s="86">
        <v>0</v>
      </c>
      <c r="L94" s="86">
        <v>0</v>
      </c>
      <c r="M94" s="86">
        <v>0</v>
      </c>
      <c r="N94" s="86">
        <v>0</v>
      </c>
      <c r="O94" s="86">
        <v>0.67301403030344786</v>
      </c>
      <c r="P94" s="86">
        <v>1</v>
      </c>
      <c r="R94" s="81">
        <f t="shared" si="3"/>
        <v>0</v>
      </c>
      <c r="S94" s="81">
        <f t="shared" si="4"/>
        <v>0</v>
      </c>
      <c r="T94" s="82">
        <f t="shared" si="5"/>
        <v>0</v>
      </c>
    </row>
    <row r="95" spans="1:20">
      <c r="A95" s="83" t="s">
        <v>454</v>
      </c>
      <c r="B95" s="84">
        <v>119630</v>
      </c>
      <c r="C95" s="85">
        <v>314.4306085664312</v>
      </c>
      <c r="D95" s="86">
        <v>0.49937306695644906</v>
      </c>
      <c r="E95" s="87">
        <v>9.4357602608041463E-2</v>
      </c>
      <c r="F95" s="87">
        <v>0</v>
      </c>
      <c r="G95" s="87">
        <v>2.3489091365042213E-3</v>
      </c>
      <c r="H95" s="87">
        <v>0.21862409094708685</v>
      </c>
      <c r="I95" s="87">
        <v>0.18404246426481652</v>
      </c>
      <c r="J95" s="86">
        <v>0</v>
      </c>
      <c r="K95" s="86">
        <v>8.6876201621666801E-2</v>
      </c>
      <c r="L95" s="86">
        <v>6.1021482905625679E-4</v>
      </c>
      <c r="M95" s="86">
        <v>8.359107247345984E-6</v>
      </c>
      <c r="N95" s="86">
        <v>8.3056089609629694E-2</v>
      </c>
      <c r="O95" s="86">
        <v>0.33007606787595084</v>
      </c>
      <c r="P95" s="86">
        <v>1</v>
      </c>
      <c r="R95" s="81">
        <f t="shared" si="3"/>
        <v>0</v>
      </c>
      <c r="S95" s="81">
        <f t="shared" si="4"/>
        <v>10393</v>
      </c>
      <c r="T95" s="82">
        <f t="shared" si="5"/>
        <v>1</v>
      </c>
    </row>
    <row r="96" spans="1:20">
      <c r="A96" s="83" t="s">
        <v>455</v>
      </c>
      <c r="B96" s="84">
        <v>433492</v>
      </c>
      <c r="C96" s="85">
        <v>645.65668615853076</v>
      </c>
      <c r="D96" s="86">
        <v>0.11302861413820786</v>
      </c>
      <c r="E96" s="87">
        <v>0</v>
      </c>
      <c r="F96" s="87">
        <v>0</v>
      </c>
      <c r="G96" s="87">
        <v>5.384182407057108E-3</v>
      </c>
      <c r="H96" s="87">
        <v>0.10764443173115075</v>
      </c>
      <c r="I96" s="87">
        <v>0</v>
      </c>
      <c r="J96" s="86">
        <v>0</v>
      </c>
      <c r="K96" s="86">
        <v>0.19411200206693549</v>
      </c>
      <c r="L96" s="86">
        <v>0.1061865040185286</v>
      </c>
      <c r="M96" s="86">
        <v>0</v>
      </c>
      <c r="N96" s="86">
        <v>0</v>
      </c>
      <c r="O96" s="86">
        <v>0.58667287977632809</v>
      </c>
      <c r="P96" s="86">
        <v>1</v>
      </c>
      <c r="R96" s="81">
        <f t="shared" si="3"/>
        <v>0</v>
      </c>
      <c r="S96" s="81">
        <f t="shared" si="4"/>
        <v>84146</v>
      </c>
      <c r="T96" s="82">
        <f t="shared" si="5"/>
        <v>0</v>
      </c>
    </row>
    <row r="97" spans="1:20">
      <c r="A97" s="83" t="s">
        <v>456</v>
      </c>
      <c r="B97" s="84">
        <v>57012</v>
      </c>
      <c r="C97" s="85">
        <v>0</v>
      </c>
      <c r="D97" s="86">
        <v>0.26803129165789658</v>
      </c>
      <c r="E97" s="87">
        <v>0</v>
      </c>
      <c r="F97" s="87">
        <v>0</v>
      </c>
      <c r="G97" s="87">
        <v>1.9644987020276433E-3</v>
      </c>
      <c r="H97" s="87">
        <v>0.26606679295586894</v>
      </c>
      <c r="I97" s="87">
        <v>0</v>
      </c>
      <c r="J97" s="86">
        <v>0</v>
      </c>
      <c r="K97" s="86">
        <v>0.73196870834210337</v>
      </c>
      <c r="L97" s="86">
        <v>0</v>
      </c>
      <c r="M97" s="86">
        <v>0</v>
      </c>
      <c r="N97" s="86">
        <v>0</v>
      </c>
      <c r="O97" s="86">
        <v>0</v>
      </c>
      <c r="P97" s="86">
        <v>1</v>
      </c>
      <c r="R97" s="81">
        <f t="shared" si="3"/>
        <v>0</v>
      </c>
      <c r="S97" s="81">
        <f t="shared" si="4"/>
        <v>41731</v>
      </c>
      <c r="T97" s="82">
        <f t="shared" si="5"/>
        <v>0</v>
      </c>
    </row>
    <row r="98" spans="1:20">
      <c r="A98" s="83" t="s">
        <v>457</v>
      </c>
      <c r="B98" s="84">
        <v>83162</v>
      </c>
      <c r="C98" s="85">
        <v>570.06995140184222</v>
      </c>
      <c r="D98" s="86">
        <v>0.33419109689521659</v>
      </c>
      <c r="E98" s="87">
        <v>0</v>
      </c>
      <c r="F98" s="87">
        <v>0</v>
      </c>
      <c r="G98" s="87">
        <v>0</v>
      </c>
      <c r="H98" s="87">
        <v>0.33419109689521659</v>
      </c>
      <c r="I98" s="87">
        <v>0</v>
      </c>
      <c r="J98" s="86">
        <v>0</v>
      </c>
      <c r="K98" s="86">
        <v>6.1650753950121449E-2</v>
      </c>
      <c r="L98" s="86">
        <v>0</v>
      </c>
      <c r="M98" s="86">
        <v>0</v>
      </c>
      <c r="N98" s="86">
        <v>0</v>
      </c>
      <c r="O98" s="86">
        <v>0.60415814915466204</v>
      </c>
      <c r="P98" s="86">
        <v>1</v>
      </c>
      <c r="R98" s="81">
        <f t="shared" si="3"/>
        <v>0</v>
      </c>
      <c r="S98" s="81">
        <f t="shared" si="4"/>
        <v>5127</v>
      </c>
      <c r="T98" s="82">
        <f t="shared" si="5"/>
        <v>0</v>
      </c>
    </row>
    <row r="99" spans="1:20">
      <c r="A99" s="83" t="s">
        <v>458</v>
      </c>
      <c r="B99" s="84">
        <v>274744.4256452581</v>
      </c>
      <c r="C99" s="85">
        <v>604.16464216861584</v>
      </c>
      <c r="D99" s="86">
        <v>0.33400859647826608</v>
      </c>
      <c r="E99" s="87">
        <v>1.8198731378287734E-2</v>
      </c>
      <c r="F99" s="87">
        <v>9.2202052654956984E-2</v>
      </c>
      <c r="G99" s="87">
        <v>0</v>
      </c>
      <c r="H99" s="87">
        <v>5.7340562826708991E-2</v>
      </c>
      <c r="I99" s="87">
        <v>0.16626724961831241</v>
      </c>
      <c r="J99" s="86">
        <v>0</v>
      </c>
      <c r="K99" s="86">
        <v>2.4149716538987825E-2</v>
      </c>
      <c r="L99" s="86">
        <v>0</v>
      </c>
      <c r="M99" s="86">
        <v>6.9945004179311085E-2</v>
      </c>
      <c r="N99" s="86">
        <v>0</v>
      </c>
      <c r="O99" s="86">
        <v>0.57189668280343497</v>
      </c>
      <c r="P99" s="86">
        <v>1</v>
      </c>
      <c r="R99" s="81">
        <f t="shared" si="3"/>
        <v>0</v>
      </c>
      <c r="S99" s="81">
        <f t="shared" si="4"/>
        <v>6635</v>
      </c>
      <c r="T99" s="82">
        <f t="shared" si="5"/>
        <v>19217</v>
      </c>
    </row>
    <row r="100" spans="1:20" ht="25.5">
      <c r="A100" s="83" t="s">
        <v>459</v>
      </c>
      <c r="B100" s="84">
        <v>1773.2789521530301</v>
      </c>
      <c r="C100" s="85">
        <v>690.29356456856362</v>
      </c>
      <c r="D100" s="86">
        <v>0.99984269133026626</v>
      </c>
      <c r="E100" s="87">
        <v>0</v>
      </c>
      <c r="F100" s="87">
        <v>0</v>
      </c>
      <c r="G100" s="87">
        <v>0</v>
      </c>
      <c r="H100" s="87">
        <v>0.99984269133026626</v>
      </c>
      <c r="I100" s="87">
        <v>0</v>
      </c>
      <c r="J100" s="86">
        <v>0</v>
      </c>
      <c r="K100" s="86">
        <v>0</v>
      </c>
      <c r="L100" s="86">
        <v>0</v>
      </c>
      <c r="M100" s="86">
        <v>0</v>
      </c>
      <c r="N100" s="86">
        <v>0</v>
      </c>
      <c r="O100" s="86">
        <v>1.5730866973377998E-4</v>
      </c>
      <c r="P100" s="86">
        <v>1</v>
      </c>
      <c r="R100" s="81">
        <f t="shared" si="3"/>
        <v>0</v>
      </c>
      <c r="S100" s="81">
        <f t="shared" si="4"/>
        <v>0</v>
      </c>
      <c r="T100" s="82">
        <f t="shared" si="5"/>
        <v>0</v>
      </c>
    </row>
    <row r="101" spans="1:20">
      <c r="A101" s="83" t="s">
        <v>55</v>
      </c>
      <c r="B101" s="84">
        <v>722772.20799999998</v>
      </c>
      <c r="C101" s="85">
        <v>182.21369927605446</v>
      </c>
      <c r="D101" s="86">
        <v>0.43846041185911233</v>
      </c>
      <c r="E101" s="87">
        <v>7.3287267293487305E-3</v>
      </c>
      <c r="F101" s="87">
        <v>0</v>
      </c>
      <c r="G101" s="87">
        <v>5.2834073553641676E-2</v>
      </c>
      <c r="H101" s="87">
        <v>8.6451857595498477E-2</v>
      </c>
      <c r="I101" s="87">
        <v>0.29184575398062346</v>
      </c>
      <c r="J101" s="86">
        <v>0</v>
      </c>
      <c r="K101" s="86">
        <v>0.36748811355404298</v>
      </c>
      <c r="L101" s="86">
        <v>0.17930299127916657</v>
      </c>
      <c r="M101" s="86">
        <v>9.1986831999138798E-3</v>
      </c>
      <c r="N101" s="86">
        <v>6.0231345985930194E-4</v>
      </c>
      <c r="O101" s="86">
        <v>4.9474866479046328E-3</v>
      </c>
      <c r="P101" s="86">
        <v>0.99999999999999978</v>
      </c>
      <c r="R101" s="81">
        <f t="shared" si="3"/>
        <v>0</v>
      </c>
      <c r="S101" s="81">
        <f t="shared" si="4"/>
        <v>265610.19524721039</v>
      </c>
      <c r="T101" s="82">
        <f t="shared" si="5"/>
        <v>6648.5525670942598</v>
      </c>
    </row>
    <row r="102" spans="1:20">
      <c r="A102" s="83" t="s">
        <v>347</v>
      </c>
      <c r="B102" s="84">
        <v>645333.24902869109</v>
      </c>
      <c r="C102" s="85">
        <v>615.08168598150064</v>
      </c>
      <c r="D102" s="86">
        <v>0.33101290295433639</v>
      </c>
      <c r="E102" s="87">
        <v>0.1548517764277742</v>
      </c>
      <c r="F102" s="87">
        <v>0</v>
      </c>
      <c r="G102" s="87">
        <v>8.525993541193081E-4</v>
      </c>
      <c r="H102" s="87">
        <v>9.0838448537387253E-4</v>
      </c>
      <c r="I102" s="87">
        <v>0.17440014268706905</v>
      </c>
      <c r="J102" s="86">
        <v>0</v>
      </c>
      <c r="K102" s="86">
        <v>0.10490107723705754</v>
      </c>
      <c r="L102" s="86">
        <v>0</v>
      </c>
      <c r="M102" s="86">
        <v>0</v>
      </c>
      <c r="N102" s="86">
        <v>0</v>
      </c>
      <c r="O102" s="86">
        <v>0.56408601980860607</v>
      </c>
      <c r="P102" s="86">
        <v>1</v>
      </c>
      <c r="R102" s="81">
        <f t="shared" si="3"/>
        <v>0</v>
      </c>
      <c r="S102" s="81">
        <f t="shared" si="4"/>
        <v>67696.153000000006</v>
      </c>
      <c r="T102" s="82">
        <f t="shared" si="5"/>
        <v>0</v>
      </c>
    </row>
    <row r="103" spans="1:20">
      <c r="A103" s="83" t="s">
        <v>348</v>
      </c>
      <c r="B103" s="84">
        <v>5807.3678660592705</v>
      </c>
      <c r="C103" s="85">
        <v>310.95124095184758</v>
      </c>
      <c r="D103" s="86">
        <v>1</v>
      </c>
      <c r="E103" s="87">
        <v>0</v>
      </c>
      <c r="F103" s="87">
        <v>0</v>
      </c>
      <c r="G103" s="87">
        <v>0.33333333333333331</v>
      </c>
      <c r="H103" s="87">
        <v>0.33333333333333331</v>
      </c>
      <c r="I103" s="87">
        <v>0.33333333333333331</v>
      </c>
      <c r="J103" s="86">
        <v>0</v>
      </c>
      <c r="K103" s="86">
        <v>0</v>
      </c>
      <c r="L103" s="86">
        <v>0</v>
      </c>
      <c r="M103" s="86">
        <v>0</v>
      </c>
      <c r="N103" s="86">
        <v>0</v>
      </c>
      <c r="O103" s="86">
        <v>0</v>
      </c>
      <c r="P103" s="86">
        <v>1</v>
      </c>
      <c r="R103" s="81">
        <f t="shared" si="3"/>
        <v>0</v>
      </c>
      <c r="S103" s="81">
        <f t="shared" si="4"/>
        <v>0</v>
      </c>
      <c r="T103" s="82">
        <f t="shared" si="5"/>
        <v>0</v>
      </c>
    </row>
    <row r="104" spans="1:20">
      <c r="A104" s="83" t="s">
        <v>460</v>
      </c>
      <c r="B104" s="84">
        <v>2085</v>
      </c>
      <c r="C104" s="85">
        <v>24.063219204362234</v>
      </c>
      <c r="D104" s="86">
        <v>1</v>
      </c>
      <c r="E104" s="87">
        <v>0</v>
      </c>
      <c r="F104" s="87">
        <v>0.50023980815347724</v>
      </c>
      <c r="G104" s="87">
        <v>0</v>
      </c>
      <c r="H104" s="87">
        <v>0.29976019184652281</v>
      </c>
      <c r="I104" s="87">
        <v>0.2</v>
      </c>
      <c r="J104" s="86">
        <v>0</v>
      </c>
      <c r="K104" s="86">
        <v>0</v>
      </c>
      <c r="L104" s="86">
        <v>0</v>
      </c>
      <c r="M104" s="86">
        <v>0</v>
      </c>
      <c r="N104" s="86">
        <v>0</v>
      </c>
      <c r="O104" s="86">
        <v>0</v>
      </c>
      <c r="P104" s="86">
        <v>1</v>
      </c>
      <c r="R104" s="81">
        <f t="shared" si="3"/>
        <v>0</v>
      </c>
      <c r="S104" s="81">
        <f t="shared" si="4"/>
        <v>0</v>
      </c>
      <c r="T104" s="82">
        <f t="shared" si="5"/>
        <v>0</v>
      </c>
    </row>
    <row r="105" spans="1:20">
      <c r="A105" s="83" t="s">
        <v>461</v>
      </c>
      <c r="B105" s="84">
        <v>2082522.4869459998</v>
      </c>
      <c r="C105" s="85">
        <v>809.09725795523332</v>
      </c>
      <c r="D105" s="86">
        <v>0.43128946056047546</v>
      </c>
      <c r="E105" s="87">
        <v>0</v>
      </c>
      <c r="F105" s="87">
        <v>0.28811453598270714</v>
      </c>
      <c r="G105" s="87">
        <v>0</v>
      </c>
      <c r="H105" s="87">
        <v>0.11421581351028537</v>
      </c>
      <c r="I105" s="87">
        <v>2.8959111067482942E-2</v>
      </c>
      <c r="J105" s="86">
        <v>0.28166082415762639</v>
      </c>
      <c r="K105" s="86">
        <v>1.3812575941104775E-2</v>
      </c>
      <c r="L105" s="86">
        <v>3.2366787251220733E-2</v>
      </c>
      <c r="M105" s="86">
        <v>4.8544493821171118E-2</v>
      </c>
      <c r="N105" s="86">
        <v>0</v>
      </c>
      <c r="O105" s="86">
        <v>0.19232585826840159</v>
      </c>
      <c r="P105" s="86">
        <v>1</v>
      </c>
      <c r="R105" s="81">
        <f t="shared" si="3"/>
        <v>586565</v>
      </c>
      <c r="S105" s="81">
        <f t="shared" si="4"/>
        <v>28765</v>
      </c>
      <c r="T105" s="82">
        <f t="shared" si="5"/>
        <v>101095</v>
      </c>
    </row>
    <row r="106" spans="1:20">
      <c r="A106" s="83" t="s">
        <v>94</v>
      </c>
      <c r="B106" s="84">
        <v>1062638.5075589996</v>
      </c>
      <c r="C106" s="85">
        <v>273.12999299368659</v>
      </c>
      <c r="D106" s="86">
        <v>0.37798272615082995</v>
      </c>
      <c r="E106" s="87">
        <v>0</v>
      </c>
      <c r="F106" s="87">
        <v>0.10594854148342547</v>
      </c>
      <c r="G106" s="87">
        <v>2.8899762037180765E-3</v>
      </c>
      <c r="H106" s="87">
        <v>1.0605676266982325E-3</v>
      </c>
      <c r="I106" s="87">
        <v>0.26808364083698821</v>
      </c>
      <c r="J106" s="86">
        <v>0</v>
      </c>
      <c r="K106" s="86">
        <v>0.33680540612267329</v>
      </c>
      <c r="L106" s="86">
        <v>0.25046627951624639</v>
      </c>
      <c r="M106" s="86">
        <v>2.1978311376696737E-2</v>
      </c>
      <c r="N106" s="86">
        <v>2.2613522688161958E-3</v>
      </c>
      <c r="O106" s="86">
        <v>1.0505924564737416E-2</v>
      </c>
      <c r="P106" s="86">
        <v>1</v>
      </c>
      <c r="R106" s="81">
        <f t="shared" si="3"/>
        <v>0</v>
      </c>
      <c r="S106" s="81">
        <f t="shared" si="4"/>
        <v>357902.39410000027</v>
      </c>
      <c r="T106" s="82">
        <f t="shared" si="5"/>
        <v>23355</v>
      </c>
    </row>
    <row r="107" spans="1:20">
      <c r="A107" s="83" t="s">
        <v>462</v>
      </c>
      <c r="B107" s="84">
        <v>1739</v>
      </c>
      <c r="C107" s="85">
        <v>0</v>
      </c>
      <c r="D107" s="86">
        <v>1</v>
      </c>
      <c r="E107" s="87">
        <v>0</v>
      </c>
      <c r="F107" s="87">
        <v>0</v>
      </c>
      <c r="G107" s="87">
        <v>0</v>
      </c>
      <c r="H107" s="87">
        <v>1</v>
      </c>
      <c r="I107" s="87">
        <v>0</v>
      </c>
      <c r="J107" s="86">
        <v>0</v>
      </c>
      <c r="K107" s="86">
        <v>0</v>
      </c>
      <c r="L107" s="86">
        <v>0</v>
      </c>
      <c r="M107" s="86">
        <v>0</v>
      </c>
      <c r="N107" s="86">
        <v>0</v>
      </c>
      <c r="O107" s="86">
        <v>0</v>
      </c>
      <c r="P107" s="86">
        <v>1</v>
      </c>
      <c r="R107" s="81">
        <f t="shared" si="3"/>
        <v>0</v>
      </c>
      <c r="S107" s="81">
        <f t="shared" si="4"/>
        <v>0</v>
      </c>
      <c r="T107" s="82">
        <f t="shared" si="5"/>
        <v>0</v>
      </c>
    </row>
    <row r="108" spans="1:20">
      <c r="A108" s="83" t="s">
        <v>463</v>
      </c>
      <c r="B108" s="84">
        <v>129042.81414478199</v>
      </c>
      <c r="C108" s="85">
        <v>0</v>
      </c>
      <c r="D108" s="86">
        <v>1</v>
      </c>
      <c r="E108" s="87">
        <v>0</v>
      </c>
      <c r="F108" s="87">
        <v>0</v>
      </c>
      <c r="G108" s="87">
        <v>0</v>
      </c>
      <c r="H108" s="87">
        <v>0.50000387467743301</v>
      </c>
      <c r="I108" s="87">
        <v>0.49999612532256699</v>
      </c>
      <c r="J108" s="86">
        <v>0</v>
      </c>
      <c r="K108" s="86">
        <v>0</v>
      </c>
      <c r="L108" s="86">
        <v>0</v>
      </c>
      <c r="M108" s="86">
        <v>0</v>
      </c>
      <c r="N108" s="86">
        <v>0</v>
      </c>
      <c r="O108" s="86">
        <v>0</v>
      </c>
      <c r="P108" s="86">
        <v>1</v>
      </c>
      <c r="R108" s="81">
        <f t="shared" si="3"/>
        <v>0</v>
      </c>
      <c r="S108" s="81">
        <f t="shared" si="4"/>
        <v>0</v>
      </c>
      <c r="T108" s="82">
        <f t="shared" si="5"/>
        <v>0</v>
      </c>
    </row>
    <row r="109" spans="1:20">
      <c r="A109" s="83" t="s">
        <v>464</v>
      </c>
      <c r="B109" s="84">
        <v>1918833.8250116301</v>
      </c>
      <c r="C109" s="85">
        <v>378.38623733600502</v>
      </c>
      <c r="D109" s="86">
        <v>0.54860091909919295</v>
      </c>
      <c r="E109" s="87">
        <v>6.8958029754972699E-2</v>
      </c>
      <c r="F109" s="87">
        <v>3.8214356576477197E-2</v>
      </c>
      <c r="G109" s="87">
        <v>4.8977664858201302E-3</v>
      </c>
      <c r="H109" s="87">
        <v>0.28813959436880798</v>
      </c>
      <c r="I109" s="87">
        <v>0.14839117191311499</v>
      </c>
      <c r="J109" s="86">
        <v>0</v>
      </c>
      <c r="K109" s="86">
        <v>0.118017537031185</v>
      </c>
      <c r="L109" s="86">
        <v>0</v>
      </c>
      <c r="M109" s="86">
        <v>0</v>
      </c>
      <c r="N109" s="86">
        <v>0</v>
      </c>
      <c r="O109" s="86">
        <v>0.33338154386962199</v>
      </c>
      <c r="P109" s="86">
        <v>1</v>
      </c>
      <c r="R109" s="81">
        <f t="shared" si="3"/>
        <v>0</v>
      </c>
      <c r="S109" s="81">
        <f t="shared" si="4"/>
        <v>226456.04200000042</v>
      </c>
      <c r="T109" s="82">
        <f t="shared" si="5"/>
        <v>0</v>
      </c>
    </row>
    <row r="110" spans="1:20">
      <c r="A110" s="83" t="s">
        <v>57</v>
      </c>
      <c r="B110" s="84">
        <v>11298590.287</v>
      </c>
      <c r="C110" s="85">
        <v>503.50228504398655</v>
      </c>
      <c r="D110" s="86">
        <v>0.44534415469893551</v>
      </c>
      <c r="E110" s="87">
        <v>8.5289145656177474E-3</v>
      </c>
      <c r="F110" s="87">
        <v>0</v>
      </c>
      <c r="G110" s="87">
        <v>1.3386537272178545E-4</v>
      </c>
      <c r="H110" s="87">
        <v>0.28465929740457924</v>
      </c>
      <c r="I110" s="87">
        <v>0.15202207735601672</v>
      </c>
      <c r="J110" s="86">
        <v>0</v>
      </c>
      <c r="K110" s="86">
        <v>1.7504927587401343E-2</v>
      </c>
      <c r="L110" s="86">
        <v>0.29571610246078051</v>
      </c>
      <c r="M110" s="86">
        <v>2.4356736646553964E-3</v>
      </c>
      <c r="N110" s="86">
        <v>1.7760304585082284E-4</v>
      </c>
      <c r="O110" s="86">
        <v>0.23882153854237659</v>
      </c>
      <c r="P110" s="86">
        <v>1</v>
      </c>
      <c r="R110" s="81">
        <f t="shared" si="3"/>
        <v>0</v>
      </c>
      <c r="S110" s="81">
        <f t="shared" si="4"/>
        <v>197781.00481365118</v>
      </c>
      <c r="T110" s="82">
        <f t="shared" si="5"/>
        <v>27519.678809777157</v>
      </c>
    </row>
    <row r="111" spans="1:20">
      <c r="A111" s="83" t="s">
        <v>465</v>
      </c>
      <c r="B111" s="84">
        <v>43107</v>
      </c>
      <c r="C111" s="85">
        <v>0</v>
      </c>
      <c r="D111" s="86">
        <v>1</v>
      </c>
      <c r="E111" s="87">
        <v>0</v>
      </c>
      <c r="F111" s="87">
        <v>0</v>
      </c>
      <c r="G111" s="87">
        <v>0</v>
      </c>
      <c r="H111" s="87">
        <v>1</v>
      </c>
      <c r="I111" s="87">
        <v>0</v>
      </c>
      <c r="J111" s="86">
        <v>0</v>
      </c>
      <c r="K111" s="86">
        <v>0</v>
      </c>
      <c r="L111" s="86">
        <v>0</v>
      </c>
      <c r="M111" s="86">
        <v>0</v>
      </c>
      <c r="N111" s="86">
        <v>0</v>
      </c>
      <c r="O111" s="86">
        <v>0</v>
      </c>
      <c r="P111" s="86">
        <v>1</v>
      </c>
      <c r="R111" s="81">
        <f t="shared" si="3"/>
        <v>0</v>
      </c>
      <c r="S111" s="81">
        <f t="shared" si="4"/>
        <v>0</v>
      </c>
      <c r="T111" s="82">
        <f t="shared" si="5"/>
        <v>0</v>
      </c>
    </row>
    <row r="112" spans="1:20">
      <c r="A112" s="83" t="s">
        <v>466</v>
      </c>
      <c r="B112" s="84">
        <v>169968.17833015081</v>
      </c>
      <c r="C112" s="85">
        <v>619.07977456365904</v>
      </c>
      <c r="D112" s="86">
        <v>0.29961490733331209</v>
      </c>
      <c r="E112" s="87">
        <v>7.6484905161179326E-2</v>
      </c>
      <c r="F112" s="87">
        <v>1.12726983299092E-2</v>
      </c>
      <c r="G112" s="87">
        <v>0</v>
      </c>
      <c r="H112" s="87">
        <v>5.1180168461315304E-2</v>
      </c>
      <c r="I112" s="87">
        <v>0.16067713538090828</v>
      </c>
      <c r="J112" s="86">
        <v>0</v>
      </c>
      <c r="K112" s="86">
        <v>2.3689846179199368E-2</v>
      </c>
      <c r="L112" s="86">
        <v>0</v>
      </c>
      <c r="M112" s="86">
        <v>6.8619197514403638E-2</v>
      </c>
      <c r="N112" s="86">
        <v>0</v>
      </c>
      <c r="O112" s="86">
        <v>0.60807604897308487</v>
      </c>
      <c r="P112" s="86">
        <v>1</v>
      </c>
      <c r="R112" s="81">
        <f t="shared" si="3"/>
        <v>0</v>
      </c>
      <c r="S112" s="81">
        <f t="shared" si="4"/>
        <v>4026.52</v>
      </c>
      <c r="T112" s="82">
        <f t="shared" si="5"/>
        <v>11663.079999999998</v>
      </c>
    </row>
    <row r="113" spans="1:20">
      <c r="A113" s="83" t="s">
        <v>467</v>
      </c>
      <c r="B113" s="84">
        <v>102.3240078</v>
      </c>
      <c r="C113" s="85">
        <v>639.26898164893237</v>
      </c>
      <c r="D113" s="86">
        <v>0.3225049595838837</v>
      </c>
      <c r="E113" s="87">
        <v>0</v>
      </c>
      <c r="F113" s="87">
        <v>0</v>
      </c>
      <c r="G113" s="87">
        <v>0</v>
      </c>
      <c r="H113" s="87">
        <v>0</v>
      </c>
      <c r="I113" s="87">
        <v>0.3225049595838837</v>
      </c>
      <c r="J113" s="86">
        <v>0</v>
      </c>
      <c r="K113" s="86">
        <v>0</v>
      </c>
      <c r="L113" s="86">
        <v>0</v>
      </c>
      <c r="M113" s="86">
        <v>0</v>
      </c>
      <c r="N113" s="86">
        <v>0</v>
      </c>
      <c r="O113" s="86">
        <v>0.6774950404161163</v>
      </c>
      <c r="P113" s="86">
        <v>1</v>
      </c>
      <c r="R113" s="81">
        <f t="shared" si="3"/>
        <v>0</v>
      </c>
      <c r="S113" s="81">
        <f t="shared" si="4"/>
        <v>0</v>
      </c>
      <c r="T113" s="82">
        <f t="shared" si="5"/>
        <v>0</v>
      </c>
    </row>
    <row r="114" spans="1:20">
      <c r="A114" s="83" t="s">
        <v>363</v>
      </c>
      <c r="B114" s="84">
        <v>3660758</v>
      </c>
      <c r="C114" s="85">
        <v>162.40233141217342</v>
      </c>
      <c r="D114" s="86">
        <v>0.52701171190675167</v>
      </c>
      <c r="E114" s="87">
        <v>2.4683888532182157E-2</v>
      </c>
      <c r="F114" s="87">
        <v>0.1033341820642177</v>
      </c>
      <c r="G114" s="87">
        <v>0</v>
      </c>
      <c r="H114" s="87">
        <v>0.11849524719366342</v>
      </c>
      <c r="I114" s="87">
        <v>0.28049839411668842</v>
      </c>
      <c r="J114" s="86">
        <v>0</v>
      </c>
      <c r="K114" s="86">
        <v>0.22737924006035118</v>
      </c>
      <c r="L114" s="86">
        <v>0</v>
      </c>
      <c r="M114" s="86">
        <v>0.23214755375036789</v>
      </c>
      <c r="N114" s="86">
        <v>1.8069580435661294E-3</v>
      </c>
      <c r="O114" s="86">
        <v>1.165453623896355E-2</v>
      </c>
      <c r="P114" s="86">
        <v>1.0000000000000004</v>
      </c>
      <c r="R114" s="81">
        <f t="shared" si="3"/>
        <v>0</v>
      </c>
      <c r="S114" s="81">
        <f t="shared" si="4"/>
        <v>832380.37208485103</v>
      </c>
      <c r="T114" s="82">
        <f t="shared" si="5"/>
        <v>849836.01457208919</v>
      </c>
    </row>
    <row r="115" spans="1:20">
      <c r="A115" s="83" t="s">
        <v>364</v>
      </c>
      <c r="B115" s="84">
        <v>59036</v>
      </c>
      <c r="C115" s="85">
        <v>168.02948621772464</v>
      </c>
      <c r="D115" s="86">
        <v>0.36017586726743001</v>
      </c>
      <c r="E115" s="87">
        <v>1.6989633444000271E-2</v>
      </c>
      <c r="F115" s="87">
        <v>7.0025069449149671E-2</v>
      </c>
      <c r="G115" s="87">
        <v>0</v>
      </c>
      <c r="H115" s="87">
        <v>8.1306321566501791E-2</v>
      </c>
      <c r="I115" s="87">
        <v>0.19185484280777829</v>
      </c>
      <c r="J115" s="86">
        <v>0</v>
      </c>
      <c r="K115" s="86">
        <v>0.31336811437089235</v>
      </c>
      <c r="L115" s="86">
        <v>0</v>
      </c>
      <c r="M115" s="86">
        <v>0.31336811437089235</v>
      </c>
      <c r="N115" s="86">
        <v>0</v>
      </c>
      <c r="O115" s="86">
        <v>1.3087903990785302E-2</v>
      </c>
      <c r="P115" s="86">
        <v>1.0000000000000002</v>
      </c>
      <c r="R115" s="81">
        <f t="shared" si="3"/>
        <v>0</v>
      </c>
      <c r="S115" s="81">
        <f t="shared" si="4"/>
        <v>18500</v>
      </c>
      <c r="T115" s="82">
        <f t="shared" si="5"/>
        <v>18500</v>
      </c>
    </row>
    <row r="116" spans="1:20">
      <c r="A116" s="83" t="s">
        <v>468</v>
      </c>
      <c r="B116" s="84">
        <v>21.4</v>
      </c>
      <c r="C116" s="85">
        <v>0</v>
      </c>
      <c r="D116" s="86">
        <v>1</v>
      </c>
      <c r="E116" s="87">
        <v>0</v>
      </c>
      <c r="F116" s="87">
        <v>0</v>
      </c>
      <c r="G116" s="87">
        <v>0</v>
      </c>
      <c r="H116" s="87">
        <v>1</v>
      </c>
      <c r="I116" s="87">
        <v>0</v>
      </c>
      <c r="J116" s="86">
        <v>0</v>
      </c>
      <c r="K116" s="86">
        <v>0</v>
      </c>
      <c r="L116" s="86">
        <v>0</v>
      </c>
      <c r="M116" s="86">
        <v>0</v>
      </c>
      <c r="N116" s="86">
        <v>0</v>
      </c>
      <c r="O116" s="86">
        <v>0</v>
      </c>
      <c r="P116" s="86">
        <v>1</v>
      </c>
      <c r="R116" s="81">
        <f t="shared" si="3"/>
        <v>0</v>
      </c>
      <c r="S116" s="81">
        <f t="shared" si="4"/>
        <v>0</v>
      </c>
      <c r="T116" s="82">
        <f t="shared" si="5"/>
        <v>0</v>
      </c>
    </row>
    <row r="117" spans="1:20">
      <c r="A117" s="83" t="s">
        <v>366</v>
      </c>
      <c r="B117" s="84">
        <v>68053</v>
      </c>
      <c r="C117" s="85">
        <v>0</v>
      </c>
      <c r="D117" s="86">
        <v>1</v>
      </c>
      <c r="E117" s="87">
        <v>0</v>
      </c>
      <c r="F117" s="87">
        <v>0</v>
      </c>
      <c r="G117" s="87">
        <v>0</v>
      </c>
      <c r="H117" s="87">
        <v>1</v>
      </c>
      <c r="I117" s="87">
        <v>0</v>
      </c>
      <c r="J117" s="86">
        <v>0</v>
      </c>
      <c r="K117" s="86">
        <v>0</v>
      </c>
      <c r="L117" s="86">
        <v>0</v>
      </c>
      <c r="M117" s="86">
        <v>0</v>
      </c>
      <c r="N117" s="86">
        <v>0</v>
      </c>
      <c r="O117" s="86">
        <v>0</v>
      </c>
      <c r="P117" s="86">
        <v>1</v>
      </c>
      <c r="R117" s="81">
        <f t="shared" si="3"/>
        <v>0</v>
      </c>
      <c r="S117" s="81">
        <f t="shared" si="4"/>
        <v>0</v>
      </c>
      <c r="T117" s="82">
        <f t="shared" si="5"/>
        <v>0</v>
      </c>
    </row>
    <row r="118" spans="1:20">
      <c r="A118" s="83" t="s">
        <v>469</v>
      </c>
      <c r="B118" s="84">
        <v>27580.601710412098</v>
      </c>
      <c r="C118" s="85">
        <v>0</v>
      </c>
      <c r="D118" s="86">
        <v>0.83896690879741742</v>
      </c>
      <c r="E118" s="87">
        <v>0</v>
      </c>
      <c r="F118" s="87">
        <v>0</v>
      </c>
      <c r="G118" s="87">
        <v>9.6852300242130748E-2</v>
      </c>
      <c r="H118" s="87">
        <v>0</v>
      </c>
      <c r="I118" s="87">
        <v>0.74211460855528666</v>
      </c>
      <c r="J118" s="86">
        <v>0</v>
      </c>
      <c r="K118" s="86">
        <v>0.16103309120258272</v>
      </c>
      <c r="L118" s="86">
        <v>0</v>
      </c>
      <c r="M118" s="86">
        <v>0</v>
      </c>
      <c r="N118" s="86">
        <v>0</v>
      </c>
      <c r="O118" s="86">
        <v>0</v>
      </c>
      <c r="P118" s="86">
        <v>1</v>
      </c>
      <c r="R118" s="81">
        <f t="shared" si="3"/>
        <v>0</v>
      </c>
      <c r="S118" s="81">
        <f t="shared" si="4"/>
        <v>4441.3895506549006</v>
      </c>
      <c r="T118" s="82">
        <f t="shared" si="5"/>
        <v>0</v>
      </c>
    </row>
    <row r="119" spans="1:20">
      <c r="A119" s="83" t="s">
        <v>470</v>
      </c>
      <c r="B119" s="84">
        <v>4024.6224531759208</v>
      </c>
      <c r="C119" s="85">
        <v>0</v>
      </c>
      <c r="D119" s="86">
        <v>0.50012422360248443</v>
      </c>
      <c r="E119" s="87">
        <v>0</v>
      </c>
      <c r="F119" s="87">
        <v>0</v>
      </c>
      <c r="G119" s="87">
        <v>0</v>
      </c>
      <c r="H119" s="87">
        <v>0</v>
      </c>
      <c r="I119" s="87">
        <v>0.50012422360248443</v>
      </c>
      <c r="J119" s="86">
        <v>0</v>
      </c>
      <c r="K119" s="86">
        <v>0.49987577639751551</v>
      </c>
      <c r="L119" s="86">
        <v>0</v>
      </c>
      <c r="M119" s="86">
        <v>0</v>
      </c>
      <c r="N119" s="86">
        <v>0</v>
      </c>
      <c r="O119" s="86">
        <v>0</v>
      </c>
      <c r="P119" s="86">
        <v>1</v>
      </c>
      <c r="R119" s="81">
        <f t="shared" si="3"/>
        <v>0</v>
      </c>
      <c r="S119" s="81">
        <f t="shared" si="4"/>
        <v>2011.811273488187</v>
      </c>
      <c r="T119" s="82">
        <f t="shared" si="5"/>
        <v>0</v>
      </c>
    </row>
    <row r="120" spans="1:20">
      <c r="A120" s="83" t="s">
        <v>197</v>
      </c>
      <c r="B120" s="84">
        <v>215779.75</v>
      </c>
      <c r="C120" s="85">
        <v>386.31248021011237</v>
      </c>
      <c r="D120" s="86">
        <v>3.712167953835715E-3</v>
      </c>
      <c r="E120" s="87">
        <v>0</v>
      </c>
      <c r="F120" s="87">
        <v>0</v>
      </c>
      <c r="G120" s="87">
        <v>3.7121184911929873E-3</v>
      </c>
      <c r="H120" s="87">
        <v>4.9462642727485525E-8</v>
      </c>
      <c r="I120" s="87">
        <v>0</v>
      </c>
      <c r="J120" s="86">
        <v>0</v>
      </c>
      <c r="K120" s="86">
        <v>0.55674782364775233</v>
      </c>
      <c r="L120" s="86">
        <v>0</v>
      </c>
      <c r="M120" s="86">
        <v>2.7072660638022269E-2</v>
      </c>
      <c r="N120" s="86">
        <v>1.9740686358649391E-3</v>
      </c>
      <c r="O120" s="86">
        <v>0.41049327912452471</v>
      </c>
      <c r="P120" s="86">
        <v>0.99999999999999989</v>
      </c>
      <c r="R120" s="81">
        <f t="shared" si="3"/>
        <v>0</v>
      </c>
      <c r="S120" s="81">
        <f t="shared" si="4"/>
        <v>120134.90619975608</v>
      </c>
      <c r="T120" s="82">
        <f t="shared" si="5"/>
        <v>5841.7319443072856</v>
      </c>
    </row>
    <row r="121" spans="1:20">
      <c r="A121" s="83" t="s">
        <v>471</v>
      </c>
      <c r="B121" s="84">
        <v>5484204</v>
      </c>
      <c r="C121" s="85">
        <v>319.170788899684</v>
      </c>
      <c r="D121" s="86">
        <v>0.32306438637220602</v>
      </c>
      <c r="E121" s="87">
        <v>1.6919137216631599E-2</v>
      </c>
      <c r="F121" s="87">
        <v>1.61188387594626E-2</v>
      </c>
      <c r="G121" s="87">
        <v>1.9707509056920598E-3</v>
      </c>
      <c r="H121" s="87">
        <v>5.1587067147757501E-2</v>
      </c>
      <c r="I121" s="87">
        <v>0.23646859234266299</v>
      </c>
      <c r="J121" s="86">
        <v>0</v>
      </c>
      <c r="K121" s="86">
        <v>0.36178559367959301</v>
      </c>
      <c r="L121" s="86">
        <v>0</v>
      </c>
      <c r="M121" s="86">
        <v>0</v>
      </c>
      <c r="N121" s="86">
        <v>5.8648438314840203E-3</v>
      </c>
      <c r="O121" s="86">
        <v>0.30928517611671602</v>
      </c>
      <c r="P121" s="86">
        <v>1</v>
      </c>
      <c r="R121" s="81">
        <f t="shared" si="3"/>
        <v>0</v>
      </c>
      <c r="S121" s="81">
        <f t="shared" si="4"/>
        <v>1984105.9999999986</v>
      </c>
      <c r="T121" s="82">
        <f t="shared" si="5"/>
        <v>0</v>
      </c>
    </row>
    <row r="122" spans="1:20">
      <c r="A122" s="83" t="s">
        <v>472</v>
      </c>
      <c r="B122" s="84"/>
      <c r="C122" s="85"/>
      <c r="D122" s="86"/>
      <c r="E122" s="87"/>
      <c r="F122" s="87"/>
      <c r="G122" s="87"/>
      <c r="H122" s="87"/>
      <c r="I122" s="87"/>
      <c r="J122" s="86"/>
      <c r="K122" s="86"/>
      <c r="L122" s="86"/>
      <c r="M122" s="86"/>
      <c r="N122" s="86"/>
      <c r="O122" s="86"/>
      <c r="P122" s="86"/>
      <c r="R122" s="81">
        <f t="shared" si="3"/>
        <v>0</v>
      </c>
      <c r="S122" s="81">
        <f t="shared" si="4"/>
        <v>0</v>
      </c>
      <c r="T122" s="82">
        <f t="shared" si="5"/>
        <v>0</v>
      </c>
    </row>
    <row r="123" spans="1:20">
      <c r="A123" s="83" t="s">
        <v>473</v>
      </c>
      <c r="B123" s="84">
        <v>128667</v>
      </c>
      <c r="C123" s="85">
        <v>0</v>
      </c>
      <c r="D123" s="86">
        <v>1</v>
      </c>
      <c r="E123" s="87">
        <v>0</v>
      </c>
      <c r="F123" s="87">
        <v>0</v>
      </c>
      <c r="G123" s="87">
        <v>0</v>
      </c>
      <c r="H123" s="87">
        <v>1</v>
      </c>
      <c r="I123" s="87">
        <v>0</v>
      </c>
      <c r="J123" s="86">
        <v>0</v>
      </c>
      <c r="K123" s="86">
        <v>0</v>
      </c>
      <c r="L123" s="86">
        <v>0</v>
      </c>
      <c r="M123" s="86">
        <v>0</v>
      </c>
      <c r="N123" s="86">
        <v>0</v>
      </c>
      <c r="O123" s="86">
        <v>0</v>
      </c>
      <c r="P123" s="86">
        <v>1</v>
      </c>
      <c r="R123" s="81">
        <f t="shared" si="3"/>
        <v>0</v>
      </c>
      <c r="S123" s="81">
        <f t="shared" si="4"/>
        <v>0</v>
      </c>
      <c r="T123" s="82">
        <f t="shared" si="5"/>
        <v>0</v>
      </c>
    </row>
    <row r="124" spans="1:20">
      <c r="A124" s="83" t="s">
        <v>474</v>
      </c>
      <c r="B124" s="84">
        <v>3617472</v>
      </c>
      <c r="C124" s="85">
        <v>17.773936294050234</v>
      </c>
      <c r="D124" s="86">
        <v>0.44137099941523833</v>
      </c>
      <c r="E124" s="87">
        <v>4.8588156749777532E-2</v>
      </c>
      <c r="F124" s="87">
        <v>0.13944163046467722</v>
      </c>
      <c r="G124" s="87">
        <v>2.1962853601095716E-2</v>
      </c>
      <c r="H124" s="87">
        <v>0.17489045235188647</v>
      </c>
      <c r="I124" s="87">
        <v>5.6487906247801423E-2</v>
      </c>
      <c r="J124" s="86">
        <v>0</v>
      </c>
      <c r="K124" s="86">
        <v>0.3587129427158573</v>
      </c>
      <c r="L124" s="86">
        <v>0</v>
      </c>
      <c r="M124" s="86">
        <v>0.19956618285804062</v>
      </c>
      <c r="N124" s="86">
        <v>4.6964285825499858E-5</v>
      </c>
      <c r="O124" s="86">
        <v>3.0291072503825907E-4</v>
      </c>
      <c r="P124" s="86">
        <v>1</v>
      </c>
      <c r="R124" s="81">
        <f t="shared" si="3"/>
        <v>0</v>
      </c>
      <c r="S124" s="81">
        <f t="shared" si="4"/>
        <v>1297634.0263122178</v>
      </c>
      <c r="T124" s="82">
        <f t="shared" si="5"/>
        <v>721925.07863584196</v>
      </c>
    </row>
    <row r="125" spans="1:20">
      <c r="A125" s="83" t="s">
        <v>475</v>
      </c>
      <c r="B125" s="84">
        <v>92740</v>
      </c>
      <c r="C125" s="85">
        <v>649.77740254166645</v>
      </c>
      <c r="D125" s="86">
        <v>0.2699308798736319</v>
      </c>
      <c r="E125" s="87">
        <v>2.122469699738988E-2</v>
      </c>
      <c r="F125" s="87">
        <v>7.0813762050804363E-2</v>
      </c>
      <c r="G125" s="87">
        <v>5.8962966629532099E-2</v>
      </c>
      <c r="H125" s="87">
        <v>4.118331606439421E-2</v>
      </c>
      <c r="I125" s="87">
        <v>7.7746138131511322E-2</v>
      </c>
      <c r="J125" s="86">
        <v>0</v>
      </c>
      <c r="K125" s="86">
        <v>6.6737839918819361E-2</v>
      </c>
      <c r="L125" s="86">
        <v>0.34310720177843201</v>
      </c>
      <c r="M125" s="86">
        <v>0</v>
      </c>
      <c r="N125" s="86">
        <v>0</v>
      </c>
      <c r="O125" s="86">
        <v>0.32022407842911671</v>
      </c>
      <c r="P125" s="86">
        <v>0.99999999999999989</v>
      </c>
      <c r="R125" s="81">
        <f t="shared" si="3"/>
        <v>0</v>
      </c>
      <c r="S125" s="81">
        <f t="shared" si="4"/>
        <v>6189.2672740713078</v>
      </c>
      <c r="T125" s="82">
        <f t="shared" si="5"/>
        <v>0</v>
      </c>
    </row>
    <row r="126" spans="1:20">
      <c r="A126" s="83" t="s">
        <v>476</v>
      </c>
      <c r="B126" s="84">
        <v>28777</v>
      </c>
      <c r="C126" s="85">
        <v>0</v>
      </c>
      <c r="D126" s="86">
        <v>1</v>
      </c>
      <c r="E126" s="87">
        <v>0</v>
      </c>
      <c r="F126" s="87">
        <v>0</v>
      </c>
      <c r="G126" s="87">
        <v>0</v>
      </c>
      <c r="H126" s="87">
        <v>1</v>
      </c>
      <c r="I126" s="87">
        <v>0</v>
      </c>
      <c r="J126" s="86">
        <v>0</v>
      </c>
      <c r="K126" s="86">
        <v>0</v>
      </c>
      <c r="L126" s="86">
        <v>0</v>
      </c>
      <c r="M126" s="86">
        <v>0</v>
      </c>
      <c r="N126" s="86">
        <v>0</v>
      </c>
      <c r="O126" s="86">
        <v>0</v>
      </c>
      <c r="P126" s="86">
        <v>1</v>
      </c>
      <c r="R126" s="81">
        <f t="shared" si="3"/>
        <v>0</v>
      </c>
      <c r="S126" s="81">
        <f t="shared" si="4"/>
        <v>0</v>
      </c>
      <c r="T126" s="82">
        <f t="shared" si="5"/>
        <v>0</v>
      </c>
    </row>
    <row r="127" spans="1:20">
      <c r="A127" s="83" t="s">
        <v>477</v>
      </c>
      <c r="B127" s="84">
        <v>3677200.1319999998</v>
      </c>
      <c r="C127" s="85">
        <v>649.77725022095638</v>
      </c>
      <c r="D127" s="86">
        <v>0.26993509484491029</v>
      </c>
      <c r="E127" s="87">
        <v>2.122469699738988E-2</v>
      </c>
      <c r="F127" s="87">
        <v>7.081380336352526E-2</v>
      </c>
      <c r="G127" s="87">
        <v>5.8966309637745913E-2</v>
      </c>
      <c r="H127" s="87">
        <v>4.1184146714737913E-2</v>
      </c>
      <c r="I127" s="87">
        <v>7.7746138131511322E-2</v>
      </c>
      <c r="J127" s="86">
        <v>0</v>
      </c>
      <c r="K127" s="86">
        <v>6.6733551273690447E-2</v>
      </c>
      <c r="L127" s="86">
        <v>0.34310711204184241</v>
      </c>
      <c r="M127" s="86">
        <v>0</v>
      </c>
      <c r="N127" s="86">
        <v>0</v>
      </c>
      <c r="O127" s="86">
        <v>0.32022424183955689</v>
      </c>
      <c r="P127" s="86">
        <v>1</v>
      </c>
      <c r="R127" s="81">
        <f t="shared" si="3"/>
        <v>0</v>
      </c>
      <c r="S127" s="81">
        <f t="shared" si="4"/>
        <v>245392.62355244326</v>
      </c>
      <c r="T127" s="82">
        <f t="shared" si="5"/>
        <v>0</v>
      </c>
    </row>
    <row r="128" spans="1:20">
      <c r="A128" s="83" t="s">
        <v>478</v>
      </c>
      <c r="B128" s="84">
        <v>213125.17300000001</v>
      </c>
      <c r="C128" s="85">
        <v>0</v>
      </c>
      <c r="D128" s="86">
        <v>0.35873489027032951</v>
      </c>
      <c r="E128" s="87">
        <v>0</v>
      </c>
      <c r="F128" s="87">
        <v>0</v>
      </c>
      <c r="G128" s="87">
        <v>0</v>
      </c>
      <c r="H128" s="87">
        <v>0.14693706313143967</v>
      </c>
      <c r="I128" s="87">
        <v>0.21179782713888987</v>
      </c>
      <c r="J128" s="86">
        <v>0</v>
      </c>
      <c r="K128" s="86">
        <v>0.64126510972967032</v>
      </c>
      <c r="L128" s="86">
        <v>0</v>
      </c>
      <c r="M128" s="86">
        <v>0</v>
      </c>
      <c r="N128" s="86">
        <v>0</v>
      </c>
      <c r="O128" s="86">
        <v>0</v>
      </c>
      <c r="P128" s="86">
        <v>1</v>
      </c>
      <c r="R128" s="81">
        <f t="shared" si="3"/>
        <v>0</v>
      </c>
      <c r="S128" s="81">
        <f t="shared" si="4"/>
        <v>136669.73744999999</v>
      </c>
      <c r="T128" s="82">
        <f t="shared" si="5"/>
        <v>0</v>
      </c>
    </row>
    <row r="129" spans="1:20">
      <c r="A129" s="83" t="s">
        <v>479</v>
      </c>
      <c r="B129" s="84">
        <v>9504054</v>
      </c>
      <c r="C129" s="85">
        <v>462.17448731572642</v>
      </c>
      <c r="D129" s="86">
        <v>0.29575119333475275</v>
      </c>
      <c r="E129" s="87">
        <v>4.9190973662397115E-2</v>
      </c>
      <c r="F129" s="87">
        <v>3.2804001324066551E-2</v>
      </c>
      <c r="G129" s="87">
        <v>4.2962215913335509E-3</v>
      </c>
      <c r="H129" s="87">
        <v>3.2307804650302939E-2</v>
      </c>
      <c r="I129" s="87">
        <v>0.17715219210665259</v>
      </c>
      <c r="J129" s="86">
        <v>0</v>
      </c>
      <c r="K129" s="86">
        <v>0.17698874400835971</v>
      </c>
      <c r="L129" s="86">
        <v>0.51372675365691323</v>
      </c>
      <c r="M129" s="86">
        <v>8.256274078986563E-3</v>
      </c>
      <c r="N129" s="86">
        <v>5.0399029030819085E-4</v>
      </c>
      <c r="O129" s="86">
        <v>4.7730446306796862E-3</v>
      </c>
      <c r="P129" s="86">
        <v>1.0000000000000002</v>
      </c>
      <c r="R129" s="81">
        <f t="shared" si="3"/>
        <v>0</v>
      </c>
      <c r="S129" s="81">
        <f t="shared" si="4"/>
        <v>1682110.580447627</v>
      </c>
      <c r="T129" s="82">
        <f t="shared" si="5"/>
        <v>78468.074685488566</v>
      </c>
    </row>
    <row r="130" spans="1:20">
      <c r="A130" s="83" t="s">
        <v>480</v>
      </c>
      <c r="B130" s="84">
        <v>40546</v>
      </c>
      <c r="C130" s="85">
        <v>943.57735999999977</v>
      </c>
      <c r="D130" s="86">
        <v>0</v>
      </c>
      <c r="E130" s="87">
        <v>0</v>
      </c>
      <c r="F130" s="87">
        <v>0</v>
      </c>
      <c r="G130" s="87">
        <v>0</v>
      </c>
      <c r="H130" s="87">
        <v>0</v>
      </c>
      <c r="I130" s="87">
        <v>0</v>
      </c>
      <c r="J130" s="86">
        <v>0</v>
      </c>
      <c r="K130" s="86">
        <v>0</v>
      </c>
      <c r="L130" s="86">
        <v>0</v>
      </c>
      <c r="M130" s="86">
        <v>0</v>
      </c>
      <c r="N130" s="86">
        <v>0</v>
      </c>
      <c r="O130" s="86">
        <v>1</v>
      </c>
      <c r="P130" s="86">
        <v>1</v>
      </c>
      <c r="R130" s="81">
        <f t="shared" ref="R130:R155" si="6">J130*B130</f>
        <v>0</v>
      </c>
      <c r="S130" s="81">
        <f t="shared" ref="S130:S155" si="7">B130*K130</f>
        <v>0</v>
      </c>
      <c r="T130" s="82">
        <f t="shared" ref="T130:T155" si="8">B130*M130</f>
        <v>0</v>
      </c>
    </row>
    <row r="131" spans="1:20">
      <c r="A131" s="83" t="s">
        <v>481</v>
      </c>
      <c r="B131" s="84">
        <v>429210</v>
      </c>
      <c r="C131" s="85">
        <v>0</v>
      </c>
      <c r="D131" s="86">
        <v>0.84999883506908036</v>
      </c>
      <c r="E131" s="87">
        <v>0</v>
      </c>
      <c r="F131" s="87">
        <v>0</v>
      </c>
      <c r="G131" s="87">
        <v>0</v>
      </c>
      <c r="H131" s="87">
        <v>0.62109922881573121</v>
      </c>
      <c r="I131" s="87">
        <v>0.22889960625334918</v>
      </c>
      <c r="J131" s="86">
        <v>0</v>
      </c>
      <c r="K131" s="86">
        <v>0.15000116493091958</v>
      </c>
      <c r="L131" s="86">
        <v>0</v>
      </c>
      <c r="M131" s="86">
        <v>0</v>
      </c>
      <c r="N131" s="86">
        <v>0</v>
      </c>
      <c r="O131" s="86">
        <v>0</v>
      </c>
      <c r="P131" s="86">
        <v>1</v>
      </c>
      <c r="R131" s="81">
        <f t="shared" si="6"/>
        <v>0</v>
      </c>
      <c r="S131" s="81">
        <f t="shared" si="7"/>
        <v>64381.999999999993</v>
      </c>
      <c r="T131" s="82">
        <f t="shared" si="8"/>
        <v>0</v>
      </c>
    </row>
    <row r="132" spans="1:20">
      <c r="A132" s="83" t="s">
        <v>482</v>
      </c>
      <c r="B132" s="84">
        <v>183388</v>
      </c>
      <c r="C132" s="85">
        <v>612.64508176761831</v>
      </c>
      <c r="D132" s="86">
        <v>0.35072087595698737</v>
      </c>
      <c r="E132" s="87">
        <v>0</v>
      </c>
      <c r="F132" s="87">
        <v>0</v>
      </c>
      <c r="G132" s="87">
        <v>0</v>
      </c>
      <c r="H132" s="87">
        <v>0.35072087595698737</v>
      </c>
      <c r="I132" s="87">
        <v>0</v>
      </c>
      <c r="J132" s="86">
        <v>0</v>
      </c>
      <c r="K132" s="86">
        <v>0</v>
      </c>
      <c r="L132" s="86">
        <v>0</v>
      </c>
      <c r="M132" s="86">
        <v>0</v>
      </c>
      <c r="N132" s="86">
        <v>0</v>
      </c>
      <c r="O132" s="86">
        <v>0.64927912404301258</v>
      </c>
      <c r="P132" s="86">
        <v>1</v>
      </c>
      <c r="R132" s="81">
        <f t="shared" si="6"/>
        <v>0</v>
      </c>
      <c r="S132" s="81">
        <f t="shared" si="7"/>
        <v>0</v>
      </c>
      <c r="T132" s="82">
        <f t="shared" si="8"/>
        <v>0</v>
      </c>
    </row>
    <row r="133" spans="1:20">
      <c r="A133" s="83" t="s">
        <v>483</v>
      </c>
      <c r="B133" s="84">
        <v>295764</v>
      </c>
      <c r="C133" s="85">
        <v>0</v>
      </c>
      <c r="D133" s="86">
        <v>1</v>
      </c>
      <c r="E133" s="87">
        <v>0</v>
      </c>
      <c r="F133" s="87">
        <v>0</v>
      </c>
      <c r="G133" s="87">
        <v>0</v>
      </c>
      <c r="H133" s="87">
        <v>1</v>
      </c>
      <c r="I133" s="87">
        <v>0</v>
      </c>
      <c r="J133" s="86">
        <v>0</v>
      </c>
      <c r="K133" s="86">
        <v>0</v>
      </c>
      <c r="L133" s="86">
        <v>0</v>
      </c>
      <c r="M133" s="86">
        <v>0</v>
      </c>
      <c r="N133" s="86">
        <v>0</v>
      </c>
      <c r="O133" s="86">
        <v>0</v>
      </c>
      <c r="P133" s="86">
        <v>1</v>
      </c>
      <c r="R133" s="81">
        <f t="shared" si="6"/>
        <v>0</v>
      </c>
      <c r="S133" s="81">
        <f t="shared" si="7"/>
        <v>0</v>
      </c>
      <c r="T133" s="82">
        <f t="shared" si="8"/>
        <v>0</v>
      </c>
    </row>
    <row r="134" spans="1:20">
      <c r="A134" s="83" t="s">
        <v>484</v>
      </c>
      <c r="B134" s="84">
        <v>2</v>
      </c>
      <c r="C134" s="85">
        <v>0</v>
      </c>
      <c r="D134" s="86">
        <v>1</v>
      </c>
      <c r="E134" s="87">
        <v>0</v>
      </c>
      <c r="F134" s="87">
        <v>0</v>
      </c>
      <c r="G134" s="87">
        <v>0</v>
      </c>
      <c r="H134" s="87">
        <v>1</v>
      </c>
      <c r="I134" s="87">
        <v>0</v>
      </c>
      <c r="J134" s="86">
        <v>0</v>
      </c>
      <c r="K134" s="86">
        <v>0</v>
      </c>
      <c r="L134" s="86">
        <v>0</v>
      </c>
      <c r="M134" s="86">
        <v>0</v>
      </c>
      <c r="N134" s="86">
        <v>0</v>
      </c>
      <c r="O134" s="86">
        <v>0</v>
      </c>
      <c r="P134" s="86">
        <v>1</v>
      </c>
      <c r="R134" s="81">
        <f t="shared" si="6"/>
        <v>0</v>
      </c>
      <c r="S134" s="81">
        <f t="shared" si="7"/>
        <v>0</v>
      </c>
      <c r="T134" s="82">
        <f t="shared" si="8"/>
        <v>0</v>
      </c>
    </row>
    <row r="135" spans="1:20">
      <c r="A135" s="83" t="s">
        <v>485</v>
      </c>
      <c r="B135" s="84">
        <v>62</v>
      </c>
      <c r="C135" s="85">
        <v>0</v>
      </c>
      <c r="D135" s="86">
        <v>1</v>
      </c>
      <c r="E135" s="87">
        <v>0</v>
      </c>
      <c r="F135" s="87">
        <v>0</v>
      </c>
      <c r="G135" s="87">
        <v>0</v>
      </c>
      <c r="H135" s="87">
        <v>1</v>
      </c>
      <c r="I135" s="87">
        <v>0</v>
      </c>
      <c r="J135" s="86">
        <v>0</v>
      </c>
      <c r="K135" s="86">
        <v>0</v>
      </c>
      <c r="L135" s="86">
        <v>0</v>
      </c>
      <c r="M135" s="86">
        <v>0</v>
      </c>
      <c r="N135" s="86">
        <v>0</v>
      </c>
      <c r="O135" s="86">
        <v>0</v>
      </c>
      <c r="P135" s="86">
        <v>1</v>
      </c>
      <c r="R135" s="81">
        <f t="shared" si="6"/>
        <v>0</v>
      </c>
      <c r="S135" s="81">
        <f t="shared" si="7"/>
        <v>0</v>
      </c>
      <c r="T135" s="82">
        <f t="shared" si="8"/>
        <v>0</v>
      </c>
    </row>
    <row r="136" spans="1:20">
      <c r="A136" s="83" t="s">
        <v>486</v>
      </c>
      <c r="B136" s="84">
        <v>18459.063999999998</v>
      </c>
      <c r="C136" s="85">
        <v>389.68914659606571</v>
      </c>
      <c r="D136" s="86">
        <v>0.58700879957943697</v>
      </c>
      <c r="E136" s="87">
        <v>0</v>
      </c>
      <c r="F136" s="87">
        <v>0</v>
      </c>
      <c r="G136" s="87">
        <v>0</v>
      </c>
      <c r="H136" s="87">
        <v>0.31613916068550391</v>
      </c>
      <c r="I136" s="87">
        <v>0.27086963889393312</v>
      </c>
      <c r="J136" s="86">
        <v>0</v>
      </c>
      <c r="K136" s="86">
        <v>0.27086963889393312</v>
      </c>
      <c r="L136" s="86">
        <v>0</v>
      </c>
      <c r="M136" s="86">
        <v>0</v>
      </c>
      <c r="N136" s="86">
        <v>0</v>
      </c>
      <c r="O136" s="86">
        <v>0.14212156152662989</v>
      </c>
      <c r="P136" s="86">
        <v>1</v>
      </c>
      <c r="R136" s="81">
        <f t="shared" si="6"/>
        <v>0</v>
      </c>
      <c r="S136" s="81">
        <f t="shared" si="7"/>
        <v>5000</v>
      </c>
      <c r="T136" s="82">
        <f t="shared" si="8"/>
        <v>0</v>
      </c>
    </row>
    <row r="137" spans="1:20">
      <c r="A137" s="83" t="s">
        <v>487</v>
      </c>
      <c r="B137" s="84">
        <v>164.36600000000001</v>
      </c>
      <c r="C137" s="85">
        <v>0</v>
      </c>
      <c r="D137" s="86">
        <v>1</v>
      </c>
      <c r="E137" s="87">
        <v>0</v>
      </c>
      <c r="F137" s="87">
        <v>0</v>
      </c>
      <c r="G137" s="87">
        <v>0</v>
      </c>
      <c r="H137" s="87">
        <v>1</v>
      </c>
      <c r="I137" s="87">
        <v>0</v>
      </c>
      <c r="J137" s="86">
        <v>0</v>
      </c>
      <c r="K137" s="86">
        <v>0</v>
      </c>
      <c r="L137" s="86">
        <v>0</v>
      </c>
      <c r="M137" s="86">
        <v>0</v>
      </c>
      <c r="N137" s="86">
        <v>0</v>
      </c>
      <c r="O137" s="86">
        <v>0</v>
      </c>
      <c r="P137" s="86">
        <v>1</v>
      </c>
      <c r="R137" s="81">
        <f t="shared" si="6"/>
        <v>0</v>
      </c>
      <c r="S137" s="81">
        <f t="shared" si="7"/>
        <v>0</v>
      </c>
      <c r="T137" s="82">
        <f t="shared" si="8"/>
        <v>0</v>
      </c>
    </row>
    <row r="138" spans="1:20">
      <c r="A138" s="83" t="s">
        <v>375</v>
      </c>
      <c r="B138" s="84">
        <v>2193209</v>
      </c>
      <c r="C138" s="85">
        <v>129.61594464556421</v>
      </c>
      <c r="D138" s="86">
        <v>0.49673469331924136</v>
      </c>
      <c r="E138" s="87">
        <v>0.11441636433189906</v>
      </c>
      <c r="F138" s="87">
        <v>0.19524313460322296</v>
      </c>
      <c r="G138" s="87">
        <v>0</v>
      </c>
      <c r="H138" s="87">
        <v>9.5114054337730694E-2</v>
      </c>
      <c r="I138" s="87">
        <v>9.1961140046388654E-2</v>
      </c>
      <c r="J138" s="86">
        <v>0</v>
      </c>
      <c r="K138" s="86">
        <v>0.40617925605813215</v>
      </c>
      <c r="L138" s="86">
        <v>0</v>
      </c>
      <c r="M138" s="86">
        <v>4.7150089207184543E-3</v>
      </c>
      <c r="N138" s="86">
        <v>3.392289562918992E-4</v>
      </c>
      <c r="O138" s="86">
        <v>9.2031812745616129E-2</v>
      </c>
      <c r="P138" s="86">
        <v>0.99999999999999989</v>
      </c>
      <c r="R138" s="81">
        <f t="shared" si="6"/>
        <v>0</v>
      </c>
      <c r="S138" s="81">
        <f t="shared" si="7"/>
        <v>890836</v>
      </c>
      <c r="T138" s="82">
        <f t="shared" si="8"/>
        <v>10341</v>
      </c>
    </row>
    <row r="139" spans="1:20">
      <c r="A139" s="83" t="s">
        <v>376</v>
      </c>
      <c r="B139" s="84">
        <v>78132</v>
      </c>
      <c r="C139" s="85">
        <v>68.412105782619662</v>
      </c>
      <c r="D139" s="86">
        <v>1</v>
      </c>
      <c r="E139" s="87">
        <v>0</v>
      </c>
      <c r="F139" s="87">
        <v>0.82925049915527571</v>
      </c>
      <c r="G139" s="87">
        <v>0</v>
      </c>
      <c r="H139" s="87">
        <v>0.17074950084472432</v>
      </c>
      <c r="I139" s="87">
        <v>0</v>
      </c>
      <c r="J139" s="86">
        <v>0</v>
      </c>
      <c r="K139" s="86">
        <v>0</v>
      </c>
      <c r="L139" s="86">
        <v>0</v>
      </c>
      <c r="M139" s="86">
        <v>0</v>
      </c>
      <c r="N139" s="86">
        <v>0</v>
      </c>
      <c r="O139" s="86">
        <v>0</v>
      </c>
      <c r="P139" s="86">
        <v>1</v>
      </c>
      <c r="R139" s="81">
        <f t="shared" si="6"/>
        <v>0</v>
      </c>
      <c r="S139" s="81">
        <f t="shared" si="7"/>
        <v>0</v>
      </c>
      <c r="T139" s="82">
        <f t="shared" si="8"/>
        <v>0</v>
      </c>
    </row>
    <row r="140" spans="1:20">
      <c r="A140" s="83" t="s">
        <v>488</v>
      </c>
      <c r="B140" s="84">
        <v>56106664.07758718</v>
      </c>
      <c r="C140" s="85">
        <v>580.01779941623033</v>
      </c>
      <c r="D140" s="86">
        <v>0.31440063662887235</v>
      </c>
      <c r="E140" s="87">
        <v>9.736729255154854E-4</v>
      </c>
      <c r="F140" s="87">
        <v>5.6865764673355794E-2</v>
      </c>
      <c r="G140" s="87">
        <v>5.3244697575532815E-3</v>
      </c>
      <c r="H140" s="87">
        <v>0.14891618663605705</v>
      </c>
      <c r="I140" s="87">
        <v>0.10232054263639079</v>
      </c>
      <c r="J140" s="86">
        <v>0</v>
      </c>
      <c r="K140" s="86">
        <v>2.2903188558504806E-2</v>
      </c>
      <c r="L140" s="86">
        <v>0.22300220651821581</v>
      </c>
      <c r="M140" s="86">
        <v>9.1617941997881633E-2</v>
      </c>
      <c r="N140" s="86">
        <v>2.0768910002852614E-3</v>
      </c>
      <c r="O140" s="86">
        <v>0.34599913506769153</v>
      </c>
      <c r="P140" s="86">
        <v>0.99999999977145149</v>
      </c>
      <c r="R140" s="81">
        <f t="shared" si="6"/>
        <v>0</v>
      </c>
      <c r="S140" s="81">
        <f t="shared" si="7"/>
        <v>1285021.5067576673</v>
      </c>
      <c r="T140" s="82">
        <f t="shared" si="8"/>
        <v>5140377.0951550109</v>
      </c>
    </row>
    <row r="141" spans="1:20">
      <c r="A141" s="83" t="s">
        <v>489</v>
      </c>
      <c r="B141" s="84">
        <v>28674.178320954288</v>
      </c>
      <c r="C141" s="85">
        <v>0</v>
      </c>
      <c r="D141" s="86">
        <v>1</v>
      </c>
      <c r="E141" s="87">
        <v>0</v>
      </c>
      <c r="F141" s="87">
        <v>0</v>
      </c>
      <c r="G141" s="87">
        <v>0</v>
      </c>
      <c r="H141" s="87">
        <v>1</v>
      </c>
      <c r="I141" s="87">
        <v>0</v>
      </c>
      <c r="J141" s="86">
        <v>0</v>
      </c>
      <c r="K141" s="86">
        <v>0</v>
      </c>
      <c r="L141" s="86">
        <v>0</v>
      </c>
      <c r="M141" s="86">
        <v>0</v>
      </c>
      <c r="N141" s="86">
        <v>0</v>
      </c>
      <c r="O141" s="86">
        <v>0</v>
      </c>
      <c r="P141" s="86">
        <v>1</v>
      </c>
      <c r="R141" s="81">
        <f t="shared" si="6"/>
        <v>0</v>
      </c>
      <c r="S141" s="81">
        <f t="shared" si="7"/>
        <v>0</v>
      </c>
      <c r="T141" s="82">
        <f t="shared" si="8"/>
        <v>0</v>
      </c>
    </row>
    <row r="142" spans="1:20">
      <c r="A142" s="83" t="s">
        <v>490</v>
      </c>
      <c r="B142" s="84">
        <v>15322.744091866109</v>
      </c>
      <c r="C142" s="85">
        <v>289.82120697612709</v>
      </c>
      <c r="D142" s="86">
        <v>0.65742217705340955</v>
      </c>
      <c r="E142" s="87">
        <v>4.8652138392458105E-4</v>
      </c>
      <c r="F142" s="87">
        <v>2.8414480676006642E-2</v>
      </c>
      <c r="G142" s="87">
        <v>2.6605118897990786E-3</v>
      </c>
      <c r="H142" s="87">
        <v>0.57473350253174937</v>
      </c>
      <c r="I142" s="87">
        <v>5.1127160571929862E-2</v>
      </c>
      <c r="J142" s="86">
        <v>0</v>
      </c>
      <c r="K142" s="86">
        <v>1.1444182848023714E-2</v>
      </c>
      <c r="L142" s="86">
        <v>0.11142894014028132</v>
      </c>
      <c r="M142" s="86">
        <v>4.5779323595274854E-2</v>
      </c>
      <c r="N142" s="86">
        <v>1.0377734218955873E-3</v>
      </c>
      <c r="O142" s="86">
        <v>0.1728876028269149</v>
      </c>
      <c r="P142" s="86">
        <v>0.9999999998857998</v>
      </c>
      <c r="R142" s="81">
        <f t="shared" si="6"/>
        <v>0</v>
      </c>
      <c r="S142" s="81">
        <f t="shared" si="7"/>
        <v>175.35628512079083</v>
      </c>
      <c r="T142" s="82">
        <f t="shared" si="8"/>
        <v>701.46486014912455</v>
      </c>
    </row>
    <row r="143" spans="1:20">
      <c r="A143" s="83" t="s">
        <v>60</v>
      </c>
      <c r="B143" s="84">
        <v>15425.608</v>
      </c>
      <c r="C143" s="85">
        <v>571.66655111648618</v>
      </c>
      <c r="D143" s="86">
        <v>0.39414978002811946</v>
      </c>
      <c r="E143" s="87">
        <v>0</v>
      </c>
      <c r="F143" s="87">
        <v>0</v>
      </c>
      <c r="G143" s="87">
        <v>0</v>
      </c>
      <c r="H143" s="87">
        <v>0.39414978002811946</v>
      </c>
      <c r="I143" s="87">
        <v>0</v>
      </c>
      <c r="J143" s="86">
        <v>0</v>
      </c>
      <c r="K143" s="86">
        <v>0</v>
      </c>
      <c r="L143" s="86">
        <v>0</v>
      </c>
      <c r="M143" s="86">
        <v>0</v>
      </c>
      <c r="N143" s="86">
        <v>0</v>
      </c>
      <c r="O143" s="86">
        <v>0.60585021997188049</v>
      </c>
      <c r="P143" s="86">
        <v>1</v>
      </c>
      <c r="R143" s="81">
        <f t="shared" si="6"/>
        <v>0</v>
      </c>
      <c r="S143" s="81">
        <f t="shared" si="7"/>
        <v>0</v>
      </c>
      <c r="T143" s="82">
        <f t="shared" si="8"/>
        <v>0</v>
      </c>
    </row>
    <row r="144" spans="1:20">
      <c r="A144" s="83" t="s">
        <v>61</v>
      </c>
      <c r="B144" s="84">
        <v>166751</v>
      </c>
      <c r="C144" s="85">
        <v>46.517481999999987</v>
      </c>
      <c r="D144" s="86">
        <v>2.092793325766416E-7</v>
      </c>
      <c r="E144" s="87">
        <v>0</v>
      </c>
      <c r="F144" s="87">
        <v>0</v>
      </c>
      <c r="G144" s="87">
        <v>0</v>
      </c>
      <c r="H144" s="87">
        <v>2.092793325766416E-7</v>
      </c>
      <c r="I144" s="87">
        <v>0</v>
      </c>
      <c r="J144" s="86">
        <v>0</v>
      </c>
      <c r="K144" s="86">
        <v>0.82322998881852716</v>
      </c>
      <c r="L144" s="86">
        <v>0</v>
      </c>
      <c r="M144" s="86">
        <v>0.11454600961405687</v>
      </c>
      <c r="N144" s="86">
        <v>8.352399786854205E-3</v>
      </c>
      <c r="O144" s="86">
        <v>5.3871392501228972E-2</v>
      </c>
      <c r="P144" s="86">
        <v>1</v>
      </c>
      <c r="R144" s="81">
        <f t="shared" si="6"/>
        <v>0</v>
      </c>
      <c r="S144" s="81">
        <f t="shared" si="7"/>
        <v>137274.42386547822</v>
      </c>
      <c r="T144" s="82">
        <f t="shared" si="8"/>
        <v>19100.661649153597</v>
      </c>
    </row>
    <row r="145" spans="1:20">
      <c r="A145" s="83" t="s">
        <v>491</v>
      </c>
      <c r="B145" s="84"/>
      <c r="C145" s="85"/>
      <c r="D145" s="86"/>
      <c r="E145" s="87"/>
      <c r="F145" s="87"/>
      <c r="G145" s="87"/>
      <c r="H145" s="87"/>
      <c r="I145" s="87"/>
      <c r="J145" s="86"/>
      <c r="K145" s="86"/>
      <c r="L145" s="86"/>
      <c r="M145" s="86"/>
      <c r="N145" s="86"/>
      <c r="O145" s="86"/>
      <c r="P145" s="86"/>
      <c r="R145" s="81">
        <f t="shared" si="6"/>
        <v>0</v>
      </c>
      <c r="S145" s="81">
        <f t="shared" si="7"/>
        <v>0</v>
      </c>
      <c r="T145" s="82">
        <f t="shared" si="8"/>
        <v>0</v>
      </c>
    </row>
    <row r="146" spans="1:20">
      <c r="A146" s="83" t="s">
        <v>211</v>
      </c>
      <c r="B146" s="84">
        <v>155582</v>
      </c>
      <c r="C146" s="85">
        <v>438.2026692283282</v>
      </c>
      <c r="D146" s="86">
        <v>0.47988199149001814</v>
      </c>
      <c r="E146" s="87">
        <v>0.16730727204946588</v>
      </c>
      <c r="F146" s="87">
        <v>0</v>
      </c>
      <c r="G146" s="87">
        <v>1.3876926636757466E-2</v>
      </c>
      <c r="H146" s="87">
        <v>0</v>
      </c>
      <c r="I146" s="87">
        <v>0.29869779280379477</v>
      </c>
      <c r="J146" s="86">
        <v>0</v>
      </c>
      <c r="K146" s="86">
        <v>0</v>
      </c>
      <c r="L146" s="86">
        <v>0.10414443830263141</v>
      </c>
      <c r="M146" s="86">
        <v>0</v>
      </c>
      <c r="N146" s="86">
        <v>6.3291383321978117E-2</v>
      </c>
      <c r="O146" s="86">
        <v>0.35268218688537234</v>
      </c>
      <c r="P146" s="86">
        <v>1</v>
      </c>
      <c r="R146" s="81">
        <f t="shared" si="6"/>
        <v>0</v>
      </c>
      <c r="S146" s="81">
        <f t="shared" si="7"/>
        <v>0</v>
      </c>
      <c r="T146" s="82">
        <f t="shared" si="8"/>
        <v>0</v>
      </c>
    </row>
    <row r="147" spans="1:20">
      <c r="A147" s="83" t="s">
        <v>63</v>
      </c>
      <c r="B147" s="84">
        <v>2224430.3919000002</v>
      </c>
      <c r="C147" s="85">
        <v>492.94530065889262</v>
      </c>
      <c r="D147" s="86">
        <v>0.2634981068116739</v>
      </c>
      <c r="E147" s="87">
        <v>0</v>
      </c>
      <c r="F147" s="87">
        <v>2.2308632439432548E-2</v>
      </c>
      <c r="G147" s="87">
        <v>7.7831763417024556E-3</v>
      </c>
      <c r="H147" s="87">
        <v>5.5104472338782191E-2</v>
      </c>
      <c r="I147" s="87">
        <v>0.17830182569175676</v>
      </c>
      <c r="J147" s="86">
        <v>0</v>
      </c>
      <c r="K147" s="86">
        <v>0.24350291291306467</v>
      </c>
      <c r="L147" s="86">
        <v>0.45961065746217383</v>
      </c>
      <c r="M147" s="86">
        <v>2.092400830769282E-2</v>
      </c>
      <c r="N147" s="86">
        <v>1.3900187712140384E-3</v>
      </c>
      <c r="O147" s="86">
        <v>1.1074295734180667E-2</v>
      </c>
      <c r="P147" s="86">
        <v>0.99999999999999989</v>
      </c>
      <c r="R147" s="81">
        <f t="shared" si="6"/>
        <v>0</v>
      </c>
      <c r="S147" s="81">
        <f t="shared" si="7"/>
        <v>541655.28</v>
      </c>
      <c r="T147" s="82">
        <f t="shared" si="8"/>
        <v>46544</v>
      </c>
    </row>
    <row r="148" spans="1:20">
      <c r="A148" s="83" t="s">
        <v>492</v>
      </c>
      <c r="B148" s="84">
        <v>228.61</v>
      </c>
      <c r="C148" s="85">
        <v>492.94530065889268</v>
      </c>
      <c r="D148" s="86">
        <v>0.26349810681167396</v>
      </c>
      <c r="E148" s="87">
        <v>0</v>
      </c>
      <c r="F148" s="87">
        <v>2.2308632439432548E-2</v>
      </c>
      <c r="G148" s="87">
        <v>7.7831763417024538E-3</v>
      </c>
      <c r="H148" s="87">
        <v>5.5104472338782198E-2</v>
      </c>
      <c r="I148" s="87">
        <v>0.17830182569175673</v>
      </c>
      <c r="J148" s="86">
        <v>0</v>
      </c>
      <c r="K148" s="86">
        <v>0.24350291291306464</v>
      </c>
      <c r="L148" s="86">
        <v>0.45961065746217394</v>
      </c>
      <c r="M148" s="86">
        <v>2.0924008307692823E-2</v>
      </c>
      <c r="N148" s="86">
        <v>1.3900187712140384E-3</v>
      </c>
      <c r="O148" s="86">
        <v>1.1074295734180667E-2</v>
      </c>
      <c r="P148" s="86">
        <v>0.99999999999999989</v>
      </c>
      <c r="R148" s="81">
        <f t="shared" si="6"/>
        <v>0</v>
      </c>
      <c r="S148" s="81">
        <f t="shared" si="7"/>
        <v>55.667200921055709</v>
      </c>
      <c r="T148" s="82">
        <f t="shared" si="8"/>
        <v>4.7834375392216568</v>
      </c>
    </row>
    <row r="149" spans="1:20">
      <c r="A149" s="83" t="s">
        <v>493</v>
      </c>
      <c r="B149" s="84">
        <v>427487</v>
      </c>
      <c r="C149" s="85">
        <v>599.43883296923002</v>
      </c>
      <c r="D149" s="86">
        <v>0.27227026786779501</v>
      </c>
      <c r="E149" s="87">
        <v>0</v>
      </c>
      <c r="F149" s="87">
        <v>0</v>
      </c>
      <c r="G149" s="87">
        <v>0</v>
      </c>
      <c r="H149" s="87">
        <v>0.27227026786779501</v>
      </c>
      <c r="I149" s="87">
        <v>0</v>
      </c>
      <c r="J149" s="86">
        <v>0</v>
      </c>
      <c r="K149" s="86">
        <v>1.9008802606862898E-2</v>
      </c>
      <c r="L149" s="86">
        <v>0</v>
      </c>
      <c r="M149" s="86">
        <v>7.3437741966422401E-2</v>
      </c>
      <c r="N149" s="86">
        <v>0</v>
      </c>
      <c r="O149" s="86">
        <v>0.63528318755891999</v>
      </c>
      <c r="P149" s="86">
        <v>1</v>
      </c>
      <c r="R149" s="81">
        <f t="shared" si="6"/>
        <v>0</v>
      </c>
      <c r="S149" s="81">
        <f t="shared" si="7"/>
        <v>8126.0159999999996</v>
      </c>
      <c r="T149" s="82">
        <f t="shared" si="8"/>
        <v>31393.680000000015</v>
      </c>
    </row>
    <row r="150" spans="1:20">
      <c r="A150" s="83" t="s">
        <v>494</v>
      </c>
      <c r="B150" s="84">
        <v>113077</v>
      </c>
      <c r="C150" s="85">
        <v>527.47452685645169</v>
      </c>
      <c r="D150" s="86">
        <v>0.38794803540949974</v>
      </c>
      <c r="E150" s="87">
        <v>0</v>
      </c>
      <c r="F150" s="87">
        <v>0.3682800215782166</v>
      </c>
      <c r="G150" s="87">
        <v>1.8235361744651873E-2</v>
      </c>
      <c r="H150" s="87">
        <v>1.4326520866312336E-3</v>
      </c>
      <c r="I150" s="87">
        <v>0</v>
      </c>
      <c r="J150" s="86">
        <v>0</v>
      </c>
      <c r="K150" s="86">
        <v>8.9797217825021883E-2</v>
      </c>
      <c r="L150" s="86">
        <v>0.28045491125516242</v>
      </c>
      <c r="M150" s="86">
        <v>8.8435313989582313E-6</v>
      </c>
      <c r="N150" s="86">
        <v>0</v>
      </c>
      <c r="O150" s="86">
        <v>0.24179099197891701</v>
      </c>
      <c r="P150" s="86">
        <v>1</v>
      </c>
      <c r="R150" s="81">
        <f t="shared" si="6"/>
        <v>0</v>
      </c>
      <c r="S150" s="81">
        <f t="shared" si="7"/>
        <v>10154</v>
      </c>
      <c r="T150" s="82">
        <f t="shared" si="8"/>
        <v>0.99999999999999989</v>
      </c>
    </row>
    <row r="151" spans="1:20">
      <c r="A151" s="83" t="s">
        <v>387</v>
      </c>
      <c r="B151" s="84">
        <v>751490.22</v>
      </c>
      <c r="C151" s="85">
        <v>721.82546367434509</v>
      </c>
      <c r="D151" s="86">
        <v>0.12614934629488592</v>
      </c>
      <c r="E151" s="87">
        <v>0</v>
      </c>
      <c r="F151" s="87">
        <v>0</v>
      </c>
      <c r="G151" s="87">
        <v>0</v>
      </c>
      <c r="H151" s="87">
        <v>4.6307987880401157E-2</v>
      </c>
      <c r="I151" s="87">
        <v>7.9841358414484753E-2</v>
      </c>
      <c r="J151" s="86">
        <v>0</v>
      </c>
      <c r="K151" s="86">
        <v>0.1088625411518995</v>
      </c>
      <c r="L151" s="86">
        <v>0</v>
      </c>
      <c r="M151" s="86">
        <v>0</v>
      </c>
      <c r="N151" s="86">
        <v>0</v>
      </c>
      <c r="O151" s="86">
        <v>0.76498811255321453</v>
      </c>
      <c r="P151" s="86">
        <v>1</v>
      </c>
      <c r="R151" s="81">
        <f t="shared" si="6"/>
        <v>0</v>
      </c>
      <c r="S151" s="81">
        <f t="shared" si="7"/>
        <v>81809.135000000009</v>
      </c>
      <c r="T151" s="82">
        <f t="shared" si="8"/>
        <v>0</v>
      </c>
    </row>
    <row r="152" spans="1:20">
      <c r="A152" s="83" t="s">
        <v>388</v>
      </c>
      <c r="B152" s="84">
        <v>4418</v>
      </c>
      <c r="C152" s="85">
        <v>0</v>
      </c>
      <c r="D152" s="86">
        <v>1</v>
      </c>
      <c r="E152" s="87">
        <v>0</v>
      </c>
      <c r="F152" s="87">
        <v>0</v>
      </c>
      <c r="G152" s="87">
        <v>0.26641014033499322</v>
      </c>
      <c r="H152" s="87">
        <v>0.73358985966500678</v>
      </c>
      <c r="I152" s="87">
        <v>0</v>
      </c>
      <c r="J152" s="86">
        <v>0</v>
      </c>
      <c r="K152" s="86">
        <v>0</v>
      </c>
      <c r="L152" s="86">
        <v>0</v>
      </c>
      <c r="M152" s="86">
        <v>0</v>
      </c>
      <c r="N152" s="86">
        <v>0</v>
      </c>
      <c r="O152" s="86">
        <v>0</v>
      </c>
      <c r="P152" s="86">
        <v>1</v>
      </c>
      <c r="R152" s="81">
        <f t="shared" si="6"/>
        <v>0</v>
      </c>
      <c r="S152" s="81">
        <f t="shared" si="7"/>
        <v>0</v>
      </c>
      <c r="T152" s="82">
        <f t="shared" si="8"/>
        <v>0</v>
      </c>
    </row>
    <row r="153" spans="1:20">
      <c r="A153" s="83" t="s">
        <v>64</v>
      </c>
      <c r="B153" s="84">
        <v>11313</v>
      </c>
      <c r="C153" s="85">
        <v>943.57735999999989</v>
      </c>
      <c r="D153" s="86">
        <v>0</v>
      </c>
      <c r="E153" s="87">
        <v>0</v>
      </c>
      <c r="F153" s="87">
        <v>0</v>
      </c>
      <c r="G153" s="87">
        <v>0</v>
      </c>
      <c r="H153" s="87">
        <v>0</v>
      </c>
      <c r="I153" s="87">
        <v>0</v>
      </c>
      <c r="J153" s="86">
        <v>0</v>
      </c>
      <c r="K153" s="86">
        <v>0</v>
      </c>
      <c r="L153" s="86">
        <v>0</v>
      </c>
      <c r="M153" s="86">
        <v>0</v>
      </c>
      <c r="N153" s="86">
        <v>0</v>
      </c>
      <c r="O153" s="86">
        <v>1</v>
      </c>
      <c r="P153" s="86">
        <v>1</v>
      </c>
      <c r="R153" s="81">
        <f t="shared" si="6"/>
        <v>0</v>
      </c>
      <c r="S153" s="81">
        <f t="shared" si="7"/>
        <v>0</v>
      </c>
      <c r="T153" s="82">
        <f t="shared" si="8"/>
        <v>0</v>
      </c>
    </row>
    <row r="154" spans="1:20">
      <c r="A154" s="83" t="s">
        <v>495</v>
      </c>
      <c r="B154" s="84">
        <v>1156148.1370000001</v>
      </c>
      <c r="C154" s="85">
        <v>651.22759801345558</v>
      </c>
      <c r="D154" s="86">
        <v>0.42643237853524296</v>
      </c>
      <c r="E154" s="87">
        <v>3.7540172068797784E-2</v>
      </c>
      <c r="F154" s="87">
        <v>0</v>
      </c>
      <c r="G154" s="87">
        <v>0</v>
      </c>
      <c r="H154" s="87">
        <v>0.18812035676013028</v>
      </c>
      <c r="I154" s="87">
        <v>0.2007718497063149</v>
      </c>
      <c r="J154" s="86">
        <v>0</v>
      </c>
      <c r="K154" s="86">
        <v>1.7980394842776103E-2</v>
      </c>
      <c r="L154" s="86">
        <v>0.47633925046060094</v>
      </c>
      <c r="M154" s="86">
        <v>7.9247976161380074E-2</v>
      </c>
      <c r="N154" s="86">
        <v>0</v>
      </c>
      <c r="O154" s="86">
        <v>0</v>
      </c>
      <c r="P154" s="86">
        <v>1</v>
      </c>
      <c r="R154" s="81">
        <f t="shared" si="6"/>
        <v>0</v>
      </c>
      <c r="S154" s="81">
        <f t="shared" si="7"/>
        <v>20788</v>
      </c>
      <c r="T154" s="82">
        <f t="shared" si="8"/>
        <v>91622.399999999994</v>
      </c>
    </row>
    <row r="155" spans="1:20">
      <c r="A155" s="83" t="s">
        <v>186</v>
      </c>
      <c r="B155" s="84">
        <v>106031</v>
      </c>
      <c r="C155" s="85">
        <v>904.17227516556477</v>
      </c>
      <c r="D155" s="86">
        <v>0</v>
      </c>
      <c r="E155" s="87">
        <v>0</v>
      </c>
      <c r="F155" s="87">
        <v>0</v>
      </c>
      <c r="G155" s="87">
        <v>0</v>
      </c>
      <c r="H155" s="87">
        <v>0</v>
      </c>
      <c r="I155" s="87">
        <v>0</v>
      </c>
      <c r="J155" s="86">
        <v>0</v>
      </c>
      <c r="K155" s="86">
        <v>4.176137167432166E-2</v>
      </c>
      <c r="L155" s="86">
        <v>0</v>
      </c>
      <c r="M155" s="86">
        <v>0</v>
      </c>
      <c r="N155" s="86">
        <v>0</v>
      </c>
      <c r="O155" s="86">
        <v>0.9582386283256783</v>
      </c>
      <c r="P155" s="86">
        <v>1</v>
      </c>
      <c r="R155" s="81">
        <f t="shared" si="6"/>
        <v>0</v>
      </c>
      <c r="S155" s="81">
        <f t="shared" si="7"/>
        <v>4428</v>
      </c>
      <c r="T155" s="82">
        <f t="shared" si="8"/>
        <v>0</v>
      </c>
    </row>
    <row r="156" spans="1:20">
      <c r="B156" s="91"/>
      <c r="J156" s="86"/>
      <c r="K156" s="86"/>
      <c r="L156" s="86"/>
      <c r="M156" s="86"/>
      <c r="N156" s="86"/>
      <c r="O156" s="86"/>
      <c r="P156" s="86"/>
      <c r="R156" s="92"/>
      <c r="S156" s="92"/>
      <c r="T156" s="93"/>
    </row>
  </sheetData>
  <autoFilter ref="A1:P155" xr:uid="{C743DB97-06DA-4D0B-A56A-C7BC4701E421}">
    <sortState xmlns:xlrd2="http://schemas.microsoft.com/office/spreadsheetml/2017/richdata2" ref="A2:P155">
      <sortCondition ref="A1:A155"/>
    </sortState>
  </autoFilter>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8191-185F-48E8-B05C-7AF368BE8315}">
  <sheetPr codeName="Sheet97"/>
  <dimension ref="A1:P140"/>
  <sheetViews>
    <sheetView zoomScaleNormal="100" workbookViewId="0"/>
  </sheetViews>
  <sheetFormatPr defaultRowHeight="15.75"/>
  <cols>
    <col min="1" max="1" width="37.7109375" customWidth="1"/>
    <col min="2" max="3" width="12" bestFit="1" customWidth="1"/>
    <col min="4" max="4" width="12.7109375" bestFit="1" customWidth="1"/>
    <col min="5" max="5" width="12.5703125" customWidth="1"/>
    <col min="6" max="6" width="49.28515625" customWidth="1"/>
    <col min="8" max="8" width="8.7109375" customWidth="1"/>
    <col min="9" max="9" width="34.28515625" customWidth="1"/>
    <col min="10" max="10" width="14.28515625" customWidth="1"/>
    <col min="15" max="15" width="13.28515625" style="3" customWidth="1"/>
    <col min="16" max="16" width="12" style="3" bestFit="1" customWidth="1"/>
  </cols>
  <sheetData>
    <row r="1" spans="1:16" s="7" customFormat="1">
      <c r="A1" s="125" t="s">
        <v>59</v>
      </c>
      <c r="B1" s="223" t="s">
        <v>671</v>
      </c>
      <c r="C1" s="224"/>
      <c r="D1" s="224"/>
      <c r="E1" s="224"/>
      <c r="F1" s="225"/>
      <c r="H1" s="229" t="s">
        <v>4</v>
      </c>
      <c r="I1" s="230"/>
      <c r="J1" s="2"/>
    </row>
    <row r="2" spans="1:16" s="7" customFormat="1" ht="33">
      <c r="A2" s="126" t="s">
        <v>496</v>
      </c>
      <c r="B2" s="127">
        <v>2027</v>
      </c>
      <c r="C2" s="127">
        <v>2028</v>
      </c>
      <c r="D2" s="127">
        <v>2029</v>
      </c>
      <c r="E2" s="128">
        <v>2030</v>
      </c>
      <c r="F2" s="129" t="s">
        <v>497</v>
      </c>
      <c r="H2" s="120">
        <v>0.43540000000000001</v>
      </c>
      <c r="I2" s="62" t="s">
        <v>7</v>
      </c>
    </row>
    <row r="3" spans="1:16" s="7" customFormat="1" ht="30">
      <c r="A3" s="130" t="s">
        <v>584</v>
      </c>
      <c r="B3" s="131">
        <f>SUMIFS('Form 1.5a (CEC 2025a)'!G:G, 'Form 1.5a (CEC 2025a)'!$B:$B, "SCE Service Area*")*1000</f>
        <v>90146310.221811041</v>
      </c>
      <c r="C3" s="131">
        <f>SUMIFS('Form 1.5a (CEC 2025a)'!H:H, 'Form 1.5a (CEC 2025a)'!$B:$B, "SCE Service Area*")*1000</f>
        <v>93137516.784777343</v>
      </c>
      <c r="D3" s="131">
        <f>SUMIFS('Form 1.5a (CEC 2025a)'!I:I, 'Form 1.5a (CEC 2025a)'!$B:$B, "SCE Service Area*")*1000</f>
        <v>96624112.632315338</v>
      </c>
      <c r="E3" s="131">
        <f>SUMIFS('Form 1.5a (CEC 2025a)'!J:J, 'Form 1.5a (CEC 2025a)'!$B:$B, "SCE Service Area*")*1000</f>
        <v>100366198.22634976</v>
      </c>
      <c r="F3" s="123" t="s">
        <v>577</v>
      </c>
      <c r="H3" s="132">
        <v>0.95946199709706936</v>
      </c>
      <c r="I3" s="123" t="s">
        <v>676</v>
      </c>
    </row>
    <row r="4" spans="1:16" s="7" customFormat="1" ht="15">
      <c r="A4" s="130" t="s">
        <v>217</v>
      </c>
      <c r="B4" s="131">
        <f>SUM('Form 1.1c (CEC 2025a)'!G45:G58)*1000</f>
        <v>83313457.160863414</v>
      </c>
      <c r="C4" s="131">
        <f>SUM('Form 1.1c (CEC 2025a)'!H45:H58)*1000</f>
        <v>86098877.24545069</v>
      </c>
      <c r="D4" s="131">
        <f>SUM('Form 1.1c (CEC 2025a)'!I45:I58)*1000</f>
        <v>89342342.266525239</v>
      </c>
      <c r="E4" s="131">
        <f>SUM('Form 1.1c (CEC 2025a)'!J45:J58)*1000</f>
        <v>92828123.097365394</v>
      </c>
      <c r="F4" s="123" t="s">
        <v>578</v>
      </c>
      <c r="H4" s="122">
        <f>0.15</f>
        <v>0.15</v>
      </c>
      <c r="I4" s="123" t="s">
        <v>498</v>
      </c>
    </row>
    <row r="5" spans="1:16" s="7" customFormat="1" ht="30">
      <c r="A5" s="130" t="s">
        <v>585</v>
      </c>
      <c r="B5" s="131">
        <f t="shared" ref="B5:E5" si="0">IF(0&lt;(B4-B3),B4*(1+$H$5),B3)</f>
        <v>90146310.221811041</v>
      </c>
      <c r="C5" s="131">
        <f t="shared" si="0"/>
        <v>93137516.784777343</v>
      </c>
      <c r="D5" s="131">
        <f t="shared" si="0"/>
        <v>96624112.632315338</v>
      </c>
      <c r="E5" s="131">
        <f t="shared" si="0"/>
        <v>100366198.22634976</v>
      </c>
      <c r="F5" s="123" t="s">
        <v>586</v>
      </c>
      <c r="H5" s="122">
        <f>0.07</f>
        <v>7.0000000000000007E-2</v>
      </c>
      <c r="I5" s="123" t="s">
        <v>499</v>
      </c>
    </row>
    <row r="6" spans="1:16" s="7" customFormat="1" ht="30">
      <c r="A6" s="130" t="s">
        <v>500</v>
      </c>
      <c r="B6" s="131">
        <v>0</v>
      </c>
      <c r="C6" s="131">
        <v>0</v>
      </c>
      <c r="D6" s="131">
        <v>0</v>
      </c>
      <c r="E6" s="131">
        <v>0</v>
      </c>
      <c r="F6" s="133" t="s">
        <v>667</v>
      </c>
      <c r="H6" s="124">
        <v>0.05</v>
      </c>
      <c r="I6" s="123" t="s">
        <v>516</v>
      </c>
    </row>
    <row r="7" spans="1:16" s="7" customFormat="1" ht="75">
      <c r="A7" s="130" t="s">
        <v>501</v>
      </c>
      <c r="B7" s="131">
        <f>'SCE CCAs PCL'!I18+(('PGE CCA PCL'!I3)*(B4/(B4+PGE!B4+('Form 1.1c (CEC 2025a)'!G82*1000))))</f>
        <v>13330370.171490861</v>
      </c>
      <c r="C7" s="131">
        <f>'SCE CCAs PCL'!J18+(('PGE CCA PCL'!J3)*(C4/(C4+PGE!C4+('Form 1.1c (CEC 2025a)'!H82*1000))))</f>
        <v>12682889.919412374</v>
      </c>
      <c r="D7" s="131">
        <f>'SCE CCAs PCL'!K18+(('PGE CCA PCL'!K3)*(D4/(D4+PGE!D4+('Form 1.1c (CEC 2025a)'!I82*1000))))</f>
        <v>12636489.582384616</v>
      </c>
      <c r="E7" s="131">
        <f>'SCE CCAs PCL'!L18+(('PGE CCA PCL'!L3)*(E4/(E4+PGE!E4+('Form 1.1c (CEC 2025a)'!J82*1000))))</f>
        <v>8379213.6143868528</v>
      </c>
      <c r="F7" s="133" t="s">
        <v>688</v>
      </c>
      <c r="I7" s="12"/>
    </row>
    <row r="8" spans="1:16" s="7" customFormat="1" ht="45">
      <c r="A8" s="130" t="s">
        <v>502</v>
      </c>
      <c r="B8" s="131">
        <f>'SCE CCAs PCL'!I36</f>
        <v>4047040.2714502807</v>
      </c>
      <c r="C8" s="131">
        <f>'SCE CCAs PCL'!J36</f>
        <v>4047040.2714502807</v>
      </c>
      <c r="D8" s="131">
        <f>'SCE CCAs PCL'!K36</f>
        <v>4047040.2714502807</v>
      </c>
      <c r="E8" s="131">
        <f>'SCE CCAs PCL'!L36</f>
        <v>4047040.2714502807</v>
      </c>
      <c r="F8" s="133" t="s">
        <v>667</v>
      </c>
      <c r="H8" s="135">
        <v>2.8473839893733328E-2</v>
      </c>
      <c r="I8" s="123" t="s">
        <v>582</v>
      </c>
    </row>
    <row r="9" spans="1:16" s="7" customFormat="1" ht="75">
      <c r="A9" s="130" t="s">
        <v>503</v>
      </c>
      <c r="B9" s="203">
        <v>0.39</v>
      </c>
      <c r="C9" s="203">
        <v>0.41</v>
      </c>
      <c r="D9" s="203">
        <v>0.43</v>
      </c>
      <c r="E9" s="203">
        <v>0.45</v>
      </c>
      <c r="F9" s="123" t="s">
        <v>690</v>
      </c>
      <c r="H9" s="17"/>
    </row>
    <row r="10" spans="1:16" s="7" customFormat="1" ht="15">
      <c r="A10" s="130" t="s">
        <v>504</v>
      </c>
      <c r="B10" s="131">
        <f t="shared" ref="B10:E10" si="1">B4*B9</f>
        <v>32492248.292736731</v>
      </c>
      <c r="C10" s="131">
        <f t="shared" si="1"/>
        <v>35300539.670634784</v>
      </c>
      <c r="D10" s="131">
        <f t="shared" si="1"/>
        <v>38417207.174605854</v>
      </c>
      <c r="E10" s="131">
        <f t="shared" si="1"/>
        <v>41772655.39381443</v>
      </c>
      <c r="F10" s="123" t="s">
        <v>587</v>
      </c>
    </row>
    <row r="11" spans="1:16" s="7" customFormat="1" ht="30">
      <c r="A11" s="130" t="s">
        <v>505</v>
      </c>
      <c r="B11" s="131">
        <f t="shared" ref="B11:E11" si="2">MAX(B5-SUM(B6:B8,B10), B5*$H$6)</f>
        <v>40276651.486133173</v>
      </c>
      <c r="C11" s="131">
        <f t="shared" si="2"/>
        <v>41107046.923279904</v>
      </c>
      <c r="D11" s="131">
        <f t="shared" si="2"/>
        <v>41523375.603874587</v>
      </c>
      <c r="E11" s="131">
        <f t="shared" si="2"/>
        <v>46167288.946698189</v>
      </c>
      <c r="F11" s="123" t="s">
        <v>589</v>
      </c>
      <c r="I11" s="115"/>
    </row>
    <row r="12" spans="1:16" s="7" customFormat="1" ht="46.5">
      <c r="A12" s="130" t="s">
        <v>507</v>
      </c>
      <c r="B12" s="131">
        <f>B6*$H$3+B11*$H$2</f>
        <v>17536454.057062384</v>
      </c>
      <c r="C12" s="131">
        <f>C6*$H$3+C11*$H$2</f>
        <v>17898008.23039607</v>
      </c>
      <c r="D12" s="131">
        <f>D6*$H$3+D11*$H$2</f>
        <v>18079277.737926994</v>
      </c>
      <c r="E12" s="131">
        <f>E6*$H$3+E11*$H$2</f>
        <v>20101237.607392393</v>
      </c>
      <c r="F12" s="136" t="s">
        <v>508</v>
      </c>
      <c r="I12" s="115"/>
    </row>
    <row r="13" spans="1:16" s="7" customFormat="1" ht="72.599999999999994" customHeight="1">
      <c r="A13" s="130"/>
      <c r="B13" s="227" t="s">
        <v>557</v>
      </c>
      <c r="C13" s="227"/>
      <c r="D13" s="228"/>
      <c r="E13" s="142">
        <v>4127540.2211466674</v>
      </c>
      <c r="F13" s="136" t="s">
        <v>686</v>
      </c>
    </row>
    <row r="14" spans="1:16" s="7" customFormat="1" ht="33">
      <c r="A14" s="130" t="s">
        <v>509</v>
      </c>
      <c r="B14" s="193">
        <f t="shared" ref="B14:E14" si="3">B12/B5</f>
        <v>0.19453324283503964</v>
      </c>
      <c r="C14" s="193">
        <f t="shared" si="3"/>
        <v>0.19216754803281774</v>
      </c>
      <c r="D14" s="193">
        <f t="shared" si="3"/>
        <v>0.18710937927807153</v>
      </c>
      <c r="E14" s="193">
        <f t="shared" si="3"/>
        <v>0.20027895808167706</v>
      </c>
      <c r="F14" s="123" t="s">
        <v>588</v>
      </c>
    </row>
    <row r="15" spans="1:16" s="7" customFormat="1" ht="33.75" thickBot="1">
      <c r="A15" s="130" t="s">
        <v>511</v>
      </c>
      <c r="B15" s="138">
        <f>$E$13*B14</f>
        <v>802943.7841517179</v>
      </c>
      <c r="C15" s="138">
        <f>$E$13*C14</f>
        <v>793179.28370458935</v>
      </c>
      <c r="D15" s="138">
        <f>$E$13*D14</f>
        <v>772301.48872402706</v>
      </c>
      <c r="E15" s="138">
        <f>$E$13*E14</f>
        <v>826659.45493146952</v>
      </c>
      <c r="F15" s="123" t="s">
        <v>518</v>
      </c>
      <c r="H15"/>
      <c r="I15"/>
    </row>
    <row r="16" spans="1:16" ht="30.75" thickBot="1">
      <c r="A16" s="20" t="s">
        <v>513</v>
      </c>
      <c r="B16" s="8">
        <f>B12-B15</f>
        <v>16733510.272910666</v>
      </c>
      <c r="C16" s="8">
        <f>C12-C15</f>
        <v>17104828.94669148</v>
      </c>
      <c r="D16" s="8">
        <f>D12-D15</f>
        <v>17306976.249202967</v>
      </c>
      <c r="E16" s="8">
        <f>E12-E15</f>
        <v>19274578.152460925</v>
      </c>
      <c r="F16" s="10" t="s">
        <v>514</v>
      </c>
      <c r="J16" s="7"/>
      <c r="K16" s="7"/>
      <c r="L16" s="7"/>
      <c r="O16"/>
      <c r="P16"/>
    </row>
    <row r="17" spans="1:16" ht="15">
      <c r="A17" s="9"/>
      <c r="B17" s="9"/>
      <c r="C17" s="9"/>
      <c r="D17" s="9"/>
      <c r="E17" s="9"/>
      <c r="H17" s="7"/>
      <c r="I17" s="7"/>
      <c r="O17"/>
      <c r="P17"/>
    </row>
    <row r="18" spans="1:16" ht="15">
      <c r="A18" s="9"/>
      <c r="B18" s="9"/>
      <c r="C18" s="9"/>
      <c r="D18" s="9"/>
      <c r="E18" s="9"/>
      <c r="O18"/>
      <c r="P18"/>
    </row>
    <row r="139" spans="15:16">
      <c r="O139" s="4"/>
      <c r="P139" s="4"/>
    </row>
    <row r="140" spans="15:16">
      <c r="O140" s="4"/>
      <c r="P140" s="4"/>
    </row>
  </sheetData>
  <mergeCells count="3">
    <mergeCell ref="B13:D13"/>
    <mergeCell ref="B1:F1"/>
    <mergeCell ref="H1:I1"/>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0CFEA-BC4E-4148-B13E-BC8628C102C8}">
  <dimension ref="A1:L36"/>
  <sheetViews>
    <sheetView zoomScale="78" zoomScaleNormal="78" workbookViewId="0"/>
  </sheetViews>
  <sheetFormatPr defaultRowHeight="15"/>
  <cols>
    <col min="1" max="1" width="58.28515625" bestFit="1" customWidth="1"/>
    <col min="2" max="3" width="13.7109375" bestFit="1" customWidth="1"/>
    <col min="4" max="12" width="13.28515625" bestFit="1" customWidth="1"/>
  </cols>
  <sheetData>
    <row r="1" spans="1:12" ht="15.75" thickBot="1">
      <c r="A1" s="58" t="s">
        <v>687</v>
      </c>
    </row>
    <row r="2" spans="1:12" s="48" customFormat="1">
      <c r="A2" s="51" t="s">
        <v>546</v>
      </c>
      <c r="B2" s="52">
        <v>2020</v>
      </c>
      <c r="C2" s="52">
        <v>2021</v>
      </c>
      <c r="D2" s="52">
        <v>2022</v>
      </c>
      <c r="E2" s="52">
        <v>2023</v>
      </c>
      <c r="F2" s="52">
        <v>2024</v>
      </c>
      <c r="G2" s="52">
        <v>2025</v>
      </c>
      <c r="H2" s="52">
        <v>2026</v>
      </c>
      <c r="I2" s="52">
        <v>2027</v>
      </c>
      <c r="J2" s="52">
        <v>2028</v>
      </c>
      <c r="K2" s="52">
        <v>2029</v>
      </c>
      <c r="L2" s="52">
        <v>2030</v>
      </c>
    </row>
    <row r="3" spans="1:12">
      <c r="A3" s="66" t="s">
        <v>684</v>
      </c>
      <c r="B3" s="100"/>
      <c r="C3" s="100">
        <f>SUMIFS('2021 PCL (CEC 2023b)'!$T:$T, '2021 PCL (CEC 2023b)'!$A:$A, "Southern California Edison *")</f>
        <v>5141078.5600151597</v>
      </c>
      <c r="D3" s="100">
        <f>SUMIFS('2022 PCL (CEC 2024b)'!$T:$T, '2022 PCL (CEC 2024b)'!$A:$A, "Southern California Edison *")</f>
        <v>4571055.2406079881</v>
      </c>
      <c r="E3" s="100">
        <f>SUMIFS('2023 PCL (CEC2025b)'!$T:$T, '2023 PCL (CEC2025b)'!$A:$A, "Southern California Edison *")</f>
        <v>4427662.4765478345</v>
      </c>
      <c r="F3" s="100"/>
      <c r="G3" s="100"/>
      <c r="H3" s="100"/>
      <c r="I3" s="100">
        <f>AVERAGE($C$3:$E$3)</f>
        <v>4713265.4257236607</v>
      </c>
      <c r="J3" s="100">
        <f>AVERAGE($C$3:$E$3)</f>
        <v>4713265.4257236607</v>
      </c>
      <c r="K3" s="100">
        <f>AVERAGE($C$3:$E$3)</f>
        <v>4713265.4257236607</v>
      </c>
      <c r="L3" s="100">
        <f>AVERAGE($C$3:$E$3)</f>
        <v>4713265.4257236607</v>
      </c>
    </row>
    <row r="4" spans="1:12">
      <c r="A4" s="66" t="s">
        <v>164</v>
      </c>
      <c r="B4" s="152"/>
      <c r="C4" s="152">
        <f>SUMIFS('2021 PCL (CEC 2023b)'!$T:$T, '2021 PCL (CEC 2023b)'!$A:$A, "apple *")</f>
        <v>18709.84</v>
      </c>
      <c r="D4" s="152">
        <f>SUMIFS('2022 PCL (CEC 2024b)'!$T:$T, '2022 PCL (CEC 2024b)'!$A:$A, "apple *")</f>
        <v>14226.71</v>
      </c>
      <c r="E4" s="152">
        <f>SUMIFS('2023 PCL (CEC2025b)'!$T:$T, '2023 PCL (CEC2025b)'!$A:$A, "apple *")</f>
        <v>0</v>
      </c>
      <c r="F4" s="152"/>
      <c r="G4" s="152"/>
      <c r="H4" s="152"/>
      <c r="I4" s="152">
        <f>AVERAGE($C$4:$E$4)</f>
        <v>10978.85</v>
      </c>
      <c r="J4" s="152">
        <f t="shared" ref="J4:L4" si="0">AVERAGE($C$4:$E$4)</f>
        <v>10978.85</v>
      </c>
      <c r="K4" s="152">
        <f t="shared" si="0"/>
        <v>10978.85</v>
      </c>
      <c r="L4" s="152">
        <f t="shared" si="0"/>
        <v>10978.85</v>
      </c>
    </row>
    <row r="5" spans="1:12">
      <c r="A5" s="66" t="s">
        <v>165</v>
      </c>
      <c r="B5" s="152"/>
      <c r="C5" s="152">
        <f>SUMIFS('2021 PCL (CEC 2023b)'!$T:$T, '2021 PCL (CEC 2023b)'!$A:$A, "baldwin *")</f>
        <v>0</v>
      </c>
      <c r="D5" s="152"/>
      <c r="E5" s="152"/>
      <c r="F5" s="152"/>
      <c r="G5" s="152"/>
      <c r="H5" s="152"/>
      <c r="I5" s="152">
        <f t="shared" ref="I5:L5" si="1">AVERAGE($C$5:$E$5)</f>
        <v>0</v>
      </c>
      <c r="J5" s="152">
        <f t="shared" si="1"/>
        <v>0</v>
      </c>
      <c r="K5" s="152">
        <f t="shared" si="1"/>
        <v>0</v>
      </c>
      <c r="L5" s="152">
        <f t="shared" si="1"/>
        <v>0</v>
      </c>
    </row>
    <row r="6" spans="1:12">
      <c r="A6" s="66" t="s">
        <v>133</v>
      </c>
      <c r="B6" s="152"/>
      <c r="C6" s="152">
        <f>(SUMIFS('2021 PCL (CEC 2023b)'!$T:$T, '2021 PCL (CEC 2023b)'!$A:$A, "central coast *"))*('Form 1.1c (CEC 2025a)'!C48/('Form 1.1c (CEC 2025a)'!C48+'Form 1.1c (CEC 2025a)'!C9))</f>
        <v>0</v>
      </c>
      <c r="D6" s="152">
        <f>(SUMIFS('2022 PCL (CEC 2024b)'!$T:$T, '2022 PCL (CEC 2024b)'!$A:$A, "central coast *"))*('Form 1.1c (CEC 2025a)'!C48/('Form 1.1c (CEC 2025a)'!C48+'Form 1.1c (CEC 2025a)'!C9))</f>
        <v>0</v>
      </c>
      <c r="E6" s="152">
        <f>(SUMIFS('2023 PCL (CEC2025b)'!$T:$T, '2023 PCL (CEC2025b)'!$A:$A, "central coast *"))*('Form 1.1c (CEC 2025a)'!C48/('Form 1.1c (CEC 2025a)'!C48+'Form 1.1c (CEC 2025a)'!C9))</f>
        <v>0</v>
      </c>
      <c r="F6" s="152"/>
      <c r="G6" s="152"/>
      <c r="H6" s="152"/>
      <c r="I6" s="152">
        <f t="shared" ref="I6:L6" si="2">AVERAGE($C$6:$E$6)</f>
        <v>0</v>
      </c>
      <c r="J6" s="152">
        <f t="shared" si="2"/>
        <v>0</v>
      </c>
      <c r="K6" s="152">
        <f t="shared" si="2"/>
        <v>0</v>
      </c>
      <c r="L6" s="152">
        <f t="shared" si="2"/>
        <v>0</v>
      </c>
    </row>
    <row r="7" spans="1:12">
      <c r="A7" s="66" t="s">
        <v>166</v>
      </c>
      <c r="B7" s="152"/>
      <c r="C7" s="152">
        <f>SUMIFS('2021 PCL (CEC 2023b)'!$T:$T, '2021 PCL (CEC 2023b)'!$A:$A, "clean power alliance *")</f>
        <v>0</v>
      </c>
      <c r="D7" s="152">
        <f>SUMIFS('2022 PCL (CEC 2024b)'!$T:$T, '2022 PCL (CEC 2024b)'!$A:$A, "clean power alliance *")</f>
        <v>0</v>
      </c>
      <c r="E7" s="152">
        <f>SUMIFS('2023 PCL (CEC2025b)'!$T:$T, '2023 PCL (CEC2025b)'!$A:$A, "clean power alliance *")</f>
        <v>22858.835409723048</v>
      </c>
      <c r="F7" s="152"/>
      <c r="G7" s="152"/>
      <c r="H7" s="152"/>
      <c r="I7" s="152">
        <f>AVERAGE($C$7:$E$7)</f>
        <v>7619.6118032410159</v>
      </c>
      <c r="J7" s="152">
        <f t="shared" ref="J7:L7" si="3">AVERAGE($C$7:$E$7)</f>
        <v>7619.6118032410159</v>
      </c>
      <c r="K7" s="152">
        <f t="shared" si="3"/>
        <v>7619.6118032410159</v>
      </c>
      <c r="L7" s="152">
        <f t="shared" si="3"/>
        <v>7619.6118032410159</v>
      </c>
    </row>
    <row r="8" spans="1:12">
      <c r="A8" s="66" t="s">
        <v>167</v>
      </c>
      <c r="B8" s="152"/>
      <c r="C8" s="152">
        <f>SUMIFS('2021 PCL (CEC 2023b)'!$T:$T, '2021 PCL (CEC 2023b)'!$A:$A, "desert community *")</f>
        <v>0</v>
      </c>
      <c r="D8" s="152">
        <f>SUMIFS('2022 PCL (CEC 2024b)'!$T:$T, '2022 PCL (CEC 2024b)'!$A:$A, "desert community *")</f>
        <v>0</v>
      </c>
      <c r="E8" s="152">
        <f>SUMIFS('2023 PCL (CEC2025b)'!$T:$T, '2023 PCL (CEC2025b)'!$A:$A, "desert community *")</f>
        <v>0</v>
      </c>
      <c r="F8" s="152"/>
      <c r="G8" s="152"/>
      <c r="H8" s="152"/>
      <c r="I8" s="152">
        <f t="shared" ref="I8:L8" si="4">AVERAGE($C$8:$E$8)</f>
        <v>0</v>
      </c>
      <c r="J8" s="152">
        <f t="shared" si="4"/>
        <v>0</v>
      </c>
      <c r="K8" s="152">
        <f t="shared" si="4"/>
        <v>0</v>
      </c>
      <c r="L8" s="152">
        <f t="shared" si="4"/>
        <v>0</v>
      </c>
    </row>
    <row r="9" spans="1:12">
      <c r="A9" s="66" t="s">
        <v>168</v>
      </c>
      <c r="B9" s="152"/>
      <c r="C9" s="152">
        <v>0</v>
      </c>
      <c r="D9" s="152">
        <f>SUMIFS('2022 PCL (CEC 2024b)'!$T:$T, '2022 PCL (CEC 2024b)'!$A:$A, "*palmdale*")</f>
        <v>12000</v>
      </c>
      <c r="E9" s="152">
        <f>SUMIFS('2023 PCL (CEC2025b)'!$T:$T, '2023 PCL (CEC2025b)'!$A:$A, "*palmdale*")</f>
        <v>113778.09999999999</v>
      </c>
      <c r="F9" s="152"/>
      <c r="G9" s="152"/>
      <c r="H9" s="152"/>
      <c r="I9" s="152">
        <f>AVERAGE($C$9:$E$9)</f>
        <v>41926.033333333333</v>
      </c>
      <c r="J9" s="152">
        <f t="shared" ref="J9:L9" si="5">AVERAGE($C$9:$E$9)</f>
        <v>41926.033333333333</v>
      </c>
      <c r="K9" s="152">
        <f t="shared" si="5"/>
        <v>41926.033333333333</v>
      </c>
      <c r="L9" s="152">
        <f t="shared" si="5"/>
        <v>41926.033333333333</v>
      </c>
    </row>
    <row r="10" spans="1:12">
      <c r="A10" s="66" t="s">
        <v>169</v>
      </c>
      <c r="B10" s="152"/>
      <c r="C10" s="152">
        <f>SUMIFS('2021 PCL (CEC 2023b)'!$T:$T, '2021 PCL (CEC 2023b)'!$A:$A, "lancaster *")</f>
        <v>43624.560000000005</v>
      </c>
      <c r="D10" s="152">
        <f>SUMIFS('2022 PCL (CEC 2024b)'!$T:$T, '2022 PCL (CEC 2024b)'!$A:$A, "lancaster *")</f>
        <v>59239.049999999988</v>
      </c>
      <c r="E10" s="152">
        <f>SUMIFS('2023 PCL (CEC2025b)'!$T:$T, '2023 PCL (CEC2025b)'!$A:$A, "lancaster *")</f>
        <v>36457.57</v>
      </c>
      <c r="F10" s="152"/>
      <c r="G10" s="152"/>
      <c r="H10" s="152"/>
      <c r="I10" s="152">
        <f>AVERAGE($C$10:$E$10)</f>
        <v>46440.393333333333</v>
      </c>
      <c r="J10" s="152">
        <f t="shared" ref="J10:L10" si="6">AVERAGE($C$10:$E$10)</f>
        <v>46440.393333333333</v>
      </c>
      <c r="K10" s="152">
        <f t="shared" si="6"/>
        <v>46440.393333333333</v>
      </c>
      <c r="L10" s="152">
        <f t="shared" si="6"/>
        <v>46440.393333333333</v>
      </c>
    </row>
    <row r="11" spans="1:12">
      <c r="A11" s="66" t="s">
        <v>170</v>
      </c>
      <c r="B11" s="152"/>
      <c r="C11" s="152">
        <v>0</v>
      </c>
      <c r="D11" s="152">
        <f>SUMIFS('2022 PCL (CEC 2024b)'!$T:$T, '2022 PCL (CEC 2024b)'!$A:$A, "orange *")</f>
        <v>44832.549177644381</v>
      </c>
      <c r="E11" s="152">
        <f>SUMIFS('2023 PCL (CEC2025b)'!$T:$T, '2023 PCL (CEC2025b)'!$A:$A, "orange *")</f>
        <v>183028</v>
      </c>
      <c r="F11" s="152"/>
      <c r="G11" s="152"/>
      <c r="H11" s="152"/>
      <c r="I11" s="152">
        <f>AVERAGE($C$11:$E$11)</f>
        <v>75953.516392548117</v>
      </c>
      <c r="J11" s="152">
        <f t="shared" ref="J11:L11" si="7">AVERAGE($C$11:$E$11)</f>
        <v>75953.516392548117</v>
      </c>
      <c r="K11" s="152">
        <f t="shared" si="7"/>
        <v>75953.516392548117</v>
      </c>
      <c r="L11" s="152">
        <f t="shared" si="7"/>
        <v>75953.516392548117</v>
      </c>
    </row>
    <row r="12" spans="1:12">
      <c r="A12" s="66" t="s">
        <v>171</v>
      </c>
      <c r="B12" s="152"/>
      <c r="C12" s="152">
        <f>SUMIFS('2021 PCL (CEC 2023b)'!$T:$T, '2021 PCL (CEC 2023b)'!$A:$A, "pico *")</f>
        <v>14557.6</v>
      </c>
      <c r="D12" s="152">
        <f>SUMIFS('2022 PCL (CEC 2024b)'!$T:$T, '2022 PCL (CEC 2024b)'!$A:$A, "pico *")</f>
        <v>11357.54</v>
      </c>
      <c r="E12" s="152">
        <f>SUMIFS('2023 PCL (CEC2025b)'!$T:$T, '2023 PCL (CEC2025b)'!$A:$A, "pico *")</f>
        <v>0</v>
      </c>
      <c r="F12" s="152"/>
      <c r="G12" s="152"/>
      <c r="H12" s="152"/>
      <c r="I12" s="152">
        <f t="shared" ref="I12:L12" si="8">AVERAGE($C$12:$E$12)</f>
        <v>8638.3799999999992</v>
      </c>
      <c r="J12" s="152">
        <f t="shared" si="8"/>
        <v>8638.3799999999992</v>
      </c>
      <c r="K12" s="152">
        <f t="shared" si="8"/>
        <v>8638.3799999999992</v>
      </c>
      <c r="L12" s="152">
        <f t="shared" si="8"/>
        <v>8638.3799999999992</v>
      </c>
    </row>
    <row r="13" spans="1:12">
      <c r="A13" s="66" t="s">
        <v>172</v>
      </c>
      <c r="B13" s="152"/>
      <c r="C13" s="152">
        <f>SUMIFS('2021 PCL (CEC 2023b)'!$T:$T, '2021 PCL (CEC 2023b)'!$A:$A, "pomona *")</f>
        <v>0</v>
      </c>
      <c r="D13" s="152">
        <f>SUMIFS('2022 PCL (CEC 2024b)'!$T:$T, '2022 PCL (CEC 2024b)'!$A:$A, "pomona *")</f>
        <v>23974</v>
      </c>
      <c r="E13" s="152">
        <f>SUMIFS('2023 PCL (CEC2025b)'!$T:$T, '2023 PCL (CEC2025b)'!$A:$A, "pomona *")</f>
        <v>0</v>
      </c>
      <c r="F13" s="152"/>
      <c r="G13" s="152"/>
      <c r="H13" s="152"/>
      <c r="I13" s="152">
        <f t="shared" ref="I13:L13" si="9">AVERAGE($C$13:$E$13)</f>
        <v>7991.333333333333</v>
      </c>
      <c r="J13" s="152">
        <f t="shared" si="9"/>
        <v>7991.333333333333</v>
      </c>
      <c r="K13" s="152">
        <f t="shared" si="9"/>
        <v>7991.333333333333</v>
      </c>
      <c r="L13" s="152">
        <f t="shared" si="9"/>
        <v>7991.333333333333</v>
      </c>
    </row>
    <row r="14" spans="1:12">
      <c r="A14" s="66" t="s">
        <v>173</v>
      </c>
      <c r="B14" s="152"/>
      <c r="C14" s="152">
        <f>SUMIFS('2021 PCL (CEC 2023b)'!$T:$T, '2021 PCL (CEC 2023b)'!$A:$A, "rancho mirage *")</f>
        <v>19217</v>
      </c>
      <c r="D14" s="152">
        <f>SUMIFS('2022 PCL (CEC 2024b)'!$T:$T, '2022 PCL (CEC 2024b)'!$A:$A, "rancho mirage *")</f>
        <v>16113.619999999999</v>
      </c>
      <c r="E14" s="152">
        <f>SUMIFS('2023 PCL (CEC2025b)'!$T:$T, '2023 PCL (CEC2025b)'!$A:$A, "rancho mirage *")</f>
        <v>0</v>
      </c>
      <c r="F14" s="152"/>
      <c r="G14" s="152"/>
      <c r="H14" s="152"/>
      <c r="I14" s="152">
        <f t="shared" ref="I14:L14" si="10">AVERAGE($C$14:$E$14)</f>
        <v>11776.873333333331</v>
      </c>
      <c r="J14" s="152">
        <f t="shared" si="10"/>
        <v>11776.873333333331</v>
      </c>
      <c r="K14" s="152">
        <f t="shared" si="10"/>
        <v>11776.873333333331</v>
      </c>
      <c r="L14" s="152">
        <f t="shared" si="10"/>
        <v>11776.873333333331</v>
      </c>
    </row>
    <row r="15" spans="1:12">
      <c r="A15" s="66" t="s">
        <v>174</v>
      </c>
      <c r="B15" s="153"/>
      <c r="C15" s="152">
        <f>SUMIFS('2021 PCL (CEC 2023b)'!$T:$T, '2021 PCL (CEC 2023b)'!$A:$A, "san jacinto *")</f>
        <v>11663.079999999998</v>
      </c>
      <c r="D15" s="152">
        <f>SUMIFS('2022 PCL (CEC 2024b)'!$T:$T, '2022 PCL (CEC 2024b)'!$A:$A, "san jacinto *")</f>
        <v>10005.65</v>
      </c>
      <c r="E15" s="152">
        <f>SUMIFS('2023 PCL (CEC2025b)'!$T:$T, '2023 PCL (CEC2025b)'!$A:$A, "san jacinto *")</f>
        <v>0</v>
      </c>
      <c r="F15" s="152"/>
      <c r="G15" s="152"/>
      <c r="H15" s="152"/>
      <c r="I15" s="152">
        <f t="shared" ref="I15:L15" si="11">AVERAGE($C$15:$E$15)</f>
        <v>7222.9099999999989</v>
      </c>
      <c r="J15" s="152">
        <f t="shared" si="11"/>
        <v>7222.9099999999989</v>
      </c>
      <c r="K15" s="152">
        <f t="shared" si="11"/>
        <v>7222.9099999999989</v>
      </c>
      <c r="L15" s="152">
        <f t="shared" si="11"/>
        <v>7222.9099999999989</v>
      </c>
    </row>
    <row r="16" spans="1:12">
      <c r="A16" s="66" t="s">
        <v>175</v>
      </c>
      <c r="B16" s="153"/>
      <c r="C16" s="152">
        <f>SUMIFS('2021 PCL (CEC 2023b)'!$T:$T, '2021 PCL (CEC 2023b)'!$A:$A, "santa barbara *")</f>
        <v>0</v>
      </c>
      <c r="D16" s="152">
        <f>SUMIFS('2022 PCL (CEC 2024b)'!$T:$T, '2022 PCL (CEC 2024b)'!$A:$A, "santa barbara *")</f>
        <v>0</v>
      </c>
      <c r="E16" s="152">
        <f>SUMIFS('2023 PCL (CEC2025b)'!$T:$T, '2023 PCL (CEC2025b)'!$A:$A, "santa barbara *")</f>
        <v>0</v>
      </c>
      <c r="F16" s="152"/>
      <c r="G16" s="152"/>
      <c r="H16" s="152"/>
      <c r="I16" s="152">
        <f t="shared" ref="I16:L16" si="12">AVERAGE($C$16:$E$16)</f>
        <v>0</v>
      </c>
      <c r="J16" s="152">
        <f t="shared" si="12"/>
        <v>0</v>
      </c>
      <c r="K16" s="152">
        <f t="shared" si="12"/>
        <v>0</v>
      </c>
      <c r="L16" s="152">
        <f t="shared" si="12"/>
        <v>0</v>
      </c>
    </row>
    <row r="17" spans="1:12" ht="15.75" thickBot="1">
      <c r="A17" s="66" t="s">
        <v>176</v>
      </c>
      <c r="B17" s="153"/>
      <c r="C17" s="152"/>
      <c r="D17" s="152"/>
      <c r="E17" s="152"/>
      <c r="F17" s="152"/>
      <c r="G17" s="152"/>
      <c r="H17" s="152"/>
      <c r="I17" s="152"/>
      <c r="J17" s="152"/>
      <c r="K17" s="152"/>
      <c r="L17" s="152"/>
    </row>
    <row r="18" spans="1:12" ht="15.75" thickBot="1">
      <c r="A18" s="53" t="s">
        <v>67</v>
      </c>
      <c r="B18" s="54">
        <f t="shared" ref="B18:L18" si="13">SUM(B3:B17)</f>
        <v>0</v>
      </c>
      <c r="C18" s="54">
        <f t="shared" si="13"/>
        <v>5248850.6400151588</v>
      </c>
      <c r="D18" s="54">
        <f t="shared" si="13"/>
        <v>4762804.3597856332</v>
      </c>
      <c r="E18" s="54">
        <f t="shared" si="13"/>
        <v>4783784.9819575576</v>
      </c>
      <c r="F18" s="54">
        <f t="shared" si="13"/>
        <v>0</v>
      </c>
      <c r="G18" s="54">
        <f t="shared" si="13"/>
        <v>0</v>
      </c>
      <c r="H18" s="54">
        <f t="shared" si="13"/>
        <v>0</v>
      </c>
      <c r="I18" s="54">
        <f t="shared" si="13"/>
        <v>4931813.3272527829</v>
      </c>
      <c r="J18" s="54">
        <f t="shared" si="13"/>
        <v>4931813.3272527829</v>
      </c>
      <c r="K18" s="54">
        <f t="shared" si="13"/>
        <v>4931813.3272527829</v>
      </c>
      <c r="L18" s="54">
        <f t="shared" si="13"/>
        <v>4931813.3272527829</v>
      </c>
    </row>
    <row r="19" spans="1:12" ht="15.75" thickBot="1"/>
    <row r="20" spans="1:12" s="48" customFormat="1">
      <c r="A20" s="51" t="s">
        <v>547</v>
      </c>
      <c r="B20" s="52">
        <v>2020</v>
      </c>
      <c r="C20" s="52">
        <v>2021</v>
      </c>
      <c r="D20" s="52">
        <v>2022</v>
      </c>
      <c r="E20" s="52">
        <v>2023</v>
      </c>
      <c r="F20" s="52">
        <v>2024</v>
      </c>
      <c r="G20" s="52">
        <v>2025</v>
      </c>
      <c r="H20" s="52">
        <v>2026</v>
      </c>
      <c r="I20" s="52">
        <v>2027</v>
      </c>
      <c r="J20" s="52">
        <v>2028</v>
      </c>
      <c r="K20" s="52">
        <v>2029</v>
      </c>
      <c r="L20" s="52">
        <v>2030</v>
      </c>
    </row>
    <row r="21" spans="1:12">
      <c r="A21" s="66" t="s">
        <v>126</v>
      </c>
      <c r="B21" s="149"/>
      <c r="C21" s="149">
        <f>SUMIFS('2021 PCL (CEC 2023b)'!$S:$S, '2021 PCL (CEC 2023b)'!$A:$A, "Southern California Edison*")</f>
        <v>1285196.8630427881</v>
      </c>
      <c r="D21" s="149">
        <f>SUMIFS('2022 PCL (CEC 2024b)'!$S:$S, '2022 PCL (CEC 2024b)'!$A:$A, "Southern California Edison*")</f>
        <v>1859186.8946993295</v>
      </c>
      <c r="E21" s="149">
        <f>SUMIFS('2023 PCL (CEC2025b)'!$S:$S, '2023 PCL (CEC2025b)'!$A:$A, "Southern California Edison*")</f>
        <v>2172950.0928221513</v>
      </c>
      <c r="F21" s="149"/>
      <c r="G21" s="149"/>
      <c r="H21" s="149"/>
      <c r="I21" s="149">
        <f>AVERAGE($C$21:$E$21)</f>
        <v>1772444.6168547564</v>
      </c>
      <c r="J21" s="149">
        <f t="shared" ref="J21:L21" si="14">AVERAGE($C$21:$E$21)</f>
        <v>1772444.6168547564</v>
      </c>
      <c r="K21" s="149">
        <f t="shared" si="14"/>
        <v>1772444.6168547564</v>
      </c>
      <c r="L21" s="149">
        <f t="shared" si="14"/>
        <v>1772444.6168547564</v>
      </c>
    </row>
    <row r="22" spans="1:12">
      <c r="A22" s="66" t="s">
        <v>164</v>
      </c>
      <c r="B22" s="149"/>
      <c r="C22" s="152">
        <f>SUMIFS('2021 PCL (CEC 2023b)'!$S:$S, '2021 PCL (CEC 2023b)'!$A:$A, "apple*")</f>
        <v>6459.33</v>
      </c>
      <c r="D22" s="152">
        <f>SUMIFS('2022 PCL (CEC 2024b)'!$S:$S, '2022 PCL (CEC 2024b)'!$A:$A, "apple*")</f>
        <v>8201.8799999999992</v>
      </c>
      <c r="E22" s="152">
        <f>SUMIFS('2023 PCL (CEC2025b)'!$S:$S, '2023 PCL (CEC2025b)'!$A:$A, "apple*")</f>
        <v>2167</v>
      </c>
      <c r="F22" s="152"/>
      <c r="G22" s="152"/>
      <c r="H22" s="152"/>
      <c r="I22" s="152">
        <f>AVERAGE($C$22:$E$22)</f>
        <v>5609.4033333333327</v>
      </c>
      <c r="J22" s="152">
        <f>AVERAGE($C$22:$E$22)</f>
        <v>5609.4033333333327</v>
      </c>
      <c r="K22" s="152">
        <f>AVERAGE($C$22:$E$22)</f>
        <v>5609.4033333333327</v>
      </c>
      <c r="L22" s="152">
        <f>AVERAGE($C$22:$E$22)</f>
        <v>5609.4033333333327</v>
      </c>
    </row>
    <row r="23" spans="1:12">
      <c r="A23" s="66" t="s">
        <v>165</v>
      </c>
      <c r="B23" s="149"/>
      <c r="C23" s="152">
        <f>SUMIFS('2021 PCL (CEC 2023b)'!$S:$S, '2021 PCL (CEC 2023b)'!$A:$A, "baldwin*")</f>
        <v>0</v>
      </c>
      <c r="D23" s="152"/>
      <c r="E23" s="152"/>
      <c r="F23" s="152"/>
      <c r="G23" s="152"/>
      <c r="H23" s="152"/>
      <c r="I23" s="152">
        <f>AVERAGE($C$23:$E$23)</f>
        <v>0</v>
      </c>
      <c r="J23" s="152">
        <f>AVERAGE($C$23:$E$23)</f>
        <v>0</v>
      </c>
      <c r="K23" s="152">
        <f>AVERAGE($C$23:$E$23)</f>
        <v>0</v>
      </c>
      <c r="L23" s="152">
        <f>AVERAGE($C$23:$E$23)</f>
        <v>0</v>
      </c>
    </row>
    <row r="24" spans="1:12">
      <c r="A24" s="66" t="s">
        <v>133</v>
      </c>
      <c r="B24" s="149"/>
      <c r="C24" s="152">
        <f>(SUMIFS('2021 PCL (CEC 2023b)'!$S:$S, '2021 PCL (CEC 2023b)'!$A:$A, "central coast *"))*('Form 1.1c (CEC 2025a)'!C48/('Form 1.1c (CEC 2025a)'!C48+'Form 1.1c (CEC 2025a)'!C9))</f>
        <v>53735.763033640753</v>
      </c>
      <c r="D24" s="152">
        <f>(SUMIFS('2022 PCL (CEC 2024b)'!$S:$S, '2022 PCL (CEC 2024b)'!$A:$A, "central coast *"))*('Form 1.1c (CEC 2025a)'!C48/('Form 1.1c (CEC 2025a)'!C48+'Form 1.1c (CEC 2025a)'!C9))</f>
        <v>29199.022955367862</v>
      </c>
      <c r="E24" s="152">
        <f>(SUMIFS('2023 PCL (CEC2025b)'!$S:$S, '2023 PCL (CEC2025b)'!$A:$A, "central coast *"))*('Form 1.1c (CEC 2025a)'!C48/('Form 1.1c (CEC 2025a)'!C48+'Form 1.1c (CEC 2025a)'!C9))</f>
        <v>1940.1829296605297</v>
      </c>
      <c r="F24" s="152"/>
      <c r="G24" s="152"/>
      <c r="H24" s="152"/>
      <c r="I24" s="152">
        <f>AVERAGE($C$24:$E$24)</f>
        <v>28291.656306223045</v>
      </c>
      <c r="J24" s="152">
        <f>AVERAGE($C$24:$E$24)</f>
        <v>28291.656306223045</v>
      </c>
      <c r="K24" s="152">
        <f>AVERAGE($C$24:$E$24)</f>
        <v>28291.656306223045</v>
      </c>
      <c r="L24" s="152">
        <f>AVERAGE($C$24:$E$24)</f>
        <v>28291.656306223045</v>
      </c>
    </row>
    <row r="25" spans="1:12">
      <c r="A25" s="66" t="s">
        <v>166</v>
      </c>
      <c r="B25" s="149"/>
      <c r="C25" s="152">
        <f>SUMIFS('2021 PCL (CEC 2023b)'!$S:$S, '2021 PCL (CEC 2023b)'!$A:$A, "clean power alliance *")</f>
        <v>2134813</v>
      </c>
      <c r="D25" s="152">
        <f>SUMIFS('2022 PCL (CEC 2024b)'!$S:$S, '2022 PCL (CEC 2024b)'!$A:$A, "clean power alliance *")</f>
        <v>1863333.0700000003</v>
      </c>
      <c r="E25" s="152">
        <f>SUMIFS('2023 PCL (CEC2025b)'!$S:$S, '2023 PCL (CEC2025b)'!$A:$A, "clean power alliance *")</f>
        <v>1521272.9834377258</v>
      </c>
      <c r="F25" s="152"/>
      <c r="G25" s="152"/>
      <c r="H25" s="152"/>
      <c r="I25" s="152">
        <f>AVERAGE($C$25:$E$25)</f>
        <v>1839806.3511459089</v>
      </c>
      <c r="J25" s="152">
        <f>AVERAGE($C$25:$E$25)</f>
        <v>1839806.3511459089</v>
      </c>
      <c r="K25" s="152">
        <f>AVERAGE($C$25:$E$25)</f>
        <v>1839806.3511459089</v>
      </c>
      <c r="L25" s="152">
        <f>AVERAGE($C$25:$E$25)</f>
        <v>1839806.3511459089</v>
      </c>
    </row>
    <row r="26" spans="1:12">
      <c r="A26" s="66" t="s">
        <v>167</v>
      </c>
      <c r="B26" s="149"/>
      <c r="C26" s="152">
        <f>SUMIFS('2021 PCL (CEC 2023b)'!$S:$S, '2021 PCL (CEC 2023b)'!$A:$A, "desert community*")</f>
        <v>271403</v>
      </c>
      <c r="D26" s="152">
        <f>SUMIFS('2022 PCL (CEC 2024b)'!$S:$S, '2022 PCL (CEC 2024b)'!$A:$A, "desert community*")</f>
        <v>282868</v>
      </c>
      <c r="E26" s="152">
        <f>SUMIFS('2023 PCL (CEC2025b)'!$S:$S, '2023 PCL (CEC2025b)'!$A:$A, "desert community*")</f>
        <v>99999.999849014232</v>
      </c>
      <c r="F26" s="152"/>
      <c r="G26" s="152"/>
      <c r="H26" s="152"/>
      <c r="I26" s="152">
        <f>AVERAGE($C$26:$E$26)</f>
        <v>218090.33328300473</v>
      </c>
      <c r="J26" s="152">
        <f>AVERAGE($C$26:$E$26)</f>
        <v>218090.33328300473</v>
      </c>
      <c r="K26" s="152">
        <f>AVERAGE($C$26:$E$26)</f>
        <v>218090.33328300473</v>
      </c>
      <c r="L26" s="152">
        <f>AVERAGE($C$26:$E$26)</f>
        <v>218090.33328300473</v>
      </c>
    </row>
    <row r="27" spans="1:12">
      <c r="A27" s="66" t="s">
        <v>168</v>
      </c>
      <c r="B27" s="149"/>
      <c r="C27" s="152">
        <v>0</v>
      </c>
      <c r="D27" s="152">
        <f>SUMIFS('2022 PCL (CEC 2024b)'!$S:$S, '2022 PCL (CEC 2024b)'!$A:$A, "*palmdale*")</f>
        <v>0</v>
      </c>
      <c r="E27" s="152">
        <f>SUMIFS('2023 PCL (CEC2025b)'!$S:$S, '2023 PCL (CEC2025b)'!$A:$A, "*palmdale*")</f>
        <v>29167.34</v>
      </c>
      <c r="F27" s="152"/>
      <c r="G27" s="152"/>
      <c r="H27" s="152"/>
      <c r="I27" s="152">
        <f>AVERAGE($C$27:$E$27)</f>
        <v>9722.4466666666667</v>
      </c>
      <c r="J27" s="152">
        <f>AVERAGE($C$27:$E$27)</f>
        <v>9722.4466666666667</v>
      </c>
      <c r="K27" s="152">
        <f>AVERAGE($C$27:$E$27)</f>
        <v>9722.4466666666667</v>
      </c>
      <c r="L27" s="152">
        <f>AVERAGE($C$27:$E$27)</f>
        <v>9722.4466666666667</v>
      </c>
    </row>
    <row r="28" spans="1:12">
      <c r="A28" s="66" t="s">
        <v>169</v>
      </c>
      <c r="B28" s="149"/>
      <c r="C28" s="152">
        <f>SUMIFS('2021 PCL (CEC 2023b)'!$S:$S, '2021 PCL (CEC 2023b)'!$A:$A, "lancaster*")</f>
        <v>13272.92</v>
      </c>
      <c r="D28" s="152">
        <f>SUMIFS('2022 PCL (CEC 2024b)'!$S:$S, '2022 PCL (CEC 2024b)'!$A:$A, "lancaster*")</f>
        <v>2329</v>
      </c>
      <c r="E28" s="152">
        <f>SUMIFS('2023 PCL (CEC2025b)'!$S:$S, '2023 PCL (CEC2025b)'!$A:$A, "lancaster*")</f>
        <v>3428</v>
      </c>
      <c r="F28" s="152"/>
      <c r="G28" s="152"/>
      <c r="H28" s="152"/>
      <c r="I28" s="152">
        <f>AVERAGE($C$28:$E$28)</f>
        <v>6343.3066666666664</v>
      </c>
      <c r="J28" s="152">
        <f>AVERAGE($C$28:$E$28)</f>
        <v>6343.3066666666664</v>
      </c>
      <c r="K28" s="152">
        <f>AVERAGE($C$28:$E$28)</f>
        <v>6343.3066666666664</v>
      </c>
      <c r="L28" s="152">
        <f>AVERAGE($C$28:$E$28)</f>
        <v>6343.3066666666664</v>
      </c>
    </row>
    <row r="29" spans="1:12">
      <c r="A29" s="66" t="s">
        <v>170</v>
      </c>
      <c r="B29" s="149"/>
      <c r="C29" s="152">
        <v>0</v>
      </c>
      <c r="D29" s="152">
        <f>SUMIFS('2022 PCL (CEC 2024b)'!$S:$S, '2022 PCL (CEC 2024b)'!$A:$A, "orange*")</f>
        <v>21983.591273342052</v>
      </c>
      <c r="E29" s="152">
        <f>SUMIFS('2023 PCL (CEC2025b)'!$S:$S, '2023 PCL (CEC2025b)'!$A:$A, "orange*")</f>
        <v>109294.98000000001</v>
      </c>
      <c r="F29" s="152"/>
      <c r="G29" s="152"/>
      <c r="H29" s="152"/>
      <c r="I29" s="152">
        <f>AVERAGE($C$29:$E$29)</f>
        <v>43759.523757780691</v>
      </c>
      <c r="J29" s="152">
        <f>AVERAGE($C$29:$E$29)</f>
        <v>43759.523757780691</v>
      </c>
      <c r="K29" s="152">
        <f>AVERAGE($C$29:$E$29)</f>
        <v>43759.523757780691</v>
      </c>
      <c r="L29" s="152">
        <f>AVERAGE($C$29:$E$29)</f>
        <v>43759.523757780691</v>
      </c>
    </row>
    <row r="30" spans="1:12">
      <c r="A30" s="66" t="s">
        <v>171</v>
      </c>
      <c r="B30" s="149"/>
      <c r="C30" s="152">
        <f>SUMIFS('2021 PCL (CEC 2023b)'!$S:$S, '2021 PCL (CEC 2023b)'!$A:$A, "pico*")</f>
        <v>5025.82</v>
      </c>
      <c r="D30" s="152">
        <f>SUMIFS('2022 PCL (CEC 2024b)'!$S:$S, '2022 PCL (CEC 2024b)'!$A:$A, "pico*")</f>
        <v>7044.54</v>
      </c>
      <c r="E30" s="152">
        <f>SUMIFS('2023 PCL (CEC2025b)'!$S:$S, '2023 PCL (CEC2025b)'!$A:$A, "pico*")</f>
        <v>757.99999999999909</v>
      </c>
      <c r="F30" s="152"/>
      <c r="G30" s="152"/>
      <c r="H30" s="152"/>
      <c r="I30" s="152">
        <f>AVERAGE($C$30:$E$30)</f>
        <v>4276.12</v>
      </c>
      <c r="J30" s="152">
        <f>AVERAGE($C$30:$E$30)</f>
        <v>4276.12</v>
      </c>
      <c r="K30" s="152">
        <f>AVERAGE($C$30:$E$30)</f>
        <v>4276.12</v>
      </c>
      <c r="L30" s="152">
        <f>AVERAGE($C$30:$E$30)</f>
        <v>4276.12</v>
      </c>
    </row>
    <row r="31" spans="1:12">
      <c r="A31" s="66" t="s">
        <v>172</v>
      </c>
      <c r="B31" s="149"/>
      <c r="C31" s="152">
        <f>SUMIFS('2021 PCL (CEC 2023b)'!$S:$S, '2021 PCL (CEC 2023b)'!$A:$A, "pomona*")</f>
        <v>0</v>
      </c>
      <c r="D31" s="152">
        <f>SUMIFS('2022 PCL (CEC 2024b)'!$S:$S, '2022 PCL (CEC 2024b)'!$A:$A, "pomona*")</f>
        <v>13472.35</v>
      </c>
      <c r="E31" s="152">
        <f>SUMIFS('2023 PCL (CEC2025b)'!$S:$S, '2023 PCL (CEC2025b)'!$A:$A, "pomona*")</f>
        <v>5371.84</v>
      </c>
      <c r="F31" s="152"/>
      <c r="G31" s="152"/>
      <c r="H31" s="152"/>
      <c r="I31" s="152">
        <f>AVERAGE($C$31:$E$31)</f>
        <v>6281.3966666666674</v>
      </c>
      <c r="J31" s="152">
        <f>AVERAGE($C$31:$E$31)</f>
        <v>6281.3966666666674</v>
      </c>
      <c r="K31" s="152">
        <f>AVERAGE($C$31:$E$31)</f>
        <v>6281.3966666666674</v>
      </c>
      <c r="L31" s="152">
        <f>AVERAGE($C$31:$E$31)</f>
        <v>6281.3966666666674</v>
      </c>
    </row>
    <row r="32" spans="1:12">
      <c r="A32" s="66" t="s">
        <v>173</v>
      </c>
      <c r="B32" s="149"/>
      <c r="C32" s="152">
        <f>SUMIFS('2021 PCL (CEC 2023b)'!$S:$S, '2021 PCL (CEC 2023b)'!$A:$A, "rancho mirage*")</f>
        <v>6635</v>
      </c>
      <c r="D32" s="152">
        <f>SUMIFS('2022 PCL (CEC 2024b)'!$S:$S, '2022 PCL (CEC 2024b)'!$A:$A, "rancho mirage*")</f>
        <v>8547.405999999999</v>
      </c>
      <c r="E32" s="152">
        <f>SUMIFS('2023 PCL (CEC2025b)'!$S:$S, '2023 PCL (CEC2025b)'!$A:$A, "rancho mirage*")</f>
        <v>1200.9983206532777</v>
      </c>
      <c r="F32" s="152"/>
      <c r="G32" s="152"/>
      <c r="H32" s="152"/>
      <c r="I32" s="152">
        <f>AVERAGE($C$32:$E$32)</f>
        <v>5461.1347735510926</v>
      </c>
      <c r="J32" s="152">
        <f>AVERAGE($C$32:$E$32)</f>
        <v>5461.1347735510926</v>
      </c>
      <c r="K32" s="152">
        <f>AVERAGE($C$32:$E$32)</f>
        <v>5461.1347735510926</v>
      </c>
      <c r="L32" s="152">
        <f>AVERAGE($C$32:$E$32)</f>
        <v>5461.1347735510926</v>
      </c>
    </row>
    <row r="33" spans="1:12">
      <c r="A33" s="66" t="s">
        <v>174</v>
      </c>
      <c r="B33" s="61"/>
      <c r="C33" s="152">
        <v>0</v>
      </c>
      <c r="D33" s="152">
        <f>SUMIFS('2022 PCL (CEC 2024b)'!$S:$S, '2022 PCL (CEC 2024b)'!$A:$A, "san jacinto*")</f>
        <v>5641.78</v>
      </c>
      <c r="E33" s="152">
        <f>SUMIFS('2023 PCL (CEC2025b)'!$S:$S, '2023 PCL (CEC2025b)'!$A:$A, "san jacinto*")</f>
        <v>961</v>
      </c>
      <c r="F33" s="152"/>
      <c r="G33" s="152"/>
      <c r="H33" s="152"/>
      <c r="I33" s="152">
        <f>AVERAGE($C$33:$E$33)</f>
        <v>2200.9266666666667</v>
      </c>
      <c r="J33" s="152">
        <f>AVERAGE($C$33:$E$33)</f>
        <v>2200.9266666666667</v>
      </c>
      <c r="K33" s="152">
        <f>AVERAGE($C$33:$E$33)</f>
        <v>2200.9266666666667</v>
      </c>
      <c r="L33" s="152">
        <f>AVERAGE($C$33:$E$33)</f>
        <v>2200.9266666666667</v>
      </c>
    </row>
    <row r="34" spans="1:12">
      <c r="A34" s="66" t="s">
        <v>175</v>
      </c>
      <c r="B34" s="61"/>
      <c r="C34" s="152">
        <f>SUMIFS('2021 PCL (CEC 2023b)'!$S:$S, '2021 PCL (CEC 2023b)'!$A:$A, "santa barbara*")</f>
        <v>6453.2008241430876</v>
      </c>
      <c r="D34" s="152">
        <f>SUMIFS('2022 PCL (CEC 2024b)'!$S:$S, '2022 PCL (CEC 2024b)'!$A:$A, "santa barbara *")</f>
        <v>141223.82</v>
      </c>
      <c r="E34" s="152">
        <f>SUMIFS('2023 PCL (CEC2025b)'!$S:$S, '2023 PCL (CEC2025b)'!$A:$A, "santa barbara*")</f>
        <v>166582.14516302352</v>
      </c>
      <c r="F34" s="152"/>
      <c r="G34" s="152"/>
      <c r="H34" s="152"/>
      <c r="I34" s="152">
        <f>AVERAGE($C$34:$E$34)</f>
        <v>104753.05532905553</v>
      </c>
      <c r="J34" s="152">
        <f>AVERAGE($C$34:$E$34)</f>
        <v>104753.05532905553</v>
      </c>
      <c r="K34" s="152">
        <f>AVERAGE($C$34:$E$34)</f>
        <v>104753.05532905553</v>
      </c>
      <c r="L34" s="152">
        <f>AVERAGE($C$34:$E$34)</f>
        <v>104753.05532905553</v>
      </c>
    </row>
    <row r="35" spans="1:12" ht="15.75" thickBot="1">
      <c r="A35" s="66" t="s">
        <v>176</v>
      </c>
      <c r="B35" s="97"/>
      <c r="C35" s="152"/>
      <c r="D35" s="152"/>
      <c r="E35" s="152"/>
      <c r="F35" s="152"/>
      <c r="G35" s="152"/>
      <c r="H35" s="152"/>
      <c r="I35" s="152"/>
      <c r="J35" s="152"/>
      <c r="K35" s="152"/>
      <c r="L35" s="152"/>
    </row>
    <row r="36" spans="1:12" ht="15.75" thickBot="1">
      <c r="A36" s="53" t="s">
        <v>67</v>
      </c>
      <c r="B36" s="54">
        <f t="shared" ref="B36:L36" si="15">SUM(B21:B35)</f>
        <v>0</v>
      </c>
      <c r="C36" s="54">
        <f t="shared" si="15"/>
        <v>3782994.8969005719</v>
      </c>
      <c r="D36" s="54">
        <f t="shared" si="15"/>
        <v>4243031.3549280399</v>
      </c>
      <c r="E36" s="54">
        <f t="shared" si="15"/>
        <v>4115094.5625222283</v>
      </c>
      <c r="F36" s="54">
        <f t="shared" si="15"/>
        <v>0</v>
      </c>
      <c r="G36" s="54">
        <f t="shared" si="15"/>
        <v>0</v>
      </c>
      <c r="H36" s="54">
        <f t="shared" si="15"/>
        <v>0</v>
      </c>
      <c r="I36" s="54">
        <f t="shared" si="15"/>
        <v>4047040.2714502807</v>
      </c>
      <c r="J36" s="54">
        <f t="shared" si="15"/>
        <v>4047040.2714502807</v>
      </c>
      <c r="K36" s="54">
        <f t="shared" si="15"/>
        <v>4047040.2714502807</v>
      </c>
      <c r="L36" s="54">
        <f t="shared" si="15"/>
        <v>4047040.2714502807</v>
      </c>
    </row>
  </sheetData>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8FAA6-A848-4BF3-B9E5-DCC18045AB4D}">
  <sheetPr>
    <tabColor theme="5"/>
  </sheetPr>
  <dimension ref="A1:B2"/>
  <sheetViews>
    <sheetView workbookViewId="0">
      <selection activeCell="A2" sqref="A2:B2"/>
    </sheetView>
  </sheetViews>
  <sheetFormatPr defaultRowHeight="15"/>
  <cols>
    <col min="1" max="1" width="34.7109375" customWidth="1"/>
    <col min="2" max="2" width="61.42578125" customWidth="1"/>
  </cols>
  <sheetData>
    <row r="1" spans="1:2" ht="15.75" thickBot="1">
      <c r="A1" s="116" t="s">
        <v>57</v>
      </c>
      <c r="B1" s="117" t="s">
        <v>671</v>
      </c>
    </row>
    <row r="2" spans="1:2" ht="61.5" customHeight="1" thickBot="1">
      <c r="A2" s="231" t="s">
        <v>1</v>
      </c>
      <c r="B2" s="232"/>
    </row>
  </sheetData>
  <mergeCells count="1">
    <mergeCell ref="A2:B2"/>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DD79A-2D93-4A74-A495-D58D714366A3}">
  <sheetPr codeName="Sheet107"/>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34</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1">
        <f>SUMIFS('Form 1.5a (CEC 2025a)'!G:G, 'Form 1.5a (CEC 2025a)'!$B:$B, "Shasta Lake, City of ")*1000</f>
        <v>235569.57693952016</v>
      </c>
      <c r="C3" s="131">
        <f>SUMIFS('Form 1.5a (CEC 2025a)'!H:H, 'Form 1.5a (CEC 2025a)'!$B:$B, "Shasta Lake, City of ")*1000</f>
        <v>236633.21399617984</v>
      </c>
      <c r="D3" s="131">
        <f>SUMIFS('Form 1.5a (CEC 2025a)'!I:I, 'Form 1.5a (CEC 2025a)'!$B:$B, "Shasta Lake, City of ")*1000</f>
        <v>237617.69904533977</v>
      </c>
      <c r="E3" s="131">
        <f>SUMIFS('Form 1.5a (CEC 2025a)'!J:J, 'Form 1.5a (CEC 2025a)'!$B:$B, "Shasta Lake, City of ")*1000</f>
        <v>238840.93096438277</v>
      </c>
      <c r="F3" s="123" t="s">
        <v>577</v>
      </c>
      <c r="H3" s="132">
        <v>0.95946199709706936</v>
      </c>
      <c r="I3" s="123" t="s">
        <v>676</v>
      </c>
    </row>
    <row r="4" spans="1:12" s="7" customFormat="1">
      <c r="A4" s="130" t="s">
        <v>217</v>
      </c>
      <c r="B4" s="131">
        <f>SUMIFS('Form 1.1c (CEC 2025a)'!G:G, 'Form 1.1c (CEC 2025a)'!$B:$B, "Shasta Lake, City of")*1000</f>
        <v>221399.97832661669</v>
      </c>
      <c r="C4" s="131">
        <f>SUMIFS('Form 1.1c (CEC 2025a)'!H:H, 'Form 1.1c (CEC 2025a)'!$B:$B, "Shasta Lake, City of")*1000</f>
        <v>222399.63721445473</v>
      </c>
      <c r="D4" s="131">
        <f>SUMIFS('Form 1.1c (CEC 2025a)'!I:I, 'Form 1.1c (CEC 2025a)'!$B:$B, "Shasta Lake, City of")*1000</f>
        <v>223324.90511780055</v>
      </c>
      <c r="E4" s="131">
        <f>SUMIFS('Form 1.1c (CEC 2025a)'!J:J, 'Form 1.1c (CEC 2025a)'!$B:$B, "Shasta Lake, City of")*1000</f>
        <v>224474.55917705147</v>
      </c>
      <c r="F4" s="123" t="s">
        <v>578</v>
      </c>
      <c r="H4" s="122">
        <f>0.15</f>
        <v>0.15</v>
      </c>
      <c r="I4" s="123" t="s">
        <v>498</v>
      </c>
    </row>
    <row r="5" spans="1:12" s="7" customFormat="1" ht="30">
      <c r="A5" s="130" t="s">
        <v>585</v>
      </c>
      <c r="B5" s="131">
        <f t="shared" ref="B5:E5" si="0">IF(0&lt;(B4-B3),B4*(1+$H$5),B3)</f>
        <v>235569.57693952016</v>
      </c>
      <c r="C5" s="131">
        <f t="shared" si="0"/>
        <v>236633.21399617984</v>
      </c>
      <c r="D5" s="131">
        <f t="shared" si="0"/>
        <v>237617.69904533977</v>
      </c>
      <c r="E5" s="131">
        <f t="shared" si="0"/>
        <v>238840.93096438277</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26000</v>
      </c>
      <c r="C8" s="131">
        <v>26000</v>
      </c>
      <c r="D8" s="131">
        <v>26000</v>
      </c>
      <c r="E8" s="131">
        <v>26000</v>
      </c>
      <c r="F8" s="133" t="s">
        <v>564</v>
      </c>
      <c r="H8" s="114">
        <f>SUMIFS('Form 1.5a (CEC 2025a)'!U:U, 'Form 1.5a (CEC 2025a)'!$B:$B, "Shasta Lake, City of ")</f>
        <v>4.77751233604784E-3</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86345.991547380516</v>
      </c>
      <c r="C10" s="131">
        <f t="shared" si="1"/>
        <v>91183.851257926435</v>
      </c>
      <c r="D10" s="131">
        <f t="shared" si="1"/>
        <v>96029.709200654237</v>
      </c>
      <c r="E10" s="131">
        <f t="shared" si="1"/>
        <v>101013.55162967317</v>
      </c>
      <c r="F10" s="123" t="s">
        <v>587</v>
      </c>
    </row>
    <row r="11" spans="1:12" s="7" customFormat="1" ht="30">
      <c r="A11" s="130" t="s">
        <v>505</v>
      </c>
      <c r="B11" s="131">
        <f t="shared" ref="B11:E11" si="2">MAX(B5-SUM(B6:B8,B10), B5*$H$6)</f>
        <v>123223.58539213965</v>
      </c>
      <c r="C11" s="131">
        <f t="shared" si="2"/>
        <v>119449.3627382534</v>
      </c>
      <c r="D11" s="131">
        <f t="shared" si="2"/>
        <v>115587.98984468554</v>
      </c>
      <c r="E11" s="131">
        <f t="shared" si="2"/>
        <v>111827.37933470961</v>
      </c>
      <c r="F11" s="123" t="s">
        <v>589</v>
      </c>
    </row>
    <row r="12" spans="1:12" s="7" customFormat="1" ht="46.5">
      <c r="A12" s="130" t="s">
        <v>507</v>
      </c>
      <c r="B12" s="131">
        <f>B6*$H$3+B11*$H$2</f>
        <v>53651.549079737604</v>
      </c>
      <c r="C12" s="131">
        <f>C6*$H$3+C11*$H$2</f>
        <v>52008.25253623553</v>
      </c>
      <c r="D12" s="131">
        <f>D6*$H$3+D11*$H$2</f>
        <v>50327.010778376083</v>
      </c>
      <c r="E12" s="131">
        <f>E6*$H$3+E11*$H$2</f>
        <v>48689.640962332567</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0.22775245333786048</v>
      </c>
      <c r="C14" s="193">
        <f t="shared" si="3"/>
        <v>0.21978424608252645</v>
      </c>
      <c r="D14" s="193">
        <f t="shared" si="3"/>
        <v>0.21179824137920467</v>
      </c>
      <c r="E14" s="193">
        <f t="shared" si="3"/>
        <v>0.20385802703806</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53651.549079737604</v>
      </c>
      <c r="C16" s="8">
        <f>C12-C15</f>
        <v>52008.25253623553</v>
      </c>
      <c r="D16" s="8">
        <f>D12-D15</f>
        <v>50327.010778376083</v>
      </c>
      <c r="E16" s="8">
        <f>E12-E15</f>
        <v>48689.640962332567</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14292-51D5-4C0C-A1BD-762FE7AA7942}">
  <sheetPr codeName="Sheet109"/>
  <dimension ref="A1:J16"/>
  <sheetViews>
    <sheetView zoomScaleNormal="100" workbookViewId="0"/>
  </sheetViews>
  <sheetFormatPr defaultRowHeight="15"/>
  <cols>
    <col min="1" max="1" width="37.7109375" customWidth="1"/>
    <col min="2" max="5" width="11" customWidth="1"/>
    <col min="6" max="6" width="49.28515625" customWidth="1"/>
    <col min="8" max="8" width="8.7109375" customWidth="1"/>
    <col min="9" max="9" width="34.28515625" customWidth="1"/>
  </cols>
  <sheetData>
    <row r="1" spans="1:10" s="7" customFormat="1" ht="29.1" customHeight="1">
      <c r="A1" s="125" t="s">
        <v>58</v>
      </c>
      <c r="B1" s="223" t="s">
        <v>671</v>
      </c>
      <c r="C1" s="224"/>
      <c r="D1" s="224"/>
      <c r="E1" s="224"/>
      <c r="F1" s="225"/>
      <c r="H1" s="229" t="s">
        <v>4</v>
      </c>
      <c r="I1" s="230"/>
      <c r="J1" s="2"/>
    </row>
    <row r="2" spans="1:10" s="7" customFormat="1" ht="33">
      <c r="A2" s="126" t="s">
        <v>496</v>
      </c>
      <c r="B2" s="127">
        <v>2027</v>
      </c>
      <c r="C2" s="127">
        <v>2028</v>
      </c>
      <c r="D2" s="127">
        <v>2029</v>
      </c>
      <c r="E2" s="128">
        <v>2030</v>
      </c>
      <c r="F2" s="129" t="s">
        <v>497</v>
      </c>
      <c r="H2" s="120">
        <v>0.43540000000000001</v>
      </c>
      <c r="I2" s="62" t="s">
        <v>7</v>
      </c>
    </row>
    <row r="3" spans="1:10" s="7" customFormat="1" ht="30">
      <c r="A3" s="130" t="s">
        <v>584</v>
      </c>
      <c r="B3" s="134">
        <f>SUMIFS('Form 1.5a (CEC 2025a)'!G:G, 'Form 1.5a (CEC 2025a)'!$B:$B, "Silicon Valley Power")*1000</f>
        <v>6505581.8565264866</v>
      </c>
      <c r="C3" s="134">
        <f>SUMIFS('Form 1.5a (CEC 2025a)'!H:H, 'Form 1.5a (CEC 2025a)'!$B:$B, "Silicon Valley Power")*1000</f>
        <v>6946715.5505533302</v>
      </c>
      <c r="D3" s="134">
        <f>SUMIFS('Form 1.5a (CEC 2025a)'!I:I, 'Form 1.5a (CEC 2025a)'!$B:$B, "Silicon Valley Power")*1000</f>
        <v>7411428.3528076112</v>
      </c>
      <c r="E3" s="134">
        <f>SUMIFS('Form 1.5a (CEC 2025a)'!J:J, 'Form 1.5a (CEC 2025a)'!$B:$B, "Silicon Valley Power")*1000</f>
        <v>7757018.8281090343</v>
      </c>
      <c r="F3" s="123" t="s">
        <v>577</v>
      </c>
      <c r="H3" s="132">
        <v>0.95946199709706936</v>
      </c>
      <c r="I3" s="123" t="s">
        <v>676</v>
      </c>
    </row>
    <row r="4" spans="1:10" s="7" customFormat="1">
      <c r="A4" s="130" t="s">
        <v>217</v>
      </c>
      <c r="B4" s="131">
        <f>SUMIFS('Form 1.1c (CEC 2025a)'!G:G, 'Form 1.1c (CEC 2025a)'!$B:$B, "Silicon Valley Power")*1000</f>
        <v>5962953.12238908</v>
      </c>
      <c r="C4" s="131">
        <f>SUMIFS('Form 1.1c (CEC 2025a)'!H:H, 'Form 1.1c (CEC 2025a)'!$B:$B, "Silicon Valley Power")*1000</f>
        <v>6367291.9803421907</v>
      </c>
      <c r="D4" s="131">
        <f>SUMIFS('Form 1.1c (CEC 2025a)'!I:I, 'Form 1.1c (CEC 2025a)'!$B:$B, "Silicon Valley Power")*1000</f>
        <v>6793243.2198053263</v>
      </c>
      <c r="E4" s="131">
        <f>SUMIFS('Form 1.1c (CEC 2025a)'!J:J, 'Form 1.1c (CEC 2025a)'!$B:$B, "Silicon Valley Power")*1000</f>
        <v>7110008.0917589683</v>
      </c>
      <c r="F4" s="123" t="s">
        <v>578</v>
      </c>
      <c r="H4" s="122">
        <f>0.15</f>
        <v>0.15</v>
      </c>
      <c r="I4" s="123" t="s">
        <v>498</v>
      </c>
    </row>
    <row r="5" spans="1:10" s="7" customFormat="1" ht="30">
      <c r="A5" s="130" t="s">
        <v>585</v>
      </c>
      <c r="B5" s="131">
        <f t="shared" ref="B5:E5" si="0">IF(0&lt;(B4-B3),B4*(1+$H$4),B3)</f>
        <v>6505581.8565264866</v>
      </c>
      <c r="C5" s="131">
        <f t="shared" si="0"/>
        <v>6946715.5505533302</v>
      </c>
      <c r="D5" s="131">
        <f t="shared" si="0"/>
        <v>7411428.3528076112</v>
      </c>
      <c r="E5" s="131">
        <f t="shared" si="0"/>
        <v>7757018.8281090343</v>
      </c>
      <c r="F5" s="123" t="s">
        <v>586</v>
      </c>
      <c r="H5" s="122">
        <f>0.07</f>
        <v>7.0000000000000007E-2</v>
      </c>
      <c r="I5" s="123" t="s">
        <v>499</v>
      </c>
    </row>
    <row r="6" spans="1:10" s="7" customFormat="1">
      <c r="A6" s="130" t="s">
        <v>500</v>
      </c>
      <c r="B6" s="131">
        <v>0</v>
      </c>
      <c r="C6" s="131">
        <v>0</v>
      </c>
      <c r="D6" s="131">
        <v>0</v>
      </c>
      <c r="E6" s="131">
        <v>0</v>
      </c>
      <c r="F6" s="140" t="s">
        <v>515</v>
      </c>
      <c r="H6" s="124">
        <v>0.05</v>
      </c>
      <c r="I6" s="123" t="s">
        <v>516</v>
      </c>
    </row>
    <row r="7" spans="1:10" s="7" customFormat="1">
      <c r="A7" s="130" t="s">
        <v>501</v>
      </c>
      <c r="B7" s="131">
        <v>0</v>
      </c>
      <c r="C7" s="131">
        <v>0</v>
      </c>
      <c r="D7" s="131">
        <v>0</v>
      </c>
      <c r="E7" s="131">
        <v>0</v>
      </c>
      <c r="F7" s="140" t="s">
        <v>517</v>
      </c>
      <c r="I7" s="12"/>
    </row>
    <row r="8" spans="1:10" s="7" customFormat="1" ht="30">
      <c r="A8" s="130" t="s">
        <v>502</v>
      </c>
      <c r="B8" s="131">
        <v>757123.96725398989</v>
      </c>
      <c r="C8" s="131">
        <v>756017.99560723011</v>
      </c>
      <c r="D8" s="131">
        <v>531237.52590169001</v>
      </c>
      <c r="E8" s="131">
        <v>531128.76583709999</v>
      </c>
      <c r="F8" s="123" t="s">
        <v>564</v>
      </c>
      <c r="H8" s="114">
        <f>SUMIFS('Form 1.5a (CEC 2025a)'!U:U, 'Form 1.5a (CEC 2025a)'!$B:$B, "Silicon Valley Power")</f>
        <v>6.2146495575572169E-2</v>
      </c>
      <c r="I8" s="123" t="s">
        <v>579</v>
      </c>
    </row>
    <row r="9" spans="1:10" s="7" customFormat="1" ht="75">
      <c r="A9" s="130" t="s">
        <v>503</v>
      </c>
      <c r="B9" s="203">
        <v>0.39</v>
      </c>
      <c r="C9" s="203">
        <v>0.41</v>
      </c>
      <c r="D9" s="203">
        <v>0.43</v>
      </c>
      <c r="E9" s="203">
        <v>0.45</v>
      </c>
      <c r="F9" s="123" t="s">
        <v>690</v>
      </c>
      <c r="H9" s="16"/>
      <c r="I9" s="2"/>
    </row>
    <row r="10" spans="1:10" s="7" customFormat="1">
      <c r="A10" s="130" t="s">
        <v>504</v>
      </c>
      <c r="B10" s="131">
        <f t="shared" ref="B10:E10" si="1">B4*B9</f>
        <v>2325551.7177317413</v>
      </c>
      <c r="C10" s="131">
        <f t="shared" si="1"/>
        <v>2610589.7119402979</v>
      </c>
      <c r="D10" s="131">
        <f t="shared" si="1"/>
        <v>2921094.5845162901</v>
      </c>
      <c r="E10" s="131">
        <f t="shared" si="1"/>
        <v>3199503.6412915359</v>
      </c>
      <c r="F10" s="123" t="s">
        <v>587</v>
      </c>
    </row>
    <row r="11" spans="1:10" s="7" customFormat="1" ht="30">
      <c r="A11" s="130" t="s">
        <v>505</v>
      </c>
      <c r="B11" s="131">
        <f>MAX(B5-SUM(B6:B8,B10), B5*$H$6)</f>
        <v>3422906.1715407553</v>
      </c>
      <c r="C11" s="131">
        <f>MAX(C5-SUM(C6:C8,C10), C5*$H$6)</f>
        <v>3580107.8430058025</v>
      </c>
      <c r="D11" s="131">
        <f>MAX(D5-SUM(D6:D8,D10), D5*$H$6)</f>
        <v>3959096.242389631</v>
      </c>
      <c r="E11" s="131">
        <f>MAX(E5-SUM(E6:E8,E10), E5*$H$6)</f>
        <v>4026386.4209803985</v>
      </c>
      <c r="F11" s="123" t="s">
        <v>589</v>
      </c>
    </row>
    <row r="12" spans="1:10" s="7" customFormat="1" ht="46.5">
      <c r="A12" s="130" t="s">
        <v>507</v>
      </c>
      <c r="B12" s="131">
        <f>B6*$H$3+B11*$H$2</f>
        <v>1490333.347088845</v>
      </c>
      <c r="C12" s="131">
        <f>C6*$H$3+C11*$H$2</f>
        <v>1558778.9548447265</v>
      </c>
      <c r="D12" s="131">
        <f>D6*$H$3+D11*$H$2</f>
        <v>1723790.5039364453</v>
      </c>
      <c r="E12" s="131">
        <f>E6*$H$3+E11*$H$2</f>
        <v>1753088.6476948655</v>
      </c>
      <c r="F12" s="136" t="s">
        <v>508</v>
      </c>
    </row>
    <row r="13" spans="1:10" s="7" customFormat="1" ht="72.599999999999994" customHeight="1">
      <c r="A13" s="130"/>
      <c r="B13" s="227" t="s">
        <v>557</v>
      </c>
      <c r="C13" s="227"/>
      <c r="D13" s="228"/>
      <c r="E13" s="142"/>
      <c r="F13" s="136" t="s">
        <v>686</v>
      </c>
    </row>
    <row r="14" spans="1:10" s="7" customFormat="1" ht="33">
      <c r="A14" s="130" t="s">
        <v>509</v>
      </c>
      <c r="B14" s="193">
        <f t="shared" ref="B14:E14" si="2">B12/B5</f>
        <v>0.22908532702477991</v>
      </c>
      <c r="C14" s="193">
        <f t="shared" si="2"/>
        <v>0.22439078489698117</v>
      </c>
      <c r="D14" s="193">
        <f t="shared" si="2"/>
        <v>0.23258546421533385</v>
      </c>
      <c r="E14" s="193">
        <f t="shared" si="2"/>
        <v>0.22600030843578917</v>
      </c>
      <c r="F14" s="123" t="s">
        <v>588</v>
      </c>
      <c r="H14"/>
      <c r="I14"/>
    </row>
    <row r="15" spans="1:10" s="7" customFormat="1" ht="33">
      <c r="A15" s="130" t="s">
        <v>511</v>
      </c>
      <c r="B15" s="138">
        <f>$E$13*B14</f>
        <v>0</v>
      </c>
      <c r="C15" s="138">
        <f>$E$13*C14</f>
        <v>0</v>
      </c>
      <c r="D15" s="138">
        <f>$E$13*D14</f>
        <v>0</v>
      </c>
      <c r="E15" s="138">
        <f>$E$13*E14</f>
        <v>0</v>
      </c>
      <c r="F15" s="123" t="s">
        <v>518</v>
      </c>
      <c r="H15"/>
      <c r="I15"/>
    </row>
    <row r="16" spans="1:10" ht="30.75" thickBot="1">
      <c r="A16" s="20" t="s">
        <v>513</v>
      </c>
      <c r="B16" s="8">
        <f>B12-B15</f>
        <v>1490333.347088845</v>
      </c>
      <c r="C16" s="8">
        <f>C12-C15</f>
        <v>1558778.9548447265</v>
      </c>
      <c r="D16" s="8">
        <f>D12-D15</f>
        <v>1723790.5039364453</v>
      </c>
      <c r="E16" s="8">
        <f>E12-E15</f>
        <v>1753088.6476948655</v>
      </c>
      <c r="F16" s="10" t="s">
        <v>514</v>
      </c>
    </row>
  </sheetData>
  <mergeCells count="3">
    <mergeCell ref="B13:D13"/>
    <mergeCell ref="B1:F1"/>
    <mergeCell ref="H1:I1"/>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1DD65-ECCB-4A6A-8A4A-E1E900C82903}">
  <sheetPr>
    <tabColor theme="5"/>
  </sheetPr>
  <dimension ref="A1:B2"/>
  <sheetViews>
    <sheetView workbookViewId="0">
      <selection activeCell="G22" sqref="G22"/>
    </sheetView>
  </sheetViews>
  <sheetFormatPr defaultRowHeight="15"/>
  <cols>
    <col min="1" max="1" width="34.7109375" customWidth="1"/>
    <col min="2" max="2" width="61.42578125" customWidth="1"/>
  </cols>
  <sheetData>
    <row r="1" spans="1:2" ht="30.75" thickBot="1">
      <c r="A1" s="125" t="s">
        <v>56</v>
      </c>
      <c r="B1" s="117" t="s">
        <v>671</v>
      </c>
    </row>
    <row r="2" spans="1:2" ht="61.5" customHeight="1" thickBot="1">
      <c r="A2" s="231" t="s">
        <v>1</v>
      </c>
      <c r="B2" s="232"/>
    </row>
  </sheetData>
  <mergeCells count="1">
    <mergeCell ref="A2:B2"/>
  </mergeCell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28D47-8CC0-44D8-96B0-7B4F6A776D69}">
  <sheetPr codeName="Sheet112"/>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60</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f>B4/(1-$H$5)</f>
        <v>24429.603783130471</v>
      </c>
      <c r="C3" s="134">
        <f>C4/(1-$H$5)</f>
        <v>25101.61707709519</v>
      </c>
      <c r="D3" s="134">
        <f>D4/(1-$H$5)</f>
        <v>25976.236951430466</v>
      </c>
      <c r="E3" s="134">
        <f>E4/(1-$H$5)</f>
        <v>26961.496372931771</v>
      </c>
      <c r="F3" s="123" t="s">
        <v>576</v>
      </c>
      <c r="H3" s="132">
        <v>0.95946199709706936</v>
      </c>
      <c r="I3" s="123" t="s">
        <v>676</v>
      </c>
    </row>
    <row r="4" spans="1:12" s="7" customFormat="1">
      <c r="A4" s="130" t="s">
        <v>217</v>
      </c>
      <c r="B4" s="131">
        <f>SUMIFS('Form 1.1c (CEC 2025a)'!G:G, 'Form 1.1c (CEC 2025a)'!$B:$B, "Port of Stockton")*1000</f>
        <v>22719.531518311338</v>
      </c>
      <c r="C4" s="131">
        <f>SUMIFS('Form 1.1c (CEC 2025a)'!H:H, 'Form 1.1c (CEC 2025a)'!$B:$B, "Port of Stockton")*1000</f>
        <v>23344.503881698525</v>
      </c>
      <c r="D4" s="131">
        <f>SUMIFS('Form 1.1c (CEC 2025a)'!I:I, 'Form 1.1c (CEC 2025a)'!$B:$B, "Port of Stockton")*1000</f>
        <v>24157.900364830333</v>
      </c>
      <c r="E4" s="131">
        <f>SUMIFS('Form 1.1c (CEC 2025a)'!J:J, 'Form 1.1c (CEC 2025a)'!$B:$B, "Port of Stockton")*1000</f>
        <v>25074.191626826545</v>
      </c>
      <c r="F4" s="123" t="s">
        <v>575</v>
      </c>
      <c r="H4" s="122">
        <f>0.15</f>
        <v>0.15</v>
      </c>
      <c r="I4" s="123" t="s">
        <v>498</v>
      </c>
    </row>
    <row r="5" spans="1:12" s="7" customFormat="1" ht="30">
      <c r="A5" s="130" t="s">
        <v>585</v>
      </c>
      <c r="B5" s="131">
        <f t="shared" ref="B5:E5" si="0">IF(0&lt;(B4-B3),B4*(1+$H$5),B3)</f>
        <v>24429.603783130471</v>
      </c>
      <c r="C5" s="131">
        <f t="shared" si="0"/>
        <v>25101.61707709519</v>
      </c>
      <c r="D5" s="131">
        <f t="shared" si="0"/>
        <v>25976.236951430466</v>
      </c>
      <c r="E5" s="131">
        <f t="shared" si="0"/>
        <v>26961.496372931771</v>
      </c>
      <c r="F5" s="123" t="s">
        <v>586</v>
      </c>
      <c r="H5" s="122">
        <f>0.07</f>
        <v>7.0000000000000007E-2</v>
      </c>
      <c r="I5" s="123" t="s">
        <v>499</v>
      </c>
    </row>
    <row r="6" spans="1:12" s="7" customFormat="1">
      <c r="A6" s="130" t="s">
        <v>500</v>
      </c>
      <c r="B6" s="131">
        <v>0</v>
      </c>
      <c r="C6" s="131">
        <v>0</v>
      </c>
      <c r="D6" s="131">
        <v>0</v>
      </c>
      <c r="E6" s="131">
        <v>0</v>
      </c>
      <c r="F6" s="133" t="s">
        <v>548</v>
      </c>
      <c r="H6" s="124">
        <v>0.05</v>
      </c>
      <c r="I6" s="123" t="s">
        <v>516</v>
      </c>
    </row>
    <row r="7" spans="1:12" s="7" customFormat="1">
      <c r="A7" s="130" t="s">
        <v>501</v>
      </c>
      <c r="B7" s="131">
        <v>0</v>
      </c>
      <c r="C7" s="131">
        <v>0</v>
      </c>
      <c r="D7" s="131">
        <v>0</v>
      </c>
      <c r="E7" s="131">
        <v>0</v>
      </c>
      <c r="F7" s="133" t="s">
        <v>549</v>
      </c>
      <c r="I7" s="12"/>
    </row>
    <row r="8" spans="1:12" s="7" customFormat="1" ht="30">
      <c r="A8" s="130" t="s">
        <v>502</v>
      </c>
      <c r="B8" s="134">
        <v>0</v>
      </c>
      <c r="C8" s="134">
        <v>0</v>
      </c>
      <c r="D8" s="134">
        <v>0</v>
      </c>
      <c r="E8" s="134">
        <v>0</v>
      </c>
      <c r="F8" s="123" t="s">
        <v>550</v>
      </c>
      <c r="H8" s="135">
        <f>SUMIFS('Form 1.5a (CEC 2025a)'!U:U, 'Form 1.5a (CEC 2025a)'!$B:$B, "Other NP15 LSEs - Non Bay Area")</f>
        <v>3.0946625287634033E-2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8860.6172921414218</v>
      </c>
      <c r="C10" s="131">
        <f t="shared" si="1"/>
        <v>9571.2465914963941</v>
      </c>
      <c r="D10" s="131">
        <f t="shared" si="1"/>
        <v>10387.897156877043</v>
      </c>
      <c r="E10" s="131">
        <f t="shared" si="1"/>
        <v>11283.386232071945</v>
      </c>
      <c r="F10" s="123" t="s">
        <v>587</v>
      </c>
    </row>
    <row r="11" spans="1:12" s="7" customFormat="1" ht="30">
      <c r="A11" s="130" t="s">
        <v>505</v>
      </c>
      <c r="B11" s="131">
        <f t="shared" ref="B11:E11" si="2">MAX(B5-SUM(B6:B8,B10), B5*$H$6)</f>
        <v>15568.986490989049</v>
      </c>
      <c r="C11" s="131">
        <f t="shared" si="2"/>
        <v>15530.370485598796</v>
      </c>
      <c r="D11" s="131">
        <f t="shared" si="2"/>
        <v>15588.339794553423</v>
      </c>
      <c r="E11" s="131">
        <f t="shared" si="2"/>
        <v>15678.110140859826</v>
      </c>
      <c r="F11" s="123" t="s">
        <v>589</v>
      </c>
    </row>
    <row r="12" spans="1:12" s="7" customFormat="1" ht="46.5">
      <c r="A12" s="130" t="s">
        <v>507</v>
      </c>
      <c r="B12" s="131">
        <f>B6*$H$3+B11*$H$2</f>
        <v>6778.7367181766322</v>
      </c>
      <c r="C12" s="131">
        <f>C6*$H$3+C11*$H$2</f>
        <v>6761.923309429716</v>
      </c>
      <c r="D12" s="131">
        <f>D6*$H$3+D11*$H$2</f>
        <v>6787.1631465485607</v>
      </c>
      <c r="E12" s="131">
        <f>E6*$H$3+E11*$H$2</f>
        <v>6826.249155330368</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0.27748042000000001</v>
      </c>
      <c r="C14" s="193">
        <f t="shared" si="3"/>
        <v>0.26938198000000002</v>
      </c>
      <c r="D14" s="193">
        <f t="shared" si="3"/>
        <v>0.26128354000000004</v>
      </c>
      <c r="E14" s="193">
        <f t="shared" si="3"/>
        <v>0.2531851</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6778.7367181766322</v>
      </c>
      <c r="C16" s="8">
        <f>C12-C15</f>
        <v>6761.923309429716</v>
      </c>
      <c r="D16" s="8">
        <f>D12-D15</f>
        <v>6787.1631465485607</v>
      </c>
      <c r="E16" s="8">
        <f>E12-E15</f>
        <v>6826.249155330368</v>
      </c>
      <c r="F16" s="10" t="s">
        <v>514</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8EB3F-9025-497E-BAF3-B73A9E21D1AE}">
  <sheetPr codeName="Sheet113"/>
  <dimension ref="A1:J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0" s="7" customFormat="1" ht="15.75">
      <c r="A1" s="125" t="s">
        <v>61</v>
      </c>
      <c r="B1" s="223" t="s">
        <v>671</v>
      </c>
      <c r="C1" s="224"/>
      <c r="D1" s="224"/>
      <c r="E1" s="224"/>
      <c r="F1" s="225"/>
      <c r="H1" s="229" t="s">
        <v>4</v>
      </c>
      <c r="I1" s="230"/>
      <c r="J1" s="2"/>
    </row>
    <row r="2" spans="1:10" s="7" customFormat="1" ht="33">
      <c r="A2" s="126" t="s">
        <v>496</v>
      </c>
      <c r="B2" s="127">
        <v>2027</v>
      </c>
      <c r="C2" s="127">
        <v>2028</v>
      </c>
      <c r="D2" s="127">
        <v>2029</v>
      </c>
      <c r="E2" s="128">
        <v>2030</v>
      </c>
      <c r="F2" s="129" t="s">
        <v>497</v>
      </c>
      <c r="H2" s="120">
        <v>0.43540000000000001</v>
      </c>
      <c r="I2" s="62" t="s">
        <v>7</v>
      </c>
    </row>
    <row r="3" spans="1:10" s="7" customFormat="1" ht="30">
      <c r="A3" s="130" t="s">
        <v>584</v>
      </c>
      <c r="B3" s="134">
        <f>B4/(1-$H$5)</f>
        <v>107726.09657507349</v>
      </c>
      <c r="C3" s="134">
        <f>C4/(1-$H$5)</f>
        <v>113771.14168848349</v>
      </c>
      <c r="D3" s="134">
        <f>D4/(1-$H$5)</f>
        <v>119525.1100047872</v>
      </c>
      <c r="E3" s="134">
        <f>E4/(1-$H$5)</f>
        <v>125368.30652347734</v>
      </c>
      <c r="F3" s="123" t="s">
        <v>576</v>
      </c>
      <c r="H3" s="132">
        <v>0.95946199709706936</v>
      </c>
      <c r="I3" s="123" t="s">
        <v>676</v>
      </c>
    </row>
    <row r="4" spans="1:10" s="7" customFormat="1">
      <c r="A4" s="130" t="s">
        <v>217</v>
      </c>
      <c r="B4" s="131">
        <f>SUMIFS('Form 1.1c (CEC 2025a)'!G:G, 'Form 1.1c (CEC 2025a)'!$B:$B, "Surprise Valley Electric Cooperative")*1000</f>
        <v>100185.26981481834</v>
      </c>
      <c r="C4" s="131">
        <f>SUMIFS('Form 1.1c (CEC 2025a)'!H:H, 'Form 1.1c (CEC 2025a)'!$B:$B, "Surprise Valley Electric Cooperative")*1000</f>
        <v>105807.16177028963</v>
      </c>
      <c r="D4" s="131">
        <f>SUMIFS('Form 1.1c (CEC 2025a)'!I:I, 'Form 1.1c (CEC 2025a)'!$B:$B, "Surprise Valley Electric Cooperative")*1000</f>
        <v>111158.35230445208</v>
      </c>
      <c r="E4" s="131">
        <f>SUMIFS('Form 1.1c (CEC 2025a)'!J:J, 'Form 1.1c (CEC 2025a)'!$B:$B, "Surprise Valley Electric Cooperative")*1000</f>
        <v>116592.52506683391</v>
      </c>
      <c r="F4" s="123" t="s">
        <v>575</v>
      </c>
      <c r="H4" s="122">
        <f>0.15</f>
        <v>0.15</v>
      </c>
      <c r="I4" s="123" t="s">
        <v>498</v>
      </c>
    </row>
    <row r="5" spans="1:10" s="7" customFormat="1" ht="30">
      <c r="A5" s="130" t="s">
        <v>585</v>
      </c>
      <c r="B5" s="131">
        <f t="shared" ref="B5:E5" si="0">IF(0&lt;(B4-B3),B4*(1+$H$5),B3)</f>
        <v>107726.09657507349</v>
      </c>
      <c r="C5" s="131">
        <f t="shared" si="0"/>
        <v>113771.14168848349</v>
      </c>
      <c r="D5" s="131">
        <f t="shared" si="0"/>
        <v>119525.1100047872</v>
      </c>
      <c r="E5" s="131">
        <f t="shared" si="0"/>
        <v>125368.30652347734</v>
      </c>
      <c r="F5" s="123" t="s">
        <v>586</v>
      </c>
      <c r="H5" s="122">
        <f>0.07</f>
        <v>7.0000000000000007E-2</v>
      </c>
      <c r="I5" s="123" t="s">
        <v>499</v>
      </c>
    </row>
    <row r="6" spans="1:10" s="7" customFormat="1">
      <c r="A6" s="130" t="s">
        <v>500</v>
      </c>
      <c r="B6" s="131">
        <v>0</v>
      </c>
      <c r="C6" s="131">
        <v>0</v>
      </c>
      <c r="D6" s="131">
        <v>0</v>
      </c>
      <c r="E6" s="131">
        <v>0</v>
      </c>
      <c r="F6" s="133" t="s">
        <v>515</v>
      </c>
      <c r="H6" s="124">
        <v>0.05</v>
      </c>
      <c r="I6" s="123" t="s">
        <v>516</v>
      </c>
    </row>
    <row r="7" spans="1:10" s="7" customFormat="1" ht="42" customHeight="1">
      <c r="A7" s="130" t="s">
        <v>501</v>
      </c>
      <c r="B7" s="131">
        <f>(19101+17487+14183)/3</f>
        <v>16923.666666666668</v>
      </c>
      <c r="C7" s="131">
        <f>B7</f>
        <v>16923.666666666668</v>
      </c>
      <c r="D7" s="131">
        <f t="shared" ref="D7:E7" si="1">C7</f>
        <v>16923.666666666668</v>
      </c>
      <c r="E7" s="131">
        <f t="shared" si="1"/>
        <v>16923.666666666668</v>
      </c>
      <c r="F7" s="133" t="s">
        <v>667</v>
      </c>
      <c r="I7" s="12"/>
    </row>
    <row r="8" spans="1:10" s="7" customFormat="1" ht="30">
      <c r="A8" s="130" t="s">
        <v>502</v>
      </c>
      <c r="B8" s="134">
        <f>(137274+134350+108912)/3</f>
        <v>126845.33333333333</v>
      </c>
      <c r="C8" s="134">
        <f>B8</f>
        <v>126845.33333333333</v>
      </c>
      <c r="D8" s="134">
        <f t="shared" ref="D8:E8" si="2">C8</f>
        <v>126845.33333333333</v>
      </c>
      <c r="E8" s="134">
        <f t="shared" si="2"/>
        <v>126845.33333333333</v>
      </c>
      <c r="F8" s="133" t="s">
        <v>667</v>
      </c>
      <c r="H8" s="135">
        <f>SUMIFS('Form 1.1c (CEC 2025a)'!U:U, 'Form 1.1c (CEC 2025a)'!$B:$B, "Surprise Valley Electric Cooperative")</f>
        <v>3.3836055928493591E-2</v>
      </c>
      <c r="I8" s="123" t="s">
        <v>580</v>
      </c>
    </row>
    <row r="9" spans="1:10" s="7" customFormat="1" ht="75">
      <c r="A9" s="130" t="s">
        <v>503</v>
      </c>
      <c r="B9" s="203">
        <v>0.39</v>
      </c>
      <c r="C9" s="203">
        <v>0.41</v>
      </c>
      <c r="D9" s="203">
        <v>0.43</v>
      </c>
      <c r="E9" s="203">
        <v>0.45</v>
      </c>
      <c r="F9" s="123" t="s">
        <v>690</v>
      </c>
      <c r="H9" s="16"/>
      <c r="I9" s="2"/>
    </row>
    <row r="10" spans="1:10" s="7" customFormat="1">
      <c r="A10" s="130" t="s">
        <v>504</v>
      </c>
      <c r="B10" s="131">
        <f t="shared" ref="B10:E10" si="3">B4*B9</f>
        <v>39072.255227779155</v>
      </c>
      <c r="C10" s="131">
        <f t="shared" si="3"/>
        <v>43380.936325818744</v>
      </c>
      <c r="D10" s="131">
        <f t="shared" si="3"/>
        <v>47798.091490914398</v>
      </c>
      <c r="E10" s="131">
        <f t="shared" si="3"/>
        <v>52466.636280075261</v>
      </c>
      <c r="F10" s="123" t="s">
        <v>587</v>
      </c>
    </row>
    <row r="11" spans="1:10" s="7" customFormat="1" ht="30">
      <c r="A11" s="130" t="s">
        <v>505</v>
      </c>
      <c r="B11" s="131">
        <f>MAX(B5-SUM(B6:B8,B10), B5*$H$6)</f>
        <v>5386.3048287536749</v>
      </c>
      <c r="C11" s="131">
        <f t="shared" ref="C11:E11" si="4">MAX(C5-SUM(C6:C8,C10), C5*$H$6)</f>
        <v>5688.5570844241747</v>
      </c>
      <c r="D11" s="131">
        <f t="shared" si="4"/>
        <v>5976.2555002393601</v>
      </c>
      <c r="E11" s="131">
        <f t="shared" si="4"/>
        <v>6268.4153261738675</v>
      </c>
      <c r="F11" s="123" t="s">
        <v>589</v>
      </c>
    </row>
    <row r="12" spans="1:10" s="7" customFormat="1" ht="46.5">
      <c r="A12" s="130" t="s">
        <v>507</v>
      </c>
      <c r="B12" s="131">
        <f>B6*$H$3+B11*$H$2</f>
        <v>2345.1971224393501</v>
      </c>
      <c r="C12" s="131">
        <f>C6*$H$3+C11*$H$2</f>
        <v>2476.7977545582858</v>
      </c>
      <c r="D12" s="131">
        <f>D6*$H$3+D11*$H$2</f>
        <v>2602.0616448042174</v>
      </c>
      <c r="E12" s="131">
        <f>E6*$H$3+E11*$H$2</f>
        <v>2729.268033016102</v>
      </c>
      <c r="F12" s="136" t="s">
        <v>508</v>
      </c>
    </row>
    <row r="13" spans="1:10" s="7" customFormat="1" ht="72.599999999999994" customHeight="1">
      <c r="A13" s="130"/>
      <c r="B13" s="227" t="s">
        <v>557</v>
      </c>
      <c r="C13" s="227"/>
      <c r="D13" s="228"/>
      <c r="E13" s="137">
        <v>0</v>
      </c>
      <c r="F13" s="136" t="s">
        <v>686</v>
      </c>
    </row>
    <row r="14" spans="1:10" s="7" customFormat="1" ht="33">
      <c r="A14" s="130" t="s">
        <v>509</v>
      </c>
      <c r="B14" s="193">
        <f t="shared" ref="B14:E14" si="5">B12/B5</f>
        <v>2.1770000000000001E-2</v>
      </c>
      <c r="C14" s="193">
        <f t="shared" si="5"/>
        <v>2.1770000000000001E-2</v>
      </c>
      <c r="D14" s="193">
        <f t="shared" si="5"/>
        <v>2.1770000000000001E-2</v>
      </c>
      <c r="E14" s="193">
        <f t="shared" si="5"/>
        <v>2.1770000000000001E-2</v>
      </c>
      <c r="F14" s="123" t="s">
        <v>588</v>
      </c>
      <c r="H14"/>
      <c r="I14"/>
    </row>
    <row r="15" spans="1:10" s="7" customFormat="1" ht="33.75" thickBot="1">
      <c r="A15" s="130" t="s">
        <v>511</v>
      </c>
      <c r="B15" s="138">
        <f>$E$13*B14</f>
        <v>0</v>
      </c>
      <c r="C15" s="138">
        <f>$E$13*C14</f>
        <v>0</v>
      </c>
      <c r="D15" s="138">
        <f>$E$13*D14</f>
        <v>0</v>
      </c>
      <c r="E15" s="138">
        <f>$E$13*E14</f>
        <v>0</v>
      </c>
      <c r="F15" s="123" t="s">
        <v>518</v>
      </c>
      <c r="H15"/>
      <c r="I15"/>
    </row>
    <row r="16" spans="1:10" ht="30.75" thickBot="1">
      <c r="A16" s="20" t="s">
        <v>513</v>
      </c>
      <c r="B16" s="8">
        <f>B12-B15</f>
        <v>2345.1971224393501</v>
      </c>
      <c r="C16" s="8">
        <f>C12-C15</f>
        <v>2476.7977545582858</v>
      </c>
      <c r="D16" s="8">
        <f>D12-D15</f>
        <v>2602.0616448042174</v>
      </c>
      <c r="E16" s="8">
        <f>E12-E15</f>
        <v>2729.268033016102</v>
      </c>
      <c r="F16" s="10" t="s">
        <v>514</v>
      </c>
    </row>
    <row r="17" spans="1:10" s="1" customFormat="1">
      <c r="A17" s="9"/>
      <c r="B17" s="9"/>
      <c r="C17" s="9"/>
      <c r="D17" s="9"/>
      <c r="E17" s="9"/>
      <c r="G17"/>
      <c r="H17"/>
      <c r="I17"/>
      <c r="J17"/>
    </row>
    <row r="18" spans="1:10" s="1" customFormat="1">
      <c r="A18" s="9"/>
      <c r="B18" s="9"/>
      <c r="C18" s="9"/>
      <c r="D18" s="9"/>
      <c r="E18" s="9"/>
      <c r="G18"/>
      <c r="H18"/>
      <c r="I18"/>
      <c r="J18"/>
    </row>
  </sheetData>
  <mergeCells count="3">
    <mergeCell ref="B13:D13"/>
    <mergeCell ref="B1:F1"/>
    <mergeCell ref="H1:I1"/>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1C6E5-F28B-4ECF-B701-37AC6704B5C1}">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693</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130199.99999999999</v>
      </c>
      <c r="C3" s="134">
        <v>130199.99999999999</v>
      </c>
      <c r="D3" s="134">
        <v>130199.99999999999</v>
      </c>
      <c r="E3" s="134">
        <v>130199.99999999999</v>
      </c>
      <c r="F3" s="123" t="s">
        <v>566</v>
      </c>
      <c r="H3" s="132">
        <v>0.95946199709706936</v>
      </c>
      <c r="I3" s="123" t="s">
        <v>676</v>
      </c>
    </row>
    <row r="4" spans="1:12" s="7" customFormat="1" ht="30">
      <c r="A4" s="130" t="s">
        <v>217</v>
      </c>
      <c r="B4" s="131">
        <f>B3*(1-$H$5)</f>
        <v>121085.99999999999</v>
      </c>
      <c r="C4" s="131">
        <f t="shared" ref="C4:E4" si="0">C3*(1-$H$5)</f>
        <v>121085.99999999999</v>
      </c>
      <c r="D4" s="131">
        <f t="shared" si="0"/>
        <v>121085.99999999999</v>
      </c>
      <c r="E4" s="131">
        <f t="shared" si="0"/>
        <v>121085.99999999999</v>
      </c>
      <c r="F4" s="123" t="s">
        <v>681</v>
      </c>
      <c r="H4" s="122">
        <f>0.15</f>
        <v>0.15</v>
      </c>
      <c r="I4" s="123" t="s">
        <v>498</v>
      </c>
    </row>
    <row r="5" spans="1:12" s="7" customFormat="1" ht="30">
      <c r="A5" s="130" t="s">
        <v>585</v>
      </c>
      <c r="B5" s="131">
        <f t="shared" ref="B5:E5" si="1">IF(0&lt;(B4-B3),B4*(1+$H$5),B3)</f>
        <v>130199.99999999999</v>
      </c>
      <c r="C5" s="131">
        <f t="shared" si="1"/>
        <v>130199.99999999999</v>
      </c>
      <c r="D5" s="131">
        <f t="shared" si="1"/>
        <v>130199.99999999999</v>
      </c>
      <c r="E5" s="131">
        <f t="shared" si="1"/>
        <v>130199.99999999999</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127986.59999999998</v>
      </c>
      <c r="C8" s="131">
        <v>127986.59999999998</v>
      </c>
      <c r="D8" s="131">
        <v>127986.59999999998</v>
      </c>
      <c r="E8" s="131">
        <v>127986.59999999998</v>
      </c>
      <c r="F8" s="133" t="s">
        <v>564</v>
      </c>
      <c r="H8" s="135">
        <f>SUMIFS('Form 1.5a (CEC 2025a)'!U:U, 'Form 1.5a (CEC 2025a)'!$B:$B, "WAPA (BANC)")</f>
        <v>7.0687147985071253E-3</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2">B4*B9</f>
        <v>47223.539999999994</v>
      </c>
      <c r="C10" s="131">
        <f t="shared" si="2"/>
        <v>49645.259999999987</v>
      </c>
      <c r="D10" s="131">
        <f t="shared" si="2"/>
        <v>52066.979999999996</v>
      </c>
      <c r="E10" s="131">
        <f t="shared" si="2"/>
        <v>54488.7</v>
      </c>
      <c r="F10" s="123" t="s">
        <v>587</v>
      </c>
    </row>
    <row r="11" spans="1:12" s="7" customFormat="1" ht="30">
      <c r="A11" s="130" t="s">
        <v>505</v>
      </c>
      <c r="B11" s="131">
        <f t="shared" ref="B11:E11" si="3">MAX(B5-SUM(B6:B8,B10), B5*$H$6)</f>
        <v>6510</v>
      </c>
      <c r="C11" s="131">
        <f t="shared" si="3"/>
        <v>6510</v>
      </c>
      <c r="D11" s="131">
        <f t="shared" si="3"/>
        <v>6510</v>
      </c>
      <c r="E11" s="131">
        <f t="shared" si="3"/>
        <v>6510</v>
      </c>
      <c r="F11" s="123" t="s">
        <v>589</v>
      </c>
    </row>
    <row r="12" spans="1:12" s="7" customFormat="1" ht="46.5">
      <c r="A12" s="130" t="s">
        <v>507</v>
      </c>
      <c r="B12" s="131">
        <f>B6*$H$3+B11*$H$2</f>
        <v>2834.4540000000002</v>
      </c>
      <c r="C12" s="131">
        <f>C6*$H$3+C11*$H$2</f>
        <v>2834.4540000000002</v>
      </c>
      <c r="D12" s="131">
        <f>D6*$H$3+D11*$H$2</f>
        <v>2834.4540000000002</v>
      </c>
      <c r="E12" s="131">
        <f>E6*$H$3+E11*$H$2</f>
        <v>2834.4540000000002</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4">B12/B5</f>
        <v>2.1770000000000005E-2</v>
      </c>
      <c r="C14" s="193">
        <f t="shared" si="4"/>
        <v>2.1770000000000005E-2</v>
      </c>
      <c r="D14" s="193">
        <f t="shared" si="4"/>
        <v>2.1770000000000005E-2</v>
      </c>
      <c r="E14" s="193">
        <f t="shared" si="4"/>
        <v>2.1770000000000005E-2</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2834.4540000000002</v>
      </c>
      <c r="C16" s="8">
        <f>C12-C15</f>
        <v>2834.4540000000002</v>
      </c>
      <c r="D16" s="8">
        <f>D12-D15</f>
        <v>2834.4540000000002</v>
      </c>
      <c r="E16" s="8">
        <f>E12-E15</f>
        <v>2834.4540000000002</v>
      </c>
      <c r="F16" s="10" t="s">
        <v>514</v>
      </c>
      <c r="J16" s="7"/>
      <c r="K16" s="7"/>
      <c r="L16" s="7"/>
    </row>
    <row r="17" spans="1:12">
      <c r="A17" s="9"/>
      <c r="B17" s="9"/>
      <c r="C17" s="9"/>
      <c r="D17" s="9"/>
      <c r="E17" s="9"/>
      <c r="J17" s="7"/>
      <c r="K17" s="7"/>
      <c r="L17" s="7"/>
    </row>
    <row r="18" spans="1:12">
      <c r="A18" s="9"/>
      <c r="B18" s="9"/>
      <c r="C18" s="9"/>
      <c r="D18" s="9"/>
      <c r="E18" s="9"/>
    </row>
  </sheetData>
  <mergeCells count="3">
    <mergeCell ref="B1:F1"/>
    <mergeCell ref="H1:I1"/>
    <mergeCell ref="B13:D13"/>
  </mergeCell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FFF09-E7EA-4ED8-A5A7-4135C49B5016}">
  <sheetPr codeName="Sheet115"/>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62</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183155.29492940957</v>
      </c>
      <c r="C3" s="134">
        <v>186818.40082799774</v>
      </c>
      <c r="D3" s="134">
        <v>190554.76884455772</v>
      </c>
      <c r="E3" s="134">
        <v>194365.86422144884</v>
      </c>
      <c r="F3" s="123" t="s">
        <v>566</v>
      </c>
      <c r="H3" s="132">
        <v>0.95946199709706936</v>
      </c>
      <c r="I3" s="123" t="s">
        <v>676</v>
      </c>
    </row>
    <row r="4" spans="1:12" s="7" customFormat="1">
      <c r="A4" s="130" t="s">
        <v>217</v>
      </c>
      <c r="B4" s="131">
        <f>SUMIFS('Form 1.1c (CEC 2025a)'!G:G, 'Form 1.1c (CEC 2025a)'!$B:$B, "Truckee Donner Public Utility District")*1000</f>
        <v>179371.35520793064</v>
      </c>
      <c r="C4" s="131">
        <f>SUMIFS('Form 1.1c (CEC 2025a)'!H:H, 'Form 1.1c (CEC 2025a)'!$B:$B, "Truckee Donner Public Utility District")*1000</f>
        <v>189436.77081992009</v>
      </c>
      <c r="D4" s="131">
        <f>SUMIFS('Form 1.1c (CEC 2025a)'!I:I, 'Form 1.1c (CEC 2025a)'!$B:$B, "Truckee Donner Public Utility District")*1000</f>
        <v>199017.52355794984</v>
      </c>
      <c r="E4" s="131">
        <f>SUMIFS('Form 1.1c (CEC 2025a)'!J:J, 'Form 1.1c (CEC 2025a)'!$B:$B, "Truckee Donner Public Utility District")*1000</f>
        <v>208746.84738593519</v>
      </c>
      <c r="F4" s="123" t="s">
        <v>575</v>
      </c>
      <c r="H4" s="122">
        <f>0.15</f>
        <v>0.15</v>
      </c>
      <c r="I4" s="123" t="s">
        <v>498</v>
      </c>
    </row>
    <row r="5" spans="1:12" s="7" customFormat="1" ht="30">
      <c r="A5" s="130" t="s">
        <v>585</v>
      </c>
      <c r="B5" s="131">
        <f t="shared" ref="B5:E5" si="0">IF(0&lt;(B4-B3),B4*(1+$H$5),B3)</f>
        <v>183155.29492940957</v>
      </c>
      <c r="C5" s="131">
        <f t="shared" si="0"/>
        <v>202697.34477731452</v>
      </c>
      <c r="D5" s="131">
        <f t="shared" si="0"/>
        <v>212948.75020700635</v>
      </c>
      <c r="E5" s="131">
        <f t="shared" si="0"/>
        <v>223359.12670295069</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0</v>
      </c>
      <c r="C8" s="131">
        <v>0</v>
      </c>
      <c r="D8" s="131">
        <v>0</v>
      </c>
      <c r="E8" s="131">
        <v>0</v>
      </c>
      <c r="F8" s="133" t="s">
        <v>527</v>
      </c>
      <c r="H8" s="135">
        <f>SUMIFS('Form 1.1c (CEC 2025a)'!U:U, 'Form 1.1c (CEC 2025a)'!$B:$B, "Truckee Donner Public Utility District")</f>
        <v>3.3836055928493813E-2</v>
      </c>
      <c r="I8" s="123" t="s">
        <v>580</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69954.82853109295</v>
      </c>
      <c r="C10" s="131">
        <f t="shared" si="1"/>
        <v>77669.076036167229</v>
      </c>
      <c r="D10" s="131">
        <f t="shared" si="1"/>
        <v>85577.535129918426</v>
      </c>
      <c r="E10" s="131">
        <f t="shared" si="1"/>
        <v>93936.081323670835</v>
      </c>
      <c r="F10" s="123" t="s">
        <v>587</v>
      </c>
    </row>
    <row r="11" spans="1:12" s="7" customFormat="1" ht="30">
      <c r="A11" s="130" t="s">
        <v>505</v>
      </c>
      <c r="B11" s="131">
        <f t="shared" ref="B11:E11" si="2">MAX(B5-SUM(B6:B8,B10), B5*$H$6)</f>
        <v>113200.46639831662</v>
      </c>
      <c r="C11" s="131">
        <f t="shared" si="2"/>
        <v>125028.26874114729</v>
      </c>
      <c r="D11" s="131">
        <f t="shared" si="2"/>
        <v>127371.21507708792</v>
      </c>
      <c r="E11" s="131">
        <f t="shared" si="2"/>
        <v>129423.04537927985</v>
      </c>
      <c r="F11" s="123" t="s">
        <v>589</v>
      </c>
    </row>
    <row r="12" spans="1:12" s="7" customFormat="1" ht="46.5">
      <c r="A12" s="130" t="s">
        <v>507</v>
      </c>
      <c r="B12" s="131">
        <f>B6*$H$3+B11*$H$2</f>
        <v>49287.48306982706</v>
      </c>
      <c r="C12" s="131">
        <f>C6*$H$3+C11*$H$2</f>
        <v>54437.308209895527</v>
      </c>
      <c r="D12" s="131">
        <f>D6*$H$3+D11*$H$2</f>
        <v>55457.42704456408</v>
      </c>
      <c r="E12" s="131">
        <f>E6*$H$3+E11*$H$2</f>
        <v>56350.793958138449</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0.2691021468356844</v>
      </c>
      <c r="C14" s="193">
        <f t="shared" si="3"/>
        <v>0.26856448598130844</v>
      </c>
      <c r="D14" s="193">
        <f t="shared" si="3"/>
        <v>0.26042616822429909</v>
      </c>
      <c r="E14" s="193">
        <f t="shared" si="3"/>
        <v>0.25228785046728974</v>
      </c>
      <c r="F14" s="123" t="s">
        <v>588</v>
      </c>
    </row>
    <row r="15" spans="1:12" s="7" customFormat="1" ht="33.75" thickBot="1">
      <c r="A15" s="130" t="s">
        <v>511</v>
      </c>
      <c r="B15" s="138">
        <f>$E$13*B14</f>
        <v>0</v>
      </c>
      <c r="C15" s="138">
        <f>$E$13*C14</f>
        <v>0</v>
      </c>
      <c r="D15" s="138">
        <f>$E$13*D14</f>
        <v>0</v>
      </c>
      <c r="E15" s="138">
        <f>$E$13*E14</f>
        <v>0</v>
      </c>
      <c r="F15" s="123" t="s">
        <v>518</v>
      </c>
    </row>
    <row r="16" spans="1:12" ht="30.75" thickBot="1">
      <c r="A16" s="20" t="s">
        <v>513</v>
      </c>
      <c r="B16" s="8">
        <f>B12-B15</f>
        <v>49287.48306982706</v>
      </c>
      <c r="C16" s="8">
        <f>C12-C15</f>
        <v>54437.308209895527</v>
      </c>
      <c r="D16" s="8">
        <f>D12-D15</f>
        <v>55457.42704456408</v>
      </c>
      <c r="E16" s="8">
        <f>E12-E15</f>
        <v>56350.793958138449</v>
      </c>
      <c r="F16" s="10" t="s">
        <v>514</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6587A-DF81-4746-82B6-11846C998C6C}">
  <dimension ref="A1:T161"/>
  <sheetViews>
    <sheetView zoomScale="60" zoomScaleNormal="60" workbookViewId="0">
      <pane ySplit="1" topLeftCell="A2" activePane="bottomLeft" state="frozen"/>
      <selection pane="bottomLeft"/>
    </sheetView>
  </sheetViews>
  <sheetFormatPr defaultRowHeight="15"/>
  <cols>
    <col min="1" max="1" width="60.42578125" style="90" customWidth="1"/>
    <col min="2" max="2" width="29" style="90" customWidth="1"/>
    <col min="3" max="3" width="17.7109375" customWidth="1"/>
    <col min="4" max="4" width="12.5703125" customWidth="1"/>
    <col min="5" max="5" width="11" customWidth="1"/>
    <col min="6" max="6" width="13.7109375" customWidth="1"/>
    <col min="7" max="7" width="14.7109375" customWidth="1"/>
    <col min="11" max="11" width="14.5703125" customWidth="1"/>
    <col min="12" max="12" width="13.28515625" customWidth="1"/>
    <col min="13" max="13" width="10.28515625" customWidth="1"/>
    <col min="14" max="14" width="8.28515625" customWidth="1"/>
    <col min="15" max="15" width="12" customWidth="1"/>
    <col min="16" max="16" width="11.28515625" customWidth="1"/>
    <col min="18" max="18" width="11.7109375" bestFit="1" customWidth="1"/>
    <col min="19" max="19" width="13.28515625" bestFit="1" customWidth="1"/>
    <col min="20" max="20" width="12.7109375" bestFit="1" customWidth="1"/>
  </cols>
  <sheetData>
    <row r="1" spans="1:20" ht="52.5">
      <c r="A1" s="67" t="s">
        <v>216</v>
      </c>
      <c r="B1" s="68" t="s">
        <v>217</v>
      </c>
      <c r="C1" s="69" t="s">
        <v>218</v>
      </c>
      <c r="D1" s="70" t="s">
        <v>219</v>
      </c>
      <c r="E1" s="70" t="s">
        <v>220</v>
      </c>
      <c r="F1" s="71" t="s">
        <v>221</v>
      </c>
      <c r="G1" s="70" t="s">
        <v>222</v>
      </c>
      <c r="H1" s="71" t="s">
        <v>223</v>
      </c>
      <c r="I1" s="71" t="s">
        <v>224</v>
      </c>
      <c r="J1" s="72" t="s">
        <v>225</v>
      </c>
      <c r="K1" s="69" t="s">
        <v>226</v>
      </c>
      <c r="L1" s="72" t="s">
        <v>227</v>
      </c>
      <c r="M1" s="72" t="s">
        <v>228</v>
      </c>
      <c r="N1" s="72" t="s">
        <v>229</v>
      </c>
      <c r="O1" s="69" t="s">
        <v>230</v>
      </c>
      <c r="P1" s="73" t="s">
        <v>231</v>
      </c>
      <c r="R1" s="74" t="s">
        <v>232</v>
      </c>
      <c r="S1" s="74" t="s">
        <v>233</v>
      </c>
      <c r="T1" s="75" t="s">
        <v>234</v>
      </c>
    </row>
    <row r="2" spans="1:20">
      <c r="A2" s="76" t="s">
        <v>235</v>
      </c>
      <c r="B2" s="77">
        <v>243240118.02731609</v>
      </c>
      <c r="C2" s="78">
        <v>429.71799293010804</v>
      </c>
      <c r="D2" s="79">
        <v>0.35809711381727699</v>
      </c>
      <c r="E2" s="80">
        <v>2.1453959000000002E-2</v>
      </c>
      <c r="F2" s="80">
        <v>4.6695958000000003E-2</v>
      </c>
      <c r="G2" s="80">
        <v>1.1245745999999999E-2</v>
      </c>
      <c r="H2" s="80">
        <v>0.170425987</v>
      </c>
      <c r="I2" s="80">
        <v>0.108275463</v>
      </c>
      <c r="J2" s="79">
        <v>2.1481811999999999E-2</v>
      </c>
      <c r="K2" s="79">
        <v>9.2361346999999996E-2</v>
      </c>
      <c r="L2" s="79">
        <v>0.36381612800000002</v>
      </c>
      <c r="M2" s="79">
        <v>9.1797319000000002E-2</v>
      </c>
      <c r="N2" s="79">
        <v>1.3230290000000001E-3</v>
      </c>
      <c r="O2" s="79">
        <v>7.1123250999999998E-2</v>
      </c>
      <c r="P2" s="79">
        <v>1</v>
      </c>
      <c r="R2" s="81">
        <f>J2*B2</f>
        <v>5225238.4863206148</v>
      </c>
      <c r="S2" s="81">
        <f>B2*K2</f>
        <v>22465984.945441898</v>
      </c>
      <c r="T2" s="82">
        <f>B2*M2</f>
        <v>22328790.708151188</v>
      </c>
    </row>
    <row r="3" spans="1:20" ht="25.5">
      <c r="A3" s="83" t="s">
        <v>236</v>
      </c>
      <c r="B3" s="84">
        <v>336983.51199999999</v>
      </c>
      <c r="C3" s="85">
        <v>69.518256385589794</v>
      </c>
      <c r="D3" s="86">
        <v>0.93226519640521799</v>
      </c>
      <c r="E3" s="87">
        <v>3.5820743657036899E-2</v>
      </c>
      <c r="F3" s="87">
        <v>5.1634573741400104E-4</v>
      </c>
      <c r="G3" s="87">
        <v>0</v>
      </c>
      <c r="H3" s="87">
        <v>0.89072607208153298</v>
      </c>
      <c r="I3" s="87">
        <v>5.2020349292341596E-3</v>
      </c>
      <c r="J3" s="86">
        <v>0</v>
      </c>
      <c r="K3" s="86">
        <v>0</v>
      </c>
      <c r="L3" s="86">
        <v>0</v>
      </c>
      <c r="M3" s="86">
        <v>0</v>
      </c>
      <c r="N3" s="86">
        <v>0</v>
      </c>
      <c r="O3" s="86">
        <v>6.77348035947824E-2</v>
      </c>
      <c r="P3" s="86">
        <v>1</v>
      </c>
      <c r="R3" s="81">
        <f t="shared" ref="R3:R66" si="0">J3*B3</f>
        <v>0</v>
      </c>
      <c r="S3" s="81">
        <f t="shared" ref="S3:S66" si="1">B3*K3</f>
        <v>0</v>
      </c>
      <c r="T3" s="82">
        <f t="shared" ref="T3:T66" si="2">B3*M3</f>
        <v>0</v>
      </c>
    </row>
    <row r="4" spans="1:20">
      <c r="A4" s="83" t="s">
        <v>237</v>
      </c>
      <c r="B4" s="84">
        <v>207956.29500000001</v>
      </c>
      <c r="C4" s="85">
        <v>664.57821602582999</v>
      </c>
      <c r="D4" s="86">
        <v>0.34519272426929898</v>
      </c>
      <c r="E4" s="87">
        <v>0</v>
      </c>
      <c r="F4" s="87">
        <v>1.53061007362148E-2</v>
      </c>
      <c r="G4" s="87">
        <v>0</v>
      </c>
      <c r="H4" s="87">
        <v>0.30328007142077601</v>
      </c>
      <c r="I4" s="87">
        <v>2.6606552112307998E-2</v>
      </c>
      <c r="J4" s="86">
        <v>0</v>
      </c>
      <c r="K4" s="86">
        <v>0</v>
      </c>
      <c r="L4" s="86">
        <v>0</v>
      </c>
      <c r="M4" s="86">
        <v>0</v>
      </c>
      <c r="N4" s="86">
        <v>0</v>
      </c>
      <c r="O4" s="86">
        <v>0.65480727573070097</v>
      </c>
      <c r="P4" s="86">
        <v>1</v>
      </c>
      <c r="R4" s="81">
        <f t="shared" si="0"/>
        <v>0</v>
      </c>
      <c r="S4" s="81">
        <f t="shared" si="1"/>
        <v>0</v>
      </c>
      <c r="T4" s="82">
        <f t="shared" si="2"/>
        <v>0</v>
      </c>
    </row>
    <row r="5" spans="1:20">
      <c r="A5" s="83" t="s">
        <v>238</v>
      </c>
      <c r="B5" s="84">
        <v>5446.3084410000001</v>
      </c>
      <c r="C5" s="85">
        <v>670.70733104381202</v>
      </c>
      <c r="D5" s="86">
        <v>0.28918670638323501</v>
      </c>
      <c r="E5" s="87">
        <v>0</v>
      </c>
      <c r="F5" s="87">
        <v>0</v>
      </c>
      <c r="G5" s="87">
        <v>0</v>
      </c>
      <c r="H5" s="87">
        <v>0.28918670638323501</v>
      </c>
      <c r="I5" s="87">
        <v>0</v>
      </c>
      <c r="J5" s="86">
        <v>0</v>
      </c>
      <c r="K5" s="86">
        <v>0</v>
      </c>
      <c r="L5" s="86">
        <v>0</v>
      </c>
      <c r="M5" s="86">
        <v>0</v>
      </c>
      <c r="N5" s="86">
        <v>0</v>
      </c>
      <c r="O5" s="86">
        <v>0.71081329361676504</v>
      </c>
      <c r="P5" s="86">
        <v>1</v>
      </c>
      <c r="R5" s="81">
        <f t="shared" si="0"/>
        <v>0</v>
      </c>
      <c r="S5" s="81">
        <f t="shared" si="1"/>
        <v>0</v>
      </c>
      <c r="T5" s="82">
        <f t="shared" si="2"/>
        <v>0</v>
      </c>
    </row>
    <row r="6" spans="1:20">
      <c r="A6" s="83" t="s">
        <v>239</v>
      </c>
      <c r="B6" s="84">
        <v>4235</v>
      </c>
      <c r="C6" s="85">
        <v>116.93424388330018</v>
      </c>
      <c r="D6" s="86">
        <v>0.77696707126968123</v>
      </c>
      <c r="E6" s="87">
        <v>0.22729170347054001</v>
      </c>
      <c r="F6" s="87">
        <v>0.48216571471702124</v>
      </c>
      <c r="G6" s="87">
        <v>1.1528236130191083E-2</v>
      </c>
      <c r="H6" s="87">
        <v>1.287697580855938E-3</v>
      </c>
      <c r="I6" s="87">
        <v>5.4693719371072973E-2</v>
      </c>
      <c r="J6" s="86">
        <v>0</v>
      </c>
      <c r="K6" s="86">
        <v>0.22303292873031905</v>
      </c>
      <c r="L6" s="86">
        <v>0</v>
      </c>
      <c r="M6" s="86">
        <v>0</v>
      </c>
      <c r="N6" s="86">
        <v>0</v>
      </c>
      <c r="O6" s="86">
        <v>0</v>
      </c>
      <c r="P6" s="86">
        <v>1.0000000000000002</v>
      </c>
      <c r="R6" s="81">
        <f t="shared" si="0"/>
        <v>0</v>
      </c>
      <c r="S6" s="81">
        <f t="shared" si="1"/>
        <v>944.54445317290117</v>
      </c>
      <c r="T6" s="82">
        <f t="shared" si="2"/>
        <v>0</v>
      </c>
    </row>
    <row r="7" spans="1:20">
      <c r="A7" s="83" t="s">
        <v>240</v>
      </c>
      <c r="B7" s="84">
        <v>322454</v>
      </c>
      <c r="C7" s="85">
        <v>116.93424388330017</v>
      </c>
      <c r="D7" s="86">
        <v>0.77696707126968123</v>
      </c>
      <c r="E7" s="87">
        <v>0.22729170347054001</v>
      </c>
      <c r="F7" s="87">
        <v>0.48216571471702124</v>
      </c>
      <c r="G7" s="87">
        <v>1.1528236130191084E-2</v>
      </c>
      <c r="H7" s="87">
        <v>1.2876975808559382E-3</v>
      </c>
      <c r="I7" s="87">
        <v>5.469371937107298E-2</v>
      </c>
      <c r="J7" s="86">
        <v>0</v>
      </c>
      <c r="K7" s="86">
        <v>0.22303292873031899</v>
      </c>
      <c r="L7" s="86">
        <v>0</v>
      </c>
      <c r="M7" s="86">
        <v>0</v>
      </c>
      <c r="N7" s="86">
        <v>0</v>
      </c>
      <c r="O7" s="86">
        <v>0</v>
      </c>
      <c r="P7" s="86">
        <v>1.0000000000000002</v>
      </c>
      <c r="R7" s="81">
        <f t="shared" si="0"/>
        <v>0</v>
      </c>
      <c r="S7" s="81">
        <f t="shared" si="1"/>
        <v>71917.860000806279</v>
      </c>
      <c r="T7" s="82">
        <f t="shared" si="2"/>
        <v>0</v>
      </c>
    </row>
    <row r="8" spans="1:20">
      <c r="A8" s="83" t="s">
        <v>241</v>
      </c>
      <c r="B8" s="84">
        <v>2218470.821</v>
      </c>
      <c r="C8" s="85">
        <v>1014.9417667083127</v>
      </c>
      <c r="D8" s="86">
        <v>0.30632978179093884</v>
      </c>
      <c r="E8" s="87">
        <v>0.17039256938693251</v>
      </c>
      <c r="F8" s="87">
        <v>2.302531974568621E-2</v>
      </c>
      <c r="G8" s="87">
        <v>8.9115438494198704E-4</v>
      </c>
      <c r="H8" s="87">
        <v>4.5461847028921816E-2</v>
      </c>
      <c r="I8" s="87">
        <v>6.6558891244456353E-2</v>
      </c>
      <c r="J8" s="86">
        <v>0.32456590962753079</v>
      </c>
      <c r="K8" s="86">
        <v>1.5743727467308438E-2</v>
      </c>
      <c r="L8" s="86">
        <v>0.33324503398124433</v>
      </c>
      <c r="M8" s="86">
        <v>0</v>
      </c>
      <c r="N8" s="86">
        <v>0</v>
      </c>
      <c r="O8" s="86">
        <v>2.0115547132977508E-2</v>
      </c>
      <c r="P8" s="86">
        <v>0.99999999999999978</v>
      </c>
      <c r="R8" s="81">
        <f t="shared" si="0"/>
        <v>720040</v>
      </c>
      <c r="S8" s="81">
        <f t="shared" si="1"/>
        <v>34927</v>
      </c>
      <c r="T8" s="82">
        <f t="shared" si="2"/>
        <v>0</v>
      </c>
    </row>
    <row r="9" spans="1:20">
      <c r="A9" s="83" t="s">
        <v>242</v>
      </c>
      <c r="B9" s="84">
        <v>3456</v>
      </c>
      <c r="C9" s="85">
        <v>0</v>
      </c>
      <c r="D9" s="86">
        <v>1</v>
      </c>
      <c r="E9" s="87">
        <v>0</v>
      </c>
      <c r="F9" s="87">
        <v>0</v>
      </c>
      <c r="G9" s="87">
        <v>0</v>
      </c>
      <c r="H9" s="87">
        <v>1</v>
      </c>
      <c r="I9" s="87">
        <v>0</v>
      </c>
      <c r="J9" s="86">
        <v>0</v>
      </c>
      <c r="K9" s="86">
        <v>0</v>
      </c>
      <c r="L9" s="86">
        <v>0</v>
      </c>
      <c r="M9" s="86">
        <v>0</v>
      </c>
      <c r="N9" s="86">
        <v>0</v>
      </c>
      <c r="O9" s="86">
        <v>0</v>
      </c>
      <c r="P9" s="86">
        <v>1</v>
      </c>
      <c r="R9" s="81">
        <f t="shared" si="0"/>
        <v>0</v>
      </c>
      <c r="S9" s="81">
        <f t="shared" si="1"/>
        <v>0</v>
      </c>
      <c r="T9" s="82">
        <f t="shared" si="2"/>
        <v>0</v>
      </c>
    </row>
    <row r="10" spans="1:20">
      <c r="A10" s="83" t="s">
        <v>243</v>
      </c>
      <c r="B10" s="84">
        <v>72722</v>
      </c>
      <c r="C10" s="85">
        <v>835.9004776797326</v>
      </c>
      <c r="D10" s="86">
        <v>0.29174115123346445</v>
      </c>
      <c r="E10" s="87">
        <v>0</v>
      </c>
      <c r="F10" s="87">
        <v>0</v>
      </c>
      <c r="G10" s="87">
        <v>0</v>
      </c>
      <c r="H10" s="87">
        <v>0.29174115123346445</v>
      </c>
      <c r="I10" s="87">
        <v>0</v>
      </c>
      <c r="J10" s="86">
        <v>0.22110200489535492</v>
      </c>
      <c r="K10" s="86">
        <v>4.7152168532218583E-2</v>
      </c>
      <c r="L10" s="86">
        <v>0.1074916806468469</v>
      </c>
      <c r="M10" s="86">
        <v>0</v>
      </c>
      <c r="N10" s="86">
        <v>0</v>
      </c>
      <c r="O10" s="86">
        <v>0.3325129946921152</v>
      </c>
      <c r="P10" s="86">
        <v>1</v>
      </c>
      <c r="R10" s="81">
        <f t="shared" si="0"/>
        <v>16078.980000000001</v>
      </c>
      <c r="S10" s="81">
        <f t="shared" si="1"/>
        <v>3429</v>
      </c>
      <c r="T10" s="82">
        <f t="shared" si="2"/>
        <v>0</v>
      </c>
    </row>
    <row r="11" spans="1:20" ht="25.5">
      <c r="A11" s="83" t="s">
        <v>244</v>
      </c>
      <c r="B11" s="84">
        <v>254247.08731045501</v>
      </c>
      <c r="C11" s="85">
        <v>692.97596652373204</v>
      </c>
      <c r="D11" s="86">
        <v>0.23627016000639073</v>
      </c>
      <c r="E11" s="87">
        <v>0</v>
      </c>
      <c r="F11" s="87">
        <v>2.8755491664975156E-2</v>
      </c>
      <c r="G11" s="87">
        <v>0</v>
      </c>
      <c r="H11" s="87">
        <v>3.7105636488493451E-2</v>
      </c>
      <c r="I11" s="87">
        <v>0.17040903185292211</v>
      </c>
      <c r="J11" s="86">
        <v>0</v>
      </c>
      <c r="K11" s="86">
        <v>3.2259484609099498E-2</v>
      </c>
      <c r="L11" s="86">
        <v>0</v>
      </c>
      <c r="M11" s="86">
        <v>5.5956235921901062E-2</v>
      </c>
      <c r="N11" s="86">
        <v>0</v>
      </c>
      <c r="O11" s="86">
        <v>0.67551411946260875</v>
      </c>
      <c r="P11" s="86">
        <v>1</v>
      </c>
      <c r="R11" s="81">
        <f t="shared" si="0"/>
        <v>0</v>
      </c>
      <c r="S11" s="81">
        <f t="shared" si="1"/>
        <v>8201.8799999999992</v>
      </c>
      <c r="T11" s="82">
        <f t="shared" si="2"/>
        <v>14226.71</v>
      </c>
    </row>
    <row r="12" spans="1:20" ht="25.5">
      <c r="A12" s="83" t="s">
        <v>245</v>
      </c>
      <c r="B12" s="84">
        <v>431.04486407241399</v>
      </c>
      <c r="C12" s="85">
        <v>669.94651590256206</v>
      </c>
      <c r="D12" s="86">
        <v>0.34799161874435541</v>
      </c>
      <c r="E12" s="87">
        <v>0</v>
      </c>
      <c r="F12" s="87">
        <v>0</v>
      </c>
      <c r="G12" s="87">
        <v>0</v>
      </c>
      <c r="H12" s="87">
        <v>0.28999301562029622</v>
      </c>
      <c r="I12" s="87">
        <v>5.7998603124059238E-2</v>
      </c>
      <c r="J12" s="86">
        <v>0</v>
      </c>
      <c r="K12" s="86">
        <v>0</v>
      </c>
      <c r="L12" s="86">
        <v>0</v>
      </c>
      <c r="M12" s="86">
        <v>0</v>
      </c>
      <c r="N12" s="86">
        <v>0</v>
      </c>
      <c r="O12" s="86">
        <v>0.65200838125564453</v>
      </c>
      <c r="P12" s="86">
        <v>1</v>
      </c>
      <c r="R12" s="81">
        <f t="shared" si="0"/>
        <v>0</v>
      </c>
      <c r="S12" s="81">
        <f t="shared" si="1"/>
        <v>0</v>
      </c>
      <c r="T12" s="82">
        <f t="shared" si="2"/>
        <v>0</v>
      </c>
    </row>
    <row r="13" spans="1:20">
      <c r="A13" s="83" t="s">
        <v>246</v>
      </c>
      <c r="B13" s="84">
        <v>245815.29699999999</v>
      </c>
      <c r="C13" s="85">
        <v>468.84699780369573</v>
      </c>
      <c r="D13" s="86">
        <v>0.40249325899356053</v>
      </c>
      <c r="E13" s="87">
        <v>0</v>
      </c>
      <c r="F13" s="87">
        <v>0</v>
      </c>
      <c r="G13" s="87">
        <v>3.0917522598278334E-3</v>
      </c>
      <c r="H13" s="87">
        <v>0.18176655621232557</v>
      </c>
      <c r="I13" s="87">
        <v>0.21763495052140713</v>
      </c>
      <c r="J13" s="86">
        <v>0</v>
      </c>
      <c r="K13" s="86">
        <v>1.3676935654659442E-2</v>
      </c>
      <c r="L13" s="86">
        <v>9.3522187307163385E-2</v>
      </c>
      <c r="M13" s="86">
        <v>7.6774270073192388E-2</v>
      </c>
      <c r="N13" s="86">
        <v>0</v>
      </c>
      <c r="O13" s="86">
        <v>0.41353334797142427</v>
      </c>
      <c r="P13" s="86">
        <v>1</v>
      </c>
      <c r="R13" s="81">
        <f t="shared" si="0"/>
        <v>0</v>
      </c>
      <c r="S13" s="81">
        <f t="shared" si="1"/>
        <v>3362</v>
      </c>
      <c r="T13" s="82">
        <f t="shared" si="2"/>
        <v>18872.289999999997</v>
      </c>
    </row>
    <row r="14" spans="1:20">
      <c r="A14" s="83" t="s">
        <v>247</v>
      </c>
      <c r="B14" s="84">
        <v>142422</v>
      </c>
      <c r="C14" s="85">
        <v>945.28120499495401</v>
      </c>
      <c r="D14" s="86">
        <v>0</v>
      </c>
      <c r="E14" s="87">
        <v>0</v>
      </c>
      <c r="F14" s="87">
        <v>0</v>
      </c>
      <c r="G14" s="87">
        <v>0</v>
      </c>
      <c r="H14" s="87">
        <v>0</v>
      </c>
      <c r="I14" s="87">
        <v>0</v>
      </c>
      <c r="J14" s="86">
        <v>0</v>
      </c>
      <c r="K14" s="86">
        <v>0</v>
      </c>
      <c r="L14" s="86">
        <v>1.2825195545632001E-2</v>
      </c>
      <c r="M14" s="86">
        <v>0</v>
      </c>
      <c r="N14" s="86">
        <v>0</v>
      </c>
      <c r="O14" s="86">
        <v>0.987174804454368</v>
      </c>
      <c r="P14" s="86">
        <v>1</v>
      </c>
      <c r="R14" s="81">
        <f t="shared" si="0"/>
        <v>0</v>
      </c>
      <c r="S14" s="81">
        <f t="shared" si="1"/>
        <v>0</v>
      </c>
      <c r="T14" s="82">
        <f t="shared" si="2"/>
        <v>0</v>
      </c>
    </row>
    <row r="15" spans="1:20">
      <c r="A15" s="83" t="s">
        <v>248</v>
      </c>
      <c r="B15" s="84">
        <v>1224018</v>
      </c>
      <c r="C15" s="85">
        <v>812.65869747098486</v>
      </c>
      <c r="D15" s="86">
        <v>0.13874714260737997</v>
      </c>
      <c r="E15" s="87">
        <v>0</v>
      </c>
      <c r="F15" s="87">
        <v>0</v>
      </c>
      <c r="G15" s="87">
        <v>0</v>
      </c>
      <c r="H15" s="87">
        <v>0.13342777638890932</v>
      </c>
      <c r="I15" s="87">
        <v>5.3193662184706433E-3</v>
      </c>
      <c r="J15" s="86">
        <v>0</v>
      </c>
      <c r="K15" s="86">
        <v>0</v>
      </c>
      <c r="L15" s="86">
        <v>0</v>
      </c>
      <c r="M15" s="86">
        <v>0</v>
      </c>
      <c r="N15" s="86">
        <v>0</v>
      </c>
      <c r="O15" s="86">
        <v>0.86125285739262003</v>
      </c>
      <c r="P15" s="86">
        <v>1</v>
      </c>
      <c r="R15" s="81">
        <f t="shared" si="0"/>
        <v>0</v>
      </c>
      <c r="S15" s="81">
        <f t="shared" si="1"/>
        <v>0</v>
      </c>
      <c r="T15" s="82">
        <f t="shared" si="2"/>
        <v>0</v>
      </c>
    </row>
    <row r="16" spans="1:20">
      <c r="A16" s="83" t="s">
        <v>249</v>
      </c>
      <c r="B16" s="84">
        <v>1004208.85</v>
      </c>
      <c r="C16" s="85">
        <v>713.55195147732377</v>
      </c>
      <c r="D16" s="86">
        <v>0.34125172268696896</v>
      </c>
      <c r="E16" s="87">
        <v>2.779800237769265E-2</v>
      </c>
      <c r="F16" s="87">
        <v>2.0259729836079418E-2</v>
      </c>
      <c r="G16" s="87">
        <v>2.8067866559829662E-2</v>
      </c>
      <c r="H16" s="87">
        <v>0.15343521419871972</v>
      </c>
      <c r="I16" s="87">
        <v>0.11169090971464751</v>
      </c>
      <c r="J16" s="86">
        <v>0.12769256116394515</v>
      </c>
      <c r="K16" s="86">
        <v>1.7038288399868214E-2</v>
      </c>
      <c r="L16" s="86">
        <v>0.43134936522417622</v>
      </c>
      <c r="M16" s="86">
        <v>8.2668062525041483E-2</v>
      </c>
      <c r="N16" s="86">
        <v>0</v>
      </c>
      <c r="O16" s="86">
        <v>0</v>
      </c>
      <c r="P16" s="86">
        <v>1</v>
      </c>
      <c r="R16" s="81">
        <f t="shared" si="0"/>
        <v>128230.00000000001</v>
      </c>
      <c r="S16" s="81">
        <f t="shared" si="1"/>
        <v>17110</v>
      </c>
      <c r="T16" s="82">
        <f t="shared" si="2"/>
        <v>83016</v>
      </c>
    </row>
    <row r="17" spans="1:20">
      <c r="A17" s="83" t="s">
        <v>250</v>
      </c>
      <c r="B17" s="84">
        <v>2017</v>
      </c>
      <c r="C17" s="85">
        <v>0</v>
      </c>
      <c r="D17" s="86">
        <v>1</v>
      </c>
      <c r="E17" s="87">
        <v>0</v>
      </c>
      <c r="F17" s="87">
        <v>0</v>
      </c>
      <c r="G17" s="87">
        <v>0</v>
      </c>
      <c r="H17" s="87">
        <v>0</v>
      </c>
      <c r="I17" s="87">
        <v>1</v>
      </c>
      <c r="J17" s="86">
        <v>0</v>
      </c>
      <c r="K17" s="86">
        <v>0</v>
      </c>
      <c r="L17" s="86">
        <v>0</v>
      </c>
      <c r="M17" s="86">
        <v>0</v>
      </c>
      <c r="N17" s="86">
        <v>0</v>
      </c>
      <c r="O17" s="86">
        <v>0</v>
      </c>
      <c r="P17" s="86">
        <v>1</v>
      </c>
      <c r="R17" s="81">
        <f t="shared" si="0"/>
        <v>0</v>
      </c>
      <c r="S17" s="81">
        <f t="shared" si="1"/>
        <v>0</v>
      </c>
      <c r="T17" s="82">
        <f t="shared" si="2"/>
        <v>0</v>
      </c>
    </row>
    <row r="18" spans="1:20">
      <c r="A18" s="83" t="s">
        <v>251</v>
      </c>
      <c r="B18" s="84">
        <v>5499106.75</v>
      </c>
      <c r="C18" s="85">
        <v>742.46599604072901</v>
      </c>
      <c r="D18" s="86">
        <v>0.225827949743304</v>
      </c>
      <c r="E18" s="87">
        <v>1.3818971599342001E-2</v>
      </c>
      <c r="F18" s="87">
        <v>2.3247411954677898E-2</v>
      </c>
      <c r="G18" s="87">
        <v>2.0934309013004699E-3</v>
      </c>
      <c r="H18" s="87">
        <v>9.5132541802733006E-2</v>
      </c>
      <c r="I18" s="87">
        <v>9.1535593485251004E-2</v>
      </c>
      <c r="J18" s="86">
        <v>0</v>
      </c>
      <c r="K18" s="86">
        <v>3.2330736695332402E-2</v>
      </c>
      <c r="L18" s="86">
        <v>0</v>
      </c>
      <c r="M18" s="86">
        <v>6.1112827697300297E-4</v>
      </c>
      <c r="N18" s="86">
        <v>4.3387817225223802E-5</v>
      </c>
      <c r="O18" s="86">
        <v>0.74118679746716498</v>
      </c>
      <c r="P18" s="86">
        <v>1</v>
      </c>
      <c r="R18" s="81">
        <f t="shared" si="0"/>
        <v>0</v>
      </c>
      <c r="S18" s="81">
        <f t="shared" si="1"/>
        <v>177790.17239377511</v>
      </c>
      <c r="T18" s="82">
        <f t="shared" si="2"/>
        <v>3360.6596330181101</v>
      </c>
    </row>
    <row r="19" spans="1:20">
      <c r="A19" s="83" t="s">
        <v>252</v>
      </c>
      <c r="B19" s="84">
        <v>1309114</v>
      </c>
      <c r="C19" s="85">
        <v>369.59575965955202</v>
      </c>
      <c r="D19" s="86">
        <v>0.73877599659005999</v>
      </c>
      <c r="E19" s="87">
        <v>0</v>
      </c>
      <c r="F19" s="87">
        <v>0.14347260819149399</v>
      </c>
      <c r="G19" s="87">
        <v>0</v>
      </c>
      <c r="H19" s="87">
        <v>0.24427284407622299</v>
      </c>
      <c r="I19" s="87">
        <v>0.35103054432234299</v>
      </c>
      <c r="J19" s="86">
        <v>0</v>
      </c>
      <c r="K19" s="86">
        <v>0</v>
      </c>
      <c r="L19" s="86">
        <v>0</v>
      </c>
      <c r="M19" s="86">
        <v>0</v>
      </c>
      <c r="N19" s="86">
        <v>0</v>
      </c>
      <c r="O19" s="86">
        <v>0.26100000000000001</v>
      </c>
      <c r="P19" s="86">
        <v>1</v>
      </c>
      <c r="R19" s="81">
        <f t="shared" si="0"/>
        <v>0</v>
      </c>
      <c r="S19" s="81">
        <f t="shared" si="1"/>
        <v>0</v>
      </c>
      <c r="T19" s="82">
        <f t="shared" si="2"/>
        <v>0</v>
      </c>
    </row>
    <row r="20" spans="1:20">
      <c r="A20" s="83" t="s">
        <v>253</v>
      </c>
      <c r="B20" s="84">
        <v>5020658</v>
      </c>
      <c r="C20" s="85">
        <v>636.61237697000422</v>
      </c>
      <c r="D20" s="86">
        <v>0.35764236480556932</v>
      </c>
      <c r="E20" s="87">
        <v>1.3660360853099334E-2</v>
      </c>
      <c r="F20" s="87">
        <v>0.12029757852456789</v>
      </c>
      <c r="G20" s="87">
        <v>4.3659615930820224E-4</v>
      </c>
      <c r="H20" s="87">
        <v>0.12515391408855173</v>
      </c>
      <c r="I20" s="87">
        <v>9.8093915180042138E-2</v>
      </c>
      <c r="J20" s="86">
        <v>0</v>
      </c>
      <c r="K20" s="86">
        <v>5.8895667858675095E-2</v>
      </c>
      <c r="L20" s="86">
        <v>0</v>
      </c>
      <c r="M20" s="86">
        <v>0</v>
      </c>
      <c r="N20" s="86">
        <v>0</v>
      </c>
      <c r="O20" s="86">
        <v>0.58346196733575562</v>
      </c>
      <c r="P20" s="86">
        <v>1</v>
      </c>
      <c r="R20" s="81">
        <f t="shared" si="0"/>
        <v>0</v>
      </c>
      <c r="S20" s="81">
        <f t="shared" si="1"/>
        <v>295695.00599999999</v>
      </c>
      <c r="T20" s="82">
        <f t="shared" si="2"/>
        <v>0</v>
      </c>
    </row>
    <row r="21" spans="1:20">
      <c r="A21" s="83" t="s">
        <v>254</v>
      </c>
      <c r="B21" s="84">
        <v>62672</v>
      </c>
      <c r="C21" s="85">
        <v>0</v>
      </c>
      <c r="D21" s="86">
        <v>1</v>
      </c>
      <c r="E21" s="87">
        <v>0</v>
      </c>
      <c r="F21" s="87">
        <v>0</v>
      </c>
      <c r="G21" s="87">
        <v>0</v>
      </c>
      <c r="H21" s="87">
        <v>0.5</v>
      </c>
      <c r="I21" s="87">
        <v>0.5</v>
      </c>
      <c r="J21" s="86">
        <v>0</v>
      </c>
      <c r="K21" s="86">
        <v>0</v>
      </c>
      <c r="L21" s="86">
        <v>0</v>
      </c>
      <c r="M21" s="86">
        <v>0</v>
      </c>
      <c r="N21" s="86">
        <v>0</v>
      </c>
      <c r="O21" s="86">
        <v>0</v>
      </c>
      <c r="P21" s="86">
        <v>1</v>
      </c>
      <c r="R21" s="81">
        <f t="shared" si="0"/>
        <v>0</v>
      </c>
      <c r="S21" s="81">
        <f t="shared" si="1"/>
        <v>0</v>
      </c>
      <c r="T21" s="82">
        <f t="shared" si="2"/>
        <v>0</v>
      </c>
    </row>
    <row r="22" spans="1:20">
      <c r="A22" s="83" t="s">
        <v>255</v>
      </c>
      <c r="B22" s="84">
        <v>69071</v>
      </c>
      <c r="C22" s="85">
        <v>848.65873117426372</v>
      </c>
      <c r="D22" s="86">
        <v>0</v>
      </c>
      <c r="E22" s="87">
        <v>0</v>
      </c>
      <c r="F22" s="87">
        <v>0</v>
      </c>
      <c r="G22" s="87">
        <v>0</v>
      </c>
      <c r="H22" s="87">
        <v>0</v>
      </c>
      <c r="I22" s="87">
        <v>0</v>
      </c>
      <c r="J22" s="86">
        <v>0</v>
      </c>
      <c r="K22" s="86">
        <v>6.7626065932156768E-2</v>
      </c>
      <c r="L22" s="86">
        <v>0.86990198491407389</v>
      </c>
      <c r="M22" s="86">
        <v>0</v>
      </c>
      <c r="N22" s="86">
        <v>0</v>
      </c>
      <c r="O22" s="86">
        <v>6.2471949153769309E-2</v>
      </c>
      <c r="P22" s="86">
        <v>1</v>
      </c>
      <c r="R22" s="81">
        <f t="shared" si="0"/>
        <v>0</v>
      </c>
      <c r="S22" s="81">
        <f t="shared" si="1"/>
        <v>4671</v>
      </c>
      <c r="T22" s="82">
        <f t="shared" si="2"/>
        <v>0</v>
      </c>
    </row>
    <row r="23" spans="1:20">
      <c r="A23" s="83" t="s">
        <v>256</v>
      </c>
      <c r="B23" s="84">
        <v>145728</v>
      </c>
      <c r="C23" s="85">
        <v>393.66698824707953</v>
      </c>
      <c r="D23" s="86">
        <v>0.81300278601229692</v>
      </c>
      <c r="E23" s="87">
        <v>0.2500133124725516</v>
      </c>
      <c r="F23" s="87">
        <v>0.48738512845849807</v>
      </c>
      <c r="G23" s="87">
        <v>0</v>
      </c>
      <c r="H23" s="87">
        <v>7.5604345081247248E-2</v>
      </c>
      <c r="I23" s="87">
        <v>0</v>
      </c>
      <c r="J23" s="86">
        <v>0</v>
      </c>
      <c r="K23" s="86">
        <v>8.679663482652613E-3</v>
      </c>
      <c r="L23" s="86">
        <v>0</v>
      </c>
      <c r="M23" s="86">
        <v>9.2241230237154151E-2</v>
      </c>
      <c r="N23" s="86">
        <v>0</v>
      </c>
      <c r="O23" s="86">
        <v>8.6076320267896425E-2</v>
      </c>
      <c r="P23" s="86">
        <v>1</v>
      </c>
      <c r="R23" s="81">
        <f t="shared" si="0"/>
        <v>0</v>
      </c>
      <c r="S23" s="81">
        <f t="shared" si="1"/>
        <v>1264.8699999999999</v>
      </c>
      <c r="T23" s="82">
        <f t="shared" si="2"/>
        <v>13442.13</v>
      </c>
    </row>
    <row r="24" spans="1:20">
      <c r="A24" s="83" t="s">
        <v>257</v>
      </c>
      <c r="B24" s="88">
        <v>14187</v>
      </c>
      <c r="C24" s="85">
        <v>449.21552894730075</v>
      </c>
      <c r="D24" s="86">
        <v>0.3582857545640375</v>
      </c>
      <c r="E24" s="87">
        <v>0</v>
      </c>
      <c r="F24" s="87">
        <v>0.33453161344893212</v>
      </c>
      <c r="G24" s="87">
        <v>1.3463029534080496E-2</v>
      </c>
      <c r="H24" s="87">
        <v>1.0291111581024881E-2</v>
      </c>
      <c r="I24" s="87">
        <v>0</v>
      </c>
      <c r="J24" s="86">
        <v>0</v>
      </c>
      <c r="K24" s="86">
        <v>0.20025375343624444</v>
      </c>
      <c r="L24" s="86">
        <v>0.1614858673433425</v>
      </c>
      <c r="M24" s="86">
        <v>0</v>
      </c>
      <c r="N24" s="86">
        <v>0</v>
      </c>
      <c r="O24" s="86">
        <v>0.27997462465637557</v>
      </c>
      <c r="P24" s="86">
        <v>1</v>
      </c>
      <c r="R24" s="81">
        <f t="shared" si="0"/>
        <v>0</v>
      </c>
      <c r="S24" s="81">
        <f t="shared" si="1"/>
        <v>2841</v>
      </c>
      <c r="T24" s="82">
        <f t="shared" si="2"/>
        <v>0</v>
      </c>
    </row>
    <row r="25" spans="1:20">
      <c r="A25" s="83" t="s">
        <v>258</v>
      </c>
      <c r="B25" s="84">
        <v>357382</v>
      </c>
      <c r="C25" s="85">
        <v>497.17686121632619</v>
      </c>
      <c r="D25" s="86">
        <v>0.42203300669871452</v>
      </c>
      <c r="E25" s="87">
        <v>0.10595105517345585</v>
      </c>
      <c r="F25" s="87">
        <v>0.19230123509298175</v>
      </c>
      <c r="G25" s="87">
        <v>1.4634200939051211E-3</v>
      </c>
      <c r="H25" s="87">
        <v>0.1065330654593684</v>
      </c>
      <c r="I25" s="87">
        <v>1.5784230879003418E-2</v>
      </c>
      <c r="J25" s="86">
        <v>0</v>
      </c>
      <c r="K25" s="86">
        <v>7.9103032609364778E-3</v>
      </c>
      <c r="L25" s="86">
        <v>0.22101280982254282</v>
      </c>
      <c r="M25" s="86">
        <v>5.2789452182818386E-2</v>
      </c>
      <c r="N25" s="86">
        <v>0</v>
      </c>
      <c r="O25" s="86">
        <v>0.29625442803498775</v>
      </c>
      <c r="P25" s="86">
        <v>1</v>
      </c>
      <c r="R25" s="81">
        <f t="shared" si="0"/>
        <v>0</v>
      </c>
      <c r="S25" s="81">
        <f t="shared" si="1"/>
        <v>2827.0000000000005</v>
      </c>
      <c r="T25" s="82">
        <f t="shared" si="2"/>
        <v>18866</v>
      </c>
    </row>
    <row r="26" spans="1:20">
      <c r="A26" s="83" t="s">
        <v>259</v>
      </c>
      <c r="B26" s="84">
        <v>142133.99675999998</v>
      </c>
      <c r="C26" s="85">
        <v>816.08215398395544</v>
      </c>
      <c r="D26" s="86">
        <v>4.286096316764125E-2</v>
      </c>
      <c r="E26" s="87">
        <v>0</v>
      </c>
      <c r="F26" s="87">
        <v>0</v>
      </c>
      <c r="G26" s="87">
        <v>0</v>
      </c>
      <c r="H26" s="87">
        <v>4.286096316764125E-2</v>
      </c>
      <c r="I26" s="87">
        <v>0</v>
      </c>
      <c r="J26" s="86">
        <v>0</v>
      </c>
      <c r="K26" s="86">
        <v>9.2229869692155145E-2</v>
      </c>
      <c r="L26" s="86">
        <v>0</v>
      </c>
      <c r="M26" s="86">
        <v>2.8142457759449279E-5</v>
      </c>
      <c r="N26" s="86">
        <v>0</v>
      </c>
      <c r="O26" s="86">
        <v>0.8648810246824441</v>
      </c>
      <c r="P26" s="86">
        <v>1</v>
      </c>
      <c r="R26" s="81">
        <f t="shared" si="0"/>
        <v>0</v>
      </c>
      <c r="S26" s="81">
        <f t="shared" si="1"/>
        <v>13109</v>
      </c>
      <c r="T26" s="82">
        <f t="shared" si="2"/>
        <v>4</v>
      </c>
    </row>
    <row r="27" spans="1:20">
      <c r="A27" s="83" t="s">
        <v>260</v>
      </c>
      <c r="B27" s="84">
        <v>1027035</v>
      </c>
      <c r="C27" s="85">
        <v>471.81081077662969</v>
      </c>
      <c r="D27" s="86">
        <v>0.35177866722434981</v>
      </c>
      <c r="E27" s="87">
        <v>4.6444376287078822E-2</v>
      </c>
      <c r="F27" s="87">
        <v>3.7904258374836304E-2</v>
      </c>
      <c r="G27" s="87">
        <v>3.6207139970887071E-2</v>
      </c>
      <c r="H27" s="87">
        <v>0.15614073862405867</v>
      </c>
      <c r="I27" s="87">
        <v>7.5082153967488935E-2</v>
      </c>
      <c r="J27" s="86">
        <v>3.4072840750315227E-2</v>
      </c>
      <c r="K27" s="86">
        <v>0.13487097972650541</v>
      </c>
      <c r="L27" s="86">
        <v>0.32825171488800287</v>
      </c>
      <c r="M27" s="86">
        <v>0.11167344625410854</v>
      </c>
      <c r="N27" s="86">
        <v>3.4997663595133651E-4</v>
      </c>
      <c r="O27" s="86">
        <v>3.9002374520766818E-2</v>
      </c>
      <c r="P27" s="86">
        <v>1</v>
      </c>
      <c r="R27" s="81">
        <f t="shared" si="0"/>
        <v>34994</v>
      </c>
      <c r="S27" s="81">
        <f t="shared" si="1"/>
        <v>138517.2166634115</v>
      </c>
      <c r="T27" s="82">
        <f t="shared" si="2"/>
        <v>114692.53787358836</v>
      </c>
    </row>
    <row r="28" spans="1:20">
      <c r="A28" s="83" t="s">
        <v>261</v>
      </c>
      <c r="B28" s="84">
        <v>32891</v>
      </c>
      <c r="C28" s="85">
        <v>450.95497262723887</v>
      </c>
      <c r="D28" s="86">
        <v>0.3418360514730473</v>
      </c>
      <c r="E28" s="87">
        <v>0</v>
      </c>
      <c r="F28" s="87">
        <v>0.26098324769693837</v>
      </c>
      <c r="G28" s="87">
        <v>1.2982274786415737E-2</v>
      </c>
      <c r="H28" s="87">
        <v>6.787052898969323E-2</v>
      </c>
      <c r="I28" s="87">
        <v>0</v>
      </c>
      <c r="J28" s="86">
        <v>0</v>
      </c>
      <c r="K28" s="86">
        <v>0.16745527530327453</v>
      </c>
      <c r="L28" s="86">
        <v>0.49070867322367828</v>
      </c>
      <c r="M28" s="86">
        <v>0</v>
      </c>
      <c r="N28" s="86">
        <v>0</v>
      </c>
      <c r="O28" s="86">
        <v>0</v>
      </c>
      <c r="P28" s="86">
        <v>1</v>
      </c>
      <c r="R28" s="81">
        <f t="shared" si="0"/>
        <v>0</v>
      </c>
      <c r="S28" s="81">
        <f t="shared" si="1"/>
        <v>5507.7714600000027</v>
      </c>
      <c r="T28" s="82">
        <f t="shared" si="2"/>
        <v>0</v>
      </c>
    </row>
    <row r="29" spans="1:20">
      <c r="A29" s="83" t="s">
        <v>262</v>
      </c>
      <c r="B29" s="84">
        <v>5830.4</v>
      </c>
      <c r="C29" s="85">
        <v>59.385082917912925</v>
      </c>
      <c r="D29" s="86">
        <v>1</v>
      </c>
      <c r="E29" s="87">
        <v>0</v>
      </c>
      <c r="F29" s="87">
        <v>0.57189901207464322</v>
      </c>
      <c r="G29" s="87">
        <v>2.6756311745334799E-2</v>
      </c>
      <c r="H29" s="87">
        <v>0.40134467618002195</v>
      </c>
      <c r="I29" s="87">
        <v>0</v>
      </c>
      <c r="J29" s="86">
        <v>0</v>
      </c>
      <c r="K29" s="86">
        <v>0</v>
      </c>
      <c r="L29" s="86">
        <v>0</v>
      </c>
      <c r="M29" s="86">
        <v>0</v>
      </c>
      <c r="N29" s="86">
        <v>0</v>
      </c>
      <c r="O29" s="86">
        <v>0</v>
      </c>
      <c r="P29" s="86">
        <v>1</v>
      </c>
      <c r="R29" s="81">
        <f t="shared" si="0"/>
        <v>0</v>
      </c>
      <c r="S29" s="81">
        <f t="shared" si="1"/>
        <v>0</v>
      </c>
      <c r="T29" s="82">
        <f t="shared" si="2"/>
        <v>0</v>
      </c>
    </row>
    <row r="30" spans="1:20">
      <c r="A30" s="83" t="s">
        <v>263</v>
      </c>
      <c r="B30" s="84">
        <v>68101.8</v>
      </c>
      <c r="C30" s="85">
        <v>403.71262014448854</v>
      </c>
      <c r="D30" s="86">
        <v>0.4604224851619193</v>
      </c>
      <c r="E30" s="87">
        <v>0</v>
      </c>
      <c r="F30" s="87">
        <v>0.36604906184564867</v>
      </c>
      <c r="G30" s="87">
        <v>1.9779212884240945E-2</v>
      </c>
      <c r="H30" s="87">
        <v>7.4594210432029698E-2</v>
      </c>
      <c r="I30" s="87">
        <v>0</v>
      </c>
      <c r="J30" s="86">
        <v>0</v>
      </c>
      <c r="K30" s="86">
        <v>0.16249203398441744</v>
      </c>
      <c r="L30" s="86">
        <v>0.22003823687479626</v>
      </c>
      <c r="M30" s="86">
        <v>0</v>
      </c>
      <c r="N30" s="86">
        <v>0</v>
      </c>
      <c r="O30" s="86">
        <v>0.15704724397886699</v>
      </c>
      <c r="P30" s="86">
        <v>1</v>
      </c>
      <c r="R30" s="81">
        <f t="shared" si="0"/>
        <v>0</v>
      </c>
      <c r="S30" s="81">
        <f t="shared" si="1"/>
        <v>11066</v>
      </c>
      <c r="T30" s="82">
        <f t="shared" si="2"/>
        <v>0</v>
      </c>
    </row>
    <row r="31" spans="1:20">
      <c r="A31" s="83" t="s">
        <v>264</v>
      </c>
      <c r="B31" s="84">
        <v>114554.394</v>
      </c>
      <c r="C31" s="85">
        <v>598.01522495283916</v>
      </c>
      <c r="D31" s="86">
        <v>0.26465156805770368</v>
      </c>
      <c r="E31" s="87">
        <v>0</v>
      </c>
      <c r="F31" s="87">
        <v>0.24717515418919681</v>
      </c>
      <c r="G31" s="87">
        <v>1.6629654555197593E-2</v>
      </c>
      <c r="H31" s="87">
        <v>8.467593133092738E-4</v>
      </c>
      <c r="I31" s="87">
        <v>0</v>
      </c>
      <c r="J31" s="86">
        <v>0</v>
      </c>
      <c r="K31" s="86">
        <v>0.13176373208346767</v>
      </c>
      <c r="L31" s="86">
        <v>0.16089299900621884</v>
      </c>
      <c r="M31" s="86">
        <v>0</v>
      </c>
      <c r="N31" s="86">
        <v>0</v>
      </c>
      <c r="O31" s="86">
        <v>0.44269170085260984</v>
      </c>
      <c r="P31" s="86">
        <v>1</v>
      </c>
      <c r="R31" s="81">
        <f t="shared" si="0"/>
        <v>0</v>
      </c>
      <c r="S31" s="81">
        <f t="shared" si="1"/>
        <v>15094.114479999997</v>
      </c>
      <c r="T31" s="82">
        <f t="shared" si="2"/>
        <v>0</v>
      </c>
    </row>
    <row r="32" spans="1:20">
      <c r="A32" s="83" t="s">
        <v>265</v>
      </c>
      <c r="B32" s="84">
        <v>214684</v>
      </c>
      <c r="C32" s="85">
        <v>628.61791440740797</v>
      </c>
      <c r="D32" s="86">
        <v>0.33379292355275664</v>
      </c>
      <c r="E32" s="87">
        <v>0</v>
      </c>
      <c r="F32" s="87">
        <v>0</v>
      </c>
      <c r="G32" s="87">
        <v>0</v>
      </c>
      <c r="H32" s="87">
        <v>0.33379292355275664</v>
      </c>
      <c r="I32" s="87">
        <v>0</v>
      </c>
      <c r="J32" s="86">
        <v>0</v>
      </c>
      <c r="K32" s="86">
        <v>0</v>
      </c>
      <c r="L32" s="86">
        <v>0</v>
      </c>
      <c r="M32" s="86">
        <v>0</v>
      </c>
      <c r="N32" s="86">
        <v>0</v>
      </c>
      <c r="O32" s="86">
        <v>0.66620707644724342</v>
      </c>
      <c r="P32" s="86">
        <v>1</v>
      </c>
      <c r="R32" s="81">
        <f t="shared" si="0"/>
        <v>0</v>
      </c>
      <c r="S32" s="81">
        <f t="shared" si="1"/>
        <v>0</v>
      </c>
      <c r="T32" s="82">
        <f t="shared" si="2"/>
        <v>0</v>
      </c>
    </row>
    <row r="33" spans="1:20">
      <c r="A33" s="83" t="s">
        <v>266</v>
      </c>
      <c r="B33" s="84">
        <v>80950</v>
      </c>
      <c r="C33" s="85">
        <v>599.69324295589854</v>
      </c>
      <c r="D33" s="86">
        <v>0</v>
      </c>
      <c r="E33" s="87">
        <v>0</v>
      </c>
      <c r="F33" s="87">
        <v>0</v>
      </c>
      <c r="G33" s="87">
        <v>0</v>
      </c>
      <c r="H33" s="87">
        <v>0</v>
      </c>
      <c r="I33" s="87">
        <v>0</v>
      </c>
      <c r="J33" s="86">
        <v>0</v>
      </c>
      <c r="K33" s="86">
        <v>0.3644471896232242</v>
      </c>
      <c r="L33" s="86">
        <v>0</v>
      </c>
      <c r="M33" s="86">
        <v>0</v>
      </c>
      <c r="N33" s="86">
        <v>0</v>
      </c>
      <c r="O33" s="86">
        <v>0.6355528103767758</v>
      </c>
      <c r="P33" s="86">
        <v>1</v>
      </c>
      <c r="R33" s="81">
        <f t="shared" si="0"/>
        <v>0</v>
      </c>
      <c r="S33" s="81">
        <f t="shared" si="1"/>
        <v>29502</v>
      </c>
      <c r="T33" s="82">
        <f t="shared" si="2"/>
        <v>0</v>
      </c>
    </row>
    <row r="34" spans="1:20">
      <c r="A34" s="83" t="s">
        <v>267</v>
      </c>
      <c r="B34" s="84">
        <v>800289</v>
      </c>
      <c r="C34" s="85">
        <v>415.82132295540549</v>
      </c>
      <c r="D34" s="86">
        <v>0.37461716954750096</v>
      </c>
      <c r="E34" s="87">
        <v>9.125703339668545E-2</v>
      </c>
      <c r="F34" s="87">
        <v>0</v>
      </c>
      <c r="G34" s="87">
        <v>1.2045648509475952E-2</v>
      </c>
      <c r="H34" s="87">
        <v>0.24634100931038663</v>
      </c>
      <c r="I34" s="87">
        <v>2.4973478330952942E-2</v>
      </c>
      <c r="J34" s="86">
        <v>0</v>
      </c>
      <c r="K34" s="86">
        <v>0.19786074126971642</v>
      </c>
      <c r="L34" s="86">
        <v>3.7486458017041343E-6</v>
      </c>
      <c r="M34" s="86">
        <v>0</v>
      </c>
      <c r="N34" s="86">
        <v>0</v>
      </c>
      <c r="O34" s="86">
        <v>0.4275183405369809</v>
      </c>
      <c r="P34" s="86">
        <v>0.99999999999999989</v>
      </c>
      <c r="R34" s="81">
        <f t="shared" si="0"/>
        <v>0</v>
      </c>
      <c r="S34" s="81">
        <f t="shared" si="1"/>
        <v>158345.77477000008</v>
      </c>
      <c r="T34" s="82">
        <f t="shared" si="2"/>
        <v>0</v>
      </c>
    </row>
    <row r="35" spans="1:20">
      <c r="A35" s="83" t="s">
        <v>268</v>
      </c>
      <c r="B35" s="84">
        <v>27181</v>
      </c>
      <c r="C35" s="85">
        <v>943.57735999999977</v>
      </c>
      <c r="D35" s="86">
        <v>0</v>
      </c>
      <c r="E35" s="87">
        <v>0</v>
      </c>
      <c r="F35" s="87">
        <v>0</v>
      </c>
      <c r="G35" s="87">
        <v>0</v>
      </c>
      <c r="H35" s="87">
        <v>0</v>
      </c>
      <c r="I35" s="87">
        <v>0</v>
      </c>
      <c r="J35" s="86">
        <v>0</v>
      </c>
      <c r="K35" s="86">
        <v>0</v>
      </c>
      <c r="L35" s="86">
        <v>0</v>
      </c>
      <c r="M35" s="86">
        <v>0</v>
      </c>
      <c r="N35" s="86">
        <v>0</v>
      </c>
      <c r="O35" s="86">
        <v>1</v>
      </c>
      <c r="P35" s="86">
        <v>1</v>
      </c>
      <c r="R35" s="81">
        <f t="shared" si="0"/>
        <v>0</v>
      </c>
      <c r="S35" s="81">
        <f t="shared" si="1"/>
        <v>0</v>
      </c>
      <c r="T35" s="82">
        <f t="shared" si="2"/>
        <v>0</v>
      </c>
    </row>
    <row r="36" spans="1:20">
      <c r="A36" s="83" t="s">
        <v>269</v>
      </c>
      <c r="B36" s="84">
        <v>45671</v>
      </c>
      <c r="C36" s="85">
        <v>0</v>
      </c>
      <c r="D36" s="86">
        <v>1</v>
      </c>
      <c r="E36" s="87">
        <v>0</v>
      </c>
      <c r="F36" s="87">
        <v>0</v>
      </c>
      <c r="G36" s="87">
        <v>0</v>
      </c>
      <c r="H36" s="87">
        <v>1</v>
      </c>
      <c r="I36" s="87">
        <v>0</v>
      </c>
      <c r="J36" s="86">
        <v>0</v>
      </c>
      <c r="K36" s="86">
        <v>0</v>
      </c>
      <c r="L36" s="86">
        <v>0</v>
      </c>
      <c r="M36" s="86">
        <v>0</v>
      </c>
      <c r="N36" s="86">
        <v>0</v>
      </c>
      <c r="O36" s="86">
        <v>0</v>
      </c>
      <c r="P36" s="86">
        <v>1</v>
      </c>
      <c r="R36" s="81">
        <f t="shared" si="0"/>
        <v>0</v>
      </c>
      <c r="S36" s="81">
        <f t="shared" si="1"/>
        <v>0</v>
      </c>
      <c r="T36" s="82">
        <f t="shared" si="2"/>
        <v>0</v>
      </c>
    </row>
    <row r="37" spans="1:20">
      <c r="A37" s="83" t="s">
        <v>270</v>
      </c>
      <c r="B37" s="84">
        <v>985678.56099999999</v>
      </c>
      <c r="C37" s="85">
        <v>861.16016777255209</v>
      </c>
      <c r="D37" s="86">
        <v>0.27720309001099408</v>
      </c>
      <c r="E37" s="87">
        <v>8.3064604668823677E-2</v>
      </c>
      <c r="F37" s="87">
        <v>0</v>
      </c>
      <c r="G37" s="87">
        <v>0</v>
      </c>
      <c r="H37" s="87">
        <v>5.7076416416040929E-2</v>
      </c>
      <c r="I37" s="87">
        <v>0.13706206892612949</v>
      </c>
      <c r="J37" s="86">
        <v>0.24330345559783359</v>
      </c>
      <c r="K37" s="86">
        <v>4.2094858954733826E-2</v>
      </c>
      <c r="L37" s="86">
        <v>0.13084157814973515</v>
      </c>
      <c r="M37" s="86">
        <v>8.3509983129276974E-2</v>
      </c>
      <c r="N37" s="86">
        <v>0</v>
      </c>
      <c r="O37" s="86">
        <v>0.22304703415742633</v>
      </c>
      <c r="P37" s="86">
        <v>1</v>
      </c>
      <c r="R37" s="81">
        <f t="shared" si="0"/>
        <v>239819</v>
      </c>
      <c r="S37" s="81">
        <f t="shared" si="1"/>
        <v>41492</v>
      </c>
      <c r="T37" s="82">
        <f t="shared" si="2"/>
        <v>82314</v>
      </c>
    </row>
    <row r="38" spans="1:20">
      <c r="A38" s="83" t="s">
        <v>271</v>
      </c>
      <c r="B38" s="84">
        <v>105583</v>
      </c>
      <c r="C38" s="85">
        <v>619.95685896934162</v>
      </c>
      <c r="D38" s="86">
        <v>0.29901594006610915</v>
      </c>
      <c r="E38" s="87">
        <v>0</v>
      </c>
      <c r="F38" s="87">
        <v>0</v>
      </c>
      <c r="G38" s="87">
        <v>0</v>
      </c>
      <c r="H38" s="87">
        <v>0.29901594006610915</v>
      </c>
      <c r="I38" s="87">
        <v>0</v>
      </c>
      <c r="J38" s="86">
        <v>0</v>
      </c>
      <c r="K38" s="86">
        <v>4.3955939876684696E-2</v>
      </c>
      <c r="L38" s="86">
        <v>0</v>
      </c>
      <c r="M38" s="86">
        <v>0</v>
      </c>
      <c r="N38" s="86">
        <v>0</v>
      </c>
      <c r="O38" s="86">
        <v>0.65702812005720623</v>
      </c>
      <c r="P38" s="86">
        <v>1</v>
      </c>
      <c r="R38" s="81">
        <f t="shared" si="0"/>
        <v>0</v>
      </c>
      <c r="S38" s="81">
        <f t="shared" si="1"/>
        <v>4641</v>
      </c>
      <c r="T38" s="82">
        <f t="shared" si="2"/>
        <v>0</v>
      </c>
    </row>
    <row r="39" spans="1:20" ht="28.5" customHeight="1">
      <c r="A39" s="83" t="s">
        <v>272</v>
      </c>
      <c r="B39" s="84">
        <v>8357</v>
      </c>
      <c r="C39" s="85">
        <v>27.925573042055785</v>
      </c>
      <c r="D39" s="86">
        <v>1</v>
      </c>
      <c r="E39" s="87">
        <v>0</v>
      </c>
      <c r="F39" s="87">
        <v>0.50005983008256549</v>
      </c>
      <c r="G39" s="87">
        <v>0</v>
      </c>
      <c r="H39" s="87">
        <v>0.29998803398348689</v>
      </c>
      <c r="I39" s="87">
        <v>0.19995213593394759</v>
      </c>
      <c r="J39" s="86">
        <v>0</v>
      </c>
      <c r="K39" s="86">
        <v>0</v>
      </c>
      <c r="L39" s="86">
        <v>0</v>
      </c>
      <c r="M39" s="86">
        <v>0</v>
      </c>
      <c r="N39" s="86">
        <v>0</v>
      </c>
      <c r="O39" s="86">
        <v>0</v>
      </c>
      <c r="P39" s="86">
        <v>1</v>
      </c>
      <c r="R39" s="81">
        <f t="shared" si="0"/>
        <v>0</v>
      </c>
      <c r="S39" s="81">
        <f t="shared" si="1"/>
        <v>0</v>
      </c>
      <c r="T39" s="82">
        <f t="shared" si="2"/>
        <v>0</v>
      </c>
    </row>
    <row r="40" spans="1:20">
      <c r="A40" s="83" t="s">
        <v>273</v>
      </c>
      <c r="B40" s="84">
        <v>2169510.1191119999</v>
      </c>
      <c r="C40" s="85">
        <v>756.01136070851749</v>
      </c>
      <c r="D40" s="86">
        <v>0.45380751687988491</v>
      </c>
      <c r="E40" s="87">
        <v>0</v>
      </c>
      <c r="F40" s="87">
        <v>0.33362278130154888</v>
      </c>
      <c r="G40" s="87">
        <v>0</v>
      </c>
      <c r="H40" s="87">
        <v>0.10529197259218098</v>
      </c>
      <c r="I40" s="87">
        <v>1.4892762986155038E-2</v>
      </c>
      <c r="J40" s="86">
        <v>0.19397743126095765</v>
      </c>
      <c r="K40" s="86">
        <v>1.2023451640168808E-2</v>
      </c>
      <c r="L40" s="86">
        <v>4.4745983314210834E-2</v>
      </c>
      <c r="M40" s="86">
        <v>4.6980652038497439E-2</v>
      </c>
      <c r="N40" s="86">
        <v>0</v>
      </c>
      <c r="O40" s="86">
        <v>0.24846496486628034</v>
      </c>
      <c r="P40" s="86">
        <v>1</v>
      </c>
      <c r="R40" s="81">
        <f t="shared" si="0"/>
        <v>420836</v>
      </c>
      <c r="S40" s="81">
        <f t="shared" si="1"/>
        <v>26085</v>
      </c>
      <c r="T40" s="82">
        <f t="shared" si="2"/>
        <v>101925</v>
      </c>
    </row>
    <row r="41" spans="1:20">
      <c r="A41" s="83" t="s">
        <v>274</v>
      </c>
      <c r="B41" s="84">
        <v>1099878.4653180002</v>
      </c>
      <c r="C41" s="85">
        <v>275.13002499345617</v>
      </c>
      <c r="D41" s="86">
        <v>0.37534421451540312</v>
      </c>
      <c r="E41" s="87">
        <v>0</v>
      </c>
      <c r="F41" s="87">
        <v>9.7578962934754682E-2</v>
      </c>
      <c r="G41" s="87">
        <v>1.7574669028919711E-2</v>
      </c>
      <c r="H41" s="87">
        <v>9.8376198944760749E-4</v>
      </c>
      <c r="I41" s="87">
        <v>0.25920682056228112</v>
      </c>
      <c r="J41" s="86">
        <v>0</v>
      </c>
      <c r="K41" s="86">
        <v>0.34682579303458999</v>
      </c>
      <c r="L41" s="86">
        <v>0.24310547533148796</v>
      </c>
      <c r="M41" s="86">
        <v>2.3000848588166534E-2</v>
      </c>
      <c r="N41" s="86">
        <v>1.457669512482583E-3</v>
      </c>
      <c r="O41" s="86">
        <v>1.0265999017869714E-2</v>
      </c>
      <c r="P41" s="86">
        <v>0.99999999999999989</v>
      </c>
      <c r="R41" s="81">
        <f t="shared" si="0"/>
        <v>0</v>
      </c>
      <c r="S41" s="81">
        <f t="shared" si="1"/>
        <v>381466.22097558319</v>
      </c>
      <c r="T41" s="82">
        <f t="shared" si="2"/>
        <v>25298.138046164298</v>
      </c>
    </row>
    <row r="42" spans="1:20">
      <c r="A42" s="83" t="s">
        <v>275</v>
      </c>
      <c r="B42" s="84">
        <v>1821</v>
      </c>
      <c r="C42" s="85">
        <v>0</v>
      </c>
      <c r="D42" s="86">
        <v>1</v>
      </c>
      <c r="E42" s="87">
        <v>0</v>
      </c>
      <c r="F42" s="87">
        <v>0</v>
      </c>
      <c r="G42" s="87">
        <v>0</v>
      </c>
      <c r="H42" s="87">
        <v>1</v>
      </c>
      <c r="I42" s="87">
        <v>0</v>
      </c>
      <c r="J42" s="86">
        <v>0</v>
      </c>
      <c r="K42" s="86">
        <v>0</v>
      </c>
      <c r="L42" s="86">
        <v>0</v>
      </c>
      <c r="M42" s="86">
        <v>0</v>
      </c>
      <c r="N42" s="86">
        <v>0</v>
      </c>
      <c r="O42" s="86">
        <v>0</v>
      </c>
      <c r="P42" s="86">
        <v>1</v>
      </c>
      <c r="R42" s="81">
        <f t="shared" si="0"/>
        <v>0</v>
      </c>
      <c r="S42" s="81">
        <f t="shared" si="1"/>
        <v>0</v>
      </c>
      <c r="T42" s="82">
        <f t="shared" si="2"/>
        <v>0</v>
      </c>
    </row>
    <row r="43" spans="1:20" ht="25.5">
      <c r="A43" s="83" t="s">
        <v>276</v>
      </c>
      <c r="B43" s="84">
        <v>8397.7880000000005</v>
      </c>
      <c r="C43" s="85">
        <v>0</v>
      </c>
      <c r="D43" s="86">
        <v>1</v>
      </c>
      <c r="E43" s="87">
        <v>0</v>
      </c>
      <c r="F43" s="87">
        <v>0</v>
      </c>
      <c r="G43" s="87">
        <v>0</v>
      </c>
      <c r="H43" s="87">
        <v>1</v>
      </c>
      <c r="I43" s="87">
        <v>0</v>
      </c>
      <c r="J43" s="86">
        <v>0</v>
      </c>
      <c r="K43" s="86">
        <v>0</v>
      </c>
      <c r="L43" s="86">
        <v>0</v>
      </c>
      <c r="M43" s="86">
        <v>0</v>
      </c>
      <c r="N43" s="86">
        <v>0</v>
      </c>
      <c r="O43" s="86">
        <v>0</v>
      </c>
      <c r="P43" s="86">
        <v>1</v>
      </c>
      <c r="R43" s="81">
        <f t="shared" si="0"/>
        <v>0</v>
      </c>
      <c r="S43" s="81">
        <f t="shared" si="1"/>
        <v>0</v>
      </c>
      <c r="T43" s="82">
        <f t="shared" si="2"/>
        <v>0</v>
      </c>
    </row>
    <row r="44" spans="1:20">
      <c r="A44" s="83" t="s">
        <v>277</v>
      </c>
      <c r="B44" s="84">
        <v>4136128.4470000002</v>
      </c>
      <c r="C44" s="85">
        <v>561.80611107241157</v>
      </c>
      <c r="D44" s="86">
        <v>0.33077687541167394</v>
      </c>
      <c r="E44" s="87">
        <v>1.8034652926241606E-2</v>
      </c>
      <c r="F44" s="87">
        <v>6.2564404929854892E-2</v>
      </c>
      <c r="G44" s="87">
        <v>8.69057713284309E-2</v>
      </c>
      <c r="H44" s="87">
        <v>7.0375593923135235E-2</v>
      </c>
      <c r="I44" s="87">
        <v>9.2896452304011251E-2</v>
      </c>
      <c r="J44" s="86">
        <v>0</v>
      </c>
      <c r="K44" s="86">
        <v>8.8407145881850085E-2</v>
      </c>
      <c r="L44" s="86">
        <v>0.23266525915025604</v>
      </c>
      <c r="M44" s="86">
        <v>0</v>
      </c>
      <c r="N44" s="86">
        <v>0</v>
      </c>
      <c r="O44" s="86">
        <v>0.34815071955622007</v>
      </c>
      <c r="P44" s="86">
        <v>1</v>
      </c>
      <c r="R44" s="81">
        <f t="shared" si="0"/>
        <v>0</v>
      </c>
      <c r="S44" s="81">
        <f t="shared" si="1"/>
        <v>365663.31099999906</v>
      </c>
      <c r="T44" s="82">
        <f t="shared" si="2"/>
        <v>0</v>
      </c>
    </row>
    <row r="45" spans="1:20">
      <c r="A45" s="83" t="s">
        <v>278</v>
      </c>
      <c r="B45" s="84">
        <v>253400</v>
      </c>
      <c r="C45" s="85">
        <v>1.7687420933104963E-3</v>
      </c>
      <c r="D45" s="86">
        <v>0.34563743093922467</v>
      </c>
      <c r="E45" s="87">
        <v>0</v>
      </c>
      <c r="F45" s="87">
        <v>0</v>
      </c>
      <c r="G45" s="87">
        <v>0</v>
      </c>
      <c r="H45" s="87">
        <v>0.19380136937647904</v>
      </c>
      <c r="I45" s="87">
        <v>0.15183606156274562</v>
      </c>
      <c r="J45" s="86">
        <v>0</v>
      </c>
      <c r="K45" s="86">
        <v>0.65436069455406476</v>
      </c>
      <c r="L45" s="86">
        <v>0</v>
      </c>
      <c r="M45" s="86">
        <v>0</v>
      </c>
      <c r="N45" s="86">
        <v>0</v>
      </c>
      <c r="O45" s="86">
        <v>1.8745067106214761E-6</v>
      </c>
      <c r="P45" s="86">
        <v>1</v>
      </c>
      <c r="R45" s="81">
        <f t="shared" si="0"/>
        <v>0</v>
      </c>
      <c r="S45" s="81">
        <f t="shared" si="1"/>
        <v>165815</v>
      </c>
      <c r="T45" s="82">
        <f t="shared" si="2"/>
        <v>0</v>
      </c>
    </row>
    <row r="46" spans="1:20">
      <c r="A46" s="83" t="s">
        <v>279</v>
      </c>
      <c r="B46" s="84">
        <v>215961</v>
      </c>
      <c r="C46" s="85">
        <v>92.832324875695022</v>
      </c>
      <c r="D46" s="86">
        <v>0.41915442297609928</v>
      </c>
      <c r="E46" s="87">
        <v>0</v>
      </c>
      <c r="F46" s="87">
        <v>0</v>
      </c>
      <c r="G46" s="87">
        <v>3.5112821296437779E-2</v>
      </c>
      <c r="H46" s="87">
        <v>0.24412282004779276</v>
      </c>
      <c r="I46" s="87">
        <v>0.13991878163186872</v>
      </c>
      <c r="J46" s="86">
        <v>0</v>
      </c>
      <c r="K46" s="86">
        <v>0.42951491316144363</v>
      </c>
      <c r="L46" s="86">
        <v>0</v>
      </c>
      <c r="M46" s="86">
        <v>4.6819789505754883E-2</v>
      </c>
      <c r="N46" s="86">
        <v>3.3240295796178403E-3</v>
      </c>
      <c r="O46" s="86">
        <v>0.10118684477708444</v>
      </c>
      <c r="P46" s="86">
        <v>1</v>
      </c>
      <c r="R46" s="81">
        <f t="shared" si="0"/>
        <v>0</v>
      </c>
      <c r="S46" s="81">
        <f t="shared" si="1"/>
        <v>92758.470161258534</v>
      </c>
      <c r="T46" s="82">
        <f t="shared" si="2"/>
        <v>10111.24856145233</v>
      </c>
    </row>
    <row r="47" spans="1:20">
      <c r="A47" s="83" t="s">
        <v>280</v>
      </c>
      <c r="B47" s="84">
        <v>110731</v>
      </c>
      <c r="C47" s="85">
        <v>612.62509821155436</v>
      </c>
      <c r="D47" s="86">
        <v>0.25939438820203919</v>
      </c>
      <c r="E47" s="87">
        <v>0</v>
      </c>
      <c r="F47" s="87">
        <v>0.22160009392130478</v>
      </c>
      <c r="G47" s="87">
        <v>3.6466752761196049E-2</v>
      </c>
      <c r="H47" s="87">
        <v>1.3275415195383407E-3</v>
      </c>
      <c r="I47" s="87">
        <v>0</v>
      </c>
      <c r="J47" s="86">
        <v>0</v>
      </c>
      <c r="K47" s="86">
        <v>0.12678255321454693</v>
      </c>
      <c r="L47" s="86">
        <v>0.15212542106546495</v>
      </c>
      <c r="M47" s="86">
        <v>0</v>
      </c>
      <c r="N47" s="86">
        <v>0</v>
      </c>
      <c r="O47" s="86">
        <v>0.46169763751794901</v>
      </c>
      <c r="P47" s="86">
        <v>1</v>
      </c>
      <c r="R47" s="81">
        <f t="shared" si="0"/>
        <v>0</v>
      </c>
      <c r="S47" s="81">
        <f t="shared" si="1"/>
        <v>14038.758899999995</v>
      </c>
      <c r="T47" s="82">
        <f t="shared" si="2"/>
        <v>0</v>
      </c>
    </row>
    <row r="48" spans="1:20">
      <c r="A48" s="83" t="s">
        <v>281</v>
      </c>
      <c r="B48" s="84">
        <v>636890.94566975022</v>
      </c>
      <c r="C48" s="85">
        <v>142.77413732962293</v>
      </c>
      <c r="D48" s="86">
        <v>0.58961742595524513</v>
      </c>
      <c r="E48" s="87">
        <v>0</v>
      </c>
      <c r="F48" s="87">
        <v>0</v>
      </c>
      <c r="G48" s="87">
        <v>1.5701275183750755E-2</v>
      </c>
      <c r="H48" s="87">
        <v>0.27554010807212365</v>
      </c>
      <c r="I48" s="87">
        <v>0.29837604269937074</v>
      </c>
      <c r="J48" s="86">
        <v>0</v>
      </c>
      <c r="K48" s="86">
        <v>0.25907104053188745</v>
      </c>
      <c r="L48" s="86">
        <v>0</v>
      </c>
      <c r="M48" s="86">
        <v>0</v>
      </c>
      <c r="N48" s="86">
        <v>0</v>
      </c>
      <c r="O48" s="86">
        <v>0.15131153351286739</v>
      </c>
      <c r="P48" s="86">
        <v>1</v>
      </c>
      <c r="R48" s="81">
        <f t="shared" si="0"/>
        <v>0</v>
      </c>
      <c r="S48" s="81">
        <f t="shared" si="1"/>
        <v>165000</v>
      </c>
      <c r="T48" s="82">
        <f t="shared" si="2"/>
        <v>0</v>
      </c>
    </row>
    <row r="49" spans="1:20">
      <c r="A49" s="83" t="s">
        <v>282</v>
      </c>
      <c r="B49" s="84">
        <v>1237.5130119</v>
      </c>
      <c r="C49" s="85">
        <v>471.60302096396128</v>
      </c>
      <c r="D49" s="86">
        <v>0.50019676079981268</v>
      </c>
      <c r="E49" s="87">
        <v>0</v>
      </c>
      <c r="F49" s="87">
        <v>0</v>
      </c>
      <c r="G49" s="87">
        <v>0</v>
      </c>
      <c r="H49" s="87">
        <v>0.28928988750619211</v>
      </c>
      <c r="I49" s="87">
        <v>0.21090687329362051</v>
      </c>
      <c r="J49" s="86">
        <v>0</v>
      </c>
      <c r="K49" s="86">
        <v>0</v>
      </c>
      <c r="L49" s="86">
        <v>0</v>
      </c>
      <c r="M49" s="86">
        <v>0</v>
      </c>
      <c r="N49" s="86">
        <v>0</v>
      </c>
      <c r="O49" s="86">
        <v>0.49980323920018738</v>
      </c>
      <c r="P49" s="86">
        <v>1</v>
      </c>
      <c r="R49" s="81">
        <f t="shared" si="0"/>
        <v>0</v>
      </c>
      <c r="S49" s="81">
        <f t="shared" si="1"/>
        <v>0</v>
      </c>
      <c r="T49" s="82">
        <f t="shared" si="2"/>
        <v>0</v>
      </c>
    </row>
    <row r="50" spans="1:20">
      <c r="A50" s="83" t="s">
        <v>283</v>
      </c>
      <c r="B50" s="84">
        <v>11526.91051801667</v>
      </c>
      <c r="C50" s="85">
        <v>0</v>
      </c>
      <c r="D50" s="86">
        <v>1</v>
      </c>
      <c r="E50" s="87">
        <v>0</v>
      </c>
      <c r="F50" s="87">
        <v>0</v>
      </c>
      <c r="G50" s="87">
        <v>0</v>
      </c>
      <c r="H50" s="87">
        <v>1</v>
      </c>
      <c r="I50" s="87">
        <v>0</v>
      </c>
      <c r="J50" s="86">
        <v>0</v>
      </c>
      <c r="K50" s="86">
        <v>0</v>
      </c>
      <c r="L50" s="86">
        <v>0</v>
      </c>
      <c r="M50" s="86">
        <v>0</v>
      </c>
      <c r="N50" s="86">
        <v>0</v>
      </c>
      <c r="O50" s="86">
        <v>0</v>
      </c>
      <c r="P50" s="86">
        <v>1</v>
      </c>
      <c r="R50" s="81">
        <f t="shared" si="0"/>
        <v>0</v>
      </c>
      <c r="S50" s="81">
        <f t="shared" si="1"/>
        <v>0</v>
      </c>
      <c r="T50" s="82">
        <f t="shared" si="2"/>
        <v>0</v>
      </c>
    </row>
    <row r="51" spans="1:20">
      <c r="A51" s="83" t="s">
        <v>284</v>
      </c>
      <c r="B51" s="84">
        <v>3634386.4764310219</v>
      </c>
      <c r="C51" s="85">
        <v>1.2369337405708188E-4</v>
      </c>
      <c r="D51" s="86">
        <v>0.99999986891019299</v>
      </c>
      <c r="E51" s="87">
        <v>0</v>
      </c>
      <c r="F51" s="87">
        <v>0</v>
      </c>
      <c r="G51" s="87">
        <v>0</v>
      </c>
      <c r="H51" s="87">
        <v>0.62343259713672972</v>
      </c>
      <c r="I51" s="87">
        <v>0.37656727177346322</v>
      </c>
      <c r="J51" s="86">
        <v>0</v>
      </c>
      <c r="K51" s="86">
        <v>0</v>
      </c>
      <c r="L51" s="86">
        <v>0</v>
      </c>
      <c r="M51" s="86">
        <v>0</v>
      </c>
      <c r="N51" s="86">
        <v>0</v>
      </c>
      <c r="O51" s="86">
        <v>1.3108980704780993E-7</v>
      </c>
      <c r="P51" s="86">
        <v>1.0000000000000002</v>
      </c>
      <c r="R51" s="81">
        <f t="shared" si="0"/>
        <v>0</v>
      </c>
      <c r="S51" s="81">
        <f t="shared" si="1"/>
        <v>0</v>
      </c>
      <c r="T51" s="82">
        <f t="shared" si="2"/>
        <v>0</v>
      </c>
    </row>
    <row r="52" spans="1:20">
      <c r="A52" s="83" t="s">
        <v>285</v>
      </c>
      <c r="B52" s="84">
        <v>5115670.0961240493</v>
      </c>
      <c r="C52" s="85">
        <v>489.78602619144084</v>
      </c>
      <c r="D52" s="86">
        <v>0.40133549689913678</v>
      </c>
      <c r="E52" s="87">
        <v>8.1205197402144311E-2</v>
      </c>
      <c r="F52" s="87">
        <v>0.11966389319432685</v>
      </c>
      <c r="G52" s="87">
        <v>8.674718886509664E-3</v>
      </c>
      <c r="H52" s="87">
        <v>3.2603353395749463E-2</v>
      </c>
      <c r="I52" s="87">
        <v>0.15918833402040647</v>
      </c>
      <c r="J52" s="86">
        <v>0</v>
      </c>
      <c r="K52" s="86">
        <v>0.20434059475258468</v>
      </c>
      <c r="L52" s="86">
        <v>0</v>
      </c>
      <c r="M52" s="86">
        <v>0</v>
      </c>
      <c r="N52" s="86">
        <v>0</v>
      </c>
      <c r="O52" s="86">
        <v>0.39432390834827885</v>
      </c>
      <c r="P52" s="86">
        <v>1.0000000000000002</v>
      </c>
      <c r="R52" s="81">
        <f t="shared" si="0"/>
        <v>0</v>
      </c>
      <c r="S52" s="81">
        <f t="shared" si="1"/>
        <v>1045339.0700000003</v>
      </c>
      <c r="T52" s="82">
        <f t="shared" si="2"/>
        <v>0</v>
      </c>
    </row>
    <row r="53" spans="1:20">
      <c r="A53" s="83" t="s">
        <v>286</v>
      </c>
      <c r="B53" s="84">
        <v>2044987.1083481014</v>
      </c>
      <c r="C53" s="85">
        <v>566.14680512510063</v>
      </c>
      <c r="D53" s="86">
        <v>0</v>
      </c>
      <c r="E53" s="87">
        <v>0</v>
      </c>
      <c r="F53" s="87">
        <v>0</v>
      </c>
      <c r="G53" s="87">
        <v>0</v>
      </c>
      <c r="H53" s="87">
        <v>0</v>
      </c>
      <c r="I53" s="87">
        <v>0</v>
      </c>
      <c r="J53" s="86">
        <v>0</v>
      </c>
      <c r="K53" s="86">
        <v>0.39999958760657361</v>
      </c>
      <c r="L53" s="86">
        <v>0</v>
      </c>
      <c r="M53" s="86">
        <v>0</v>
      </c>
      <c r="N53" s="86">
        <v>0</v>
      </c>
      <c r="O53" s="86">
        <v>0.60000041239342639</v>
      </c>
      <c r="P53" s="86">
        <v>1</v>
      </c>
      <c r="R53" s="81">
        <f t="shared" si="0"/>
        <v>0</v>
      </c>
      <c r="S53" s="81">
        <f t="shared" si="1"/>
        <v>817994</v>
      </c>
      <c r="T53" s="82">
        <f t="shared" si="2"/>
        <v>0</v>
      </c>
    </row>
    <row r="54" spans="1:20">
      <c r="A54" s="83" t="s">
        <v>287</v>
      </c>
      <c r="B54" s="84">
        <v>22572.929103000035</v>
      </c>
      <c r="C54" s="85">
        <v>0</v>
      </c>
      <c r="D54" s="86">
        <v>1</v>
      </c>
      <c r="E54" s="87">
        <v>0</v>
      </c>
      <c r="F54" s="87">
        <v>0</v>
      </c>
      <c r="G54" s="87">
        <v>0</v>
      </c>
      <c r="H54" s="87">
        <v>1</v>
      </c>
      <c r="I54" s="87">
        <v>0</v>
      </c>
      <c r="J54" s="86">
        <v>0</v>
      </c>
      <c r="K54" s="86">
        <v>0</v>
      </c>
      <c r="L54" s="86">
        <v>0</v>
      </c>
      <c r="M54" s="86">
        <v>0</v>
      </c>
      <c r="N54" s="86">
        <v>0</v>
      </c>
      <c r="O54" s="86">
        <v>0</v>
      </c>
      <c r="P54" s="86">
        <v>1</v>
      </c>
      <c r="R54" s="81">
        <f t="shared" si="0"/>
        <v>0</v>
      </c>
      <c r="S54" s="81">
        <f t="shared" si="1"/>
        <v>0</v>
      </c>
      <c r="T54" s="82">
        <f t="shared" si="2"/>
        <v>0</v>
      </c>
    </row>
    <row r="55" spans="1:20">
      <c r="A55" s="83" t="s">
        <v>288</v>
      </c>
      <c r="B55" s="84">
        <v>2621385</v>
      </c>
      <c r="C55" s="85">
        <v>46.812097505738976</v>
      </c>
      <c r="D55" s="86">
        <v>0.59911115688843875</v>
      </c>
      <c r="E55" s="87">
        <v>0</v>
      </c>
      <c r="F55" s="87">
        <v>0.24338279192106463</v>
      </c>
      <c r="G55" s="87">
        <v>0</v>
      </c>
      <c r="H55" s="87">
        <v>0.25346334094381406</v>
      </c>
      <c r="I55" s="87">
        <v>0.10226502402356007</v>
      </c>
      <c r="J55" s="86">
        <v>0</v>
      </c>
      <c r="K55" s="86">
        <v>0.37210499258979507</v>
      </c>
      <c r="L55" s="86">
        <v>0</v>
      </c>
      <c r="M55" s="86">
        <v>0</v>
      </c>
      <c r="N55" s="86">
        <v>0</v>
      </c>
      <c r="O55" s="86">
        <v>2.8783850521766345E-2</v>
      </c>
      <c r="P55" s="86">
        <v>1.0000000000000002</v>
      </c>
      <c r="R55" s="81">
        <f t="shared" si="0"/>
        <v>0</v>
      </c>
      <c r="S55" s="81">
        <f t="shared" si="1"/>
        <v>975430.446</v>
      </c>
      <c r="T55" s="82">
        <f t="shared" si="2"/>
        <v>0</v>
      </c>
    </row>
    <row r="56" spans="1:20">
      <c r="A56" s="83" t="s">
        <v>289</v>
      </c>
      <c r="B56" s="84">
        <v>217860</v>
      </c>
      <c r="C56" s="85">
        <v>0</v>
      </c>
      <c r="D56" s="86">
        <v>1</v>
      </c>
      <c r="E56" s="87">
        <v>0</v>
      </c>
      <c r="F56" s="87">
        <v>0</v>
      </c>
      <c r="G56" s="87">
        <v>0</v>
      </c>
      <c r="H56" s="87">
        <v>0.5</v>
      </c>
      <c r="I56" s="87">
        <v>0.5</v>
      </c>
      <c r="J56" s="86">
        <v>0</v>
      </c>
      <c r="K56" s="86">
        <v>0</v>
      </c>
      <c r="L56" s="86">
        <v>0</v>
      </c>
      <c r="M56" s="86">
        <v>0</v>
      </c>
      <c r="N56" s="86">
        <v>0</v>
      </c>
      <c r="O56" s="86">
        <v>0</v>
      </c>
      <c r="P56" s="86">
        <v>1</v>
      </c>
      <c r="R56" s="81">
        <f t="shared" si="0"/>
        <v>0</v>
      </c>
      <c r="S56" s="81">
        <f t="shared" si="1"/>
        <v>0</v>
      </c>
      <c r="T56" s="82">
        <f t="shared" si="2"/>
        <v>0</v>
      </c>
    </row>
    <row r="57" spans="1:20">
      <c r="A57" s="83" t="s">
        <v>290</v>
      </c>
      <c r="B57" s="84">
        <v>349</v>
      </c>
      <c r="C57" s="85">
        <v>0</v>
      </c>
      <c r="D57" s="86">
        <v>1</v>
      </c>
      <c r="E57" s="87">
        <v>0</v>
      </c>
      <c r="F57" s="87">
        <v>0</v>
      </c>
      <c r="G57" s="87">
        <v>0</v>
      </c>
      <c r="H57" s="87">
        <v>1</v>
      </c>
      <c r="I57" s="87">
        <v>0</v>
      </c>
      <c r="J57" s="86">
        <v>0</v>
      </c>
      <c r="K57" s="86">
        <v>0</v>
      </c>
      <c r="L57" s="86">
        <v>0</v>
      </c>
      <c r="M57" s="86">
        <v>0</v>
      </c>
      <c r="N57" s="86">
        <v>0</v>
      </c>
      <c r="O57" s="86">
        <v>0</v>
      </c>
      <c r="P57" s="86">
        <v>1</v>
      </c>
      <c r="R57" s="81">
        <f t="shared" si="0"/>
        <v>0</v>
      </c>
      <c r="S57" s="81">
        <f t="shared" si="1"/>
        <v>0</v>
      </c>
      <c r="T57" s="82">
        <f t="shared" si="2"/>
        <v>0</v>
      </c>
    </row>
    <row r="58" spans="1:20" ht="25.5">
      <c r="A58" s="83" t="s">
        <v>291</v>
      </c>
      <c r="B58" s="84">
        <v>18098</v>
      </c>
      <c r="C58" s="85">
        <v>0</v>
      </c>
      <c r="D58" s="86">
        <v>1</v>
      </c>
      <c r="E58" s="87">
        <v>0</v>
      </c>
      <c r="F58" s="87">
        <v>0</v>
      </c>
      <c r="G58" s="87">
        <v>0</v>
      </c>
      <c r="H58" s="87">
        <v>1</v>
      </c>
      <c r="I58" s="87">
        <v>0</v>
      </c>
      <c r="J58" s="86">
        <v>0</v>
      </c>
      <c r="K58" s="86">
        <v>0</v>
      </c>
      <c r="L58" s="86">
        <v>0</v>
      </c>
      <c r="M58" s="86">
        <v>0</v>
      </c>
      <c r="N58" s="86">
        <v>0</v>
      </c>
      <c r="O58" s="86">
        <v>0</v>
      </c>
      <c r="P58" s="86">
        <v>1</v>
      </c>
      <c r="R58" s="81">
        <f t="shared" si="0"/>
        <v>0</v>
      </c>
      <c r="S58" s="81">
        <f t="shared" si="1"/>
        <v>0</v>
      </c>
      <c r="T58" s="82">
        <f t="shared" si="2"/>
        <v>0</v>
      </c>
    </row>
    <row r="59" spans="1:20" ht="25.5">
      <c r="A59" s="83" t="s">
        <v>292</v>
      </c>
      <c r="B59" s="84">
        <v>675190</v>
      </c>
      <c r="C59" s="85">
        <v>515.23680698929456</v>
      </c>
      <c r="D59" s="86">
        <v>0.21016602734045231</v>
      </c>
      <c r="E59" s="87">
        <v>0</v>
      </c>
      <c r="F59" s="87">
        <v>0</v>
      </c>
      <c r="G59" s="87">
        <v>0</v>
      </c>
      <c r="H59" s="87">
        <v>0.19829825678697849</v>
      </c>
      <c r="I59" s="87">
        <v>1.1867770553473838E-2</v>
      </c>
      <c r="J59" s="86">
        <v>0</v>
      </c>
      <c r="K59" s="86">
        <v>5.6261643389268194E-2</v>
      </c>
      <c r="L59" s="86">
        <v>0</v>
      </c>
      <c r="M59" s="86">
        <v>0.18752615560064576</v>
      </c>
      <c r="N59" s="86">
        <v>0</v>
      </c>
      <c r="O59" s="86">
        <v>0.54604617366963382</v>
      </c>
      <c r="P59" s="86">
        <v>1</v>
      </c>
      <c r="R59" s="81">
        <f t="shared" si="0"/>
        <v>0</v>
      </c>
      <c r="S59" s="81">
        <f t="shared" si="1"/>
        <v>37987.298999999992</v>
      </c>
      <c r="T59" s="82">
        <f t="shared" si="2"/>
        <v>126615.785</v>
      </c>
    </row>
    <row r="60" spans="1:20">
      <c r="A60" s="83" t="s">
        <v>293</v>
      </c>
      <c r="B60" s="84">
        <v>7885579.1299863961</v>
      </c>
      <c r="C60" s="85">
        <v>701.00634850430629</v>
      </c>
      <c r="D60" s="86">
        <v>0.23829676540234551</v>
      </c>
      <c r="E60" s="87">
        <v>7.5129548538437159E-3</v>
      </c>
      <c r="F60" s="87">
        <v>0</v>
      </c>
      <c r="G60" s="87">
        <v>0</v>
      </c>
      <c r="H60" s="87">
        <v>0.16727674382011756</v>
      </c>
      <c r="I60" s="87">
        <v>6.3507066728384215E-2</v>
      </c>
      <c r="J60" s="86">
        <v>0</v>
      </c>
      <c r="K60" s="86">
        <v>9.7876932978203657E-3</v>
      </c>
      <c r="L60" s="86">
        <v>0</v>
      </c>
      <c r="M60" s="86">
        <v>2.1632077643014443E-2</v>
      </c>
      <c r="N60" s="86">
        <v>0</v>
      </c>
      <c r="O60" s="86">
        <v>0.73028346365681973</v>
      </c>
      <c r="P60" s="86">
        <v>1</v>
      </c>
      <c r="R60" s="81">
        <f t="shared" si="0"/>
        <v>0</v>
      </c>
      <c r="S60" s="81">
        <f t="shared" si="1"/>
        <v>77181.63</v>
      </c>
      <c r="T60" s="82">
        <f t="shared" si="2"/>
        <v>170581.46</v>
      </c>
    </row>
    <row r="61" spans="1:20">
      <c r="A61" s="83" t="s">
        <v>294</v>
      </c>
      <c r="B61" s="84">
        <v>308811</v>
      </c>
      <c r="C61" s="85">
        <v>0</v>
      </c>
      <c r="D61" s="86">
        <v>0.26347183228576704</v>
      </c>
      <c r="E61" s="87">
        <v>0</v>
      </c>
      <c r="F61" s="87">
        <v>0</v>
      </c>
      <c r="G61" s="87">
        <v>2.6534028904410787E-2</v>
      </c>
      <c r="H61" s="87">
        <v>9.1881442047077336E-2</v>
      </c>
      <c r="I61" s="87">
        <v>0.1450563613342789</v>
      </c>
      <c r="J61" s="86">
        <v>0</v>
      </c>
      <c r="K61" s="86">
        <v>0.73652816771423302</v>
      </c>
      <c r="L61" s="86">
        <v>0</v>
      </c>
      <c r="M61" s="86">
        <v>0</v>
      </c>
      <c r="N61" s="86">
        <v>0</v>
      </c>
      <c r="O61" s="86">
        <v>0</v>
      </c>
      <c r="P61" s="86">
        <v>1</v>
      </c>
      <c r="R61" s="81">
        <f t="shared" si="0"/>
        <v>0</v>
      </c>
      <c r="S61" s="81">
        <f t="shared" si="1"/>
        <v>227448</v>
      </c>
      <c r="T61" s="82">
        <f t="shared" si="2"/>
        <v>0</v>
      </c>
    </row>
    <row r="62" spans="1:20">
      <c r="A62" s="83" t="s">
        <v>295</v>
      </c>
      <c r="B62" s="84">
        <v>89175</v>
      </c>
      <c r="C62" s="85">
        <v>357.16797069582276</v>
      </c>
      <c r="D62" s="86">
        <v>0</v>
      </c>
      <c r="E62" s="87">
        <v>0</v>
      </c>
      <c r="F62" s="87">
        <v>0</v>
      </c>
      <c r="G62" s="87">
        <v>0</v>
      </c>
      <c r="H62" s="87">
        <v>0</v>
      </c>
      <c r="I62" s="87">
        <v>0</v>
      </c>
      <c r="J62" s="86">
        <v>0</v>
      </c>
      <c r="K62" s="86">
        <v>0.62147462853938884</v>
      </c>
      <c r="L62" s="86">
        <v>0</v>
      </c>
      <c r="M62" s="86">
        <v>0</v>
      </c>
      <c r="N62" s="86">
        <v>0</v>
      </c>
      <c r="O62" s="86">
        <v>0.37852537146061116</v>
      </c>
      <c r="P62" s="86">
        <v>1</v>
      </c>
      <c r="R62" s="81">
        <f t="shared" si="0"/>
        <v>0</v>
      </c>
      <c r="S62" s="81">
        <f t="shared" si="1"/>
        <v>55420</v>
      </c>
      <c r="T62" s="82">
        <f t="shared" si="2"/>
        <v>0</v>
      </c>
    </row>
    <row r="63" spans="1:20">
      <c r="A63" s="83" t="s">
        <v>296</v>
      </c>
      <c r="B63" s="84">
        <v>3459419.94</v>
      </c>
      <c r="C63" s="85">
        <v>543.82778854293394</v>
      </c>
      <c r="D63" s="86">
        <v>0.32912193944283041</v>
      </c>
      <c r="E63" s="87">
        <v>1.8746495402347713E-2</v>
      </c>
      <c r="F63" s="87">
        <v>0</v>
      </c>
      <c r="G63" s="87">
        <v>5.8506918359266897E-4</v>
      </c>
      <c r="H63" s="87">
        <v>0.20368732684127386</v>
      </c>
      <c r="I63" s="87">
        <v>0.10610304801561617</v>
      </c>
      <c r="J63" s="86">
        <v>0</v>
      </c>
      <c r="K63" s="86">
        <v>2.7593554022238766E-2</v>
      </c>
      <c r="L63" s="86">
        <v>0</v>
      </c>
      <c r="M63" s="86">
        <v>8.1276130067053962E-2</v>
      </c>
      <c r="N63" s="86">
        <v>0</v>
      </c>
      <c r="O63" s="86">
        <v>0.56200837646787682</v>
      </c>
      <c r="P63" s="86">
        <v>1</v>
      </c>
      <c r="R63" s="81">
        <f t="shared" si="0"/>
        <v>0</v>
      </c>
      <c r="S63" s="81">
        <f t="shared" si="1"/>
        <v>95457.690999999992</v>
      </c>
      <c r="T63" s="82">
        <f t="shared" si="2"/>
        <v>281168.26500000001</v>
      </c>
    </row>
    <row r="64" spans="1:20">
      <c r="A64" s="83" t="s">
        <v>297</v>
      </c>
      <c r="B64" s="84">
        <v>5076143</v>
      </c>
      <c r="C64" s="85">
        <v>495.96319423723406</v>
      </c>
      <c r="D64" s="86">
        <v>0.49444548848300629</v>
      </c>
      <c r="E64" s="87">
        <v>1.4967663440529551E-2</v>
      </c>
      <c r="F64" s="87">
        <v>8.1451606071775359E-3</v>
      </c>
      <c r="G64" s="87">
        <v>1.4280527558029787E-2</v>
      </c>
      <c r="H64" s="87">
        <v>0.18080716111516026</v>
      </c>
      <c r="I64" s="87">
        <v>0.27624497576210916</v>
      </c>
      <c r="J64" s="86">
        <v>0</v>
      </c>
      <c r="K64" s="86">
        <v>0.2193055889563659</v>
      </c>
      <c r="L64" s="86">
        <v>0</v>
      </c>
      <c r="M64" s="86">
        <v>2.1286198724142051E-3</v>
      </c>
      <c r="N64" s="86">
        <v>8.8927138120190928E-5</v>
      </c>
      <c r="O64" s="86">
        <v>0.28403137555009333</v>
      </c>
      <c r="P64" s="86">
        <v>0.99999999999999978</v>
      </c>
      <c r="R64" s="81">
        <f t="shared" si="0"/>
        <v>0</v>
      </c>
      <c r="S64" s="81">
        <f t="shared" si="1"/>
        <v>1113226.5302417341</v>
      </c>
      <c r="T64" s="82">
        <f t="shared" si="2"/>
        <v>10805.17886501626</v>
      </c>
    </row>
    <row r="65" spans="1:20">
      <c r="A65" s="83" t="s">
        <v>298</v>
      </c>
      <c r="B65" s="84">
        <v>34638</v>
      </c>
      <c r="C65" s="85">
        <v>0</v>
      </c>
      <c r="D65" s="86">
        <v>0.35798833650903633</v>
      </c>
      <c r="E65" s="87">
        <v>0</v>
      </c>
      <c r="F65" s="87">
        <v>0</v>
      </c>
      <c r="G65" s="87">
        <v>0</v>
      </c>
      <c r="H65" s="87">
        <v>0.17899416825451817</v>
      </c>
      <c r="I65" s="87">
        <v>0.17899416825451817</v>
      </c>
      <c r="J65" s="86">
        <v>0</v>
      </c>
      <c r="K65" s="86">
        <v>0.64201166349096372</v>
      </c>
      <c r="L65" s="86">
        <v>0</v>
      </c>
      <c r="M65" s="86">
        <v>0</v>
      </c>
      <c r="N65" s="86">
        <v>0</v>
      </c>
      <c r="O65" s="86">
        <v>0</v>
      </c>
      <c r="P65" s="86">
        <v>1</v>
      </c>
      <c r="R65" s="81">
        <f t="shared" si="0"/>
        <v>0</v>
      </c>
      <c r="S65" s="81">
        <f t="shared" si="1"/>
        <v>22238</v>
      </c>
      <c r="T65" s="82">
        <f t="shared" si="2"/>
        <v>0</v>
      </c>
    </row>
    <row r="66" spans="1:20">
      <c r="A66" s="83" t="s">
        <v>299</v>
      </c>
      <c r="B66" s="84">
        <v>1421427</v>
      </c>
      <c r="C66" s="85">
        <v>0</v>
      </c>
      <c r="D66" s="86">
        <v>1</v>
      </c>
      <c r="E66" s="87">
        <v>0</v>
      </c>
      <c r="F66" s="87">
        <v>0</v>
      </c>
      <c r="G66" s="87">
        <v>0</v>
      </c>
      <c r="H66" s="87">
        <v>0.49999964824081716</v>
      </c>
      <c r="I66" s="87">
        <v>0.50000035175918289</v>
      </c>
      <c r="J66" s="86">
        <v>0</v>
      </c>
      <c r="K66" s="86">
        <v>0</v>
      </c>
      <c r="L66" s="86">
        <v>0</v>
      </c>
      <c r="M66" s="86">
        <v>0</v>
      </c>
      <c r="N66" s="86">
        <v>0</v>
      </c>
      <c r="O66" s="86">
        <v>0</v>
      </c>
      <c r="P66" s="86">
        <v>1</v>
      </c>
      <c r="R66" s="81">
        <f t="shared" si="0"/>
        <v>0</v>
      </c>
      <c r="S66" s="81">
        <f t="shared" si="1"/>
        <v>0</v>
      </c>
      <c r="T66" s="82">
        <f t="shared" si="2"/>
        <v>0</v>
      </c>
    </row>
    <row r="67" spans="1:20">
      <c r="A67" s="83" t="s">
        <v>300</v>
      </c>
      <c r="B67" s="84">
        <v>26915</v>
      </c>
      <c r="C67" s="85">
        <v>571.86081725134682</v>
      </c>
      <c r="D67" s="86">
        <v>0.2169422255248003</v>
      </c>
      <c r="E67" s="87">
        <v>0</v>
      </c>
      <c r="F67" s="87">
        <v>0</v>
      </c>
      <c r="G67" s="87">
        <v>1.3969905257291472E-2</v>
      </c>
      <c r="H67" s="87">
        <v>0.20297232026750883</v>
      </c>
      <c r="I67" s="87">
        <v>0</v>
      </c>
      <c r="J67" s="86">
        <v>0</v>
      </c>
      <c r="K67" s="86">
        <v>0.17700167193015048</v>
      </c>
      <c r="L67" s="86">
        <v>0</v>
      </c>
      <c r="M67" s="86">
        <v>0</v>
      </c>
      <c r="N67" s="86">
        <v>0</v>
      </c>
      <c r="O67" s="86">
        <v>0.60605610254504927</v>
      </c>
      <c r="P67" s="86">
        <v>1</v>
      </c>
      <c r="R67" s="81">
        <f t="shared" ref="R67:R130" si="3">J67*B67</f>
        <v>0</v>
      </c>
      <c r="S67" s="81">
        <f t="shared" ref="S67:S130" si="4">B67*K67</f>
        <v>4764</v>
      </c>
      <c r="T67" s="82">
        <f t="shared" ref="T67:T130" si="5">B67*M67</f>
        <v>0</v>
      </c>
    </row>
    <row r="68" spans="1:20" ht="25.5">
      <c r="A68" s="83" t="s">
        <v>301</v>
      </c>
      <c r="B68" s="84">
        <v>52416.283203942003</v>
      </c>
      <c r="C68" s="85">
        <v>457.85798481154148</v>
      </c>
      <c r="D68" s="86">
        <v>0.34306133325087901</v>
      </c>
      <c r="E68" s="87">
        <v>0</v>
      </c>
      <c r="F68" s="87">
        <v>0</v>
      </c>
      <c r="G68" s="87">
        <v>0</v>
      </c>
      <c r="H68" s="87">
        <v>5.7157810834147123E-2</v>
      </c>
      <c r="I68" s="87">
        <v>0.28590352241673189</v>
      </c>
      <c r="J68" s="86">
        <v>0</v>
      </c>
      <c r="K68" s="86">
        <v>0</v>
      </c>
      <c r="L68" s="86">
        <v>0</v>
      </c>
      <c r="M68" s="86">
        <v>0.22893649199257859</v>
      </c>
      <c r="N68" s="86">
        <v>0</v>
      </c>
      <c r="O68" s="86">
        <v>0.4280021747565424</v>
      </c>
      <c r="P68" s="86">
        <v>1</v>
      </c>
      <c r="R68" s="81">
        <f t="shared" si="3"/>
        <v>0</v>
      </c>
      <c r="S68" s="81">
        <f t="shared" si="4"/>
        <v>0</v>
      </c>
      <c r="T68" s="82">
        <f t="shared" si="5"/>
        <v>12000</v>
      </c>
    </row>
    <row r="69" spans="1:20" ht="25.5">
      <c r="A69" s="83" t="s">
        <v>302</v>
      </c>
      <c r="B69" s="84">
        <v>17.339530100000001</v>
      </c>
      <c r="C69" s="85">
        <v>0</v>
      </c>
      <c r="D69" s="86">
        <v>1</v>
      </c>
      <c r="E69" s="87">
        <v>0</v>
      </c>
      <c r="F69" s="87">
        <v>0</v>
      </c>
      <c r="G69" s="87">
        <v>0</v>
      </c>
      <c r="H69" s="87">
        <v>0</v>
      </c>
      <c r="I69" s="87">
        <v>1</v>
      </c>
      <c r="J69" s="86">
        <v>0</v>
      </c>
      <c r="K69" s="86">
        <v>0</v>
      </c>
      <c r="L69" s="86">
        <v>0</v>
      </c>
      <c r="M69" s="86">
        <v>0</v>
      </c>
      <c r="N69" s="86">
        <v>0</v>
      </c>
      <c r="O69" s="86">
        <v>0</v>
      </c>
      <c r="P69" s="86">
        <v>1</v>
      </c>
      <c r="R69" s="81">
        <f t="shared" si="3"/>
        <v>0</v>
      </c>
      <c r="S69" s="81">
        <f t="shared" si="4"/>
        <v>0</v>
      </c>
      <c r="T69" s="82">
        <f t="shared" si="5"/>
        <v>0</v>
      </c>
    </row>
    <row r="70" spans="1:20">
      <c r="A70" s="83" t="s">
        <v>303</v>
      </c>
      <c r="B70" s="84">
        <v>3604480.4602999999</v>
      </c>
      <c r="C70" s="85">
        <v>585.27950768437358</v>
      </c>
      <c r="D70" s="86">
        <v>0.37713202082336195</v>
      </c>
      <c r="E70" s="87">
        <v>7.8116389615985077E-2</v>
      </c>
      <c r="F70" s="87">
        <v>0.11332007608275507</v>
      </c>
      <c r="G70" s="87">
        <v>6.6045024413916922E-2</v>
      </c>
      <c r="H70" s="87">
        <v>0.11965053071070489</v>
      </c>
      <c r="I70" s="87">
        <v>0</v>
      </c>
      <c r="J70" s="86">
        <v>0</v>
      </c>
      <c r="K70" s="86">
        <v>4.6002437894464066E-2</v>
      </c>
      <c r="L70" s="86">
        <v>0.35289912485588293</v>
      </c>
      <c r="M70" s="86">
        <v>3.401728855108567E-2</v>
      </c>
      <c r="N70" s="86">
        <v>4.2363088111627248E-4</v>
      </c>
      <c r="O70" s="86">
        <v>0.18952549699408899</v>
      </c>
      <c r="P70" s="86">
        <v>0.99999999999999978</v>
      </c>
      <c r="R70" s="81">
        <f t="shared" si="3"/>
        <v>0</v>
      </c>
      <c r="S70" s="81">
        <f t="shared" si="4"/>
        <v>165814.88851675999</v>
      </c>
      <c r="T70" s="82">
        <f t="shared" si="5"/>
        <v>122614.65189477519</v>
      </c>
    </row>
    <row r="71" spans="1:20">
      <c r="A71" s="83" t="s">
        <v>304</v>
      </c>
      <c r="B71" s="84">
        <v>40315</v>
      </c>
      <c r="C71" s="85">
        <v>943.57735999999989</v>
      </c>
      <c r="D71" s="86">
        <v>0</v>
      </c>
      <c r="E71" s="87">
        <v>0</v>
      </c>
      <c r="F71" s="87">
        <v>0</v>
      </c>
      <c r="G71" s="87">
        <v>0</v>
      </c>
      <c r="H71" s="87">
        <v>0</v>
      </c>
      <c r="I71" s="87">
        <v>0</v>
      </c>
      <c r="J71" s="86">
        <v>0</v>
      </c>
      <c r="K71" s="86">
        <v>0</v>
      </c>
      <c r="L71" s="86">
        <v>0</v>
      </c>
      <c r="M71" s="86">
        <v>0</v>
      </c>
      <c r="N71" s="86">
        <v>0</v>
      </c>
      <c r="O71" s="86">
        <v>1</v>
      </c>
      <c r="P71" s="86">
        <v>1</v>
      </c>
      <c r="R71" s="81">
        <f t="shared" si="3"/>
        <v>0</v>
      </c>
      <c r="S71" s="81">
        <f t="shared" si="4"/>
        <v>0</v>
      </c>
      <c r="T71" s="82">
        <f t="shared" si="5"/>
        <v>0</v>
      </c>
    </row>
    <row r="72" spans="1:20">
      <c r="A72" s="83" t="s">
        <v>305</v>
      </c>
      <c r="B72" s="84">
        <v>35326</v>
      </c>
      <c r="C72" s="85">
        <v>580</v>
      </c>
      <c r="D72" s="86">
        <v>0.38490063975542099</v>
      </c>
      <c r="E72" s="87">
        <v>0</v>
      </c>
      <c r="F72" s="87">
        <v>0</v>
      </c>
      <c r="G72" s="87">
        <v>0</v>
      </c>
      <c r="H72" s="87">
        <v>0.24191813395233</v>
      </c>
      <c r="I72" s="87">
        <v>0.14298250580309099</v>
      </c>
      <c r="J72" s="86">
        <v>0</v>
      </c>
      <c r="K72" s="86">
        <v>0</v>
      </c>
      <c r="L72" s="86">
        <v>0</v>
      </c>
      <c r="M72" s="86">
        <v>0</v>
      </c>
      <c r="N72" s="86">
        <v>0</v>
      </c>
      <c r="O72" s="86">
        <v>0.61509936024457901</v>
      </c>
      <c r="P72" s="86">
        <v>1</v>
      </c>
      <c r="R72" s="81">
        <f t="shared" si="3"/>
        <v>0</v>
      </c>
      <c r="S72" s="81">
        <f t="shared" si="4"/>
        <v>0</v>
      </c>
      <c r="T72" s="82">
        <f t="shared" si="5"/>
        <v>0</v>
      </c>
    </row>
    <row r="73" spans="1:20">
      <c r="A73" s="83" t="s">
        <v>306</v>
      </c>
      <c r="B73" s="84">
        <v>5124</v>
      </c>
      <c r="C73" s="85">
        <v>956.32836071311181</v>
      </c>
      <c r="D73" s="86">
        <v>0</v>
      </c>
      <c r="E73" s="87">
        <v>0</v>
      </c>
      <c r="F73" s="87">
        <v>0</v>
      </c>
      <c r="G73" s="87">
        <v>0</v>
      </c>
      <c r="H73" s="87">
        <v>0</v>
      </c>
      <c r="I73" s="87">
        <v>0</v>
      </c>
      <c r="J73" s="86">
        <v>0</v>
      </c>
      <c r="K73" s="86">
        <v>0</v>
      </c>
      <c r="L73" s="86">
        <v>0</v>
      </c>
      <c r="M73" s="86">
        <v>0</v>
      </c>
      <c r="N73" s="86">
        <v>1.3856362217017954E-2</v>
      </c>
      <c r="O73" s="86">
        <v>0.98614363778298209</v>
      </c>
      <c r="P73" s="86">
        <v>1</v>
      </c>
      <c r="R73" s="81">
        <f t="shared" si="3"/>
        <v>0</v>
      </c>
      <c r="S73" s="81">
        <f t="shared" si="4"/>
        <v>0</v>
      </c>
      <c r="T73" s="82">
        <f t="shared" si="5"/>
        <v>0</v>
      </c>
    </row>
    <row r="74" spans="1:20">
      <c r="A74" s="83" t="s">
        <v>307</v>
      </c>
      <c r="B74" s="84">
        <v>42018</v>
      </c>
      <c r="C74" s="85">
        <v>0</v>
      </c>
      <c r="D74" s="86">
        <v>1</v>
      </c>
      <c r="E74" s="87">
        <v>0</v>
      </c>
      <c r="F74" s="87">
        <v>0</v>
      </c>
      <c r="G74" s="87">
        <v>0</v>
      </c>
      <c r="H74" s="87">
        <v>1</v>
      </c>
      <c r="I74" s="87">
        <v>0</v>
      </c>
      <c r="J74" s="86">
        <v>0</v>
      </c>
      <c r="K74" s="86">
        <v>0</v>
      </c>
      <c r="L74" s="86">
        <v>0</v>
      </c>
      <c r="M74" s="86">
        <v>0</v>
      </c>
      <c r="N74" s="86">
        <v>0</v>
      </c>
      <c r="O74" s="86">
        <v>0</v>
      </c>
      <c r="P74" s="86">
        <v>1</v>
      </c>
      <c r="R74" s="81">
        <f t="shared" si="3"/>
        <v>0</v>
      </c>
      <c r="S74" s="81">
        <f t="shared" si="4"/>
        <v>0</v>
      </c>
      <c r="T74" s="82">
        <f t="shared" si="5"/>
        <v>0</v>
      </c>
    </row>
    <row r="75" spans="1:20">
      <c r="A75" s="83" t="s">
        <v>308</v>
      </c>
      <c r="B75" s="84">
        <v>21698047</v>
      </c>
      <c r="C75" s="85">
        <v>567.0720618498907</v>
      </c>
      <c r="D75" s="86">
        <v>0.35567209252791276</v>
      </c>
      <c r="E75" s="87">
        <v>1.2215419479919092E-3</v>
      </c>
      <c r="F75" s="87">
        <v>7.5255344409568284E-2</v>
      </c>
      <c r="G75" s="87">
        <v>6.1076925494723093E-3</v>
      </c>
      <c r="H75" s="87">
        <v>0.14053095219394632</v>
      </c>
      <c r="I75" s="87">
        <v>0.13255656142693395</v>
      </c>
      <c r="J75" s="86">
        <v>0.12584819192874824</v>
      </c>
      <c r="K75" s="86">
        <v>4.0150951097119476E-2</v>
      </c>
      <c r="L75" s="86">
        <v>0.34492800877608926</v>
      </c>
      <c r="M75" s="86">
        <v>0.13291350445807404</v>
      </c>
      <c r="N75" s="86">
        <v>9.1685657239105439E-5</v>
      </c>
      <c r="O75" s="86">
        <v>3.955655548169842E-4</v>
      </c>
      <c r="P75" s="86">
        <v>1</v>
      </c>
      <c r="R75" s="81">
        <f t="shared" si="3"/>
        <v>2730659.983335</v>
      </c>
      <c r="S75" s="81">
        <f t="shared" si="4"/>
        <v>871197.22399999993</v>
      </c>
      <c r="T75" s="82">
        <f t="shared" si="5"/>
        <v>2883963.466666</v>
      </c>
    </row>
    <row r="76" spans="1:20">
      <c r="A76" s="83" t="s">
        <v>309</v>
      </c>
      <c r="B76" s="84">
        <v>611813.84562251053</v>
      </c>
      <c r="C76" s="85">
        <v>587.68400358613133</v>
      </c>
      <c r="D76" s="86">
        <v>0.33558246755775262</v>
      </c>
      <c r="E76" s="87">
        <v>1.1174967760076539E-2</v>
      </c>
      <c r="F76" s="87">
        <v>0</v>
      </c>
      <c r="G76" s="87">
        <v>0</v>
      </c>
      <c r="H76" s="87">
        <v>0.15118160640167902</v>
      </c>
      <c r="I76" s="87">
        <v>0.17322589339599703</v>
      </c>
      <c r="J76" s="86">
        <v>0</v>
      </c>
      <c r="K76" s="86">
        <v>3.8067134581275795E-3</v>
      </c>
      <c r="L76" s="86">
        <v>0</v>
      </c>
      <c r="M76" s="86">
        <v>9.682528505010414E-2</v>
      </c>
      <c r="N76" s="86">
        <v>0</v>
      </c>
      <c r="O76" s="86">
        <v>0.56378553393401565</v>
      </c>
      <c r="P76" s="86">
        <v>1</v>
      </c>
      <c r="R76" s="81">
        <f t="shared" si="3"/>
        <v>0</v>
      </c>
      <c r="S76" s="81">
        <f t="shared" si="4"/>
        <v>2329</v>
      </c>
      <c r="T76" s="82">
        <f t="shared" si="5"/>
        <v>59239.049999999988</v>
      </c>
    </row>
    <row r="77" spans="1:20">
      <c r="A77" s="83" t="s">
        <v>310</v>
      </c>
      <c r="B77" s="84">
        <v>5049.7132192853305</v>
      </c>
      <c r="C77" s="85">
        <v>670.95210219677824</v>
      </c>
      <c r="D77" s="86">
        <v>0.34675236473088533</v>
      </c>
      <c r="E77" s="87">
        <v>5.7825065963117366E-2</v>
      </c>
      <c r="F77" s="87">
        <v>0</v>
      </c>
      <c r="G77" s="87">
        <v>0</v>
      </c>
      <c r="H77" s="87">
        <v>0.28892729876776796</v>
      </c>
      <c r="I77" s="87">
        <v>0</v>
      </c>
      <c r="J77" s="86">
        <v>0</v>
      </c>
      <c r="K77" s="86">
        <v>0</v>
      </c>
      <c r="L77" s="86">
        <v>0</v>
      </c>
      <c r="M77" s="86">
        <v>0</v>
      </c>
      <c r="N77" s="86">
        <v>0</v>
      </c>
      <c r="O77" s="86">
        <v>0.65324763526911467</v>
      </c>
      <c r="P77" s="86">
        <v>1</v>
      </c>
      <c r="R77" s="81">
        <f t="shared" si="3"/>
        <v>0</v>
      </c>
      <c r="S77" s="81">
        <f t="shared" si="4"/>
        <v>0</v>
      </c>
      <c r="T77" s="82">
        <f t="shared" si="5"/>
        <v>0</v>
      </c>
    </row>
    <row r="78" spans="1:20">
      <c r="A78" s="83" t="s">
        <v>311</v>
      </c>
      <c r="B78" s="84">
        <v>130486</v>
      </c>
      <c r="C78" s="85">
        <v>755.51124113592789</v>
      </c>
      <c r="D78" s="86">
        <v>0.17238630964241375</v>
      </c>
      <c r="E78" s="87">
        <v>7.6927793019940835E-2</v>
      </c>
      <c r="F78" s="87">
        <v>0</v>
      </c>
      <c r="G78" s="87">
        <v>3.119108563370783E-3</v>
      </c>
      <c r="H78" s="87">
        <v>9.2339408059102124E-2</v>
      </c>
      <c r="I78" s="87">
        <v>0</v>
      </c>
      <c r="J78" s="86">
        <v>0</v>
      </c>
      <c r="K78" s="86">
        <v>3.3045690725441806E-2</v>
      </c>
      <c r="L78" s="86">
        <v>0</v>
      </c>
      <c r="M78" s="86">
        <v>0</v>
      </c>
      <c r="N78" s="86">
        <v>0</v>
      </c>
      <c r="O78" s="86">
        <v>0.79456799963214442</v>
      </c>
      <c r="P78" s="86">
        <v>1</v>
      </c>
      <c r="R78" s="81">
        <f t="shared" si="3"/>
        <v>0</v>
      </c>
      <c r="S78" s="81">
        <f t="shared" si="4"/>
        <v>4312</v>
      </c>
      <c r="T78" s="82">
        <f t="shared" si="5"/>
        <v>0</v>
      </c>
    </row>
    <row r="79" spans="1:20">
      <c r="A79" s="83" t="s">
        <v>312</v>
      </c>
      <c r="B79" s="84">
        <v>25846</v>
      </c>
      <c r="C79" s="85">
        <v>663.16191071732567</v>
      </c>
      <c r="D79" s="86">
        <v>0.29718331656736052</v>
      </c>
      <c r="E79" s="87">
        <v>0</v>
      </c>
      <c r="F79" s="87">
        <v>0</v>
      </c>
      <c r="G79" s="87">
        <v>0</v>
      </c>
      <c r="H79" s="87">
        <v>0.29718331656736052</v>
      </c>
      <c r="I79" s="87">
        <v>0</v>
      </c>
      <c r="J79" s="86">
        <v>0</v>
      </c>
      <c r="K79" s="86">
        <v>0</v>
      </c>
      <c r="L79" s="86">
        <v>0</v>
      </c>
      <c r="M79" s="86">
        <v>0</v>
      </c>
      <c r="N79" s="86">
        <v>0</v>
      </c>
      <c r="O79" s="86">
        <v>0.70281668343263948</v>
      </c>
      <c r="P79" s="86">
        <v>1</v>
      </c>
      <c r="R79" s="81">
        <f t="shared" si="3"/>
        <v>0</v>
      </c>
      <c r="S79" s="81">
        <f t="shared" si="4"/>
        <v>0</v>
      </c>
      <c r="T79" s="82">
        <f t="shared" si="5"/>
        <v>0</v>
      </c>
    </row>
    <row r="80" spans="1:20">
      <c r="A80" s="83" t="s">
        <v>313</v>
      </c>
      <c r="B80" s="84">
        <v>561727.12800000003</v>
      </c>
      <c r="C80" s="85">
        <v>646.55886030738759</v>
      </c>
      <c r="D80" s="86">
        <v>0.31477917156958102</v>
      </c>
      <c r="E80" s="87">
        <v>0</v>
      </c>
      <c r="F80" s="87">
        <v>4.0466267101844505E-2</v>
      </c>
      <c r="G80" s="87">
        <v>0</v>
      </c>
      <c r="H80" s="87">
        <v>0.27431290446773648</v>
      </c>
      <c r="I80" s="87">
        <v>0</v>
      </c>
      <c r="J80" s="86">
        <v>0</v>
      </c>
      <c r="K80" s="86">
        <v>0</v>
      </c>
      <c r="L80" s="86">
        <v>0</v>
      </c>
      <c r="M80" s="86">
        <v>0</v>
      </c>
      <c r="N80" s="86">
        <v>0</v>
      </c>
      <c r="O80" s="86">
        <v>0.68522082843041898</v>
      </c>
      <c r="P80" s="86">
        <v>1</v>
      </c>
      <c r="R80" s="81">
        <f t="shared" si="3"/>
        <v>0</v>
      </c>
      <c r="S80" s="81">
        <f t="shared" si="4"/>
        <v>0</v>
      </c>
      <c r="T80" s="82">
        <f t="shared" si="5"/>
        <v>0</v>
      </c>
    </row>
    <row r="81" spans="1:20">
      <c r="A81" s="83" t="s">
        <v>150</v>
      </c>
      <c r="B81" s="84">
        <v>433154</v>
      </c>
      <c r="C81" s="85">
        <v>533.24188726703301</v>
      </c>
      <c r="D81" s="86">
        <v>0.3150911684989634</v>
      </c>
      <c r="E81" s="87">
        <v>0</v>
      </c>
      <c r="F81" s="87">
        <v>0.20484631332043568</v>
      </c>
      <c r="G81" s="87">
        <v>2.5254297547754379E-2</v>
      </c>
      <c r="H81" s="87">
        <v>8.4990557630773345E-2</v>
      </c>
      <c r="I81" s="87">
        <v>0</v>
      </c>
      <c r="J81" s="86">
        <v>0</v>
      </c>
      <c r="K81" s="86">
        <v>0.13285805972009954</v>
      </c>
      <c r="L81" s="86">
        <v>0.19557478402600462</v>
      </c>
      <c r="M81" s="86">
        <v>0</v>
      </c>
      <c r="N81" s="86">
        <v>0</v>
      </c>
      <c r="O81" s="86">
        <v>0.35647598775493244</v>
      </c>
      <c r="P81" s="86">
        <v>1</v>
      </c>
      <c r="R81" s="81">
        <f t="shared" si="3"/>
        <v>0</v>
      </c>
      <c r="S81" s="81">
        <f t="shared" si="4"/>
        <v>57547.999999999993</v>
      </c>
      <c r="T81" s="82">
        <f t="shared" si="5"/>
        <v>0</v>
      </c>
    </row>
    <row r="82" spans="1:20">
      <c r="A82" s="83" t="s">
        <v>314</v>
      </c>
      <c r="B82" s="84">
        <v>216507.57296000022</v>
      </c>
      <c r="C82" s="85">
        <v>0</v>
      </c>
      <c r="D82" s="86">
        <v>1</v>
      </c>
      <c r="E82" s="87">
        <v>0</v>
      </c>
      <c r="F82" s="87">
        <v>0</v>
      </c>
      <c r="G82" s="87">
        <v>0</v>
      </c>
      <c r="H82" s="87">
        <v>0.5</v>
      </c>
      <c r="I82" s="87">
        <v>0.5</v>
      </c>
      <c r="J82" s="86">
        <v>0</v>
      </c>
      <c r="K82" s="86">
        <v>0</v>
      </c>
      <c r="L82" s="86">
        <v>0</v>
      </c>
      <c r="M82" s="86">
        <v>0</v>
      </c>
      <c r="N82" s="86">
        <v>0</v>
      </c>
      <c r="O82" s="86">
        <v>0</v>
      </c>
      <c r="P82" s="86">
        <v>1</v>
      </c>
      <c r="R82" s="81">
        <f t="shared" si="3"/>
        <v>0</v>
      </c>
      <c r="S82" s="81">
        <f t="shared" si="4"/>
        <v>0</v>
      </c>
      <c r="T82" s="82">
        <f t="shared" si="5"/>
        <v>0</v>
      </c>
    </row>
    <row r="83" spans="1:20">
      <c r="A83" s="83" t="s">
        <v>315</v>
      </c>
      <c r="B83" s="84">
        <v>10984.433999999999</v>
      </c>
      <c r="C83" s="85">
        <v>0</v>
      </c>
      <c r="D83" s="86">
        <v>1</v>
      </c>
      <c r="E83" s="87">
        <v>0</v>
      </c>
      <c r="F83" s="87">
        <v>0</v>
      </c>
      <c r="G83" s="87">
        <v>0</v>
      </c>
      <c r="H83" s="87">
        <v>1</v>
      </c>
      <c r="I83" s="87">
        <v>0</v>
      </c>
      <c r="J83" s="86">
        <v>0</v>
      </c>
      <c r="K83" s="86">
        <v>0</v>
      </c>
      <c r="L83" s="86">
        <v>0</v>
      </c>
      <c r="M83" s="86">
        <v>0</v>
      </c>
      <c r="N83" s="86">
        <v>0</v>
      </c>
      <c r="O83" s="86">
        <v>0</v>
      </c>
      <c r="P83" s="86">
        <v>1</v>
      </c>
      <c r="R83" s="81">
        <f t="shared" si="3"/>
        <v>0</v>
      </c>
      <c r="S83" s="81">
        <f t="shared" si="4"/>
        <v>0</v>
      </c>
      <c r="T83" s="82">
        <f t="shared" si="5"/>
        <v>0</v>
      </c>
    </row>
    <row r="84" spans="1:20">
      <c r="A84" s="83" t="s">
        <v>316</v>
      </c>
      <c r="B84" s="84">
        <v>5307105.4308500336</v>
      </c>
      <c r="C84" s="85">
        <v>43.806302724929914</v>
      </c>
      <c r="D84" s="86">
        <v>0.59552274979300657</v>
      </c>
      <c r="E84" s="87">
        <v>5.2684839908148595E-2</v>
      </c>
      <c r="F84" s="87">
        <v>5.1169136083378038E-2</v>
      </c>
      <c r="G84" s="87">
        <v>3.7570951359084538E-2</v>
      </c>
      <c r="H84" s="87">
        <v>0.2836188274820321</v>
      </c>
      <c r="I84" s="87">
        <v>0.17047899496036337</v>
      </c>
      <c r="J84" s="86">
        <v>0</v>
      </c>
      <c r="K84" s="86">
        <v>0.39476564960411148</v>
      </c>
      <c r="L84" s="86">
        <v>0</v>
      </c>
      <c r="M84" s="86">
        <v>4.4821776035358614E-3</v>
      </c>
      <c r="N84" s="86">
        <v>3.182178111548857E-4</v>
      </c>
      <c r="O84" s="86">
        <v>4.9112051881912552E-3</v>
      </c>
      <c r="P84" s="86">
        <v>1.0000000000000002</v>
      </c>
      <c r="R84" s="81">
        <f t="shared" si="3"/>
        <v>0</v>
      </c>
      <c r="S84" s="81">
        <f t="shared" si="4"/>
        <v>2095062.9229270215</v>
      </c>
      <c r="T84" s="82">
        <f t="shared" si="5"/>
        <v>23787.38910175956</v>
      </c>
    </row>
    <row r="85" spans="1:20">
      <c r="A85" s="83" t="s">
        <v>317</v>
      </c>
      <c r="B85" s="84">
        <v>1365.4136400000014</v>
      </c>
      <c r="C85" s="85">
        <v>0</v>
      </c>
      <c r="D85" s="86">
        <v>1</v>
      </c>
      <c r="E85" s="87">
        <v>0</v>
      </c>
      <c r="F85" s="87">
        <v>0</v>
      </c>
      <c r="G85" s="87">
        <v>0</v>
      </c>
      <c r="H85" s="87">
        <v>1</v>
      </c>
      <c r="I85" s="87">
        <v>0</v>
      </c>
      <c r="J85" s="86">
        <v>0</v>
      </c>
      <c r="K85" s="86">
        <v>0</v>
      </c>
      <c r="L85" s="86">
        <v>0</v>
      </c>
      <c r="M85" s="86">
        <v>0</v>
      </c>
      <c r="N85" s="86">
        <v>0</v>
      </c>
      <c r="O85" s="86">
        <v>0</v>
      </c>
      <c r="P85" s="86">
        <v>1</v>
      </c>
      <c r="R85" s="81">
        <f t="shared" si="3"/>
        <v>0</v>
      </c>
      <c r="S85" s="81">
        <f t="shared" si="4"/>
        <v>0</v>
      </c>
      <c r="T85" s="82">
        <f t="shared" si="5"/>
        <v>0</v>
      </c>
    </row>
    <row r="86" spans="1:20">
      <c r="A86" s="83" t="s">
        <v>318</v>
      </c>
      <c r="B86" s="84">
        <v>535680.48</v>
      </c>
      <c r="C86" s="85">
        <v>936.43905862755844</v>
      </c>
      <c r="D86" s="86">
        <v>5.6190212493835879E-4</v>
      </c>
      <c r="E86" s="87">
        <v>0</v>
      </c>
      <c r="F86" s="87">
        <v>0</v>
      </c>
      <c r="G86" s="87">
        <v>5.6190212493835879E-4</v>
      </c>
      <c r="H86" s="87">
        <v>0</v>
      </c>
      <c r="I86" s="87">
        <v>0</v>
      </c>
      <c r="J86" s="86">
        <v>0</v>
      </c>
      <c r="K86" s="86">
        <v>7.0032448095341112E-3</v>
      </c>
      <c r="L86" s="86">
        <v>0</v>
      </c>
      <c r="M86" s="86">
        <v>0</v>
      </c>
      <c r="N86" s="86">
        <v>0</v>
      </c>
      <c r="O86" s="86">
        <v>0.99243485306552759</v>
      </c>
      <c r="P86" s="86">
        <v>1</v>
      </c>
      <c r="R86" s="81">
        <f t="shared" si="3"/>
        <v>0</v>
      </c>
      <c r="S86" s="81">
        <f t="shared" si="4"/>
        <v>3751.5015411287413</v>
      </c>
      <c r="T86" s="82">
        <f t="shared" si="5"/>
        <v>0</v>
      </c>
    </row>
    <row r="87" spans="1:20">
      <c r="A87" s="83" t="s">
        <v>319</v>
      </c>
      <c r="B87" s="84">
        <v>2637109</v>
      </c>
      <c r="C87" s="85">
        <v>499.14843143215018</v>
      </c>
      <c r="D87" s="86">
        <v>0.30110739533105957</v>
      </c>
      <c r="E87" s="87">
        <v>0</v>
      </c>
      <c r="F87" s="87">
        <v>0</v>
      </c>
      <c r="G87" s="87">
        <v>2.3104847012391221E-3</v>
      </c>
      <c r="H87" s="87">
        <v>0.1389844038278642</v>
      </c>
      <c r="I87" s="87">
        <v>0.15981250680195624</v>
      </c>
      <c r="J87" s="86">
        <v>0</v>
      </c>
      <c r="K87" s="86">
        <v>0.17785476523116492</v>
      </c>
      <c r="L87" s="86">
        <v>0.13562477138070517</v>
      </c>
      <c r="M87" s="86">
        <v>1.8429244208876087E-2</v>
      </c>
      <c r="N87" s="86">
        <v>1.2884824025748717E-3</v>
      </c>
      <c r="O87" s="86">
        <v>0.36569534144561944</v>
      </c>
      <c r="P87" s="86">
        <v>1</v>
      </c>
      <c r="R87" s="81">
        <f t="shared" si="3"/>
        <v>0</v>
      </c>
      <c r="S87" s="81">
        <f t="shared" si="4"/>
        <v>469022.40208399208</v>
      </c>
      <c r="T87" s="82">
        <f t="shared" si="5"/>
        <v>48599.925766425011</v>
      </c>
    </row>
    <row r="88" spans="1:20" ht="25.5">
      <c r="A88" s="83" t="s">
        <v>320</v>
      </c>
      <c r="B88" s="84">
        <v>1088052.5599448159</v>
      </c>
      <c r="C88" s="85">
        <v>0</v>
      </c>
      <c r="D88" s="86">
        <v>0.99999999999999978</v>
      </c>
      <c r="E88" s="87">
        <v>0</v>
      </c>
      <c r="F88" s="87">
        <v>0</v>
      </c>
      <c r="G88" s="87">
        <v>6.720260869645138E-2</v>
      </c>
      <c r="H88" s="87">
        <v>0.71460765238458024</v>
      </c>
      <c r="I88" s="87">
        <v>0.21818973891896809</v>
      </c>
      <c r="J88" s="86">
        <v>0</v>
      </c>
      <c r="K88" s="86">
        <v>0</v>
      </c>
      <c r="L88" s="86">
        <v>0</v>
      </c>
      <c r="M88" s="86">
        <v>0</v>
      </c>
      <c r="N88" s="86">
        <v>0</v>
      </c>
      <c r="O88" s="86">
        <v>0</v>
      </c>
      <c r="P88" s="86">
        <v>0.99999999999999967</v>
      </c>
      <c r="R88" s="81">
        <f t="shared" si="3"/>
        <v>0</v>
      </c>
      <c r="S88" s="81">
        <f t="shared" si="4"/>
        <v>0</v>
      </c>
      <c r="T88" s="82">
        <f t="shared" si="5"/>
        <v>0</v>
      </c>
    </row>
    <row r="89" spans="1:20" ht="25.5">
      <c r="A89" s="83" t="s">
        <v>321</v>
      </c>
      <c r="B89" s="84">
        <v>177051.6244106954</v>
      </c>
      <c r="C89" s="85">
        <v>502.83968632291106</v>
      </c>
      <c r="D89" s="86">
        <v>0.6226177496344385</v>
      </c>
      <c r="E89" s="87">
        <v>0.19497082593497989</v>
      </c>
      <c r="F89" s="87">
        <v>0</v>
      </c>
      <c r="G89" s="87">
        <v>0</v>
      </c>
      <c r="H89" s="87">
        <v>0</v>
      </c>
      <c r="I89" s="87">
        <v>0.42764692369945861</v>
      </c>
      <c r="J89" s="86">
        <v>0</v>
      </c>
      <c r="K89" s="86">
        <v>0.1241648663010745</v>
      </c>
      <c r="L89" s="86">
        <v>0</v>
      </c>
      <c r="M89" s="86">
        <v>0.25321738406448713</v>
      </c>
      <c r="N89" s="86">
        <v>0</v>
      </c>
      <c r="O89" s="86">
        <v>0</v>
      </c>
      <c r="P89" s="86">
        <v>1</v>
      </c>
      <c r="R89" s="81">
        <f t="shared" si="3"/>
        <v>0</v>
      </c>
      <c r="S89" s="81">
        <f t="shared" si="4"/>
        <v>21983.591273342052</v>
      </c>
      <c r="T89" s="82">
        <f t="shared" si="5"/>
        <v>44832.549177644381</v>
      </c>
    </row>
    <row r="90" spans="1:20" ht="25.5">
      <c r="A90" s="83" t="s">
        <v>322</v>
      </c>
      <c r="B90" s="84">
        <v>250203.33516294489</v>
      </c>
      <c r="C90" s="85">
        <v>149.57334903174578</v>
      </c>
      <c r="D90" s="86">
        <v>1</v>
      </c>
      <c r="E90" s="87">
        <v>1.4795926523956452E-2</v>
      </c>
      <c r="F90" s="87">
        <v>0.7993477322504835</v>
      </c>
      <c r="G90" s="87">
        <v>0</v>
      </c>
      <c r="H90" s="87">
        <v>0.12145289443813848</v>
      </c>
      <c r="I90" s="87">
        <v>6.4403446787421464E-2</v>
      </c>
      <c r="J90" s="86">
        <v>0</v>
      </c>
      <c r="K90" s="86">
        <v>0</v>
      </c>
      <c r="L90" s="86">
        <v>0</v>
      </c>
      <c r="M90" s="86">
        <v>0</v>
      </c>
      <c r="N90" s="86">
        <v>0</v>
      </c>
      <c r="O90" s="86">
        <v>0</v>
      </c>
      <c r="P90" s="86">
        <v>1</v>
      </c>
      <c r="R90" s="81">
        <f t="shared" si="3"/>
        <v>0</v>
      </c>
      <c r="S90" s="81">
        <f t="shared" si="4"/>
        <v>0</v>
      </c>
      <c r="T90" s="82">
        <f t="shared" si="5"/>
        <v>0</v>
      </c>
    </row>
    <row r="91" spans="1:20">
      <c r="A91" s="83" t="s">
        <v>323</v>
      </c>
      <c r="B91" s="84">
        <v>427008.61084207118</v>
      </c>
      <c r="C91" s="85">
        <v>35.898516693150199</v>
      </c>
      <c r="D91" s="86">
        <v>0.96195487702974325</v>
      </c>
      <c r="E91" s="87">
        <v>0</v>
      </c>
      <c r="F91" s="87">
        <v>0</v>
      </c>
      <c r="G91" s="87">
        <v>0</v>
      </c>
      <c r="H91" s="87">
        <v>0.96195487702974325</v>
      </c>
      <c r="I91" s="87">
        <v>0</v>
      </c>
      <c r="J91" s="86">
        <v>0</v>
      </c>
      <c r="K91" s="86">
        <v>0</v>
      </c>
      <c r="L91" s="86">
        <v>0</v>
      </c>
      <c r="M91" s="86">
        <v>0</v>
      </c>
      <c r="N91" s="86">
        <v>0</v>
      </c>
      <c r="O91" s="86">
        <v>3.8045122970256723E-2</v>
      </c>
      <c r="P91" s="86">
        <v>1</v>
      </c>
      <c r="R91" s="81">
        <f t="shared" si="3"/>
        <v>0</v>
      </c>
      <c r="S91" s="81">
        <f t="shared" si="4"/>
        <v>0</v>
      </c>
      <c r="T91" s="82">
        <f t="shared" si="5"/>
        <v>0</v>
      </c>
    </row>
    <row r="92" spans="1:20">
      <c r="A92" s="83" t="s">
        <v>324</v>
      </c>
      <c r="B92" s="84">
        <v>31562.805059999999</v>
      </c>
      <c r="C92" s="85">
        <v>46.057326833733867</v>
      </c>
      <c r="D92" s="86">
        <v>0.67221353248203541</v>
      </c>
      <c r="E92" s="87">
        <v>2.3063644184158873E-2</v>
      </c>
      <c r="F92" s="87">
        <v>2.6011018216647317E-3</v>
      </c>
      <c r="G92" s="87">
        <v>9.0298069704356863E-3</v>
      </c>
      <c r="H92" s="87">
        <v>0.59046716442158742</v>
      </c>
      <c r="I92" s="87">
        <v>4.7051815084188785E-2</v>
      </c>
      <c r="J92" s="86">
        <v>0</v>
      </c>
      <c r="K92" s="86">
        <v>3.7923276248449309E-2</v>
      </c>
      <c r="L92" s="86">
        <v>4.3464833632340528E-2</v>
      </c>
      <c r="M92" s="86">
        <v>0.24639835763717544</v>
      </c>
      <c r="N92" s="86">
        <v>0</v>
      </c>
      <c r="O92" s="86">
        <v>0</v>
      </c>
      <c r="P92" s="86">
        <v>1.0000000000000009</v>
      </c>
      <c r="R92" s="81">
        <f t="shared" si="3"/>
        <v>0</v>
      </c>
      <c r="S92" s="81">
        <f t="shared" si="4"/>
        <v>1196.9649754663335</v>
      </c>
      <c r="T92" s="82">
        <f t="shared" si="5"/>
        <v>7777.0233292063303</v>
      </c>
    </row>
    <row r="93" spans="1:20">
      <c r="A93" s="83" t="s">
        <v>325</v>
      </c>
      <c r="B93" s="84">
        <v>30291313.540000003</v>
      </c>
      <c r="C93" s="85">
        <v>56.082209736390979</v>
      </c>
      <c r="D93" s="86">
        <v>0.38317298343278955</v>
      </c>
      <c r="E93" s="87">
        <v>4.6127288364465086E-2</v>
      </c>
      <c r="F93" s="87">
        <v>5.2022036428949637E-3</v>
      </c>
      <c r="G93" s="87">
        <v>1.8098370924874686E-2</v>
      </c>
      <c r="H93" s="87">
        <v>0.21964149034003697</v>
      </c>
      <c r="I93" s="87">
        <v>9.4103630160517801E-2</v>
      </c>
      <c r="J93" s="86">
        <v>0</v>
      </c>
      <c r="K93" s="86">
        <v>7.5846552490563726E-2</v>
      </c>
      <c r="L93" s="86">
        <v>4.8183748843455589E-2</v>
      </c>
      <c r="M93" s="86">
        <v>0.4927967152331913</v>
      </c>
      <c r="N93" s="86">
        <v>0</v>
      </c>
      <c r="O93" s="86">
        <v>0</v>
      </c>
      <c r="P93" s="86">
        <v>1</v>
      </c>
      <c r="R93" s="81">
        <f t="shared" si="3"/>
        <v>0</v>
      </c>
      <c r="S93" s="81">
        <f t="shared" si="4"/>
        <v>2297491.7024197341</v>
      </c>
      <c r="T93" s="82">
        <f t="shared" si="5"/>
        <v>14927459.812610693</v>
      </c>
    </row>
    <row r="94" spans="1:20">
      <c r="A94" s="83" t="s">
        <v>326</v>
      </c>
      <c r="B94" s="84">
        <v>107309</v>
      </c>
      <c r="C94" s="85">
        <v>0</v>
      </c>
      <c r="D94" s="86">
        <v>0.99999999999999989</v>
      </c>
      <c r="E94" s="87">
        <v>0</v>
      </c>
      <c r="F94" s="87">
        <v>0</v>
      </c>
      <c r="G94" s="87">
        <v>0</v>
      </c>
      <c r="H94" s="87">
        <v>0.99999999999999989</v>
      </c>
      <c r="I94" s="87">
        <v>0</v>
      </c>
      <c r="J94" s="86">
        <v>0</v>
      </c>
      <c r="K94" s="86">
        <v>0</v>
      </c>
      <c r="L94" s="86">
        <v>0</v>
      </c>
      <c r="M94" s="86">
        <v>0</v>
      </c>
      <c r="N94" s="86">
        <v>0</v>
      </c>
      <c r="O94" s="86">
        <v>0</v>
      </c>
      <c r="P94" s="86">
        <v>1</v>
      </c>
      <c r="R94" s="81">
        <f t="shared" si="3"/>
        <v>0</v>
      </c>
      <c r="S94" s="81">
        <f t="shared" si="4"/>
        <v>0</v>
      </c>
      <c r="T94" s="82">
        <f t="shared" si="5"/>
        <v>0</v>
      </c>
    </row>
    <row r="95" spans="1:20">
      <c r="A95" s="83" t="s">
        <v>327</v>
      </c>
      <c r="B95" s="84">
        <v>4740</v>
      </c>
      <c r="C95" s="85">
        <v>1263.1451286287963</v>
      </c>
      <c r="D95" s="86">
        <v>0.21138923249092403</v>
      </c>
      <c r="E95" s="87">
        <v>4.0554272612853154E-4</v>
      </c>
      <c r="F95" s="87">
        <v>4.8699331426098214E-3</v>
      </c>
      <c r="G95" s="87">
        <v>1.0337998872078936E-2</v>
      </c>
      <c r="H95" s="87">
        <v>1.5715753499305034E-2</v>
      </c>
      <c r="I95" s="87">
        <v>0.18006000425080171</v>
      </c>
      <c r="J95" s="86">
        <v>0.40763866695031287</v>
      </c>
      <c r="K95" s="86">
        <v>4.5096871318282439E-2</v>
      </c>
      <c r="L95" s="86">
        <v>0.18519069115157022</v>
      </c>
      <c r="M95" s="86">
        <v>1.7251054852320674E-3</v>
      </c>
      <c r="N95" s="86">
        <v>2.109704641350211E-4</v>
      </c>
      <c r="O95" s="86">
        <v>0.14874846213954343</v>
      </c>
      <c r="P95" s="86">
        <v>1.0000000000000002</v>
      </c>
      <c r="R95" s="81">
        <f t="shared" si="3"/>
        <v>1932.2072813444829</v>
      </c>
      <c r="S95" s="81">
        <f t="shared" si="4"/>
        <v>213.75917004865875</v>
      </c>
      <c r="T95" s="82">
        <f t="shared" si="5"/>
        <v>8.1769999999999996</v>
      </c>
    </row>
    <row r="96" spans="1:20">
      <c r="A96" s="83" t="s">
        <v>328</v>
      </c>
      <c r="B96" s="84">
        <v>794788</v>
      </c>
      <c r="C96" s="85">
        <v>1263.2406245244974</v>
      </c>
      <c r="D96" s="86">
        <v>0.21138914059186292</v>
      </c>
      <c r="E96" s="87">
        <v>4.0554255263938933E-4</v>
      </c>
      <c r="F96" s="87">
        <v>4.8699310592768726E-3</v>
      </c>
      <c r="G96" s="87">
        <v>1.0337994449534919E-2</v>
      </c>
      <c r="H96" s="87">
        <v>1.5715745308375852E-2</v>
      </c>
      <c r="I96" s="87">
        <v>0.1800599272220359</v>
      </c>
      <c r="J96" s="86">
        <v>0.4076384925645376</v>
      </c>
      <c r="K96" s="86">
        <v>4.4909359181182211E-2</v>
      </c>
      <c r="L96" s="86">
        <v>0.1851906119279223</v>
      </c>
      <c r="M96" s="86">
        <v>1.8118039024242942E-3</v>
      </c>
      <c r="N96" s="86">
        <v>1.2581971544613153E-4</v>
      </c>
      <c r="O96" s="86">
        <v>0.14893477211662434</v>
      </c>
      <c r="P96" s="86">
        <v>0.99999999999999978</v>
      </c>
      <c r="R96" s="81">
        <f t="shared" si="3"/>
        <v>323986.18222838372</v>
      </c>
      <c r="S96" s="81">
        <f t="shared" si="4"/>
        <v>35693.41976489345</v>
      </c>
      <c r="T96" s="82">
        <f t="shared" si="5"/>
        <v>1440</v>
      </c>
    </row>
    <row r="97" spans="1:20">
      <c r="A97" s="83" t="s">
        <v>329</v>
      </c>
      <c r="B97" s="84">
        <v>286706</v>
      </c>
      <c r="C97" s="85">
        <v>0</v>
      </c>
      <c r="D97" s="86">
        <v>1</v>
      </c>
      <c r="E97" s="87">
        <v>0</v>
      </c>
      <c r="F97" s="87">
        <v>0</v>
      </c>
      <c r="G97" s="87">
        <v>0</v>
      </c>
      <c r="H97" s="87">
        <v>0.5000017439406782</v>
      </c>
      <c r="I97" s="87">
        <v>0.49999825605932186</v>
      </c>
      <c r="J97" s="86">
        <v>0</v>
      </c>
      <c r="K97" s="86">
        <v>0</v>
      </c>
      <c r="L97" s="86">
        <v>0</v>
      </c>
      <c r="M97" s="86">
        <v>0</v>
      </c>
      <c r="N97" s="86">
        <v>0</v>
      </c>
      <c r="O97" s="86">
        <v>0</v>
      </c>
      <c r="P97" s="86">
        <v>1</v>
      </c>
      <c r="R97" s="81">
        <f t="shared" si="3"/>
        <v>0</v>
      </c>
      <c r="S97" s="81">
        <f t="shared" si="4"/>
        <v>0</v>
      </c>
      <c r="T97" s="82">
        <f t="shared" si="5"/>
        <v>0</v>
      </c>
    </row>
    <row r="98" spans="1:20">
      <c r="A98" s="83" t="s">
        <v>330</v>
      </c>
      <c r="B98" s="84">
        <v>3089082.38</v>
      </c>
      <c r="C98" s="85">
        <v>9.0953577547434108</v>
      </c>
      <c r="D98" s="86">
        <v>0.51751542938510409</v>
      </c>
      <c r="E98" s="87">
        <v>8.1732313513200136E-2</v>
      </c>
      <c r="F98" s="87">
        <v>4.9382907488971471E-2</v>
      </c>
      <c r="G98" s="87">
        <v>8.1251245828744684E-3</v>
      </c>
      <c r="H98" s="87">
        <v>0.18512257528255188</v>
      </c>
      <c r="I98" s="87">
        <v>0.19315250851750618</v>
      </c>
      <c r="J98" s="86">
        <v>0</v>
      </c>
      <c r="K98" s="86">
        <v>0.48248457061489591</v>
      </c>
      <c r="L98" s="86">
        <v>0</v>
      </c>
      <c r="M98" s="86">
        <v>0</v>
      </c>
      <c r="N98" s="86">
        <v>0</v>
      </c>
      <c r="O98" s="86">
        <v>0</v>
      </c>
      <c r="P98" s="86">
        <v>1</v>
      </c>
      <c r="R98" s="81">
        <f t="shared" si="3"/>
        <v>0</v>
      </c>
      <c r="S98" s="81">
        <f t="shared" si="4"/>
        <v>1490434.5857083406</v>
      </c>
      <c r="T98" s="82">
        <f t="shared" si="5"/>
        <v>0</v>
      </c>
    </row>
    <row r="99" spans="1:20">
      <c r="A99" s="83" t="s">
        <v>331</v>
      </c>
      <c r="B99" s="84">
        <v>6501</v>
      </c>
      <c r="C99" s="85">
        <v>0</v>
      </c>
      <c r="D99" s="86">
        <v>1</v>
      </c>
      <c r="E99" s="87">
        <v>0</v>
      </c>
      <c r="F99" s="87">
        <v>0</v>
      </c>
      <c r="G99" s="87">
        <v>0</v>
      </c>
      <c r="H99" s="87">
        <v>1</v>
      </c>
      <c r="I99" s="87">
        <v>0</v>
      </c>
      <c r="J99" s="86">
        <v>0</v>
      </c>
      <c r="K99" s="86">
        <v>0</v>
      </c>
      <c r="L99" s="86">
        <v>0</v>
      </c>
      <c r="M99" s="86">
        <v>0</v>
      </c>
      <c r="N99" s="86">
        <v>0</v>
      </c>
      <c r="O99" s="86">
        <v>0</v>
      </c>
      <c r="P99" s="86">
        <v>1</v>
      </c>
      <c r="R99" s="81">
        <f t="shared" si="3"/>
        <v>0</v>
      </c>
      <c r="S99" s="81">
        <f t="shared" si="4"/>
        <v>0</v>
      </c>
      <c r="T99" s="82">
        <f t="shared" si="5"/>
        <v>0</v>
      </c>
    </row>
    <row r="100" spans="1:20" ht="25.5">
      <c r="A100" s="83" t="s">
        <v>332</v>
      </c>
      <c r="B100" s="84">
        <v>4854.9944199000001</v>
      </c>
      <c r="C100" s="85">
        <v>471.88531369540925</v>
      </c>
      <c r="D100" s="86">
        <v>0.55777613026706163</v>
      </c>
      <c r="E100" s="87">
        <v>0</v>
      </c>
      <c r="F100" s="87">
        <v>0</v>
      </c>
      <c r="G100" s="87">
        <v>0</v>
      </c>
      <c r="H100" s="87">
        <v>0.49989758794614425</v>
      </c>
      <c r="I100" s="87">
        <v>5.7878542320917402E-2</v>
      </c>
      <c r="J100" s="86">
        <v>0</v>
      </c>
      <c r="K100" s="86">
        <v>0</v>
      </c>
      <c r="L100" s="86">
        <v>0</v>
      </c>
      <c r="M100" s="86">
        <v>0</v>
      </c>
      <c r="N100" s="86">
        <v>0</v>
      </c>
      <c r="O100" s="86">
        <v>0.44222386973293831</v>
      </c>
      <c r="P100" s="86">
        <v>0.99999999999999989</v>
      </c>
      <c r="R100" s="81">
        <f t="shared" si="3"/>
        <v>0</v>
      </c>
      <c r="S100" s="81">
        <f t="shared" si="4"/>
        <v>0</v>
      </c>
      <c r="T100" s="82">
        <f t="shared" si="5"/>
        <v>0</v>
      </c>
    </row>
    <row r="101" spans="1:20" ht="25.5">
      <c r="A101" s="83" t="s">
        <v>333</v>
      </c>
      <c r="B101" s="84">
        <v>211546.88746739962</v>
      </c>
      <c r="C101" s="85">
        <v>538.01617823672132</v>
      </c>
      <c r="D101" s="86">
        <v>0.40760703706069956</v>
      </c>
      <c r="E101" s="87">
        <v>7.2489839881776541E-2</v>
      </c>
      <c r="F101" s="87">
        <v>1.4181253318899878E-2</v>
      </c>
      <c r="G101" s="87">
        <v>0</v>
      </c>
      <c r="H101" s="87">
        <v>4.067183451860485E-2</v>
      </c>
      <c r="I101" s="87">
        <v>0.28026410934141832</v>
      </c>
      <c r="J101" s="86">
        <v>0</v>
      </c>
      <c r="K101" s="86">
        <v>3.3300135418374316E-2</v>
      </c>
      <c r="L101" s="86">
        <v>0</v>
      </c>
      <c r="M101" s="86">
        <v>5.3688050606512716E-2</v>
      </c>
      <c r="N101" s="86">
        <v>0</v>
      </c>
      <c r="O101" s="86">
        <v>0.50540477691441343</v>
      </c>
      <c r="P101" s="86">
        <v>1</v>
      </c>
      <c r="R101" s="81">
        <f t="shared" si="3"/>
        <v>0</v>
      </c>
      <c r="S101" s="81">
        <f t="shared" si="4"/>
        <v>7044.54</v>
      </c>
      <c r="T101" s="82">
        <f t="shared" si="5"/>
        <v>11357.54</v>
      </c>
    </row>
    <row r="102" spans="1:20">
      <c r="A102" s="83" t="s">
        <v>334</v>
      </c>
      <c r="B102" s="84">
        <v>1025522</v>
      </c>
      <c r="C102" s="85">
        <v>560.06204589546746</v>
      </c>
      <c r="D102" s="86">
        <v>0.43839917622440083</v>
      </c>
      <c r="E102" s="87">
        <v>0</v>
      </c>
      <c r="F102" s="87">
        <v>0.1631705609435975</v>
      </c>
      <c r="G102" s="87">
        <v>2.3646494175649083E-3</v>
      </c>
      <c r="H102" s="87">
        <v>6.0386807889055524E-2</v>
      </c>
      <c r="I102" s="87">
        <v>0.2124771579741829</v>
      </c>
      <c r="J102" s="86">
        <v>0</v>
      </c>
      <c r="K102" s="86">
        <v>0</v>
      </c>
      <c r="L102" s="86">
        <v>0</v>
      </c>
      <c r="M102" s="86">
        <v>0</v>
      </c>
      <c r="N102" s="86">
        <v>0</v>
      </c>
      <c r="O102" s="86">
        <v>0.56160082377559917</v>
      </c>
      <c r="P102" s="86">
        <v>1</v>
      </c>
      <c r="R102" s="81">
        <f t="shared" si="3"/>
        <v>0</v>
      </c>
      <c r="S102" s="81">
        <f t="shared" si="4"/>
        <v>0</v>
      </c>
      <c r="T102" s="82">
        <f t="shared" si="5"/>
        <v>0</v>
      </c>
    </row>
    <row r="103" spans="1:20" ht="25.5">
      <c r="A103" s="83" t="s">
        <v>335</v>
      </c>
      <c r="B103" s="84">
        <v>1633900.7102585861</v>
      </c>
      <c r="C103" s="85">
        <v>342.69277950264535</v>
      </c>
      <c r="D103" s="86">
        <v>0.44080952745654461</v>
      </c>
      <c r="E103" s="87">
        <v>6.0670761312241169E-3</v>
      </c>
      <c r="F103" s="87">
        <v>6.064321985900753E-2</v>
      </c>
      <c r="G103" s="87">
        <v>2.6565261724582147E-2</v>
      </c>
      <c r="H103" s="87">
        <v>0.11456081683835988</v>
      </c>
      <c r="I103" s="87">
        <v>0.23297315290337098</v>
      </c>
      <c r="J103" s="86">
        <v>0</v>
      </c>
      <c r="K103" s="86">
        <v>1.2997817962046737E-2</v>
      </c>
      <c r="L103" s="86">
        <v>0</v>
      </c>
      <c r="M103" s="86">
        <v>0.27615695994684375</v>
      </c>
      <c r="N103" s="86">
        <v>0</v>
      </c>
      <c r="O103" s="86">
        <v>0.27003569463456484</v>
      </c>
      <c r="P103" s="86">
        <v>1</v>
      </c>
      <c r="R103" s="81">
        <f t="shared" si="3"/>
        <v>0</v>
      </c>
      <c r="S103" s="81">
        <f t="shared" si="4"/>
        <v>21237.143999999971</v>
      </c>
      <c r="T103" s="82">
        <f t="shared" si="5"/>
        <v>451213.0529999999</v>
      </c>
    </row>
    <row r="104" spans="1:20" ht="25.5">
      <c r="A104" s="83" t="s">
        <v>336</v>
      </c>
      <c r="B104" s="84">
        <v>1847.189011566916</v>
      </c>
      <c r="C104" s="85">
        <v>0</v>
      </c>
      <c r="D104" s="86">
        <v>1.0000000000000002</v>
      </c>
      <c r="E104" s="87">
        <v>0</v>
      </c>
      <c r="F104" s="87">
        <v>0</v>
      </c>
      <c r="G104" s="87">
        <v>0.21645021645021648</v>
      </c>
      <c r="H104" s="87">
        <v>0.28354978354978355</v>
      </c>
      <c r="I104" s="87">
        <v>0.5</v>
      </c>
      <c r="J104" s="86">
        <v>0</v>
      </c>
      <c r="K104" s="86">
        <v>0</v>
      </c>
      <c r="L104" s="86">
        <v>0</v>
      </c>
      <c r="M104" s="86">
        <v>0</v>
      </c>
      <c r="N104" s="86">
        <v>0</v>
      </c>
      <c r="O104" s="86">
        <v>0</v>
      </c>
      <c r="P104" s="86">
        <v>1</v>
      </c>
      <c r="R104" s="81">
        <f t="shared" si="3"/>
        <v>0</v>
      </c>
      <c r="S104" s="81">
        <f t="shared" si="4"/>
        <v>0</v>
      </c>
      <c r="T104" s="82">
        <f t="shared" si="5"/>
        <v>0</v>
      </c>
    </row>
    <row r="105" spans="1:20">
      <c r="A105" s="83" t="s">
        <v>337</v>
      </c>
      <c r="B105" s="84">
        <v>26489</v>
      </c>
      <c r="C105" s="85">
        <v>563.85239274566788</v>
      </c>
      <c r="D105" s="86">
        <v>0.26626146702404774</v>
      </c>
      <c r="E105" s="87">
        <v>0</v>
      </c>
      <c r="F105" s="87">
        <v>0</v>
      </c>
      <c r="G105" s="87">
        <v>8.5695949261957796E-3</v>
      </c>
      <c r="H105" s="87">
        <v>0.25769187209785194</v>
      </c>
      <c r="I105" s="87">
        <v>0</v>
      </c>
      <c r="J105" s="86">
        <v>0</v>
      </c>
      <c r="K105" s="86">
        <v>9.6190871682585222E-2</v>
      </c>
      <c r="L105" s="86">
        <v>0</v>
      </c>
      <c r="M105" s="86">
        <v>0</v>
      </c>
      <c r="N105" s="86">
        <v>3.9978859149080753E-2</v>
      </c>
      <c r="O105" s="86">
        <v>0.59756880214428632</v>
      </c>
      <c r="P105" s="86">
        <v>1</v>
      </c>
      <c r="R105" s="81">
        <f t="shared" si="3"/>
        <v>0</v>
      </c>
      <c r="S105" s="81">
        <f t="shared" si="4"/>
        <v>2548</v>
      </c>
      <c r="T105" s="82">
        <f t="shared" si="5"/>
        <v>0</v>
      </c>
    </row>
    <row r="106" spans="1:20">
      <c r="A106" s="83" t="s">
        <v>338</v>
      </c>
      <c r="B106" s="84">
        <v>148370</v>
      </c>
      <c r="C106" s="85">
        <v>805.3900811563044</v>
      </c>
      <c r="D106" s="86">
        <v>4.5177596549167622E-2</v>
      </c>
      <c r="E106" s="87">
        <v>0</v>
      </c>
      <c r="F106" s="87">
        <v>3.6348318393206173E-2</v>
      </c>
      <c r="G106" s="87">
        <v>8.7079598301543441E-3</v>
      </c>
      <c r="H106" s="87">
        <v>1.2131832580710386E-4</v>
      </c>
      <c r="I106" s="87">
        <v>0</v>
      </c>
      <c r="J106" s="86">
        <v>0</v>
      </c>
      <c r="K106" s="86">
        <v>0.17186893785805751</v>
      </c>
      <c r="L106" s="86">
        <v>0.27260227808856236</v>
      </c>
      <c r="M106" s="86">
        <v>0</v>
      </c>
      <c r="N106" s="86">
        <v>0</v>
      </c>
      <c r="O106" s="86">
        <v>0.51035118750421249</v>
      </c>
      <c r="P106" s="86">
        <v>1</v>
      </c>
      <c r="R106" s="81">
        <f t="shared" si="3"/>
        <v>0</v>
      </c>
      <c r="S106" s="81">
        <f t="shared" si="4"/>
        <v>25500.194309999992</v>
      </c>
      <c r="T106" s="82">
        <f t="shared" si="5"/>
        <v>0</v>
      </c>
    </row>
    <row r="107" spans="1:20">
      <c r="A107" s="83" t="s">
        <v>339</v>
      </c>
      <c r="B107" s="84">
        <v>510.19135801212099</v>
      </c>
      <c r="C107" s="85">
        <v>669.85761330706953</v>
      </c>
      <c r="D107" s="86">
        <v>0.34692865180949395</v>
      </c>
      <c r="E107" s="87">
        <v>0</v>
      </c>
      <c r="F107" s="87">
        <v>0</v>
      </c>
      <c r="G107" s="87">
        <v>0</v>
      </c>
      <c r="H107" s="87">
        <v>0</v>
      </c>
      <c r="I107" s="87">
        <v>0.34692865180949395</v>
      </c>
      <c r="J107" s="86">
        <v>0</v>
      </c>
      <c r="K107" s="86">
        <v>0</v>
      </c>
      <c r="L107" s="86">
        <v>0</v>
      </c>
      <c r="M107" s="86">
        <v>0</v>
      </c>
      <c r="N107" s="86">
        <v>0</v>
      </c>
      <c r="O107" s="86">
        <v>0.65307134819050605</v>
      </c>
      <c r="P107" s="86">
        <v>1</v>
      </c>
      <c r="R107" s="81">
        <f t="shared" si="3"/>
        <v>0</v>
      </c>
      <c r="S107" s="81">
        <f t="shared" si="4"/>
        <v>0</v>
      </c>
      <c r="T107" s="82">
        <f t="shared" si="5"/>
        <v>0</v>
      </c>
    </row>
    <row r="108" spans="1:20">
      <c r="A108" s="83" t="s">
        <v>340</v>
      </c>
      <c r="B108" s="84">
        <v>423783.68028637191</v>
      </c>
      <c r="C108" s="85">
        <v>610.81862856057717</v>
      </c>
      <c r="D108" s="86">
        <v>0.32855913636388712</v>
      </c>
      <c r="E108" s="87">
        <v>2.6355427354948037E-2</v>
      </c>
      <c r="F108" s="87">
        <v>0</v>
      </c>
      <c r="G108" s="87">
        <v>0</v>
      </c>
      <c r="H108" s="87">
        <v>6.0953267437162034E-2</v>
      </c>
      <c r="I108" s="87">
        <v>0.24125044157177702</v>
      </c>
      <c r="J108" s="86">
        <v>0</v>
      </c>
      <c r="K108" s="86">
        <v>3.1790629575202276E-2</v>
      </c>
      <c r="L108" s="86">
        <v>0</v>
      </c>
      <c r="M108" s="86">
        <v>5.6571314836379651E-2</v>
      </c>
      <c r="N108" s="86">
        <v>0</v>
      </c>
      <c r="O108" s="86">
        <v>0.58307891922453092</v>
      </c>
      <c r="P108" s="86">
        <v>1</v>
      </c>
      <c r="R108" s="81">
        <f t="shared" si="3"/>
        <v>0</v>
      </c>
      <c r="S108" s="81">
        <f t="shared" si="4"/>
        <v>13472.35</v>
      </c>
      <c r="T108" s="82">
        <f t="shared" si="5"/>
        <v>23974</v>
      </c>
    </row>
    <row r="109" spans="1:20">
      <c r="A109" s="83" t="s">
        <v>341</v>
      </c>
      <c r="B109" s="84">
        <v>117540</v>
      </c>
      <c r="C109" s="85">
        <v>671.24075378713894</v>
      </c>
      <c r="D109" s="86">
        <v>0.17258805513016845</v>
      </c>
      <c r="E109" s="87">
        <v>0.12978560490045943</v>
      </c>
      <c r="F109" s="87">
        <v>0</v>
      </c>
      <c r="G109" s="87">
        <v>1.8436277012080993E-2</v>
      </c>
      <c r="H109" s="87">
        <v>2.4366173217628042E-2</v>
      </c>
      <c r="I109" s="87">
        <v>0</v>
      </c>
      <c r="J109" s="86">
        <v>0</v>
      </c>
      <c r="K109" s="86">
        <v>0.12084135962225626</v>
      </c>
      <c r="L109" s="86">
        <v>0</v>
      </c>
      <c r="M109" s="86">
        <v>0</v>
      </c>
      <c r="N109" s="86">
        <v>0</v>
      </c>
      <c r="O109" s="86">
        <v>0.70657058524757521</v>
      </c>
      <c r="P109" s="86">
        <v>1</v>
      </c>
      <c r="R109" s="81">
        <f t="shared" si="3"/>
        <v>0</v>
      </c>
      <c r="S109" s="81">
        <f t="shared" si="4"/>
        <v>14203.69341</v>
      </c>
      <c r="T109" s="82">
        <f t="shared" si="5"/>
        <v>0</v>
      </c>
    </row>
    <row r="110" spans="1:20" ht="25.5">
      <c r="A110" s="83" t="s">
        <v>342</v>
      </c>
      <c r="B110" s="84">
        <v>410151</v>
      </c>
      <c r="C110" s="85">
        <v>659.86140934554169</v>
      </c>
      <c r="D110" s="86">
        <v>0.25797328301040351</v>
      </c>
      <c r="E110" s="87">
        <v>0</v>
      </c>
      <c r="F110" s="87">
        <v>0</v>
      </c>
      <c r="G110" s="87">
        <v>1.0976445260404095E-2</v>
      </c>
      <c r="H110" s="87">
        <v>0.24699683774999939</v>
      </c>
      <c r="I110" s="87">
        <v>0</v>
      </c>
      <c r="J110" s="86">
        <v>0</v>
      </c>
      <c r="K110" s="86">
        <v>3.6762070554503097E-2</v>
      </c>
      <c r="L110" s="86">
        <v>5.4660356795424123E-2</v>
      </c>
      <c r="M110" s="86">
        <v>0</v>
      </c>
      <c r="N110" s="86">
        <v>0</v>
      </c>
      <c r="O110" s="86">
        <v>0.65060428963966932</v>
      </c>
      <c r="P110" s="86">
        <v>1</v>
      </c>
      <c r="R110" s="81">
        <f t="shared" si="3"/>
        <v>0</v>
      </c>
      <c r="S110" s="81">
        <f t="shared" si="4"/>
        <v>15078</v>
      </c>
      <c r="T110" s="82">
        <f t="shared" si="5"/>
        <v>0</v>
      </c>
    </row>
    <row r="111" spans="1:20" ht="25.5">
      <c r="A111" s="83" t="s">
        <v>343</v>
      </c>
      <c r="B111" s="84">
        <v>64628</v>
      </c>
      <c r="C111" s="85">
        <v>0</v>
      </c>
      <c r="D111" s="86">
        <v>0.36092715231788081</v>
      </c>
      <c r="E111" s="87">
        <v>0</v>
      </c>
      <c r="F111" s="87">
        <v>0</v>
      </c>
      <c r="G111" s="87">
        <v>3.1719997524292877E-3</v>
      </c>
      <c r="H111" s="87">
        <v>0.35775515256545148</v>
      </c>
      <c r="I111" s="87">
        <v>0</v>
      </c>
      <c r="J111" s="86">
        <v>0</v>
      </c>
      <c r="K111" s="86">
        <v>0.63907284768211925</v>
      </c>
      <c r="L111" s="86">
        <v>0</v>
      </c>
      <c r="M111" s="86">
        <v>0</v>
      </c>
      <c r="N111" s="86">
        <v>0</v>
      </c>
      <c r="O111" s="86">
        <v>0</v>
      </c>
      <c r="P111" s="86">
        <v>1</v>
      </c>
      <c r="R111" s="81">
        <f t="shared" si="3"/>
        <v>0</v>
      </c>
      <c r="S111" s="81">
        <f t="shared" si="4"/>
        <v>41302</v>
      </c>
      <c r="T111" s="82">
        <f t="shared" si="5"/>
        <v>0</v>
      </c>
    </row>
    <row r="112" spans="1:20">
      <c r="A112" s="83" t="s">
        <v>344</v>
      </c>
      <c r="B112" s="84">
        <v>282288.29427096655</v>
      </c>
      <c r="C112" s="85">
        <v>612.3755739320776</v>
      </c>
      <c r="D112" s="86">
        <v>0.32266304288398551</v>
      </c>
      <c r="E112" s="87">
        <v>8.9057890497819554E-3</v>
      </c>
      <c r="F112" s="87">
        <v>1.1622869479846696E-2</v>
      </c>
      <c r="G112" s="87">
        <v>7.7580262605499129E-4</v>
      </c>
      <c r="H112" s="87">
        <v>8.2769992501255121E-2</v>
      </c>
      <c r="I112" s="87">
        <v>0.21858858922704674</v>
      </c>
      <c r="J112" s="86">
        <v>0</v>
      </c>
      <c r="K112" s="86">
        <v>3.02789955285762E-2</v>
      </c>
      <c r="L112" s="86">
        <v>0</v>
      </c>
      <c r="M112" s="86">
        <v>5.7082140234028439E-2</v>
      </c>
      <c r="N112" s="86">
        <v>0</v>
      </c>
      <c r="O112" s="86">
        <v>0.58997582135340976</v>
      </c>
      <c r="P112" s="86">
        <v>1</v>
      </c>
      <c r="R112" s="81">
        <f t="shared" si="3"/>
        <v>0</v>
      </c>
      <c r="S112" s="81">
        <f t="shared" si="4"/>
        <v>8547.405999999999</v>
      </c>
      <c r="T112" s="82">
        <f t="shared" si="5"/>
        <v>16113.619999999999</v>
      </c>
    </row>
    <row r="113" spans="1:20" ht="25.5">
      <c r="A113" s="83" t="s">
        <v>345</v>
      </c>
      <c r="B113" s="84">
        <v>1884.8989789494203</v>
      </c>
      <c r="C113" s="85">
        <v>670.7658686472148</v>
      </c>
      <c r="D113" s="86">
        <v>1</v>
      </c>
      <c r="E113" s="87">
        <v>0</v>
      </c>
      <c r="F113" s="87">
        <v>0</v>
      </c>
      <c r="G113" s="87">
        <v>0</v>
      </c>
      <c r="H113" s="87">
        <v>0.28912466843501328</v>
      </c>
      <c r="I113" s="87">
        <v>0.71087533156498683</v>
      </c>
      <c r="J113" s="86">
        <v>0</v>
      </c>
      <c r="K113" s="86">
        <v>0</v>
      </c>
      <c r="L113" s="86">
        <v>0</v>
      </c>
      <c r="M113" s="86">
        <v>0</v>
      </c>
      <c r="N113" s="86">
        <v>0</v>
      </c>
      <c r="O113" s="86">
        <v>0</v>
      </c>
      <c r="P113" s="86">
        <v>1</v>
      </c>
      <c r="R113" s="81">
        <f t="shared" si="3"/>
        <v>0</v>
      </c>
      <c r="S113" s="81">
        <f t="shared" si="4"/>
        <v>0</v>
      </c>
      <c r="T113" s="82">
        <f t="shared" si="5"/>
        <v>0</v>
      </c>
    </row>
    <row r="114" spans="1:20">
      <c r="A114" s="83" t="s">
        <v>346</v>
      </c>
      <c r="B114" s="84">
        <v>712411</v>
      </c>
      <c r="C114" s="85">
        <v>455.42557475553048</v>
      </c>
      <c r="D114" s="86">
        <v>0.2734517013353247</v>
      </c>
      <c r="E114" s="87">
        <v>0</v>
      </c>
      <c r="F114" s="87">
        <v>0</v>
      </c>
      <c r="G114" s="87">
        <v>4.3828632629198595E-2</v>
      </c>
      <c r="H114" s="87">
        <v>0</v>
      </c>
      <c r="I114" s="87">
        <v>0.22962306870612609</v>
      </c>
      <c r="J114" s="86">
        <v>0</v>
      </c>
      <c r="K114" s="86">
        <v>0.2609603164465456</v>
      </c>
      <c r="L114" s="86">
        <v>0.44765872508987081</v>
      </c>
      <c r="M114" s="86">
        <v>1.2095545969952737E-2</v>
      </c>
      <c r="N114" s="86">
        <v>8.351920450414157E-4</v>
      </c>
      <c r="O114" s="86">
        <v>4.9985191132646744E-3</v>
      </c>
      <c r="P114" s="86">
        <v>1</v>
      </c>
      <c r="R114" s="81">
        <f t="shared" si="3"/>
        <v>0</v>
      </c>
      <c r="S114" s="81">
        <f t="shared" si="4"/>
        <v>185911</v>
      </c>
      <c r="T114" s="82">
        <f t="shared" si="5"/>
        <v>8617</v>
      </c>
    </row>
    <row r="115" spans="1:20">
      <c r="A115" s="83" t="s">
        <v>347</v>
      </c>
      <c r="B115" s="84">
        <v>591991.70005405275</v>
      </c>
      <c r="C115" s="85">
        <v>49.39714062070535</v>
      </c>
      <c r="D115" s="86">
        <v>0.50009484925712389</v>
      </c>
      <c r="E115" s="87">
        <v>0.2043575948597825</v>
      </c>
      <c r="F115" s="87">
        <v>0</v>
      </c>
      <c r="G115" s="87">
        <v>9.8413541937632694E-3</v>
      </c>
      <c r="H115" s="87">
        <v>0.21515335432637039</v>
      </c>
      <c r="I115" s="87">
        <v>7.0742545877207685E-2</v>
      </c>
      <c r="J115" s="86">
        <v>0</v>
      </c>
      <c r="K115" s="86">
        <v>0.45026587361894072</v>
      </c>
      <c r="L115" s="86">
        <v>0</v>
      </c>
      <c r="M115" s="86">
        <v>0</v>
      </c>
      <c r="N115" s="86">
        <v>0</v>
      </c>
      <c r="O115" s="86">
        <v>4.9639277123935517E-2</v>
      </c>
      <c r="P115" s="86">
        <v>1</v>
      </c>
      <c r="R115" s="81">
        <f t="shared" si="3"/>
        <v>0</v>
      </c>
      <c r="S115" s="81">
        <f t="shared" si="4"/>
        <v>266553.65999999997</v>
      </c>
      <c r="T115" s="82">
        <f t="shared" si="5"/>
        <v>0</v>
      </c>
    </row>
    <row r="116" spans="1:20">
      <c r="A116" s="83" t="s">
        <v>348</v>
      </c>
      <c r="B116" s="84">
        <v>6362.8460563232802</v>
      </c>
      <c r="C116" s="85">
        <v>0</v>
      </c>
      <c r="D116" s="86">
        <v>1</v>
      </c>
      <c r="E116" s="87">
        <v>0</v>
      </c>
      <c r="F116" s="87">
        <v>0</v>
      </c>
      <c r="G116" s="87">
        <v>0.33333333333333331</v>
      </c>
      <c r="H116" s="87">
        <v>0.33333333333333331</v>
      </c>
      <c r="I116" s="87">
        <v>0.33333333333333331</v>
      </c>
      <c r="J116" s="86">
        <v>0</v>
      </c>
      <c r="K116" s="86">
        <v>0</v>
      </c>
      <c r="L116" s="86">
        <v>0</v>
      </c>
      <c r="M116" s="86">
        <v>0</v>
      </c>
      <c r="N116" s="86">
        <v>0</v>
      </c>
      <c r="O116" s="86">
        <v>0</v>
      </c>
      <c r="P116" s="86">
        <v>1</v>
      </c>
      <c r="R116" s="81">
        <f t="shared" si="3"/>
        <v>0</v>
      </c>
      <c r="S116" s="81">
        <f t="shared" si="4"/>
        <v>0</v>
      </c>
      <c r="T116" s="82">
        <f t="shared" si="5"/>
        <v>0</v>
      </c>
    </row>
    <row r="117" spans="1:20">
      <c r="A117" s="83" t="s">
        <v>349</v>
      </c>
      <c r="B117" s="84">
        <v>13412</v>
      </c>
      <c r="C117" s="85">
        <v>0</v>
      </c>
      <c r="D117" s="86">
        <v>1</v>
      </c>
      <c r="E117" s="87">
        <v>0</v>
      </c>
      <c r="F117" s="87">
        <v>0</v>
      </c>
      <c r="G117" s="87">
        <v>0</v>
      </c>
      <c r="H117" s="87">
        <v>0.9499701759618252</v>
      </c>
      <c r="I117" s="87">
        <v>5.0029824038174769E-2</v>
      </c>
      <c r="J117" s="86">
        <v>0</v>
      </c>
      <c r="K117" s="86">
        <v>0</v>
      </c>
      <c r="L117" s="86">
        <v>0</v>
      </c>
      <c r="M117" s="86">
        <v>0</v>
      </c>
      <c r="N117" s="86">
        <v>0</v>
      </c>
      <c r="O117" s="86">
        <v>0</v>
      </c>
      <c r="P117" s="86">
        <v>1</v>
      </c>
      <c r="R117" s="81">
        <f t="shared" si="3"/>
        <v>0</v>
      </c>
      <c r="S117" s="81">
        <f t="shared" si="4"/>
        <v>0</v>
      </c>
      <c r="T117" s="82">
        <f t="shared" si="5"/>
        <v>0</v>
      </c>
    </row>
    <row r="118" spans="1:20">
      <c r="A118" s="83" t="s">
        <v>350</v>
      </c>
      <c r="B118" s="84">
        <v>1364</v>
      </c>
      <c r="C118" s="85">
        <v>0</v>
      </c>
      <c r="D118" s="86">
        <v>1</v>
      </c>
      <c r="E118" s="87">
        <v>0</v>
      </c>
      <c r="F118" s="87">
        <v>0</v>
      </c>
      <c r="G118" s="87">
        <v>0</v>
      </c>
      <c r="H118" s="87">
        <v>0.95014662756598245</v>
      </c>
      <c r="I118" s="87">
        <v>4.9853372434017593E-2</v>
      </c>
      <c r="J118" s="86">
        <v>0</v>
      </c>
      <c r="K118" s="86">
        <v>0</v>
      </c>
      <c r="L118" s="86">
        <v>0</v>
      </c>
      <c r="M118" s="86">
        <v>0</v>
      </c>
      <c r="N118" s="86">
        <v>0</v>
      </c>
      <c r="O118" s="86">
        <v>0</v>
      </c>
      <c r="P118" s="86">
        <v>1</v>
      </c>
      <c r="R118" s="81">
        <f t="shared" si="3"/>
        <v>0</v>
      </c>
      <c r="S118" s="81">
        <f t="shared" si="4"/>
        <v>0</v>
      </c>
      <c r="T118" s="82">
        <f t="shared" si="5"/>
        <v>0</v>
      </c>
    </row>
    <row r="119" spans="1:20">
      <c r="A119" s="83" t="s">
        <v>351</v>
      </c>
      <c r="B119" s="84">
        <v>412519</v>
      </c>
      <c r="C119" s="85">
        <v>0</v>
      </c>
      <c r="D119" s="86">
        <v>0.84999721224961755</v>
      </c>
      <c r="E119" s="87">
        <v>0</v>
      </c>
      <c r="F119" s="87">
        <v>0</v>
      </c>
      <c r="G119" s="87">
        <v>0</v>
      </c>
      <c r="H119" s="87">
        <v>0.52595638019097302</v>
      </c>
      <c r="I119" s="87">
        <v>0.32404083205864459</v>
      </c>
      <c r="J119" s="86">
        <v>0</v>
      </c>
      <c r="K119" s="86">
        <v>0.15000278775038239</v>
      </c>
      <c r="L119" s="86">
        <v>0</v>
      </c>
      <c r="M119" s="86">
        <v>0</v>
      </c>
      <c r="N119" s="86">
        <v>0</v>
      </c>
      <c r="O119" s="86">
        <v>0</v>
      </c>
      <c r="P119" s="86">
        <v>1</v>
      </c>
      <c r="R119" s="81">
        <f t="shared" si="3"/>
        <v>0</v>
      </c>
      <c r="S119" s="81">
        <f t="shared" si="4"/>
        <v>61878.999999999993</v>
      </c>
      <c r="T119" s="82">
        <f t="shared" si="5"/>
        <v>0</v>
      </c>
    </row>
    <row r="120" spans="1:20" ht="25.5">
      <c r="A120" s="83" t="s">
        <v>352</v>
      </c>
      <c r="B120" s="84">
        <v>114337</v>
      </c>
      <c r="C120" s="85">
        <v>106.87940377445621</v>
      </c>
      <c r="D120" s="86">
        <v>0.88672958010092973</v>
      </c>
      <c r="E120" s="87">
        <v>0</v>
      </c>
      <c r="F120" s="87">
        <v>0</v>
      </c>
      <c r="G120" s="87">
        <v>0</v>
      </c>
      <c r="H120" s="87">
        <v>0.88672958010092973</v>
      </c>
      <c r="I120" s="87">
        <v>0</v>
      </c>
      <c r="J120" s="86">
        <v>0</v>
      </c>
      <c r="K120" s="86">
        <v>0</v>
      </c>
      <c r="L120" s="86">
        <v>0</v>
      </c>
      <c r="M120" s="86">
        <v>0</v>
      </c>
      <c r="N120" s="86">
        <v>0</v>
      </c>
      <c r="O120" s="86">
        <v>0.11327041989907029</v>
      </c>
      <c r="P120" s="86">
        <v>1</v>
      </c>
      <c r="R120" s="81">
        <f t="shared" si="3"/>
        <v>0</v>
      </c>
      <c r="S120" s="81">
        <f t="shared" si="4"/>
        <v>0</v>
      </c>
      <c r="T120" s="82">
        <f t="shared" si="5"/>
        <v>0</v>
      </c>
    </row>
    <row r="121" spans="1:20">
      <c r="A121" s="83" t="s">
        <v>353</v>
      </c>
      <c r="B121" s="84">
        <v>9784300</v>
      </c>
      <c r="C121" s="85">
        <v>446.1941598665224</v>
      </c>
      <c r="D121" s="86">
        <v>0.23656665384440756</v>
      </c>
      <c r="E121" s="87">
        <v>1.5762803675275695E-2</v>
      </c>
      <c r="F121" s="87">
        <v>3.7627934548204775E-2</v>
      </c>
      <c r="G121" s="87">
        <v>8.0177427102603154E-3</v>
      </c>
      <c r="H121" s="87">
        <v>2.7884785954011705E-2</v>
      </c>
      <c r="I121" s="87">
        <v>0.14727338695665504</v>
      </c>
      <c r="J121" s="86">
        <v>0</v>
      </c>
      <c r="K121" s="86">
        <v>0.25418857920280247</v>
      </c>
      <c r="L121" s="86">
        <v>0.45594217521948432</v>
      </c>
      <c r="M121" s="86">
        <v>1.6070853487251232E-2</v>
      </c>
      <c r="N121" s="86">
        <v>9.7829498149516487E-4</v>
      </c>
      <c r="O121" s="86">
        <v>3.6253443264559565E-2</v>
      </c>
      <c r="P121" s="86">
        <v>1.0000000000000002</v>
      </c>
      <c r="R121" s="81">
        <f t="shared" si="3"/>
        <v>0</v>
      </c>
      <c r="S121" s="81">
        <f t="shared" si="4"/>
        <v>2487057.31549398</v>
      </c>
      <c r="T121" s="82">
        <f t="shared" si="5"/>
        <v>157242.05177531223</v>
      </c>
    </row>
    <row r="122" spans="1:20">
      <c r="A122" s="83" t="s">
        <v>354</v>
      </c>
      <c r="B122" s="84">
        <v>295764</v>
      </c>
      <c r="C122" s="85">
        <v>0</v>
      </c>
      <c r="D122" s="86">
        <v>1</v>
      </c>
      <c r="E122" s="87">
        <v>0</v>
      </c>
      <c r="F122" s="87">
        <v>0</v>
      </c>
      <c r="G122" s="87">
        <v>0</v>
      </c>
      <c r="H122" s="87">
        <v>1</v>
      </c>
      <c r="I122" s="87">
        <v>0</v>
      </c>
      <c r="J122" s="86">
        <v>0</v>
      </c>
      <c r="K122" s="86">
        <v>0</v>
      </c>
      <c r="L122" s="86">
        <v>0</v>
      </c>
      <c r="M122" s="86">
        <v>0</v>
      </c>
      <c r="N122" s="86">
        <v>0</v>
      </c>
      <c r="O122" s="86">
        <v>0</v>
      </c>
      <c r="P122" s="86">
        <v>1</v>
      </c>
      <c r="R122" s="81">
        <f t="shared" si="3"/>
        <v>0</v>
      </c>
      <c r="S122" s="81">
        <f t="shared" si="4"/>
        <v>0</v>
      </c>
      <c r="T122" s="82">
        <f t="shared" si="5"/>
        <v>0</v>
      </c>
    </row>
    <row r="123" spans="1:20">
      <c r="A123" s="83" t="s">
        <v>355</v>
      </c>
      <c r="B123" s="84">
        <v>598</v>
      </c>
      <c r="C123" s="85">
        <v>0</v>
      </c>
      <c r="D123" s="86">
        <v>1</v>
      </c>
      <c r="E123" s="87">
        <v>0</v>
      </c>
      <c r="F123" s="87">
        <v>0</v>
      </c>
      <c r="G123" s="87">
        <v>0</v>
      </c>
      <c r="H123" s="87">
        <v>1</v>
      </c>
      <c r="I123" s="87">
        <v>0</v>
      </c>
      <c r="J123" s="86">
        <v>0</v>
      </c>
      <c r="K123" s="86">
        <v>0</v>
      </c>
      <c r="L123" s="86">
        <v>0</v>
      </c>
      <c r="M123" s="86">
        <v>0</v>
      </c>
      <c r="N123" s="86">
        <v>0</v>
      </c>
      <c r="O123" s="86">
        <v>0</v>
      </c>
      <c r="P123" s="86">
        <v>1</v>
      </c>
      <c r="R123" s="81">
        <f t="shared" si="3"/>
        <v>0</v>
      </c>
      <c r="S123" s="81">
        <f t="shared" si="4"/>
        <v>0</v>
      </c>
      <c r="T123" s="82">
        <f t="shared" si="5"/>
        <v>0</v>
      </c>
    </row>
    <row r="124" spans="1:20">
      <c r="A124" s="83" t="s">
        <v>356</v>
      </c>
      <c r="B124" s="84">
        <v>629302.02733499999</v>
      </c>
      <c r="C124" s="85">
        <v>0</v>
      </c>
      <c r="D124" s="86">
        <v>1</v>
      </c>
      <c r="E124" s="87">
        <v>0</v>
      </c>
      <c r="F124" s="87">
        <v>0</v>
      </c>
      <c r="G124" s="87">
        <v>0</v>
      </c>
      <c r="H124" s="87">
        <v>0.50000079452982105</v>
      </c>
      <c r="I124" s="87">
        <v>0.49999920547017895</v>
      </c>
      <c r="J124" s="86">
        <v>0</v>
      </c>
      <c r="K124" s="86">
        <v>0</v>
      </c>
      <c r="L124" s="86">
        <v>0</v>
      </c>
      <c r="M124" s="86">
        <v>0</v>
      </c>
      <c r="N124" s="86">
        <v>0</v>
      </c>
      <c r="O124" s="86">
        <v>0</v>
      </c>
      <c r="P124" s="86">
        <v>1</v>
      </c>
      <c r="R124" s="81">
        <f t="shared" si="3"/>
        <v>0</v>
      </c>
      <c r="S124" s="81">
        <f t="shared" si="4"/>
        <v>0</v>
      </c>
      <c r="T124" s="82">
        <f t="shared" si="5"/>
        <v>0</v>
      </c>
    </row>
    <row r="125" spans="1:20">
      <c r="A125" s="83" t="s">
        <v>357</v>
      </c>
      <c r="B125" s="84">
        <v>4994994.3011392644</v>
      </c>
      <c r="C125" s="85">
        <v>375.08285907531979</v>
      </c>
      <c r="D125" s="86">
        <v>0.5418344520198366</v>
      </c>
      <c r="E125" s="87">
        <v>1.2441255435632053E-2</v>
      </c>
      <c r="F125" s="87">
        <v>2.6068898611215759E-2</v>
      </c>
      <c r="G125" s="87">
        <v>1.2526741018649156E-2</v>
      </c>
      <c r="H125" s="87">
        <v>0.25496805866415584</v>
      </c>
      <c r="I125" s="87">
        <v>0.23582949829018379</v>
      </c>
      <c r="J125" s="86">
        <v>0</v>
      </c>
      <c r="K125" s="86">
        <v>0.12766462233091161</v>
      </c>
      <c r="L125" s="86">
        <v>0</v>
      </c>
      <c r="M125" s="86">
        <v>0</v>
      </c>
      <c r="N125" s="86">
        <v>0</v>
      </c>
      <c r="O125" s="86">
        <v>0.33050092564925171</v>
      </c>
      <c r="P125" s="86">
        <v>1</v>
      </c>
      <c r="R125" s="81">
        <f t="shared" si="3"/>
        <v>0</v>
      </c>
      <c r="S125" s="81">
        <f t="shared" si="4"/>
        <v>637684.06099999999</v>
      </c>
      <c r="T125" s="82">
        <f t="shared" si="5"/>
        <v>0</v>
      </c>
    </row>
    <row r="126" spans="1:20">
      <c r="A126" s="83" t="s">
        <v>358</v>
      </c>
      <c r="B126" s="84">
        <v>3233.9010000000003</v>
      </c>
      <c r="C126" s="85">
        <v>0</v>
      </c>
      <c r="D126" s="86">
        <v>1</v>
      </c>
      <c r="E126" s="87">
        <v>0</v>
      </c>
      <c r="F126" s="87">
        <v>0</v>
      </c>
      <c r="G126" s="87">
        <v>0</v>
      </c>
      <c r="H126" s="87">
        <v>1</v>
      </c>
      <c r="I126" s="87">
        <v>0</v>
      </c>
      <c r="J126" s="86">
        <v>0</v>
      </c>
      <c r="K126" s="86">
        <v>0</v>
      </c>
      <c r="L126" s="86">
        <v>0</v>
      </c>
      <c r="M126" s="86">
        <v>0</v>
      </c>
      <c r="N126" s="86">
        <v>0</v>
      </c>
      <c r="O126" s="86">
        <v>0</v>
      </c>
      <c r="P126" s="86">
        <v>1</v>
      </c>
      <c r="R126" s="81">
        <f t="shared" si="3"/>
        <v>0</v>
      </c>
      <c r="S126" s="81">
        <f t="shared" si="4"/>
        <v>0</v>
      </c>
      <c r="T126" s="82">
        <f t="shared" si="5"/>
        <v>0</v>
      </c>
    </row>
    <row r="127" spans="1:20">
      <c r="A127" s="83" t="s">
        <v>359</v>
      </c>
      <c r="B127" s="84">
        <v>7800107</v>
      </c>
      <c r="C127" s="85">
        <v>508.01015775327539</v>
      </c>
      <c r="D127" s="86">
        <v>0.44827590185621813</v>
      </c>
      <c r="E127" s="87">
        <v>2.9242291163441732E-2</v>
      </c>
      <c r="F127" s="87">
        <v>0</v>
      </c>
      <c r="G127" s="87">
        <v>2.1333040687775181E-4</v>
      </c>
      <c r="H127" s="87">
        <v>0.27987564785970243</v>
      </c>
      <c r="I127" s="87">
        <v>0.1389446324261962</v>
      </c>
      <c r="J127" s="86">
        <v>0</v>
      </c>
      <c r="K127" s="86">
        <v>0</v>
      </c>
      <c r="L127" s="86">
        <v>0.54413266382115011</v>
      </c>
      <c r="M127" s="86">
        <v>0</v>
      </c>
      <c r="N127" s="86">
        <v>0</v>
      </c>
      <c r="O127" s="86">
        <v>7.591434322631728E-3</v>
      </c>
      <c r="P127" s="86">
        <v>1</v>
      </c>
      <c r="R127" s="81">
        <f t="shared" si="3"/>
        <v>0</v>
      </c>
      <c r="S127" s="81">
        <f t="shared" si="4"/>
        <v>0</v>
      </c>
      <c r="T127" s="82">
        <f t="shared" si="5"/>
        <v>0</v>
      </c>
    </row>
    <row r="128" spans="1:20">
      <c r="A128" s="83" t="s">
        <v>360</v>
      </c>
      <c r="B128" s="84">
        <v>368429.43</v>
      </c>
      <c r="C128" s="85">
        <v>0</v>
      </c>
      <c r="D128" s="86">
        <v>0.61461125657843574</v>
      </c>
      <c r="E128" s="87">
        <v>0</v>
      </c>
      <c r="F128" s="87">
        <v>0</v>
      </c>
      <c r="G128" s="87">
        <v>8.5889093407305623E-3</v>
      </c>
      <c r="H128" s="87">
        <v>0.36922977212039509</v>
      </c>
      <c r="I128" s="87">
        <v>0.23679257511731003</v>
      </c>
      <c r="J128" s="86">
        <v>0</v>
      </c>
      <c r="K128" s="86">
        <v>0.38538874342156437</v>
      </c>
      <c r="L128" s="86">
        <v>0</v>
      </c>
      <c r="M128" s="86">
        <v>0</v>
      </c>
      <c r="N128" s="86">
        <v>0</v>
      </c>
      <c r="O128" s="86">
        <v>0</v>
      </c>
      <c r="P128" s="86">
        <v>1</v>
      </c>
      <c r="R128" s="81">
        <f t="shared" si="3"/>
        <v>0</v>
      </c>
      <c r="S128" s="81">
        <f t="shared" si="4"/>
        <v>141988.55506722321</v>
      </c>
      <c r="T128" s="82">
        <f t="shared" si="5"/>
        <v>0</v>
      </c>
    </row>
    <row r="129" spans="1:20">
      <c r="A129" s="83" t="s">
        <v>361</v>
      </c>
      <c r="B129" s="84">
        <v>172809.75152495259</v>
      </c>
      <c r="C129" s="85">
        <v>633.10240991972103</v>
      </c>
      <c r="D129" s="86">
        <v>0.30815390642067303</v>
      </c>
      <c r="E129" s="87">
        <v>2.3112121652598364E-2</v>
      </c>
      <c r="F129" s="87">
        <v>0</v>
      </c>
      <c r="G129" s="87">
        <v>2.1937419425388183E-2</v>
      </c>
      <c r="H129" s="87">
        <v>0.11386510209268354</v>
      </c>
      <c r="I129" s="87">
        <v>0.14923926325000297</v>
      </c>
      <c r="J129" s="86">
        <v>0</v>
      </c>
      <c r="K129" s="86">
        <v>3.2647347445467302E-2</v>
      </c>
      <c r="L129" s="86">
        <v>0</v>
      </c>
      <c r="M129" s="86">
        <v>5.789979970288453E-2</v>
      </c>
      <c r="N129" s="86">
        <v>0</v>
      </c>
      <c r="O129" s="86">
        <v>0.60129894643097515</v>
      </c>
      <c r="P129" s="86">
        <v>1</v>
      </c>
      <c r="R129" s="81">
        <f t="shared" si="3"/>
        <v>0</v>
      </c>
      <c r="S129" s="81">
        <f t="shared" si="4"/>
        <v>5641.78</v>
      </c>
      <c r="T129" s="82">
        <f t="shared" si="5"/>
        <v>10005.65</v>
      </c>
    </row>
    <row r="130" spans="1:20">
      <c r="A130" s="83" t="s">
        <v>362</v>
      </c>
      <c r="B130" s="84">
        <v>109.17855100967741</v>
      </c>
      <c r="C130" s="85">
        <v>667.01685209104608</v>
      </c>
      <c r="D130" s="86">
        <v>0.34805371246071715</v>
      </c>
      <c r="E130" s="87">
        <v>5.4955849335902709E-2</v>
      </c>
      <c r="F130" s="87">
        <v>0</v>
      </c>
      <c r="G130" s="87">
        <v>0</v>
      </c>
      <c r="H130" s="87">
        <v>0.29309786312481445</v>
      </c>
      <c r="I130" s="87">
        <v>0</v>
      </c>
      <c r="J130" s="86">
        <v>0</v>
      </c>
      <c r="K130" s="86">
        <v>0</v>
      </c>
      <c r="L130" s="86">
        <v>0</v>
      </c>
      <c r="M130" s="86">
        <v>0</v>
      </c>
      <c r="N130" s="86">
        <v>0</v>
      </c>
      <c r="O130" s="86">
        <v>0.65194628753928285</v>
      </c>
      <c r="P130" s="86">
        <v>1</v>
      </c>
      <c r="R130" s="81">
        <f t="shared" si="3"/>
        <v>0</v>
      </c>
      <c r="S130" s="81">
        <f t="shared" si="4"/>
        <v>0</v>
      </c>
      <c r="T130" s="82">
        <f t="shared" si="5"/>
        <v>0</v>
      </c>
    </row>
    <row r="131" spans="1:20">
      <c r="A131" s="83" t="s">
        <v>363</v>
      </c>
      <c r="B131" s="84">
        <v>3476520</v>
      </c>
      <c r="C131" s="85">
        <v>115.77340014202034</v>
      </c>
      <c r="D131" s="86">
        <v>0.59166379022700866</v>
      </c>
      <c r="E131" s="87">
        <v>2.5107866487176833E-2</v>
      </c>
      <c r="F131" s="87">
        <v>0</v>
      </c>
      <c r="G131" s="87">
        <v>1.5209174691933313E-2</v>
      </c>
      <c r="H131" s="87">
        <v>0.29938386662524591</v>
      </c>
      <c r="I131" s="87">
        <v>0.25196288242265252</v>
      </c>
      <c r="J131" s="86">
        <v>0</v>
      </c>
      <c r="K131" s="86">
        <v>7.3881750064000773E-2</v>
      </c>
      <c r="L131" s="86">
        <v>0</v>
      </c>
      <c r="M131" s="86">
        <v>0.24812408166068367</v>
      </c>
      <c r="N131" s="86">
        <v>0</v>
      </c>
      <c r="O131" s="86">
        <v>8.6330378048306414E-2</v>
      </c>
      <c r="P131" s="86">
        <v>0.99999999999999944</v>
      </c>
      <c r="R131" s="81">
        <f t="shared" ref="R131:R159" si="6">J131*B131</f>
        <v>0</v>
      </c>
      <c r="S131" s="81">
        <f t="shared" ref="S131:S159" si="7">B131*K131</f>
        <v>256851.38173249995</v>
      </c>
      <c r="T131" s="82">
        <f t="shared" ref="T131:T159" si="8">B131*M131</f>
        <v>862608.332375</v>
      </c>
    </row>
    <row r="132" spans="1:20">
      <c r="A132" s="83" t="s">
        <v>364</v>
      </c>
      <c r="B132" s="84">
        <v>202231</v>
      </c>
      <c r="C132" s="85">
        <v>209.76075663578911</v>
      </c>
      <c r="D132" s="86">
        <v>0.40170399196957934</v>
      </c>
      <c r="E132" s="87">
        <v>1.7034974855487044E-2</v>
      </c>
      <c r="F132" s="87">
        <v>0</v>
      </c>
      <c r="G132" s="87">
        <v>1.0319881719419872E-2</v>
      </c>
      <c r="H132" s="87">
        <v>0.20329721951629573</v>
      </c>
      <c r="I132" s="87">
        <v>0.1710519158783767</v>
      </c>
      <c r="J132" s="86">
        <v>0</v>
      </c>
      <c r="K132" s="86">
        <v>9.1936741980705242E-2</v>
      </c>
      <c r="L132" s="86">
        <v>0</v>
      </c>
      <c r="M132" s="86">
        <v>0.30875987175556668</v>
      </c>
      <c r="N132" s="86">
        <v>0</v>
      </c>
      <c r="O132" s="86">
        <v>0.19759939429414863</v>
      </c>
      <c r="P132" s="86">
        <v>0.99999999999999989</v>
      </c>
      <c r="R132" s="81">
        <f t="shared" si="6"/>
        <v>0</v>
      </c>
      <c r="S132" s="81">
        <f t="shared" si="7"/>
        <v>18592.459267500002</v>
      </c>
      <c r="T132" s="82">
        <f t="shared" si="8"/>
        <v>62440.817625000003</v>
      </c>
    </row>
    <row r="133" spans="1:20">
      <c r="A133" s="83" t="s">
        <v>365</v>
      </c>
      <c r="B133" s="84">
        <v>3493</v>
      </c>
      <c r="C133" s="85">
        <v>0</v>
      </c>
      <c r="D133" s="86">
        <v>1</v>
      </c>
      <c r="E133" s="87">
        <v>0</v>
      </c>
      <c r="F133" s="87">
        <v>0</v>
      </c>
      <c r="G133" s="87">
        <v>0</v>
      </c>
      <c r="H133" s="87">
        <v>1</v>
      </c>
      <c r="I133" s="87">
        <v>0</v>
      </c>
      <c r="J133" s="86">
        <v>0</v>
      </c>
      <c r="K133" s="86">
        <v>0</v>
      </c>
      <c r="L133" s="86">
        <v>0</v>
      </c>
      <c r="M133" s="86">
        <v>0</v>
      </c>
      <c r="N133" s="86">
        <v>0</v>
      </c>
      <c r="O133" s="86">
        <v>0</v>
      </c>
      <c r="P133" s="86">
        <v>1</v>
      </c>
      <c r="R133" s="81">
        <f t="shared" si="6"/>
        <v>0</v>
      </c>
      <c r="S133" s="81">
        <f t="shared" si="7"/>
        <v>0</v>
      </c>
      <c r="T133" s="82">
        <f t="shared" si="8"/>
        <v>0</v>
      </c>
    </row>
    <row r="134" spans="1:20">
      <c r="A134" s="83" t="s">
        <v>366</v>
      </c>
      <c r="B134" s="84">
        <v>121765</v>
      </c>
      <c r="C134" s="85">
        <v>0</v>
      </c>
      <c r="D134" s="86">
        <v>1</v>
      </c>
      <c r="E134" s="87">
        <v>0</v>
      </c>
      <c r="F134" s="87">
        <v>0</v>
      </c>
      <c r="G134" s="87">
        <v>0</v>
      </c>
      <c r="H134" s="87">
        <v>0</v>
      </c>
      <c r="I134" s="87">
        <v>1</v>
      </c>
      <c r="J134" s="86">
        <v>0</v>
      </c>
      <c r="K134" s="86">
        <v>0</v>
      </c>
      <c r="L134" s="86">
        <v>0</v>
      </c>
      <c r="M134" s="86">
        <v>0</v>
      </c>
      <c r="N134" s="86">
        <v>0</v>
      </c>
      <c r="O134" s="86">
        <v>0</v>
      </c>
      <c r="P134" s="86">
        <v>1</v>
      </c>
      <c r="R134" s="81">
        <f t="shared" si="6"/>
        <v>0</v>
      </c>
      <c r="S134" s="81">
        <f t="shared" si="7"/>
        <v>0</v>
      </c>
      <c r="T134" s="82">
        <f t="shared" si="8"/>
        <v>0</v>
      </c>
    </row>
    <row r="135" spans="1:20">
      <c r="A135" s="83" t="s">
        <v>367</v>
      </c>
      <c r="B135" s="84">
        <v>283857.28043784841</v>
      </c>
      <c r="C135" s="85">
        <v>1.5305534132297009E-3</v>
      </c>
      <c r="D135" s="86">
        <v>0.50248138705475276</v>
      </c>
      <c r="E135" s="87">
        <v>0</v>
      </c>
      <c r="F135" s="87">
        <v>0</v>
      </c>
      <c r="G135" s="87">
        <v>0.14530893812685272</v>
      </c>
      <c r="H135" s="87">
        <v>0.15321784219490095</v>
      </c>
      <c r="I135" s="87">
        <v>0.20395460673299906</v>
      </c>
      <c r="J135" s="86">
        <v>0</v>
      </c>
      <c r="K135" s="86">
        <v>0.49751699087007029</v>
      </c>
      <c r="L135" s="86">
        <v>0</v>
      </c>
      <c r="M135" s="86">
        <v>0</v>
      </c>
      <c r="N135" s="86">
        <v>0</v>
      </c>
      <c r="O135" s="86">
        <v>1.6220751769941798E-6</v>
      </c>
      <c r="P135" s="86">
        <v>1</v>
      </c>
      <c r="R135" s="81">
        <f t="shared" si="6"/>
        <v>0</v>
      </c>
      <c r="S135" s="81">
        <f t="shared" si="7"/>
        <v>141223.82</v>
      </c>
      <c r="T135" s="82">
        <f t="shared" si="8"/>
        <v>0</v>
      </c>
    </row>
    <row r="136" spans="1:20">
      <c r="A136" s="83" t="s">
        <v>368</v>
      </c>
      <c r="B136" s="84">
        <v>34554.646421774523</v>
      </c>
      <c r="C136" s="85">
        <v>471.77019904445842</v>
      </c>
      <c r="D136" s="86">
        <v>0.50001958605232066</v>
      </c>
      <c r="E136" s="87">
        <v>0</v>
      </c>
      <c r="F136" s="87">
        <v>0</v>
      </c>
      <c r="G136" s="87">
        <v>0</v>
      </c>
      <c r="H136" s="87">
        <v>0</v>
      </c>
      <c r="I136" s="87">
        <v>0.50001958605232066</v>
      </c>
      <c r="J136" s="86">
        <v>0</v>
      </c>
      <c r="K136" s="86">
        <v>0</v>
      </c>
      <c r="L136" s="86">
        <v>0</v>
      </c>
      <c r="M136" s="86">
        <v>0</v>
      </c>
      <c r="N136" s="86">
        <v>0</v>
      </c>
      <c r="O136" s="86">
        <v>0.49998041394767934</v>
      </c>
      <c r="P136" s="86">
        <v>1</v>
      </c>
      <c r="R136" s="81">
        <f t="shared" si="6"/>
        <v>0</v>
      </c>
      <c r="S136" s="81">
        <f t="shared" si="7"/>
        <v>0</v>
      </c>
      <c r="T136" s="82">
        <f t="shared" si="8"/>
        <v>0</v>
      </c>
    </row>
    <row r="137" spans="1:20">
      <c r="A137" s="83" t="s">
        <v>369</v>
      </c>
      <c r="B137" s="84">
        <v>851049</v>
      </c>
      <c r="C137" s="85">
        <v>0</v>
      </c>
      <c r="D137" s="86">
        <v>3.04330302955529E-4</v>
      </c>
      <c r="E137" s="87">
        <v>0</v>
      </c>
      <c r="F137" s="87">
        <v>0</v>
      </c>
      <c r="G137" s="87">
        <v>3.04330302955529E-4</v>
      </c>
      <c r="H137" s="87">
        <v>0</v>
      </c>
      <c r="I137" s="87">
        <v>0</v>
      </c>
      <c r="J137" s="86">
        <v>0</v>
      </c>
      <c r="K137" s="86">
        <v>0.99969566969704449</v>
      </c>
      <c r="L137" s="86">
        <v>0</v>
      </c>
      <c r="M137" s="86">
        <v>0</v>
      </c>
      <c r="N137" s="86">
        <v>0</v>
      </c>
      <c r="O137" s="86">
        <v>0</v>
      </c>
      <c r="P137" s="86">
        <v>1</v>
      </c>
      <c r="R137" s="81">
        <f t="shared" si="6"/>
        <v>0</v>
      </c>
      <c r="S137" s="81">
        <f t="shared" si="7"/>
        <v>850790</v>
      </c>
      <c r="T137" s="82">
        <f t="shared" si="8"/>
        <v>0</v>
      </c>
    </row>
    <row r="138" spans="1:20">
      <c r="A138" s="83" t="s">
        <v>370</v>
      </c>
      <c r="B138" s="84">
        <v>70365</v>
      </c>
      <c r="C138" s="85">
        <v>0</v>
      </c>
      <c r="D138" s="86">
        <v>0.51832587223761817</v>
      </c>
      <c r="E138" s="87">
        <v>0</v>
      </c>
      <c r="F138" s="87">
        <v>0</v>
      </c>
      <c r="G138" s="87">
        <v>0.51832587223761817</v>
      </c>
      <c r="H138" s="87">
        <v>0</v>
      </c>
      <c r="I138" s="87">
        <v>0</v>
      </c>
      <c r="J138" s="86">
        <v>0</v>
      </c>
      <c r="K138" s="86">
        <v>0.48167412776238189</v>
      </c>
      <c r="L138" s="86">
        <v>0</v>
      </c>
      <c r="M138" s="86">
        <v>0</v>
      </c>
      <c r="N138" s="86">
        <v>0</v>
      </c>
      <c r="O138" s="86">
        <v>0</v>
      </c>
      <c r="P138" s="86">
        <v>1</v>
      </c>
      <c r="R138" s="81">
        <f t="shared" si="6"/>
        <v>0</v>
      </c>
      <c r="S138" s="81">
        <f t="shared" si="7"/>
        <v>33893</v>
      </c>
      <c r="T138" s="82">
        <f t="shared" si="8"/>
        <v>0</v>
      </c>
    </row>
    <row r="139" spans="1:20" ht="25.5">
      <c r="A139" s="83" t="s">
        <v>371</v>
      </c>
      <c r="B139" s="84">
        <v>5856373</v>
      </c>
      <c r="C139" s="85">
        <v>611.24123657823509</v>
      </c>
      <c r="D139" s="86">
        <v>0.34045099492763425</v>
      </c>
      <c r="E139" s="87">
        <v>0</v>
      </c>
      <c r="F139" s="87">
        <v>2.5240878612069278E-3</v>
      </c>
      <c r="G139" s="87">
        <v>1.007449491348997E-3</v>
      </c>
      <c r="H139" s="87">
        <v>0.14889642693819782</v>
      </c>
      <c r="I139" s="87">
        <v>0.18802303063688053</v>
      </c>
      <c r="J139" s="86">
        <v>0</v>
      </c>
      <c r="K139" s="86">
        <v>5.1094726649194039E-2</v>
      </c>
      <c r="L139" s="86">
        <v>0</v>
      </c>
      <c r="M139" s="86">
        <v>3.7648565611947925E-3</v>
      </c>
      <c r="N139" s="86">
        <v>2.1336075147569401E-4</v>
      </c>
      <c r="O139" s="86">
        <v>0.60447606111050123</v>
      </c>
      <c r="P139" s="86">
        <v>1</v>
      </c>
      <c r="R139" s="81">
        <f t="shared" si="6"/>
        <v>0</v>
      </c>
      <c r="S139" s="81">
        <f t="shared" si="7"/>
        <v>299229.77759072045</v>
      </c>
      <c r="T139" s="82">
        <f t="shared" si="8"/>
        <v>22048.404313854029</v>
      </c>
    </row>
    <row r="140" spans="1:20">
      <c r="A140" s="89" t="s">
        <v>372</v>
      </c>
      <c r="B140" s="84"/>
      <c r="C140" s="85"/>
      <c r="D140" s="86"/>
      <c r="E140" s="87"/>
      <c r="F140" s="87"/>
      <c r="G140" s="87"/>
      <c r="H140" s="87"/>
      <c r="I140" s="87"/>
      <c r="J140" s="86"/>
      <c r="K140" s="86"/>
      <c r="L140" s="86"/>
      <c r="M140" s="86"/>
      <c r="N140" s="86"/>
      <c r="O140" s="86"/>
      <c r="P140" s="86"/>
      <c r="R140" s="81">
        <f t="shared" si="6"/>
        <v>0</v>
      </c>
      <c r="S140" s="81">
        <f t="shared" si="7"/>
        <v>0</v>
      </c>
      <c r="T140" s="82">
        <f t="shared" si="8"/>
        <v>0</v>
      </c>
    </row>
    <row r="141" spans="1:20">
      <c r="A141" s="83" t="s">
        <v>373</v>
      </c>
      <c r="B141" s="84">
        <v>182350</v>
      </c>
      <c r="C141" s="85">
        <v>47.181455269975316</v>
      </c>
      <c r="D141" s="86">
        <v>0.95</v>
      </c>
      <c r="E141" s="87">
        <v>0</v>
      </c>
      <c r="F141" s="87">
        <v>0</v>
      </c>
      <c r="G141" s="87">
        <v>0</v>
      </c>
      <c r="H141" s="87">
        <v>0</v>
      </c>
      <c r="I141" s="87">
        <v>0.94999725802029067</v>
      </c>
      <c r="J141" s="86">
        <v>0</v>
      </c>
      <c r="K141" s="86">
        <v>0</v>
      </c>
      <c r="L141" s="86">
        <v>0</v>
      </c>
      <c r="M141" s="86">
        <v>0</v>
      </c>
      <c r="N141" s="86">
        <v>0</v>
      </c>
      <c r="O141" s="86">
        <v>5.0002741979709352E-2</v>
      </c>
      <c r="P141" s="86">
        <v>1</v>
      </c>
      <c r="R141" s="81">
        <f t="shared" si="6"/>
        <v>0</v>
      </c>
      <c r="S141" s="81">
        <f t="shared" si="7"/>
        <v>0</v>
      </c>
      <c r="T141" s="82">
        <f t="shared" si="8"/>
        <v>0</v>
      </c>
    </row>
    <row r="142" spans="1:20">
      <c r="A142" s="83" t="s">
        <v>374</v>
      </c>
      <c r="B142" s="84">
        <v>3605920</v>
      </c>
      <c r="C142" s="85">
        <v>71.719174869326366</v>
      </c>
      <c r="D142" s="86">
        <v>0.44884595272786171</v>
      </c>
      <c r="E142" s="87">
        <v>1.4284570603134114E-2</v>
      </c>
      <c r="F142" s="87">
        <v>0.2465466224014233</v>
      </c>
      <c r="G142" s="87">
        <v>3.1540753495739107E-3</v>
      </c>
      <c r="H142" s="87">
        <v>0.1504062394236757</v>
      </c>
      <c r="I142" s="87">
        <v>3.4454444950054668E-2</v>
      </c>
      <c r="J142" s="86">
        <v>0</v>
      </c>
      <c r="K142" s="86">
        <v>0.30835728113972755</v>
      </c>
      <c r="L142" s="86">
        <v>0</v>
      </c>
      <c r="M142" s="86">
        <v>0.24279676613241075</v>
      </c>
      <c r="N142" s="86">
        <v>0</v>
      </c>
      <c r="O142" s="86">
        <v>0</v>
      </c>
      <c r="P142" s="86">
        <v>1</v>
      </c>
      <c r="R142" s="81">
        <f t="shared" si="6"/>
        <v>0</v>
      </c>
      <c r="S142" s="81">
        <f t="shared" si="7"/>
        <v>1111911.6872073663</v>
      </c>
      <c r="T142" s="82">
        <f t="shared" si="8"/>
        <v>875505.71493218257</v>
      </c>
    </row>
    <row r="143" spans="1:20">
      <c r="A143" s="83" t="s">
        <v>375</v>
      </c>
      <c r="B143" s="84">
        <v>2081597</v>
      </c>
      <c r="C143" s="85">
        <v>111.89767487869906</v>
      </c>
      <c r="D143" s="86">
        <v>0.50280578494000783</v>
      </c>
      <c r="E143" s="87">
        <v>0.16414128190999508</v>
      </c>
      <c r="F143" s="87">
        <v>0.16985948769142153</v>
      </c>
      <c r="G143" s="87">
        <v>3.5016384055126903E-3</v>
      </c>
      <c r="H143" s="87">
        <v>9.0181247145228183E-2</v>
      </c>
      <c r="I143" s="87">
        <v>7.5122129787850392E-2</v>
      </c>
      <c r="J143" s="86">
        <v>0</v>
      </c>
      <c r="K143" s="86">
        <v>0.39995531746878454</v>
      </c>
      <c r="L143" s="86">
        <v>0</v>
      </c>
      <c r="M143" s="86">
        <v>9.2873538922279373E-3</v>
      </c>
      <c r="N143" s="86">
        <v>5.5877389661244839E-4</v>
      </c>
      <c r="O143" s="86">
        <v>8.739276980236739E-2</v>
      </c>
      <c r="P143" s="86">
        <v>0.99999999999999989</v>
      </c>
      <c r="R143" s="81">
        <f t="shared" si="6"/>
        <v>0</v>
      </c>
      <c r="S143" s="81">
        <f t="shared" si="7"/>
        <v>832545.78897706955</v>
      </c>
      <c r="T143" s="82">
        <f t="shared" si="8"/>
        <v>19332.527999999998</v>
      </c>
    </row>
    <row r="144" spans="1:20">
      <c r="A144" s="83" t="s">
        <v>376</v>
      </c>
      <c r="B144" s="84">
        <v>97627</v>
      </c>
      <c r="C144" s="85">
        <v>69.823921693211645</v>
      </c>
      <c r="D144" s="86">
        <v>1</v>
      </c>
      <c r="E144" s="87">
        <v>0</v>
      </c>
      <c r="F144" s="87">
        <v>0.86473004394276176</v>
      </c>
      <c r="G144" s="87">
        <v>0</v>
      </c>
      <c r="H144" s="87">
        <v>0.13526995605723827</v>
      </c>
      <c r="I144" s="87">
        <v>0</v>
      </c>
      <c r="J144" s="86">
        <v>0</v>
      </c>
      <c r="K144" s="86">
        <v>0</v>
      </c>
      <c r="L144" s="86">
        <v>0</v>
      </c>
      <c r="M144" s="86">
        <v>0</v>
      </c>
      <c r="N144" s="86">
        <v>0</v>
      </c>
      <c r="O144" s="86">
        <v>0</v>
      </c>
      <c r="P144" s="86">
        <v>1</v>
      </c>
      <c r="R144" s="81">
        <f t="shared" si="6"/>
        <v>0</v>
      </c>
      <c r="S144" s="81">
        <f t="shared" si="7"/>
        <v>0</v>
      </c>
      <c r="T144" s="82">
        <f t="shared" si="8"/>
        <v>0</v>
      </c>
    </row>
    <row r="145" spans="1:20">
      <c r="A145" s="83" t="s">
        <v>377</v>
      </c>
      <c r="B145" s="84">
        <v>104675.45380644535</v>
      </c>
      <c r="C145" s="85">
        <v>0</v>
      </c>
      <c r="D145" s="86">
        <v>1</v>
      </c>
      <c r="E145" s="87">
        <v>0</v>
      </c>
      <c r="F145" s="87">
        <v>0</v>
      </c>
      <c r="G145" s="87">
        <v>0</v>
      </c>
      <c r="H145" s="87">
        <v>1</v>
      </c>
      <c r="I145" s="87">
        <v>0</v>
      </c>
      <c r="J145" s="86">
        <v>0</v>
      </c>
      <c r="K145" s="86">
        <v>0</v>
      </c>
      <c r="L145" s="86">
        <v>0</v>
      </c>
      <c r="M145" s="86">
        <v>0</v>
      </c>
      <c r="N145" s="86">
        <v>0</v>
      </c>
      <c r="O145" s="86">
        <v>0</v>
      </c>
      <c r="P145" s="86">
        <v>0.9999999998857998</v>
      </c>
      <c r="R145" s="81">
        <f t="shared" si="6"/>
        <v>0</v>
      </c>
      <c r="S145" s="81">
        <f t="shared" si="7"/>
        <v>0</v>
      </c>
      <c r="T145" s="82">
        <f t="shared" si="8"/>
        <v>0</v>
      </c>
    </row>
    <row r="146" spans="1:20">
      <c r="A146" s="83" t="s">
        <v>378</v>
      </c>
      <c r="B146" s="84">
        <v>28728.881454958053</v>
      </c>
      <c r="C146" s="85">
        <v>275.24932167403961</v>
      </c>
      <c r="D146" s="86">
        <v>0.66669105439124732</v>
      </c>
      <c r="E146" s="87">
        <v>4.5526348007435572E-4</v>
      </c>
      <c r="F146" s="87">
        <v>2.8587579249510102E-2</v>
      </c>
      <c r="G146" s="87">
        <v>2.6777905870124983E-3</v>
      </c>
      <c r="H146" s="87">
        <v>0.58587156406412211</v>
      </c>
      <c r="I146" s="87">
        <v>4.9098857010528081E-2</v>
      </c>
      <c r="J146" s="86">
        <v>0</v>
      </c>
      <c r="K146" s="86">
        <v>1.6897091900076898E-2</v>
      </c>
      <c r="L146" s="86">
        <v>0.12346203804244836</v>
      </c>
      <c r="M146" s="86">
        <v>4.1543720376413386E-2</v>
      </c>
      <c r="N146" s="86">
        <v>2.7810476834681612E-4</v>
      </c>
      <c r="O146" s="86">
        <v>0.15112799045406841</v>
      </c>
      <c r="P146" s="86">
        <v>0.99999999993260102</v>
      </c>
      <c r="R146" s="81">
        <f t="shared" si="6"/>
        <v>0</v>
      </c>
      <c r="S146" s="81">
        <f t="shared" si="7"/>
        <v>485.4345501308411</v>
      </c>
      <c r="T146" s="82">
        <f t="shared" si="8"/>
        <v>1193.5046178919056</v>
      </c>
    </row>
    <row r="147" spans="1:20">
      <c r="A147" s="83" t="s">
        <v>379</v>
      </c>
      <c r="B147" s="84">
        <v>54881591.904738598</v>
      </c>
      <c r="C147" s="85">
        <v>551.69271012352931</v>
      </c>
      <c r="D147" s="86">
        <v>0.33193617464238773</v>
      </c>
      <c r="E147" s="87">
        <v>9.1250192168945059E-4</v>
      </c>
      <c r="F147" s="87">
        <v>5.7299173211448687E-2</v>
      </c>
      <c r="G147" s="87">
        <v>5.3671975976016017E-3</v>
      </c>
      <c r="H147" s="87">
        <v>0.1699465939683158</v>
      </c>
      <c r="I147" s="87">
        <v>9.8410707943332135E-2</v>
      </c>
      <c r="J147" s="86">
        <v>0</v>
      </c>
      <c r="K147" s="86">
        <v>3.386748444497497E-2</v>
      </c>
      <c r="L147" s="86">
        <v>0.24745966215218959</v>
      </c>
      <c r="M147" s="86">
        <v>8.3267660018358974E-2</v>
      </c>
      <c r="N147" s="86">
        <v>5.5741597262759165E-4</v>
      </c>
      <c r="O147" s="86">
        <v>0.30291160263437122</v>
      </c>
      <c r="P147" s="86">
        <v>1</v>
      </c>
      <c r="R147" s="81">
        <f t="shared" si="6"/>
        <v>0</v>
      </c>
      <c r="S147" s="81">
        <f t="shared" si="7"/>
        <v>1858701.4601491988</v>
      </c>
      <c r="T147" s="82">
        <f t="shared" si="8"/>
        <v>4569861.7359900959</v>
      </c>
    </row>
    <row r="148" spans="1:20">
      <c r="A148" s="83" t="s">
        <v>380</v>
      </c>
      <c r="B148" s="84">
        <v>15030</v>
      </c>
      <c r="C148" s="85">
        <v>533.12434737990679</v>
      </c>
      <c r="D148" s="86">
        <v>0.43499667332002662</v>
      </c>
      <c r="E148" s="87">
        <v>0</v>
      </c>
      <c r="F148" s="87">
        <v>0</v>
      </c>
      <c r="G148" s="87">
        <v>0</v>
      </c>
      <c r="H148" s="87">
        <v>0.43499667332002662</v>
      </c>
      <c r="I148" s="87">
        <v>0</v>
      </c>
      <c r="J148" s="86">
        <v>0</v>
      </c>
      <c r="K148" s="86">
        <v>0</v>
      </c>
      <c r="L148" s="86">
        <v>0</v>
      </c>
      <c r="M148" s="86">
        <v>0</v>
      </c>
      <c r="N148" s="86">
        <v>0</v>
      </c>
      <c r="O148" s="86">
        <v>0.56500332667997344</v>
      </c>
      <c r="P148" s="86">
        <v>1</v>
      </c>
      <c r="R148" s="81">
        <f t="shared" si="6"/>
        <v>0</v>
      </c>
      <c r="S148" s="81">
        <f t="shared" si="7"/>
        <v>0</v>
      </c>
      <c r="T148" s="82">
        <f t="shared" si="8"/>
        <v>0</v>
      </c>
    </row>
    <row r="149" spans="1:20" ht="25.5">
      <c r="A149" s="83" t="s">
        <v>381</v>
      </c>
      <c r="B149" s="84">
        <v>160111</v>
      </c>
      <c r="C149" s="85">
        <v>35.27391999999999</v>
      </c>
      <c r="D149" s="86">
        <v>9.0086965730406142E-8</v>
      </c>
      <c r="E149" s="87">
        <v>0</v>
      </c>
      <c r="F149" s="87">
        <v>0</v>
      </c>
      <c r="G149" s="87">
        <v>0</v>
      </c>
      <c r="H149" s="87">
        <v>9.0086965730406142E-8</v>
      </c>
      <c r="I149" s="87">
        <v>0</v>
      </c>
      <c r="J149" s="86">
        <v>0</v>
      </c>
      <c r="K149" s="86">
        <v>0.83910813407997831</v>
      </c>
      <c r="L149" s="86">
        <v>0</v>
      </c>
      <c r="M149" s="86">
        <v>0.10921515820149193</v>
      </c>
      <c r="N149" s="86">
        <v>7.7538669062102144E-3</v>
      </c>
      <c r="O149" s="86">
        <v>4.3922750725353572E-2</v>
      </c>
      <c r="P149" s="86">
        <v>0.99999999999999978</v>
      </c>
      <c r="R149" s="81">
        <f t="shared" si="6"/>
        <v>0</v>
      </c>
      <c r="S149" s="81">
        <f t="shared" si="7"/>
        <v>134350.44245567941</v>
      </c>
      <c r="T149" s="82">
        <f t="shared" si="8"/>
        <v>17486.548194799074</v>
      </c>
    </row>
    <row r="150" spans="1:20">
      <c r="A150" s="83" t="s">
        <v>382</v>
      </c>
      <c r="B150" s="84">
        <v>482081</v>
      </c>
      <c r="C150" s="85">
        <v>622.99029467183198</v>
      </c>
      <c r="D150" s="86">
        <v>0.23337779335837752</v>
      </c>
      <c r="E150" s="87">
        <v>0</v>
      </c>
      <c r="F150" s="87">
        <v>0</v>
      </c>
      <c r="G150" s="87">
        <v>0</v>
      </c>
      <c r="H150" s="87">
        <v>0.23337779335837752</v>
      </c>
      <c r="I150" s="87">
        <v>0</v>
      </c>
      <c r="J150" s="86">
        <v>0</v>
      </c>
      <c r="K150" s="86">
        <v>2.5006957337045024E-2</v>
      </c>
      <c r="L150" s="86">
        <v>0</v>
      </c>
      <c r="M150" s="86">
        <v>8.137230465419712E-2</v>
      </c>
      <c r="N150" s="86">
        <v>0</v>
      </c>
      <c r="O150" s="86">
        <v>0.66024294465038036</v>
      </c>
      <c r="P150" s="86">
        <v>1</v>
      </c>
      <c r="R150" s="81">
        <f t="shared" si="6"/>
        <v>0</v>
      </c>
      <c r="S150" s="81">
        <f t="shared" si="7"/>
        <v>12055.379000000003</v>
      </c>
      <c r="T150" s="82">
        <f t="shared" si="8"/>
        <v>39228.042000000001</v>
      </c>
    </row>
    <row r="151" spans="1:20">
      <c r="A151" s="89" t="s">
        <v>383</v>
      </c>
      <c r="B151" s="84"/>
      <c r="C151" s="85"/>
      <c r="D151" s="86"/>
      <c r="E151" s="87"/>
      <c r="F151" s="87"/>
      <c r="G151" s="87"/>
      <c r="H151" s="87"/>
      <c r="I151" s="87"/>
      <c r="J151" s="86"/>
      <c r="K151" s="86"/>
      <c r="L151" s="86"/>
      <c r="M151" s="86"/>
      <c r="N151" s="86"/>
      <c r="O151" s="86"/>
      <c r="P151" s="86"/>
      <c r="R151" s="81">
        <f t="shared" si="6"/>
        <v>0</v>
      </c>
      <c r="S151" s="81">
        <f t="shared" si="7"/>
        <v>0</v>
      </c>
      <c r="T151" s="82">
        <f t="shared" si="8"/>
        <v>0</v>
      </c>
    </row>
    <row r="152" spans="1:20">
      <c r="A152" s="83" t="s">
        <v>384</v>
      </c>
      <c r="B152" s="84">
        <v>160201</v>
      </c>
      <c r="C152" s="85">
        <v>417.44309705990236</v>
      </c>
      <c r="D152" s="86">
        <v>0.45450402931317535</v>
      </c>
      <c r="E152" s="87">
        <v>0.15878178038838708</v>
      </c>
      <c r="F152" s="87">
        <v>0</v>
      </c>
      <c r="G152" s="87">
        <v>2.5761387257258069E-2</v>
      </c>
      <c r="H152" s="87">
        <v>0</v>
      </c>
      <c r="I152" s="87">
        <v>0.26996086166753014</v>
      </c>
      <c r="J152" s="86">
        <v>0</v>
      </c>
      <c r="K152" s="86">
        <v>0</v>
      </c>
      <c r="L152" s="86">
        <v>9.7171678079412738E-2</v>
      </c>
      <c r="M152" s="86">
        <v>0</v>
      </c>
      <c r="N152" s="86">
        <v>0.11107920674652468</v>
      </c>
      <c r="O152" s="86">
        <v>0.33724508586088725</v>
      </c>
      <c r="P152" s="86">
        <v>1</v>
      </c>
      <c r="R152" s="81">
        <f t="shared" si="6"/>
        <v>0</v>
      </c>
      <c r="S152" s="81">
        <f t="shared" si="7"/>
        <v>0</v>
      </c>
      <c r="T152" s="82">
        <f t="shared" si="8"/>
        <v>0</v>
      </c>
    </row>
    <row r="153" spans="1:20">
      <c r="A153" s="83" t="s">
        <v>385</v>
      </c>
      <c r="B153" s="84">
        <v>248.30799999999999</v>
      </c>
      <c r="C153" s="85">
        <v>515.14425746069219</v>
      </c>
      <c r="D153" s="86">
        <v>0.25636021565152178</v>
      </c>
      <c r="E153" s="87">
        <v>0</v>
      </c>
      <c r="F153" s="87">
        <v>2.1087719068765626E-2</v>
      </c>
      <c r="G153" s="87">
        <v>6.4442569592961015E-3</v>
      </c>
      <c r="H153" s="87">
        <v>6.7500321558829998E-2</v>
      </c>
      <c r="I153" s="87">
        <v>0.16132791806463004</v>
      </c>
      <c r="J153" s="86">
        <v>0</v>
      </c>
      <c r="K153" s="86">
        <v>0.2309551060272115</v>
      </c>
      <c r="L153" s="86">
        <v>0.48529004606466458</v>
      </c>
      <c r="M153" s="86">
        <v>1.8021682875411758E-2</v>
      </c>
      <c r="N153" s="86">
        <v>1.1031102914086021E-3</v>
      </c>
      <c r="O153" s="86">
        <v>8.2698390897814038E-3</v>
      </c>
      <c r="P153" s="86">
        <v>0.99999999999999967</v>
      </c>
      <c r="R153" s="81">
        <f t="shared" si="6"/>
        <v>0</v>
      </c>
      <c r="S153" s="81">
        <f t="shared" si="7"/>
        <v>57.34800046740483</v>
      </c>
      <c r="T153" s="82">
        <f t="shared" si="8"/>
        <v>4.4749280314277424</v>
      </c>
    </row>
    <row r="154" spans="1:20">
      <c r="A154" s="83" t="s">
        <v>386</v>
      </c>
      <c r="B154" s="84">
        <v>2293515</v>
      </c>
      <c r="C154" s="85">
        <v>515.10027844175147</v>
      </c>
      <c r="D154" s="86">
        <v>0.256402508812892</v>
      </c>
      <c r="E154" s="87">
        <v>0</v>
      </c>
      <c r="F154" s="87">
        <v>2.108771906876563E-2</v>
      </c>
      <c r="G154" s="87">
        <v>6.4442569592961024E-3</v>
      </c>
      <c r="H154" s="87">
        <v>6.754261472020022E-2</v>
      </c>
      <c r="I154" s="87">
        <v>0.16132791806463007</v>
      </c>
      <c r="J154" s="86">
        <v>0</v>
      </c>
      <c r="K154" s="86">
        <v>0.2309551060272115</v>
      </c>
      <c r="L154" s="86">
        <v>0.4852477529032948</v>
      </c>
      <c r="M154" s="86">
        <v>1.8021682875411758E-2</v>
      </c>
      <c r="N154" s="86">
        <v>1.1031102914086021E-3</v>
      </c>
      <c r="O154" s="86">
        <v>8.2698390897814056E-3</v>
      </c>
      <c r="P154" s="86">
        <v>1</v>
      </c>
      <c r="R154" s="81">
        <f t="shared" si="6"/>
        <v>0</v>
      </c>
      <c r="S154" s="81">
        <f t="shared" si="7"/>
        <v>529699</v>
      </c>
      <c r="T154" s="82">
        <f t="shared" si="8"/>
        <v>41333</v>
      </c>
    </row>
    <row r="155" spans="1:20">
      <c r="A155" s="83" t="s">
        <v>387</v>
      </c>
      <c r="B155" s="84">
        <v>732719.41</v>
      </c>
      <c r="C155" s="85">
        <v>708.79370166846968</v>
      </c>
      <c r="D155" s="86">
        <v>0.1752799205906119</v>
      </c>
      <c r="E155" s="87">
        <v>0</v>
      </c>
      <c r="F155" s="87">
        <v>0</v>
      </c>
      <c r="G155" s="87">
        <v>0</v>
      </c>
      <c r="H155" s="87">
        <v>0.1752799205906119</v>
      </c>
      <c r="I155" s="87">
        <v>0</v>
      </c>
      <c r="J155" s="86">
        <v>0</v>
      </c>
      <c r="K155" s="86">
        <v>7.3542982845234001E-2</v>
      </c>
      <c r="L155" s="86">
        <v>0</v>
      </c>
      <c r="M155" s="86">
        <v>0</v>
      </c>
      <c r="N155" s="86">
        <v>0</v>
      </c>
      <c r="O155" s="86">
        <v>0.75117709656415421</v>
      </c>
      <c r="P155" s="86">
        <v>1</v>
      </c>
      <c r="R155" s="81">
        <f t="shared" si="6"/>
        <v>0</v>
      </c>
      <c r="S155" s="81">
        <f t="shared" si="7"/>
        <v>53886.370999999977</v>
      </c>
      <c r="T155" s="82">
        <f t="shared" si="8"/>
        <v>0</v>
      </c>
    </row>
    <row r="156" spans="1:20">
      <c r="A156" s="83" t="s">
        <v>388</v>
      </c>
      <c r="B156" s="84">
        <v>7205</v>
      </c>
      <c r="C156" s="85">
        <v>0</v>
      </c>
      <c r="D156" s="86">
        <v>1</v>
      </c>
      <c r="E156" s="87">
        <v>0</v>
      </c>
      <c r="F156" s="87">
        <v>0</v>
      </c>
      <c r="G156" s="87">
        <v>0</v>
      </c>
      <c r="H156" s="87">
        <v>1</v>
      </c>
      <c r="I156" s="87">
        <v>0</v>
      </c>
      <c r="J156" s="86">
        <v>0</v>
      </c>
      <c r="K156" s="86">
        <v>0</v>
      </c>
      <c r="L156" s="86">
        <v>0</v>
      </c>
      <c r="M156" s="86">
        <v>0</v>
      </c>
      <c r="N156" s="86">
        <v>0</v>
      </c>
      <c r="O156" s="86">
        <v>0</v>
      </c>
      <c r="P156" s="86">
        <v>1</v>
      </c>
      <c r="R156" s="81">
        <f t="shared" si="6"/>
        <v>0</v>
      </c>
      <c r="S156" s="81">
        <f t="shared" si="7"/>
        <v>0</v>
      </c>
      <c r="T156" s="82">
        <f t="shared" si="8"/>
        <v>0</v>
      </c>
    </row>
    <row r="157" spans="1:20">
      <c r="A157" s="83" t="s">
        <v>389</v>
      </c>
      <c r="B157" s="84">
        <v>11637</v>
      </c>
      <c r="C157" s="85">
        <v>943.57735999999977</v>
      </c>
      <c r="D157" s="86">
        <v>0</v>
      </c>
      <c r="E157" s="87">
        <v>0</v>
      </c>
      <c r="F157" s="87">
        <v>0</v>
      </c>
      <c r="G157" s="87">
        <v>0</v>
      </c>
      <c r="H157" s="87">
        <v>0</v>
      </c>
      <c r="I157" s="87">
        <v>0</v>
      </c>
      <c r="J157" s="86">
        <v>0</v>
      </c>
      <c r="K157" s="86">
        <v>0</v>
      </c>
      <c r="L157" s="86">
        <v>0</v>
      </c>
      <c r="M157" s="86">
        <v>0</v>
      </c>
      <c r="N157" s="86">
        <v>0</v>
      </c>
      <c r="O157" s="86">
        <v>1</v>
      </c>
      <c r="P157" s="86">
        <v>1</v>
      </c>
      <c r="R157" s="81">
        <f t="shared" si="6"/>
        <v>0</v>
      </c>
      <c r="S157" s="81">
        <f t="shared" si="7"/>
        <v>0</v>
      </c>
      <c r="T157" s="82">
        <f t="shared" si="8"/>
        <v>0</v>
      </c>
    </row>
    <row r="158" spans="1:20">
      <c r="A158" s="83" t="s">
        <v>390</v>
      </c>
      <c r="B158" s="84">
        <v>1142055.2180000001</v>
      </c>
      <c r="C158" s="85">
        <v>623.17305364839763</v>
      </c>
      <c r="D158" s="86">
        <v>0.26698709063645287</v>
      </c>
      <c r="E158" s="87">
        <v>5.787898777412704E-2</v>
      </c>
      <c r="F158" s="87">
        <v>0</v>
      </c>
      <c r="G158" s="87">
        <v>1.2783970310619429E-4</v>
      </c>
      <c r="H158" s="87">
        <v>0.18569942736341491</v>
      </c>
      <c r="I158" s="87">
        <v>2.3280835795804752E-2</v>
      </c>
      <c r="J158" s="86">
        <v>0</v>
      </c>
      <c r="K158" s="86">
        <v>1.6469431340578138E-2</v>
      </c>
      <c r="L158" s="86">
        <v>0.42746122280752974</v>
      </c>
      <c r="M158" s="86">
        <v>8.0930412595864518E-2</v>
      </c>
      <c r="N158" s="86">
        <v>0</v>
      </c>
      <c r="O158" s="86">
        <v>0.20815184261957476</v>
      </c>
      <c r="P158" s="86">
        <v>1</v>
      </c>
      <c r="R158" s="81">
        <f t="shared" si="6"/>
        <v>0</v>
      </c>
      <c r="S158" s="81">
        <f t="shared" si="7"/>
        <v>18809</v>
      </c>
      <c r="T158" s="82">
        <f t="shared" si="8"/>
        <v>92427</v>
      </c>
    </row>
    <row r="159" spans="1:20">
      <c r="A159" s="83" t="s">
        <v>391</v>
      </c>
      <c r="B159" s="84">
        <v>108531</v>
      </c>
      <c r="C159" s="85">
        <v>908.69670499525478</v>
      </c>
      <c r="D159" s="86">
        <v>0</v>
      </c>
      <c r="E159" s="87">
        <v>0</v>
      </c>
      <c r="F159" s="87">
        <v>0</v>
      </c>
      <c r="G159" s="87">
        <v>0</v>
      </c>
      <c r="H159" s="87">
        <v>0</v>
      </c>
      <c r="I159" s="87">
        <v>0</v>
      </c>
      <c r="J159" s="86">
        <v>0</v>
      </c>
      <c r="K159" s="86">
        <v>3.6966396697717702E-2</v>
      </c>
      <c r="L159" s="86">
        <v>0</v>
      </c>
      <c r="M159" s="86">
        <v>0</v>
      </c>
      <c r="N159" s="86">
        <v>0</v>
      </c>
      <c r="O159" s="86">
        <v>0.96303360330228227</v>
      </c>
      <c r="P159" s="86">
        <v>1</v>
      </c>
      <c r="R159" s="81">
        <f t="shared" si="6"/>
        <v>0</v>
      </c>
      <c r="S159" s="81">
        <f t="shared" si="7"/>
        <v>4012</v>
      </c>
      <c r="T159" s="82">
        <f t="shared" si="8"/>
        <v>0</v>
      </c>
    </row>
    <row r="160" spans="1:20">
      <c r="A160" s="83"/>
      <c r="B160" s="84"/>
      <c r="C160" s="85"/>
      <c r="D160" s="86"/>
      <c r="E160" s="87"/>
      <c r="F160" s="87"/>
      <c r="G160" s="87"/>
      <c r="H160" s="87"/>
      <c r="I160" s="87"/>
      <c r="J160" s="86"/>
      <c r="K160" s="86"/>
      <c r="L160" s="86"/>
      <c r="M160" s="86"/>
      <c r="N160" s="86"/>
      <c r="O160" s="86"/>
      <c r="P160" s="86"/>
    </row>
    <row r="161" spans="1:1">
      <c r="A161" s="83" t="s">
        <v>392</v>
      </c>
    </row>
  </sheetData>
  <autoFilter ref="A1:P159" xr:uid="{FDC1DBCE-A64F-43A8-8306-9FD9AB34A8E0}"/>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D4722-B5D2-4754-9FB4-7B1DAD3F556F}">
  <sheetPr>
    <tabColor theme="5"/>
  </sheetPr>
  <dimension ref="A1:B2"/>
  <sheetViews>
    <sheetView workbookViewId="0"/>
  </sheetViews>
  <sheetFormatPr defaultRowHeight="15"/>
  <cols>
    <col min="1" max="1" width="34.7109375" customWidth="1"/>
    <col min="2" max="2" width="61.42578125" customWidth="1"/>
  </cols>
  <sheetData>
    <row r="1" spans="1:2" ht="15.75" thickBot="1">
      <c r="A1" s="125" t="s">
        <v>63</v>
      </c>
      <c r="B1" s="117" t="s">
        <v>671</v>
      </c>
    </row>
    <row r="2" spans="1:2" ht="61.5" customHeight="1" thickBot="1">
      <c r="A2" s="231" t="s">
        <v>1</v>
      </c>
      <c r="B2" s="232"/>
    </row>
  </sheetData>
  <mergeCells count="1">
    <mergeCell ref="A2:B2"/>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58C34-083D-4835-9F04-A93E60A14D5F}">
  <sheetPr codeName="Sheet118"/>
  <dimension ref="A1:I18"/>
  <sheetViews>
    <sheetView zoomScaleNormal="100" workbookViewId="0"/>
  </sheetViews>
  <sheetFormatPr defaultRowHeight="15"/>
  <cols>
    <col min="1" max="1" width="37.7109375" customWidth="1"/>
    <col min="6" max="6" width="49.28515625" customWidth="1"/>
    <col min="8" max="8" width="9.5703125" bestFit="1" customWidth="1"/>
    <col min="9" max="9" width="39.5703125" bestFit="1" customWidth="1"/>
  </cols>
  <sheetData>
    <row r="1" spans="1:9" s="7" customFormat="1">
      <c r="A1" s="125" t="s">
        <v>35</v>
      </c>
      <c r="B1" s="223" t="s">
        <v>671</v>
      </c>
      <c r="C1" s="224"/>
      <c r="D1" s="224"/>
      <c r="E1" s="224"/>
      <c r="F1" s="225"/>
      <c r="H1" s="229" t="s">
        <v>4</v>
      </c>
      <c r="I1" s="230"/>
    </row>
    <row r="2" spans="1:9" s="7" customFormat="1" ht="18">
      <c r="A2" s="126" t="s">
        <v>496</v>
      </c>
      <c r="B2" s="127">
        <v>2027</v>
      </c>
      <c r="C2" s="127">
        <v>2028</v>
      </c>
      <c r="D2" s="127">
        <v>2029</v>
      </c>
      <c r="E2" s="128">
        <v>2030</v>
      </c>
      <c r="F2" s="129" t="s">
        <v>497</v>
      </c>
      <c r="H2" s="120">
        <v>0.43540000000000001</v>
      </c>
      <c r="I2" s="120" t="s">
        <v>545</v>
      </c>
    </row>
    <row r="3" spans="1:9" s="7" customFormat="1" ht="30">
      <c r="A3" s="130" t="s">
        <v>584</v>
      </c>
      <c r="B3" s="131">
        <v>105530.598</v>
      </c>
      <c r="C3" s="131">
        <v>105041.079</v>
      </c>
      <c r="D3" s="131">
        <v>104551.216</v>
      </c>
      <c r="E3" s="131">
        <v>104071.341</v>
      </c>
      <c r="F3" s="123" t="s">
        <v>561</v>
      </c>
      <c r="H3" s="132">
        <v>0.95946199709706936</v>
      </c>
      <c r="I3" s="123" t="s">
        <v>676</v>
      </c>
    </row>
    <row r="4" spans="1:9" s="7" customFormat="1">
      <c r="A4" s="130" t="s">
        <v>217</v>
      </c>
      <c r="B4" s="131">
        <f>SUMIFS('Form 1.1c (CEC 2025a)'!G:G, 'Form 1.1c (CEC 2025a)'!$B:$B, "Ukiah, City of")*1000</f>
        <v>114938.02882693629</v>
      </c>
      <c r="C4" s="131">
        <f>SUMIFS('Form 1.1c (CEC 2025a)'!H:H, 'Form 1.1c (CEC 2025a)'!$B:$B, "Ukiah, City of")*1000</f>
        <v>120353.51215190603</v>
      </c>
      <c r="D4" s="131">
        <f>SUMIFS('Form 1.1c (CEC 2025a)'!I:I, 'Form 1.1c (CEC 2025a)'!$B:$B, "Ukiah, City of")*1000</f>
        <v>127212.12716005019</v>
      </c>
      <c r="E4" s="131">
        <f>SUMIFS('Form 1.1c (CEC 2025a)'!J:J, 'Form 1.1c (CEC 2025a)'!$B:$B, "Ukiah, City of")*1000</f>
        <v>134977.59364043054</v>
      </c>
      <c r="F4" s="123" t="s">
        <v>575</v>
      </c>
      <c r="H4" s="122">
        <f>0.15</f>
        <v>0.15</v>
      </c>
      <c r="I4" s="120" t="s">
        <v>498</v>
      </c>
    </row>
    <row r="5" spans="1:9" s="7" customFormat="1" ht="30">
      <c r="A5" s="130" t="s">
        <v>585</v>
      </c>
      <c r="B5" s="131">
        <f t="shared" ref="B5:E5" si="0">IF(0&lt;(B4-B3),B4*(1+$H$5),B3)</f>
        <v>122983.69084482185</v>
      </c>
      <c r="C5" s="131">
        <f t="shared" si="0"/>
        <v>128778.25800253947</v>
      </c>
      <c r="D5" s="131">
        <f t="shared" si="0"/>
        <v>136116.97606125372</v>
      </c>
      <c r="E5" s="131">
        <f t="shared" si="0"/>
        <v>144426.02519526068</v>
      </c>
      <c r="F5" s="123" t="s">
        <v>586</v>
      </c>
      <c r="H5" s="122">
        <f>0.07</f>
        <v>7.0000000000000007E-2</v>
      </c>
      <c r="I5" s="123" t="s">
        <v>499</v>
      </c>
    </row>
    <row r="6" spans="1:9" s="7" customFormat="1">
      <c r="A6" s="130" t="s">
        <v>500</v>
      </c>
      <c r="B6" s="131">
        <v>0</v>
      </c>
      <c r="C6" s="131">
        <v>0</v>
      </c>
      <c r="D6" s="131">
        <v>0</v>
      </c>
      <c r="E6" s="131">
        <v>0</v>
      </c>
      <c r="F6" s="133" t="s">
        <v>525</v>
      </c>
      <c r="H6" s="124">
        <v>0.05</v>
      </c>
      <c r="I6" s="120" t="s">
        <v>11</v>
      </c>
    </row>
    <row r="7" spans="1:9" s="7" customFormat="1">
      <c r="A7" s="130" t="s">
        <v>501</v>
      </c>
      <c r="B7" s="131">
        <v>0</v>
      </c>
      <c r="C7" s="131">
        <v>0</v>
      </c>
      <c r="D7" s="131">
        <v>0</v>
      </c>
      <c r="E7" s="131">
        <v>0</v>
      </c>
      <c r="F7" s="133" t="s">
        <v>526</v>
      </c>
    </row>
    <row r="8" spans="1:9" s="7" customFormat="1" ht="30">
      <c r="A8" s="130" t="s">
        <v>502</v>
      </c>
      <c r="B8" s="134">
        <v>13955.608460893192</v>
      </c>
      <c r="C8" s="134">
        <v>13918.56142993894</v>
      </c>
      <c r="D8" s="134">
        <v>14017.296101943441</v>
      </c>
      <c r="E8" s="134">
        <v>14056.654550702189</v>
      </c>
      <c r="F8" s="123" t="s">
        <v>558</v>
      </c>
      <c r="H8" s="135">
        <f>SUMIFS('Form 1.5a (CEC 2025a)'!U:U, 'Form 1.5a (CEC 2025a)'!$B:$B, "NCPA - Non Bay Area")</f>
        <v>3.5189316129375703E-2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44825.831242505155</v>
      </c>
      <c r="C10" s="131">
        <f t="shared" si="1"/>
        <v>49344.939982281474</v>
      </c>
      <c r="D10" s="131">
        <f t="shared" si="1"/>
        <v>54701.214678821583</v>
      </c>
      <c r="E10" s="131">
        <f t="shared" si="1"/>
        <v>60739.917138193741</v>
      </c>
      <c r="F10" s="123" t="s">
        <v>587</v>
      </c>
    </row>
    <row r="11" spans="1:9" s="7" customFormat="1" ht="30">
      <c r="A11" s="130" t="s">
        <v>505</v>
      </c>
      <c r="B11" s="131">
        <f t="shared" ref="B11:E11" si="2">MAX(B5-SUM(B6:B8,B10), B5*$H$6)</f>
        <v>64202.251141423498</v>
      </c>
      <c r="C11" s="131">
        <f t="shared" si="2"/>
        <v>65514.756590319055</v>
      </c>
      <c r="D11" s="131">
        <f t="shared" si="2"/>
        <v>67398.465280488701</v>
      </c>
      <c r="E11" s="131">
        <f t="shared" si="2"/>
        <v>69629.453506364749</v>
      </c>
      <c r="F11" s="123" t="s">
        <v>589</v>
      </c>
    </row>
    <row r="12" spans="1:9" s="7" customFormat="1" ht="46.5">
      <c r="A12" s="130" t="s">
        <v>507</v>
      </c>
      <c r="B12" s="131">
        <f>B6*$H$3+B11*$H$2</f>
        <v>27953.660146975792</v>
      </c>
      <c r="C12" s="131">
        <f>C6*$H$3+C11*$H$2</f>
        <v>28525.125019424919</v>
      </c>
      <c r="D12" s="131">
        <f>D6*$H$3+D11*$H$2</f>
        <v>29345.29178312478</v>
      </c>
      <c r="E12" s="131">
        <f>E6*$H$3+E11*$H$2</f>
        <v>30316.664056671212</v>
      </c>
      <c r="F12" s="136" t="s">
        <v>508</v>
      </c>
    </row>
    <row r="13" spans="1:9" s="7" customFormat="1" ht="72.599999999999994" customHeight="1">
      <c r="A13" s="130"/>
      <c r="B13" s="227" t="s">
        <v>557</v>
      </c>
      <c r="C13" s="227"/>
      <c r="D13" s="228"/>
      <c r="E13" s="137">
        <v>0</v>
      </c>
      <c r="F13" s="136" t="s">
        <v>686</v>
      </c>
    </row>
    <row r="14" spans="1:9" s="7" customFormat="1" ht="33">
      <c r="A14" s="130" t="s">
        <v>509</v>
      </c>
      <c r="B14" s="193">
        <f t="shared" ref="B14:E14" si="3">B12/B5</f>
        <v>0.2272956678641814</v>
      </c>
      <c r="C14" s="193">
        <f t="shared" si="3"/>
        <v>0.22150575308187825</v>
      </c>
      <c r="D14" s="193">
        <f t="shared" si="3"/>
        <v>0.21558877248286185</v>
      </c>
      <c r="E14" s="193">
        <f t="shared" si="3"/>
        <v>0.20991136476742178</v>
      </c>
      <c r="F14" s="123" t="s">
        <v>588</v>
      </c>
    </row>
    <row r="15" spans="1:9" s="7" customFormat="1" ht="33.75" thickBot="1">
      <c r="A15" s="130" t="s">
        <v>511</v>
      </c>
      <c r="B15" s="138">
        <f>$E$13*B14</f>
        <v>0</v>
      </c>
      <c r="C15" s="138">
        <f>$E$13*C14</f>
        <v>0</v>
      </c>
      <c r="D15" s="138">
        <f>$E$13*D14</f>
        <v>0</v>
      </c>
      <c r="E15" s="138">
        <f>$E$13*E14</f>
        <v>0</v>
      </c>
      <c r="F15" s="123" t="s">
        <v>518</v>
      </c>
    </row>
    <row r="16" spans="1:9" ht="30.75" thickBot="1">
      <c r="A16" s="20" t="s">
        <v>513</v>
      </c>
      <c r="B16" s="8">
        <f>B12-B15</f>
        <v>27953.660146975792</v>
      </c>
      <c r="C16" s="8">
        <f>C12-C15</f>
        <v>28525.125019424919</v>
      </c>
      <c r="D16" s="8">
        <f>D12-D15</f>
        <v>29345.29178312478</v>
      </c>
      <c r="E16" s="8">
        <f>E12-E15</f>
        <v>30316.664056671212</v>
      </c>
      <c r="F16" s="10" t="s">
        <v>514</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990F5-B280-491D-95F1-3DD925B5DC5C}">
  <sheetPr codeName="Sheet123"/>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37</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4">
        <v>116000</v>
      </c>
      <c r="C3" s="134">
        <v>116000</v>
      </c>
      <c r="D3" s="134">
        <v>116000</v>
      </c>
      <c r="E3" s="134">
        <v>116000</v>
      </c>
      <c r="F3" s="123" t="s">
        <v>566</v>
      </c>
      <c r="H3" s="132">
        <v>0.95946199709706936</v>
      </c>
      <c r="I3" s="123" t="s">
        <v>676</v>
      </c>
    </row>
    <row r="4" spans="1:12" s="7" customFormat="1">
      <c r="A4" s="130" t="s">
        <v>217</v>
      </c>
      <c r="B4" s="131">
        <f>SUMIFS('Form 1.1c (CEC 2025a)'!G:G, 'Form 1.1c (CEC 2025a)'!$B:$B, "Victorville Municipal Utility Services")*1000</f>
        <v>106783.91847861226</v>
      </c>
      <c r="C4" s="131">
        <f>SUMIFS('Form 1.1c (CEC 2025a)'!H:H, 'Form 1.1c (CEC 2025a)'!$B:$B, "Victorville Municipal Utility Services")*1000</f>
        <v>108087.60127017525</v>
      </c>
      <c r="D4" s="131">
        <f>SUMIFS('Form 1.1c (CEC 2025a)'!I:I, 'Form 1.1c (CEC 2025a)'!$B:$B, "Victorville Municipal Utility Services")*1000</f>
        <v>109164.05668704357</v>
      </c>
      <c r="E4" s="131">
        <f>SUMIFS('Form 1.1c (CEC 2025a)'!J:J, 'Form 1.1c (CEC 2025a)'!$B:$B, "Victorville Municipal Utility Services")*1000</f>
        <v>110142.41336463792</v>
      </c>
      <c r="F4" s="123" t="s">
        <v>575</v>
      </c>
      <c r="H4" s="122">
        <f>0.15</f>
        <v>0.15</v>
      </c>
      <c r="I4" s="123" t="s">
        <v>498</v>
      </c>
    </row>
    <row r="5" spans="1:12" s="7" customFormat="1" ht="30">
      <c r="A5" s="130" t="s">
        <v>585</v>
      </c>
      <c r="B5" s="131">
        <f t="shared" ref="B5:E5" si="0">IF(0&lt;(B4-B3),B4*(1+$H$5),B3)</f>
        <v>116000</v>
      </c>
      <c r="C5" s="131">
        <f t="shared" si="0"/>
        <v>116000</v>
      </c>
      <c r="D5" s="131">
        <f t="shared" si="0"/>
        <v>116000</v>
      </c>
      <c r="E5" s="131">
        <f t="shared" si="0"/>
        <v>116000</v>
      </c>
      <c r="F5" s="123" t="s">
        <v>586</v>
      </c>
      <c r="H5" s="122">
        <f>0.07</f>
        <v>7.0000000000000007E-2</v>
      </c>
      <c r="I5" s="123" t="s">
        <v>499</v>
      </c>
    </row>
    <row r="6" spans="1:12" s="7" customFormat="1">
      <c r="A6" s="130" t="s">
        <v>500</v>
      </c>
      <c r="B6" s="131">
        <v>0</v>
      </c>
      <c r="C6" s="131">
        <v>0</v>
      </c>
      <c r="D6" s="131">
        <v>0</v>
      </c>
      <c r="E6" s="131">
        <v>0</v>
      </c>
      <c r="F6" s="133" t="s">
        <v>515</v>
      </c>
      <c r="H6" s="124">
        <v>0.05</v>
      </c>
      <c r="I6" s="123" t="s">
        <v>516</v>
      </c>
    </row>
    <row r="7" spans="1:12" s="7" customFormat="1">
      <c r="A7" s="130" t="s">
        <v>501</v>
      </c>
      <c r="B7" s="131">
        <v>0</v>
      </c>
      <c r="C7" s="131">
        <v>0</v>
      </c>
      <c r="D7" s="131">
        <v>0</v>
      </c>
      <c r="E7" s="131">
        <v>0</v>
      </c>
      <c r="F7" s="133" t="s">
        <v>517</v>
      </c>
      <c r="I7" s="12"/>
    </row>
    <row r="8" spans="1:12" s="7" customFormat="1" ht="30">
      <c r="A8" s="130" t="s">
        <v>502</v>
      </c>
      <c r="B8" s="131">
        <v>3900</v>
      </c>
      <c r="C8" s="131">
        <v>3900</v>
      </c>
      <c r="D8" s="131">
        <v>3900</v>
      </c>
      <c r="E8" s="131">
        <v>3900</v>
      </c>
      <c r="F8" s="133" t="s">
        <v>564</v>
      </c>
      <c r="H8" s="114">
        <f>SUMIFS('Form 1.1c (CEC 2025a)'!U:U, 'Form 1.1c (CEC 2025a)'!$B:$B, "Victorville Municipal Utility Services")</f>
        <v>8.4711689398009327E-3</v>
      </c>
      <c r="I8" s="123" t="s">
        <v>580</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41645.728206658787</v>
      </c>
      <c r="C10" s="131">
        <f t="shared" si="1"/>
        <v>44315.916520771847</v>
      </c>
      <c r="D10" s="131">
        <f t="shared" si="1"/>
        <v>46940.544375428733</v>
      </c>
      <c r="E10" s="131">
        <f t="shared" si="1"/>
        <v>49564.086014087065</v>
      </c>
      <c r="F10" s="123" t="s">
        <v>587</v>
      </c>
    </row>
    <row r="11" spans="1:12" s="7" customFormat="1" ht="30">
      <c r="A11" s="130" t="s">
        <v>505</v>
      </c>
      <c r="B11" s="131">
        <f t="shared" ref="B11:E11" si="2">MAX(B5-SUM(B6:B8,B10), B5*$H$6)</f>
        <v>70454.271793341206</v>
      </c>
      <c r="C11" s="131">
        <f t="shared" si="2"/>
        <v>67784.083479228153</v>
      </c>
      <c r="D11" s="131">
        <f t="shared" si="2"/>
        <v>65159.455624571267</v>
      </c>
      <c r="E11" s="131">
        <f t="shared" si="2"/>
        <v>62535.913985912935</v>
      </c>
      <c r="F11" s="123" t="s">
        <v>589</v>
      </c>
    </row>
    <row r="12" spans="1:12" s="7" customFormat="1" ht="46.5">
      <c r="A12" s="130" t="s">
        <v>507</v>
      </c>
      <c r="B12" s="131">
        <f>B6*$H$3+B11*$H$2</f>
        <v>30675.789938820762</v>
      </c>
      <c r="C12" s="131">
        <f>C6*$H$3+C11*$H$2</f>
        <v>29513.189946855939</v>
      </c>
      <c r="D12" s="131">
        <f>D6*$H$3+D11*$H$2</f>
        <v>28370.426978938329</v>
      </c>
      <c r="E12" s="131">
        <f>E6*$H$3+E11*$H$2</f>
        <v>27228.136949466494</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0.26444646498983415</v>
      </c>
      <c r="C14" s="193">
        <f t="shared" si="3"/>
        <v>0.25442405126599948</v>
      </c>
      <c r="D14" s="193">
        <f t="shared" si="3"/>
        <v>0.24457264637015802</v>
      </c>
      <c r="E14" s="193">
        <f t="shared" si="3"/>
        <v>0.23472531852988357</v>
      </c>
      <c r="F14" s="123" t="s">
        <v>588</v>
      </c>
    </row>
    <row r="15" spans="1:12" s="7" customFormat="1" ht="33.75" thickBot="1">
      <c r="A15" s="130" t="s">
        <v>511</v>
      </c>
      <c r="B15" s="138">
        <f>$E$13*B14</f>
        <v>0</v>
      </c>
      <c r="C15" s="138">
        <f>$E$13*C14</f>
        <v>0</v>
      </c>
      <c r="D15" s="138">
        <f>$E$13*D14</f>
        <v>0</v>
      </c>
      <c r="E15" s="138">
        <f>$E$13*E14</f>
        <v>0</v>
      </c>
      <c r="F15" s="123" t="s">
        <v>518</v>
      </c>
      <c r="H15"/>
      <c r="I15"/>
    </row>
    <row r="16" spans="1:12" ht="30.75" thickBot="1">
      <c r="A16" s="20" t="s">
        <v>513</v>
      </c>
      <c r="B16" s="8">
        <f>B12-B15</f>
        <v>30675.789938820762</v>
      </c>
      <c r="C16" s="8">
        <f>C12-C15</f>
        <v>29513.189946855939</v>
      </c>
      <c r="D16" s="8">
        <f>D12-D15</f>
        <v>28370.426978938329</v>
      </c>
      <c r="E16" s="8">
        <f>E12-E15</f>
        <v>27228.136949466494</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9DE00-E571-4C17-833C-869CDBE7184F}">
  <sheetPr codeName="Sheet12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25" t="s">
        <v>64</v>
      </c>
      <c r="B1" s="223" t="s">
        <v>671</v>
      </c>
      <c r="C1" s="224"/>
      <c r="D1" s="224"/>
      <c r="E1" s="224"/>
      <c r="F1" s="225"/>
      <c r="H1" s="229" t="s">
        <v>4</v>
      </c>
      <c r="I1" s="230"/>
      <c r="J1" s="2"/>
    </row>
    <row r="2" spans="1:12" s="7" customFormat="1" ht="33">
      <c r="A2" s="126" t="s">
        <v>496</v>
      </c>
      <c r="B2" s="127">
        <v>2027</v>
      </c>
      <c r="C2" s="127">
        <v>2028</v>
      </c>
      <c r="D2" s="127">
        <v>2029</v>
      </c>
      <c r="E2" s="128">
        <v>2030</v>
      </c>
      <c r="F2" s="129" t="s">
        <v>497</v>
      </c>
      <c r="H2" s="120">
        <v>0.43540000000000001</v>
      </c>
      <c r="I2" s="62" t="s">
        <v>7</v>
      </c>
    </row>
    <row r="3" spans="1:12" s="7" customFormat="1" ht="30">
      <c r="A3" s="130" t="s">
        <v>584</v>
      </c>
      <c r="B3" s="131">
        <v>11656.191942004896</v>
      </c>
      <c r="C3" s="131">
        <v>11714.472901714922</v>
      </c>
      <c r="D3" s="131">
        <v>11773.045266223497</v>
      </c>
      <c r="E3" s="131">
        <v>11831.910492554614</v>
      </c>
      <c r="F3" s="123" t="s">
        <v>524</v>
      </c>
      <c r="H3" s="132">
        <v>0.95946199709706936</v>
      </c>
      <c r="I3" s="123" t="s">
        <v>676</v>
      </c>
    </row>
    <row r="4" spans="1:12" s="7" customFormat="1">
      <c r="A4" s="130" t="s">
        <v>217</v>
      </c>
      <c r="B4" s="131">
        <f>SUMIFS('Form 1.1c (CEC 2025a)'!G:G, 'Form 1.1c (CEC 2025a)'!$B:$B, "Valley Electric Association, Inc.")*1000</f>
        <v>6661.5023441757003</v>
      </c>
      <c r="C4" s="131">
        <f>SUMIFS('Form 1.1c (CEC 2025a)'!H:H, 'Form 1.1c (CEC 2025a)'!$B:$B, "Valley Electric Association, Inc.")*1000</f>
        <v>6601.7645682061193</v>
      </c>
      <c r="D4" s="131">
        <f>SUMIFS('Form 1.1c (CEC 2025a)'!I:I, 'Form 1.1c (CEC 2025a)'!$B:$B, "Valley Electric Association, Inc.")*1000</f>
        <v>6627.25959239863</v>
      </c>
      <c r="E4" s="131">
        <f>SUMIFS('Form 1.1c (CEC 2025a)'!J:J, 'Form 1.1c (CEC 2025a)'!$B:$B, "Valley Electric Association, Inc.")*1000</f>
        <v>6653.3774709468598</v>
      </c>
      <c r="F4" s="123" t="s">
        <v>575</v>
      </c>
      <c r="H4" s="122">
        <f>0.15</f>
        <v>0.15</v>
      </c>
      <c r="I4" s="123" t="s">
        <v>498</v>
      </c>
    </row>
    <row r="5" spans="1:12" s="7" customFormat="1" ht="45">
      <c r="A5" s="130" t="s">
        <v>585</v>
      </c>
      <c r="B5" s="131">
        <f>B4*(1+$H$4)</f>
        <v>7660.7276958020548</v>
      </c>
      <c r="C5" s="131">
        <f t="shared" ref="C5:E5" si="0">C4*(1+$H$4)</f>
        <v>7592.0292534370365</v>
      </c>
      <c r="D5" s="131">
        <f t="shared" si="0"/>
        <v>7621.3485312584244</v>
      </c>
      <c r="E5" s="131">
        <f t="shared" si="0"/>
        <v>7651.3840915888886</v>
      </c>
      <c r="F5" s="123" t="s">
        <v>678</v>
      </c>
      <c r="H5" s="122">
        <v>7.0000000000000007E-2</v>
      </c>
      <c r="I5" s="123" t="s">
        <v>499</v>
      </c>
    </row>
    <row r="6" spans="1:12" s="7" customFormat="1">
      <c r="A6" s="130" t="s">
        <v>500</v>
      </c>
      <c r="B6" s="131">
        <v>0</v>
      </c>
      <c r="C6" s="131">
        <v>0</v>
      </c>
      <c r="D6" s="131">
        <v>0</v>
      </c>
      <c r="E6" s="131">
        <v>0</v>
      </c>
      <c r="F6" s="133" t="s">
        <v>551</v>
      </c>
      <c r="H6" s="124">
        <v>0.05</v>
      </c>
      <c r="I6" s="123" t="s">
        <v>516</v>
      </c>
    </row>
    <row r="7" spans="1:12" s="7" customFormat="1">
      <c r="A7" s="130" t="s">
        <v>501</v>
      </c>
      <c r="B7" s="131">
        <v>0</v>
      </c>
      <c r="C7" s="131">
        <v>0</v>
      </c>
      <c r="D7" s="131">
        <v>0</v>
      </c>
      <c r="E7" s="131">
        <v>0</v>
      </c>
      <c r="F7" s="133" t="s">
        <v>552</v>
      </c>
      <c r="I7" s="12"/>
    </row>
    <row r="8" spans="1:12" s="7" customFormat="1" ht="30">
      <c r="A8" s="130" t="s">
        <v>502</v>
      </c>
      <c r="B8" s="134"/>
      <c r="C8" s="134"/>
      <c r="D8" s="134"/>
      <c r="E8" s="134"/>
      <c r="F8" s="133" t="s">
        <v>570</v>
      </c>
      <c r="H8" s="135">
        <f>SUMIFS('Form 1.5a (CEC 2025a)'!U:U, 'Form 1.5a (CEC 2025a)'!$A:$A, "Valley Electric Association")</f>
        <v>1.6221480654115439E-2</v>
      </c>
      <c r="I8" s="123" t="s">
        <v>579</v>
      </c>
    </row>
    <row r="9" spans="1:12" s="7" customFormat="1" ht="75">
      <c r="A9" s="130" t="s">
        <v>503</v>
      </c>
      <c r="B9" s="203">
        <v>0.39</v>
      </c>
      <c r="C9" s="203">
        <v>0.41</v>
      </c>
      <c r="D9" s="203">
        <v>0.43</v>
      </c>
      <c r="E9" s="203">
        <v>0.45</v>
      </c>
      <c r="F9" s="123" t="s">
        <v>690</v>
      </c>
      <c r="H9" s="16"/>
      <c r="I9" s="2"/>
    </row>
    <row r="10" spans="1:12" s="7" customFormat="1">
      <c r="A10" s="130" t="s">
        <v>504</v>
      </c>
      <c r="B10" s="131">
        <f t="shared" ref="B10:E10" si="1">B4*B9</f>
        <v>2597.9859142285231</v>
      </c>
      <c r="C10" s="131">
        <f t="shared" si="1"/>
        <v>2706.7234729645088</v>
      </c>
      <c r="D10" s="131">
        <f t="shared" si="1"/>
        <v>2849.7216247314109</v>
      </c>
      <c r="E10" s="131">
        <f t="shared" si="1"/>
        <v>2994.0198619260868</v>
      </c>
      <c r="F10" s="123" t="s">
        <v>587</v>
      </c>
    </row>
    <row r="11" spans="1:12" s="7" customFormat="1" ht="30">
      <c r="A11" s="130" t="s">
        <v>505</v>
      </c>
      <c r="B11" s="131">
        <f t="shared" ref="B11:E11" si="2">MAX(B5-SUM(B6:B8,B10), B5*$H$6)</f>
        <v>5062.7417815735316</v>
      </c>
      <c r="C11" s="131">
        <f t="shared" si="2"/>
        <v>4885.3057804725277</v>
      </c>
      <c r="D11" s="131">
        <f t="shared" si="2"/>
        <v>4771.6269065270135</v>
      </c>
      <c r="E11" s="131">
        <f t="shared" si="2"/>
        <v>4657.3642296628022</v>
      </c>
      <c r="F11" s="123" t="s">
        <v>589</v>
      </c>
    </row>
    <row r="12" spans="1:12" s="7" customFormat="1" ht="46.5">
      <c r="A12" s="130" t="s">
        <v>507</v>
      </c>
      <c r="B12" s="131">
        <f>B6*$H$3+B11*$H$2</f>
        <v>2204.3177716971159</v>
      </c>
      <c r="C12" s="131">
        <f>C6*$H$3+C11*$H$2</f>
        <v>2127.0621368177385</v>
      </c>
      <c r="D12" s="131">
        <f>D6*$H$3+D11*$H$2</f>
        <v>2077.5663551018615</v>
      </c>
      <c r="E12" s="131">
        <f>E6*$H$3+E11*$H$2</f>
        <v>2027.8163855951841</v>
      </c>
      <c r="F12" s="136" t="s">
        <v>508</v>
      </c>
    </row>
    <row r="13" spans="1:12" s="7" customFormat="1" ht="72.599999999999994" customHeight="1">
      <c r="A13" s="130"/>
      <c r="B13" s="227" t="s">
        <v>557</v>
      </c>
      <c r="C13" s="227"/>
      <c r="D13" s="228"/>
      <c r="E13" s="137">
        <v>0</v>
      </c>
      <c r="F13" s="136" t="s">
        <v>686</v>
      </c>
    </row>
    <row r="14" spans="1:12" s="7" customFormat="1" ht="33">
      <c r="A14" s="130" t="s">
        <v>509</v>
      </c>
      <c r="B14" s="193">
        <f t="shared" ref="B14:E14" si="3">B12/B5</f>
        <v>0.28774260869565221</v>
      </c>
      <c r="C14" s="193">
        <f t="shared" si="3"/>
        <v>0.28017043478260867</v>
      </c>
      <c r="D14" s="193">
        <f t="shared" si="3"/>
        <v>0.27259826086956518</v>
      </c>
      <c r="E14" s="193">
        <f t="shared" si="3"/>
        <v>0.26502608695652174</v>
      </c>
      <c r="F14" s="123" t="s">
        <v>588</v>
      </c>
    </row>
    <row r="15" spans="1:12" s="7" customFormat="1" ht="33.75" thickBot="1">
      <c r="A15" s="130" t="s">
        <v>511</v>
      </c>
      <c r="B15" s="138">
        <f t="shared" ref="B15:E15" si="4">$E$13*B14</f>
        <v>0</v>
      </c>
      <c r="C15" s="138">
        <f t="shared" si="4"/>
        <v>0</v>
      </c>
      <c r="D15" s="138">
        <f t="shared" si="4"/>
        <v>0</v>
      </c>
      <c r="E15" s="138">
        <f t="shared" si="4"/>
        <v>0</v>
      </c>
      <c r="F15" s="123" t="s">
        <v>518</v>
      </c>
      <c r="H15"/>
      <c r="I15"/>
    </row>
    <row r="16" spans="1:12" ht="30.75" thickBot="1">
      <c r="A16" s="20" t="s">
        <v>513</v>
      </c>
      <c r="B16" s="8">
        <f>B12-B15</f>
        <v>2204.3177716971159</v>
      </c>
      <c r="C16" s="8">
        <f>C12-C15</f>
        <v>2127.0621368177385</v>
      </c>
      <c r="D16" s="8">
        <f>D12-D15</f>
        <v>2077.5663551018615</v>
      </c>
      <c r="E16" s="8">
        <f>E12-E15</f>
        <v>2027.8163855951841</v>
      </c>
      <c r="F16" s="10" t="s">
        <v>514</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6CDED-0F7A-481B-8F93-CDF1D829EA63}">
  <sheetPr>
    <tabColor theme="5"/>
  </sheetPr>
  <dimension ref="A1:B2"/>
  <sheetViews>
    <sheetView workbookViewId="0">
      <selection activeCell="K29" sqref="K29"/>
    </sheetView>
  </sheetViews>
  <sheetFormatPr defaultRowHeight="15"/>
  <cols>
    <col min="1" max="1" width="34.7109375" customWidth="1"/>
    <col min="2" max="2" width="61.42578125" customWidth="1"/>
  </cols>
  <sheetData>
    <row r="1" spans="1:2" ht="15.75" thickBot="1">
      <c r="A1" s="125" t="s">
        <v>36</v>
      </c>
      <c r="B1" s="117" t="s">
        <v>671</v>
      </c>
    </row>
    <row r="2" spans="1:2" ht="61.5" customHeight="1" thickBot="1">
      <c r="A2" s="231" t="s">
        <v>1</v>
      </c>
      <c r="B2" s="232"/>
    </row>
  </sheetData>
  <mergeCells count="1">
    <mergeCell ref="A2:B2"/>
  </mergeCell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6C8CF-AB33-4657-ACE3-1C253ED27E10}">
  <sheetPr codeName="Sheet124"/>
  <dimension ref="A1:K16"/>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1" s="7" customFormat="1">
      <c r="A1" s="125" t="s">
        <v>65</v>
      </c>
      <c r="B1" s="223" t="s">
        <v>671</v>
      </c>
      <c r="C1" s="224"/>
      <c r="D1" s="224"/>
      <c r="E1" s="224"/>
      <c r="F1" s="225"/>
      <c r="H1" s="229" t="s">
        <v>4</v>
      </c>
      <c r="I1" s="230"/>
    </row>
    <row r="2" spans="1:11" s="7" customFormat="1" ht="33">
      <c r="A2" s="126" t="s">
        <v>496</v>
      </c>
      <c r="B2" s="127">
        <v>2027</v>
      </c>
      <c r="C2" s="127">
        <v>2028</v>
      </c>
      <c r="D2" s="127">
        <v>2029</v>
      </c>
      <c r="E2" s="128">
        <v>2030</v>
      </c>
      <c r="F2" s="129" t="s">
        <v>497</v>
      </c>
      <c r="H2" s="120">
        <v>0.43540000000000001</v>
      </c>
      <c r="I2" s="62" t="s">
        <v>7</v>
      </c>
    </row>
    <row r="3" spans="1:11" s="7" customFormat="1" ht="30">
      <c r="A3" s="130" t="s">
        <v>584</v>
      </c>
      <c r="B3" s="131">
        <f>B4/(1-$H$5)</f>
        <v>1921619.9421901151</v>
      </c>
      <c r="C3" s="131">
        <f>C4/(1-$H$5)</f>
        <v>1961395.7723210878</v>
      </c>
      <c r="D3" s="131">
        <f>D4/(1-$H$5)</f>
        <v>2001994.9268919621</v>
      </c>
      <c r="E3" s="131">
        <f>E4/(1-$H$5)</f>
        <v>2043434.4479891285</v>
      </c>
      <c r="F3" s="123" t="s">
        <v>553</v>
      </c>
      <c r="H3" s="132">
        <v>0.95946199709706936</v>
      </c>
      <c r="I3" s="123" t="s">
        <v>676</v>
      </c>
    </row>
    <row r="4" spans="1:11" s="7" customFormat="1" ht="45.6" customHeight="1">
      <c r="A4" s="130" t="s">
        <v>217</v>
      </c>
      <c r="B4" s="131">
        <v>1787106.546236807</v>
      </c>
      <c r="C4" s="131">
        <v>1824098.0682586115</v>
      </c>
      <c r="D4" s="131">
        <v>1861855.2820095245</v>
      </c>
      <c r="E4" s="131">
        <v>1900394.0366298894</v>
      </c>
      <c r="F4" s="123" t="s">
        <v>677</v>
      </c>
      <c r="H4" s="122">
        <f>0.15</f>
        <v>0.15</v>
      </c>
      <c r="I4" s="123" t="s">
        <v>498</v>
      </c>
    </row>
    <row r="5" spans="1:11" s="7" customFormat="1" ht="30">
      <c r="A5" s="130" t="s">
        <v>585</v>
      </c>
      <c r="B5" s="131">
        <f t="shared" ref="B5:E5" si="0">IF(0&lt;(B4-B3),B4*(1+$H$5),B3)</f>
        <v>1921619.9421901151</v>
      </c>
      <c r="C5" s="131">
        <f t="shared" si="0"/>
        <v>1961395.7723210878</v>
      </c>
      <c r="D5" s="131">
        <f t="shared" si="0"/>
        <v>2001994.9268919621</v>
      </c>
      <c r="E5" s="131">
        <f t="shared" si="0"/>
        <v>2043434.4479891285</v>
      </c>
      <c r="F5" s="123" t="s">
        <v>586</v>
      </c>
      <c r="H5" s="122">
        <f>0.07</f>
        <v>7.0000000000000007E-2</v>
      </c>
      <c r="I5" s="123" t="s">
        <v>499</v>
      </c>
    </row>
    <row r="6" spans="1:11" s="7" customFormat="1">
      <c r="A6" s="130" t="s">
        <v>500</v>
      </c>
      <c r="B6" s="131">
        <v>0</v>
      </c>
      <c r="C6" s="131">
        <v>0</v>
      </c>
      <c r="D6" s="131">
        <v>0</v>
      </c>
      <c r="E6" s="131">
        <v>0</v>
      </c>
      <c r="F6" s="133" t="s">
        <v>554</v>
      </c>
      <c r="H6" s="124">
        <v>0.05</v>
      </c>
      <c r="I6" s="123" t="s">
        <v>516</v>
      </c>
    </row>
    <row r="7" spans="1:11" s="7" customFormat="1" ht="30">
      <c r="A7" s="130" t="s">
        <v>501</v>
      </c>
      <c r="B7" s="131">
        <v>0</v>
      </c>
      <c r="C7" s="131">
        <v>0</v>
      </c>
      <c r="D7" s="131">
        <v>0</v>
      </c>
      <c r="E7" s="131">
        <v>0</v>
      </c>
      <c r="F7" s="133" t="s">
        <v>555</v>
      </c>
      <c r="I7" s="12"/>
    </row>
    <row r="8" spans="1:11" s="7" customFormat="1" ht="30">
      <c r="A8" s="130" t="s">
        <v>502</v>
      </c>
      <c r="B8" s="131">
        <v>511618</v>
      </c>
      <c r="C8" s="131">
        <v>511618</v>
      </c>
      <c r="D8" s="131">
        <v>511618</v>
      </c>
      <c r="E8" s="131">
        <v>511618</v>
      </c>
      <c r="F8" s="123" t="s">
        <v>556</v>
      </c>
      <c r="H8" s="154">
        <v>2.0699113939064897E-2</v>
      </c>
      <c r="I8" s="123" t="s">
        <v>579</v>
      </c>
    </row>
    <row r="9" spans="1:11" s="7" customFormat="1" ht="75">
      <c r="A9" s="130" t="s">
        <v>503</v>
      </c>
      <c r="B9" s="203">
        <v>0.39</v>
      </c>
      <c r="C9" s="203">
        <v>0.41</v>
      </c>
      <c r="D9" s="203">
        <v>0.43</v>
      </c>
      <c r="E9" s="203">
        <v>0.45</v>
      </c>
      <c r="F9" s="123" t="s">
        <v>690</v>
      </c>
      <c r="H9" s="17"/>
    </row>
    <row r="10" spans="1:11" s="7" customFormat="1">
      <c r="A10" s="130" t="s">
        <v>504</v>
      </c>
      <c r="B10" s="131">
        <f t="shared" ref="B10:E10" si="1">B4*B9</f>
        <v>696971.5530323548</v>
      </c>
      <c r="C10" s="131">
        <f t="shared" si="1"/>
        <v>747880.20798603061</v>
      </c>
      <c r="D10" s="131">
        <f t="shared" si="1"/>
        <v>800597.77126409556</v>
      </c>
      <c r="E10" s="131">
        <f t="shared" si="1"/>
        <v>855177.31648345024</v>
      </c>
      <c r="F10" s="123" t="s">
        <v>587</v>
      </c>
    </row>
    <row r="11" spans="1:11" s="7" customFormat="1" ht="30">
      <c r="A11" s="130" t="s">
        <v>505</v>
      </c>
      <c r="B11" s="131">
        <f t="shared" ref="B11:E11" si="2">MAX(B5-SUM(B6:B8,B10), B5*$H$6)</f>
        <v>713030.38915776019</v>
      </c>
      <c r="C11" s="131">
        <f t="shared" si="2"/>
        <v>701897.56433505705</v>
      </c>
      <c r="D11" s="131">
        <f t="shared" si="2"/>
        <v>689779.15562786651</v>
      </c>
      <c r="E11" s="131">
        <f t="shared" si="2"/>
        <v>676639.13150567841</v>
      </c>
      <c r="F11" s="123" t="s">
        <v>589</v>
      </c>
    </row>
    <row r="12" spans="1:11" s="7" customFormat="1" ht="46.5">
      <c r="A12" s="130" t="s">
        <v>507</v>
      </c>
      <c r="B12" s="131">
        <f>B6*$H$3+B11*$H$2</f>
        <v>310453.43143928878</v>
      </c>
      <c r="C12" s="131">
        <f>C6*$H$3+C11*$H$2</f>
        <v>305606.19951148384</v>
      </c>
      <c r="D12" s="131">
        <f>D6*$H$3+D11*$H$2</f>
        <v>300329.8443603731</v>
      </c>
      <c r="E12" s="131">
        <f>E6*$H$3+E11*$H$2</f>
        <v>294608.67785757239</v>
      </c>
      <c r="F12" s="136" t="s">
        <v>508</v>
      </c>
    </row>
    <row r="13" spans="1:11" s="7" customFormat="1" ht="72.599999999999994" customHeight="1">
      <c r="A13" s="130"/>
      <c r="B13" s="227" t="s">
        <v>557</v>
      </c>
      <c r="C13" s="227"/>
      <c r="D13" s="228"/>
      <c r="E13" s="137">
        <v>0</v>
      </c>
      <c r="F13" s="136" t="s">
        <v>686</v>
      </c>
    </row>
    <row r="14" spans="1:11" s="7" customFormat="1" ht="33">
      <c r="A14" s="130" t="s">
        <v>509</v>
      </c>
      <c r="B14" s="193">
        <f t="shared" ref="B14:E14" si="3">B12/B5</f>
        <v>0.16155818568652955</v>
      </c>
      <c r="C14" s="193">
        <f t="shared" si="3"/>
        <v>0.15581057317658731</v>
      </c>
      <c r="D14" s="193">
        <f t="shared" si="3"/>
        <v>0.15001528741465209</v>
      </c>
      <c r="E14" s="193">
        <f t="shared" si="3"/>
        <v>0.14417329518325697</v>
      </c>
      <c r="F14" s="123" t="s">
        <v>588</v>
      </c>
    </row>
    <row r="15" spans="1:11" s="7" customFormat="1" ht="33.75" thickBot="1">
      <c r="A15" s="130" t="s">
        <v>511</v>
      </c>
      <c r="B15" s="138">
        <f>$E$13*B14</f>
        <v>0</v>
      </c>
      <c r="C15" s="138">
        <f>$E$13*C14</f>
        <v>0</v>
      </c>
      <c r="D15" s="138">
        <f>$E$13*D14</f>
        <v>0</v>
      </c>
      <c r="E15" s="138">
        <f>$E$13*E14</f>
        <v>0</v>
      </c>
      <c r="F15" s="123" t="s">
        <v>518</v>
      </c>
    </row>
    <row r="16" spans="1:11" ht="30.75" thickBot="1">
      <c r="A16" s="20" t="s">
        <v>513</v>
      </c>
      <c r="B16" s="8">
        <f>B12-B15</f>
        <v>310453.43143928878</v>
      </c>
      <c r="C16" s="8">
        <f>C12-C15</f>
        <v>305606.19951148384</v>
      </c>
      <c r="D16" s="8">
        <f>D12-D15</f>
        <v>300329.8443603731</v>
      </c>
      <c r="E16" s="8">
        <f>E12-E15</f>
        <v>294608.67785757239</v>
      </c>
      <c r="F16" s="10" t="s">
        <v>514</v>
      </c>
      <c r="J16" s="7"/>
      <c r="K16" s="7"/>
    </row>
  </sheetData>
  <mergeCells count="3">
    <mergeCell ref="B13:D13"/>
    <mergeCell ref="B1:F1"/>
    <mergeCell ref="H1:I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F1D96-FB0C-41DB-A7E8-0853B60F2814}">
  <dimension ref="A1:T163"/>
  <sheetViews>
    <sheetView zoomScale="60" zoomScaleNormal="60" workbookViewId="0">
      <pane ySplit="1" topLeftCell="A2" activePane="bottomLeft" state="frozen"/>
      <selection pane="bottomLeft"/>
    </sheetView>
  </sheetViews>
  <sheetFormatPr defaultRowHeight="15"/>
  <cols>
    <col min="1" max="1" width="64" style="90" customWidth="1"/>
    <col min="2" max="2" width="17.28515625" style="90" customWidth="1"/>
    <col min="3" max="3" width="20.7109375" customWidth="1"/>
    <col min="4" max="4" width="14.42578125" customWidth="1"/>
    <col min="5" max="5" width="14.28515625" customWidth="1"/>
    <col min="6" max="6" width="14.7109375" customWidth="1"/>
    <col min="7" max="7" width="15.7109375" customWidth="1"/>
    <col min="10" max="10" width="16.42578125" customWidth="1"/>
    <col min="11" max="11" width="10.28515625" customWidth="1"/>
    <col min="13" max="13" width="13.28515625" customWidth="1"/>
    <col min="14" max="14" width="8.28515625" customWidth="1"/>
    <col min="15" max="15" width="14" customWidth="1"/>
    <col min="16" max="16" width="11.28515625" customWidth="1"/>
    <col min="18" max="18" width="13.140625" bestFit="1" customWidth="1"/>
    <col min="19" max="20" width="14.28515625" bestFit="1" customWidth="1"/>
  </cols>
  <sheetData>
    <row r="1" spans="1:20" ht="67.5">
      <c r="A1" s="173" t="s">
        <v>595</v>
      </c>
      <c r="B1" s="174" t="s">
        <v>596</v>
      </c>
      <c r="C1" s="173" t="s">
        <v>597</v>
      </c>
      <c r="D1" s="175" t="s">
        <v>598</v>
      </c>
      <c r="E1" s="176" t="s">
        <v>220</v>
      </c>
      <c r="F1" s="177" t="s">
        <v>221</v>
      </c>
      <c r="G1" s="176" t="s">
        <v>222</v>
      </c>
      <c r="H1" s="177" t="s">
        <v>223</v>
      </c>
      <c r="I1" s="177" t="s">
        <v>224</v>
      </c>
      <c r="J1" s="176" t="s">
        <v>226</v>
      </c>
      <c r="K1" s="177" t="s">
        <v>228</v>
      </c>
      <c r="L1" s="178" t="s">
        <v>225</v>
      </c>
      <c r="M1" s="178" t="s">
        <v>227</v>
      </c>
      <c r="N1" s="178" t="s">
        <v>229</v>
      </c>
      <c r="O1" s="179" t="s">
        <v>599</v>
      </c>
      <c r="P1" s="180" t="s">
        <v>231</v>
      </c>
      <c r="R1" s="74" t="s">
        <v>232</v>
      </c>
      <c r="S1" s="74" t="s">
        <v>233</v>
      </c>
      <c r="T1" s="75" t="s">
        <v>234</v>
      </c>
    </row>
    <row r="2" spans="1:20" ht="14.65" customHeight="1">
      <c r="A2" s="181" t="s">
        <v>600</v>
      </c>
      <c r="B2" s="182">
        <v>281140000</v>
      </c>
      <c r="C2" s="183"/>
      <c r="D2" s="184">
        <v>0.368543958339831</v>
      </c>
      <c r="E2" s="185">
        <v>2.05931731447574E-2</v>
      </c>
      <c r="F2" s="185">
        <v>4.8258039346062501E-2</v>
      </c>
      <c r="G2" s="185">
        <v>1.7743281918380399E-2</v>
      </c>
      <c r="H2" s="185">
        <v>0.17026593635439299</v>
      </c>
      <c r="I2" s="185">
        <v>0.11168352757623801</v>
      </c>
      <c r="J2" s="184">
        <v>0.116974781221621</v>
      </c>
      <c r="K2" s="184">
        <v>9.3447563335547601E-2</v>
      </c>
      <c r="L2" s="184">
        <v>1.7717654181606202E-2</v>
      </c>
      <c r="M2" s="184">
        <v>0.365559912918555</v>
      </c>
      <c r="N2" s="184">
        <v>8.6006313582035398E-4</v>
      </c>
      <c r="O2" s="184">
        <v>3.6896066867017699E-2</v>
      </c>
      <c r="P2" s="186">
        <v>1</v>
      </c>
      <c r="R2" s="41">
        <f>L2*B2</f>
        <v>4981141.2966167675</v>
      </c>
      <c r="S2" s="41">
        <f>J2*B2</f>
        <v>32886289.992646527</v>
      </c>
      <c r="T2" s="41">
        <f>K2*B2</f>
        <v>26271847.956155851</v>
      </c>
    </row>
    <row r="3" spans="1:20" ht="18.75">
      <c r="A3" s="181" t="s">
        <v>601</v>
      </c>
      <c r="B3" s="182">
        <v>228723836.62115896</v>
      </c>
      <c r="C3" s="187">
        <v>372.27625211248159</v>
      </c>
      <c r="D3" s="184">
        <v>0.42726095754458859</v>
      </c>
      <c r="E3" s="185">
        <v>2.0622218259849473E-2</v>
      </c>
      <c r="F3" s="185">
        <v>5.5476806292158475E-2</v>
      </c>
      <c r="G3" s="185">
        <v>1.8098083444010826E-2</v>
      </c>
      <c r="H3" s="185">
        <v>0.19755691768489755</v>
      </c>
      <c r="I3" s="185">
        <v>0.13550693186367224</v>
      </c>
      <c r="J3" s="184">
        <v>0.120641561082378</v>
      </c>
      <c r="K3" s="184">
        <v>0.11038200822643045</v>
      </c>
      <c r="L3" s="184">
        <v>1.6346394203673592E-2</v>
      </c>
      <c r="M3" s="184">
        <v>0.12197343319117859</v>
      </c>
      <c r="N3" s="184">
        <v>3.7494648454748121E-4</v>
      </c>
      <c r="O3" s="184">
        <v>0.20302069926720312</v>
      </c>
      <c r="P3" s="186">
        <v>1</v>
      </c>
      <c r="R3" s="41">
        <f t="shared" ref="R3:R66" si="0">L3*B3</f>
        <v>3738809.9971860982</v>
      </c>
      <c r="S3" s="41">
        <f t="shared" ref="S3:S66" si="1">J3*B3</f>
        <v>27593600.706727393</v>
      </c>
      <c r="T3" s="41">
        <f t="shared" ref="T3:T66" si="2">K3*B3</f>
        <v>25246996.4154975</v>
      </c>
    </row>
    <row r="4" spans="1:20" ht="30">
      <c r="A4" s="188" t="s">
        <v>602</v>
      </c>
      <c r="B4" s="189">
        <v>299170.36</v>
      </c>
      <c r="C4" s="187">
        <v>100.78972330016111</v>
      </c>
      <c r="D4" s="184">
        <v>0.89318340225950199</v>
      </c>
      <c r="E4" s="185">
        <v>0</v>
      </c>
      <c r="F4" s="185">
        <v>0</v>
      </c>
      <c r="G4" s="185">
        <v>5.0813857362072903E-2</v>
      </c>
      <c r="H4" s="185">
        <v>0.8423695448974291</v>
      </c>
      <c r="I4" s="185">
        <v>0</v>
      </c>
      <c r="J4" s="184">
        <v>0</v>
      </c>
      <c r="K4" s="184">
        <v>0</v>
      </c>
      <c r="L4" s="184">
        <v>0</v>
      </c>
      <c r="M4" s="184">
        <v>0</v>
      </c>
      <c r="N4" s="184">
        <v>0</v>
      </c>
      <c r="O4" s="184">
        <v>0.10681659774049805</v>
      </c>
      <c r="P4" s="186">
        <v>1</v>
      </c>
      <c r="R4" s="41">
        <f t="shared" si="0"/>
        <v>0</v>
      </c>
      <c r="S4" s="41">
        <f t="shared" si="1"/>
        <v>0</v>
      </c>
      <c r="T4" s="41">
        <f t="shared" si="2"/>
        <v>0</v>
      </c>
    </row>
    <row r="5" spans="1:20" ht="30">
      <c r="A5" s="188" t="s">
        <v>603</v>
      </c>
      <c r="B5" s="189">
        <v>194114.21299999999</v>
      </c>
      <c r="C5" s="187">
        <v>451.057817309553</v>
      </c>
      <c r="D5" s="184">
        <v>0.41335458522040325</v>
      </c>
      <c r="E5" s="185">
        <v>4.97645167280976E-3</v>
      </c>
      <c r="F5" s="185">
        <v>7.6604385481036366E-3</v>
      </c>
      <c r="G5" s="185">
        <v>3.0760241137005255E-2</v>
      </c>
      <c r="H5" s="185">
        <v>0.29828830720396554</v>
      </c>
      <c r="I5" s="185">
        <v>7.1669146658519034E-2</v>
      </c>
      <c r="J5" s="184">
        <v>0.13961097737856012</v>
      </c>
      <c r="K5" s="184">
        <v>0</v>
      </c>
      <c r="L5" s="184">
        <v>0</v>
      </c>
      <c r="M5" s="184">
        <v>0</v>
      </c>
      <c r="N5" s="184">
        <v>0</v>
      </c>
      <c r="O5" s="184">
        <v>0.44703443740103654</v>
      </c>
      <c r="P5" s="186">
        <v>1</v>
      </c>
      <c r="R5" s="41">
        <f t="shared" si="0"/>
        <v>0</v>
      </c>
      <c r="S5" s="41">
        <f t="shared" si="1"/>
        <v>27100.474999999999</v>
      </c>
      <c r="T5" s="41">
        <f t="shared" si="2"/>
        <v>0</v>
      </c>
    </row>
    <row r="6" spans="1:20" ht="15.75">
      <c r="A6" s="188" t="s">
        <v>238</v>
      </c>
      <c r="B6" s="189">
        <v>6278.7767099999801</v>
      </c>
      <c r="C6" s="187">
        <v>591.47027663152528</v>
      </c>
      <c r="D6" s="184">
        <v>0.3731618606962705</v>
      </c>
      <c r="E6" s="185">
        <v>0</v>
      </c>
      <c r="F6" s="185">
        <v>0</v>
      </c>
      <c r="G6" s="185">
        <v>0</v>
      </c>
      <c r="H6" s="185">
        <v>0.3731618606962705</v>
      </c>
      <c r="I6" s="185">
        <v>0</v>
      </c>
      <c r="J6" s="184">
        <v>0</v>
      </c>
      <c r="K6" s="184">
        <v>0</v>
      </c>
      <c r="L6" s="184">
        <v>0</v>
      </c>
      <c r="M6" s="184">
        <v>0</v>
      </c>
      <c r="N6" s="184">
        <v>0</v>
      </c>
      <c r="O6" s="184">
        <v>0.62683813930372956</v>
      </c>
      <c r="P6" s="186">
        <v>1</v>
      </c>
      <c r="R6" s="41">
        <f t="shared" si="0"/>
        <v>0</v>
      </c>
      <c r="S6" s="41">
        <f t="shared" si="1"/>
        <v>0</v>
      </c>
      <c r="T6" s="41">
        <f t="shared" si="2"/>
        <v>0</v>
      </c>
    </row>
    <row r="7" spans="1:20" ht="15.75">
      <c r="A7" s="188" t="s">
        <v>604</v>
      </c>
      <c r="B7" s="189">
        <v>341595.32</v>
      </c>
      <c r="C7" s="187">
        <v>105.47398656955394</v>
      </c>
      <c r="D7" s="184">
        <v>0.64035740465136926</v>
      </c>
      <c r="E7" s="185">
        <v>0.23136620093738194</v>
      </c>
      <c r="F7" s="185">
        <v>0.3481585552766609</v>
      </c>
      <c r="G7" s="185">
        <v>1.9266865101401628E-2</v>
      </c>
      <c r="H7" s="185">
        <v>8.4686465714476104E-4</v>
      </c>
      <c r="I7" s="185">
        <v>4.0718918678780067E-2</v>
      </c>
      <c r="J7" s="184">
        <v>0.35964259534863047</v>
      </c>
      <c r="K7" s="184">
        <v>0</v>
      </c>
      <c r="L7" s="184">
        <v>0</v>
      </c>
      <c r="M7" s="184">
        <v>0</v>
      </c>
      <c r="N7" s="184">
        <v>0</v>
      </c>
      <c r="O7" s="184">
        <v>0</v>
      </c>
      <c r="P7" s="186">
        <v>1.0000000000000002</v>
      </c>
      <c r="R7" s="41">
        <f t="shared" si="0"/>
        <v>0</v>
      </c>
      <c r="S7" s="41">
        <f t="shared" si="1"/>
        <v>122852.22744374594</v>
      </c>
      <c r="T7" s="41">
        <f t="shared" si="2"/>
        <v>0</v>
      </c>
    </row>
    <row r="8" spans="1:20" ht="15.75">
      <c r="A8" s="188" t="s">
        <v>241</v>
      </c>
      <c r="B8" s="189">
        <v>2022063.5339999998</v>
      </c>
      <c r="C8" s="187">
        <v>956.88761554774931</v>
      </c>
      <c r="D8" s="184">
        <v>0.31758572735776369</v>
      </c>
      <c r="E8" s="185">
        <v>0.16053303694066817</v>
      </c>
      <c r="F8" s="185">
        <v>2.5830543463032457E-2</v>
      </c>
      <c r="G8" s="185">
        <v>1.8491011469870069E-3</v>
      </c>
      <c r="H8" s="185">
        <v>3.5909612624961174E-2</v>
      </c>
      <c r="I8" s="185">
        <v>9.346343318211485E-2</v>
      </c>
      <c r="J8" s="184">
        <v>1.4540020353781838E-2</v>
      </c>
      <c r="K8" s="184">
        <v>0</v>
      </c>
      <c r="L8" s="184">
        <v>0.29916369581293289</v>
      </c>
      <c r="M8" s="184">
        <v>0.32128440804659264</v>
      </c>
      <c r="N8" s="184">
        <v>0</v>
      </c>
      <c r="O8" s="184">
        <v>4.7426148428928942E-2</v>
      </c>
      <c r="P8" s="186">
        <v>0.99999999999999978</v>
      </c>
      <c r="R8" s="41">
        <f t="shared" si="0"/>
        <v>604928</v>
      </c>
      <c r="S8" s="41">
        <f t="shared" si="1"/>
        <v>29400.844941000028</v>
      </c>
      <c r="T8" s="41">
        <f t="shared" si="2"/>
        <v>0</v>
      </c>
    </row>
    <row r="9" spans="1:20" ht="15.75">
      <c r="A9" s="188" t="s">
        <v>242</v>
      </c>
      <c r="B9" s="189">
        <v>89054.664000000004</v>
      </c>
      <c r="C9" s="187">
        <v>3.851832944742013</v>
      </c>
      <c r="D9" s="184">
        <v>1</v>
      </c>
      <c r="E9" s="185">
        <v>0.60247038347088877</v>
      </c>
      <c r="F9" s="185">
        <v>0</v>
      </c>
      <c r="G9" s="185">
        <v>0</v>
      </c>
      <c r="H9" s="185">
        <v>0.39752961652911117</v>
      </c>
      <c r="I9" s="185">
        <v>0</v>
      </c>
      <c r="J9" s="184">
        <v>0</v>
      </c>
      <c r="K9" s="184">
        <v>0</v>
      </c>
      <c r="L9" s="184">
        <v>0</v>
      </c>
      <c r="M9" s="184">
        <v>0</v>
      </c>
      <c r="N9" s="184">
        <v>0</v>
      </c>
      <c r="O9" s="184">
        <v>0</v>
      </c>
      <c r="P9" s="186">
        <v>1</v>
      </c>
      <c r="R9" s="41">
        <f t="shared" si="0"/>
        <v>0</v>
      </c>
      <c r="S9" s="41">
        <f t="shared" si="1"/>
        <v>0</v>
      </c>
      <c r="T9" s="41">
        <f t="shared" si="2"/>
        <v>0</v>
      </c>
    </row>
    <row r="10" spans="1:20" ht="30">
      <c r="A10" s="188" t="s">
        <v>243</v>
      </c>
      <c r="B10" s="189">
        <v>65551</v>
      </c>
      <c r="C10" s="187">
        <v>1099.40681367613</v>
      </c>
      <c r="D10" s="184">
        <v>0.26522860063156933</v>
      </c>
      <c r="E10" s="185">
        <v>0</v>
      </c>
      <c r="F10" s="185">
        <v>0</v>
      </c>
      <c r="G10" s="185">
        <v>0</v>
      </c>
      <c r="H10" s="185">
        <v>0.26522860063156933</v>
      </c>
      <c r="I10" s="185">
        <v>0</v>
      </c>
      <c r="J10" s="184">
        <v>6.7382648624734934E-2</v>
      </c>
      <c r="K10" s="184">
        <v>0</v>
      </c>
      <c r="L10" s="184">
        <v>0.13661118823511464</v>
      </c>
      <c r="M10" s="184">
        <v>0.37074949276136138</v>
      </c>
      <c r="N10" s="184">
        <v>0</v>
      </c>
      <c r="O10" s="184">
        <v>0.16002806974721973</v>
      </c>
      <c r="P10" s="186">
        <v>1</v>
      </c>
      <c r="R10" s="41">
        <f t="shared" si="0"/>
        <v>8955</v>
      </c>
      <c r="S10" s="41">
        <f t="shared" si="1"/>
        <v>4417</v>
      </c>
      <c r="T10" s="41">
        <f t="shared" si="2"/>
        <v>0</v>
      </c>
    </row>
    <row r="11" spans="1:20" ht="30">
      <c r="A11" s="188" t="s">
        <v>605</v>
      </c>
      <c r="B11" s="189">
        <v>215449.89450707901</v>
      </c>
      <c r="C11" s="187">
        <v>557.85214073791553</v>
      </c>
      <c r="D11" s="184">
        <v>0.47372499408045193</v>
      </c>
      <c r="E11" s="185">
        <v>0</v>
      </c>
      <c r="F11" s="185">
        <v>2.2167567131684419E-2</v>
      </c>
      <c r="G11" s="185">
        <v>3.2768639855463148E-3</v>
      </c>
      <c r="H11" s="185">
        <v>0.1440706205543309</v>
      </c>
      <c r="I11" s="185">
        <v>0.30420994240889032</v>
      </c>
      <c r="J11" s="184">
        <v>1.0058023026457315E-2</v>
      </c>
      <c r="K11" s="184">
        <v>0</v>
      </c>
      <c r="L11" s="184">
        <v>0</v>
      </c>
      <c r="M11" s="184">
        <v>0</v>
      </c>
      <c r="N11" s="184">
        <v>0</v>
      </c>
      <c r="O11" s="184">
        <v>0.5162169828930907</v>
      </c>
      <c r="P11" s="186">
        <v>1</v>
      </c>
      <c r="R11" s="41">
        <f t="shared" si="0"/>
        <v>0</v>
      </c>
      <c r="S11" s="41">
        <f t="shared" si="1"/>
        <v>2167</v>
      </c>
      <c r="T11" s="41">
        <f t="shared" si="2"/>
        <v>0</v>
      </c>
    </row>
    <row r="12" spans="1:20" ht="30">
      <c r="A12" s="188" t="s">
        <v>606</v>
      </c>
      <c r="B12" s="189">
        <v>353.91797489425301</v>
      </c>
      <c r="C12" s="187">
        <v>471.67933682131911</v>
      </c>
      <c r="D12" s="184">
        <v>0.50011588151996444</v>
      </c>
      <c r="E12" s="185">
        <v>0</v>
      </c>
      <c r="F12" s="185">
        <v>0</v>
      </c>
      <c r="G12" s="185">
        <v>0</v>
      </c>
      <c r="H12" s="185">
        <v>0.22039004948337418</v>
      </c>
      <c r="I12" s="185">
        <v>0.27972583203659029</v>
      </c>
      <c r="J12" s="184">
        <v>0</v>
      </c>
      <c r="K12" s="184">
        <v>0</v>
      </c>
      <c r="L12" s="184">
        <v>0</v>
      </c>
      <c r="M12" s="184">
        <v>0</v>
      </c>
      <c r="N12" s="184">
        <v>0</v>
      </c>
      <c r="O12" s="184">
        <v>0.4998841184800355</v>
      </c>
      <c r="P12" s="186">
        <v>1</v>
      </c>
      <c r="R12" s="41">
        <f t="shared" si="0"/>
        <v>0</v>
      </c>
      <c r="S12" s="41">
        <f t="shared" si="1"/>
        <v>0</v>
      </c>
      <c r="T12" s="41">
        <f t="shared" si="2"/>
        <v>0</v>
      </c>
    </row>
    <row r="13" spans="1:20" ht="15.75">
      <c r="A13" s="188" t="s">
        <v>607</v>
      </c>
      <c r="B13" s="189">
        <v>4438269</v>
      </c>
      <c r="C13" s="187">
        <v>370.49436943359177</v>
      </c>
      <c r="D13" s="184">
        <v>0.54785886119115357</v>
      </c>
      <c r="E13" s="185">
        <v>0.13024987895055481</v>
      </c>
      <c r="F13" s="185">
        <v>2.1716799950611376E-2</v>
      </c>
      <c r="G13" s="185">
        <v>2.4823641829731367E-2</v>
      </c>
      <c r="H13" s="185">
        <v>5.5551387263818391E-2</v>
      </c>
      <c r="I13" s="185">
        <v>0.31551715319643764</v>
      </c>
      <c r="J13" s="184">
        <v>0.34071889310900261</v>
      </c>
      <c r="K13" s="184">
        <v>0</v>
      </c>
      <c r="L13" s="184">
        <v>0</v>
      </c>
      <c r="M13" s="184">
        <v>0</v>
      </c>
      <c r="N13" s="184">
        <v>0</v>
      </c>
      <c r="O13" s="184">
        <v>0.11142224569984363</v>
      </c>
      <c r="P13" s="186">
        <v>1</v>
      </c>
      <c r="R13" s="41">
        <f t="shared" si="0"/>
        <v>0</v>
      </c>
      <c r="S13" s="41">
        <f t="shared" si="1"/>
        <v>1512202.1009999998</v>
      </c>
      <c r="T13" s="41">
        <f t="shared" si="2"/>
        <v>0</v>
      </c>
    </row>
    <row r="14" spans="1:20" ht="15.75">
      <c r="A14" s="188" t="s">
        <v>608</v>
      </c>
      <c r="B14" s="189">
        <v>2045593</v>
      </c>
      <c r="C14" s="187">
        <v>0</v>
      </c>
      <c r="D14" s="184">
        <v>1</v>
      </c>
      <c r="E14" s="185">
        <v>0</v>
      </c>
      <c r="F14" s="185">
        <v>0</v>
      </c>
      <c r="G14" s="185">
        <v>0</v>
      </c>
      <c r="H14" s="185">
        <v>0.68292519577452604</v>
      </c>
      <c r="I14" s="185">
        <v>0.31707480422547396</v>
      </c>
      <c r="J14" s="184">
        <v>0</v>
      </c>
      <c r="K14" s="184">
        <v>0</v>
      </c>
      <c r="L14" s="184">
        <v>0</v>
      </c>
      <c r="M14" s="184">
        <v>0</v>
      </c>
      <c r="N14" s="184">
        <v>0</v>
      </c>
      <c r="O14" s="184">
        <v>0</v>
      </c>
      <c r="P14" s="186">
        <v>1</v>
      </c>
      <c r="R14" s="41">
        <f t="shared" si="0"/>
        <v>0</v>
      </c>
      <c r="S14" s="41">
        <f t="shared" si="1"/>
        <v>0</v>
      </c>
      <c r="T14" s="41">
        <f t="shared" si="2"/>
        <v>0</v>
      </c>
    </row>
    <row r="15" spans="1:20" ht="15.75">
      <c r="A15" s="188" t="s">
        <v>246</v>
      </c>
      <c r="B15" s="189">
        <v>233822.57</v>
      </c>
      <c r="C15" s="187">
        <v>576.51962822753671</v>
      </c>
      <c r="D15" s="184">
        <v>0.28667035863988666</v>
      </c>
      <c r="E15" s="185">
        <v>0</v>
      </c>
      <c r="F15" s="185">
        <v>0</v>
      </c>
      <c r="G15" s="185">
        <v>1.8984480411792581E-2</v>
      </c>
      <c r="H15" s="185">
        <v>0.16663917431067496</v>
      </c>
      <c r="I15" s="185">
        <v>0.10104670391741909</v>
      </c>
      <c r="J15" s="184">
        <v>1.2145961786323706E-2</v>
      </c>
      <c r="K15" s="184">
        <v>7.9812654526891902E-2</v>
      </c>
      <c r="L15" s="184">
        <v>0</v>
      </c>
      <c r="M15" s="184">
        <v>0.13218997635685895</v>
      </c>
      <c r="N15" s="184">
        <v>0</v>
      </c>
      <c r="O15" s="184">
        <v>0.48918104869003881</v>
      </c>
      <c r="P15" s="186">
        <v>1</v>
      </c>
      <c r="R15" s="41">
        <f t="shared" si="0"/>
        <v>0</v>
      </c>
      <c r="S15" s="41">
        <f t="shared" si="1"/>
        <v>2840</v>
      </c>
      <c r="T15" s="41">
        <f t="shared" si="2"/>
        <v>18662</v>
      </c>
    </row>
    <row r="16" spans="1:20" ht="30">
      <c r="A16" s="188" t="s">
        <v>247</v>
      </c>
      <c r="B16" s="190" t="s">
        <v>609</v>
      </c>
      <c r="C16" s="187">
        <v>961.02032836366004</v>
      </c>
      <c r="D16" s="184">
        <v>0</v>
      </c>
      <c r="E16" s="185">
        <v>0</v>
      </c>
      <c r="F16" s="185">
        <v>0</v>
      </c>
      <c r="G16" s="185">
        <v>0</v>
      </c>
      <c r="H16" s="185">
        <v>0</v>
      </c>
      <c r="I16" s="185">
        <v>0</v>
      </c>
      <c r="J16" s="184">
        <v>0</v>
      </c>
      <c r="K16" s="184">
        <v>0</v>
      </c>
      <c r="L16" s="184">
        <v>0</v>
      </c>
      <c r="M16" s="184">
        <v>1.34879078916917E-2</v>
      </c>
      <c r="N16" s="184">
        <v>0</v>
      </c>
      <c r="O16" s="184">
        <v>0.98651209210830804</v>
      </c>
      <c r="P16" s="186">
        <v>1</v>
      </c>
      <c r="R16" s="41"/>
      <c r="S16" s="41"/>
      <c r="T16" s="41"/>
    </row>
    <row r="17" spans="1:20" ht="30">
      <c r="A17" s="188" t="s">
        <v>610</v>
      </c>
      <c r="B17" s="189">
        <v>1089743.55</v>
      </c>
      <c r="C17" s="187">
        <v>841.14828172873138</v>
      </c>
      <c r="D17" s="184">
        <v>0.12002456908324899</v>
      </c>
      <c r="E17" s="185">
        <v>0</v>
      </c>
      <c r="F17" s="185">
        <v>0</v>
      </c>
      <c r="G17" s="185">
        <v>0</v>
      </c>
      <c r="H17" s="185">
        <v>5.98737198306886E-2</v>
      </c>
      <c r="I17" s="185">
        <v>6.0150849252560382E-2</v>
      </c>
      <c r="J17" s="184">
        <v>0</v>
      </c>
      <c r="K17" s="184">
        <v>0</v>
      </c>
      <c r="L17" s="184">
        <v>0</v>
      </c>
      <c r="M17" s="184">
        <v>0</v>
      </c>
      <c r="N17" s="184">
        <v>0</v>
      </c>
      <c r="O17" s="184">
        <v>0.87997543091675101</v>
      </c>
      <c r="P17" s="186">
        <v>1</v>
      </c>
      <c r="R17" s="41">
        <f t="shared" si="0"/>
        <v>0</v>
      </c>
      <c r="S17" s="41">
        <f t="shared" si="1"/>
        <v>0</v>
      </c>
      <c r="T17" s="41">
        <f t="shared" si="2"/>
        <v>0</v>
      </c>
    </row>
    <row r="18" spans="1:20" ht="15.75">
      <c r="A18" s="188" t="s">
        <v>249</v>
      </c>
      <c r="B18" s="189">
        <v>947187</v>
      </c>
      <c r="C18" s="187">
        <v>695.74622406128208</v>
      </c>
      <c r="D18" s="184">
        <v>0.301371807634712</v>
      </c>
      <c r="E18" s="185">
        <v>2.2758891671338377E-2</v>
      </c>
      <c r="F18" s="185">
        <v>2.1511063813164664E-2</v>
      </c>
      <c r="G18" s="185">
        <v>2.0282161811764732E-2</v>
      </c>
      <c r="H18" s="185">
        <v>0.14312224645038413</v>
      </c>
      <c r="I18" s="185">
        <v>9.3697443888060117E-2</v>
      </c>
      <c r="J18" s="184">
        <v>5.2377432642163282E-2</v>
      </c>
      <c r="K18" s="184">
        <v>9.1430500141235799E-2</v>
      </c>
      <c r="L18" s="184">
        <v>0.14864752155593353</v>
      </c>
      <c r="M18" s="184">
        <v>0.40382473750368192</v>
      </c>
      <c r="N18" s="184">
        <v>3.6683222094819023E-4</v>
      </c>
      <c r="O18" s="184">
        <v>1.9811683013251989E-3</v>
      </c>
      <c r="P18" s="186">
        <v>1</v>
      </c>
      <c r="R18" s="41">
        <f t="shared" si="0"/>
        <v>140797</v>
      </c>
      <c r="S18" s="41">
        <f t="shared" si="1"/>
        <v>49611.223292032715</v>
      </c>
      <c r="T18" s="41">
        <f t="shared" si="2"/>
        <v>86601.781137276717</v>
      </c>
    </row>
    <row r="19" spans="1:20" ht="15.75">
      <c r="A19" s="188" t="s">
        <v>250</v>
      </c>
      <c r="B19" s="189">
        <v>1513</v>
      </c>
      <c r="C19" s="187">
        <v>0</v>
      </c>
      <c r="D19" s="184">
        <v>1</v>
      </c>
      <c r="E19" s="185">
        <v>0</v>
      </c>
      <c r="F19" s="185">
        <v>0</v>
      </c>
      <c r="G19" s="185">
        <v>0</v>
      </c>
      <c r="H19" s="185">
        <v>0</v>
      </c>
      <c r="I19" s="185">
        <v>1</v>
      </c>
      <c r="J19" s="184">
        <v>0</v>
      </c>
      <c r="K19" s="184">
        <v>0</v>
      </c>
      <c r="L19" s="184">
        <v>0</v>
      </c>
      <c r="M19" s="184">
        <v>0</v>
      </c>
      <c r="N19" s="184">
        <v>0</v>
      </c>
      <c r="O19" s="184">
        <v>0</v>
      </c>
      <c r="P19" s="186">
        <v>1</v>
      </c>
      <c r="R19" s="41">
        <f t="shared" si="0"/>
        <v>0</v>
      </c>
      <c r="S19" s="41">
        <f t="shared" si="1"/>
        <v>0</v>
      </c>
      <c r="T19" s="41">
        <f t="shared" si="2"/>
        <v>0</v>
      </c>
    </row>
    <row r="20" spans="1:20" ht="30">
      <c r="A20" s="188" t="s">
        <v>251</v>
      </c>
      <c r="B20" s="190" t="s">
        <v>611</v>
      </c>
      <c r="C20" s="187">
        <v>598.28729161674005</v>
      </c>
      <c r="D20" s="184">
        <v>0.39300000000000002</v>
      </c>
      <c r="E20" s="185">
        <v>6.0000000000000001E-3</v>
      </c>
      <c r="F20" s="185">
        <v>2.8000000000000001E-2</v>
      </c>
      <c r="G20" s="185">
        <v>1.2999999999999999E-2</v>
      </c>
      <c r="H20" s="185">
        <v>0.247</v>
      </c>
      <c r="I20" s="185">
        <v>9.8000000000000004E-2</v>
      </c>
      <c r="J20" s="184">
        <v>1.4999999999999999E-2</v>
      </c>
      <c r="K20" s="184">
        <v>0</v>
      </c>
      <c r="L20" s="184">
        <v>0</v>
      </c>
      <c r="M20" s="184">
        <v>0</v>
      </c>
      <c r="N20" s="184">
        <v>0</v>
      </c>
      <c r="O20" s="184">
        <v>0.59299999999999997</v>
      </c>
      <c r="P20" s="186">
        <v>1</v>
      </c>
      <c r="R20" s="41"/>
      <c r="S20" s="41"/>
      <c r="T20" s="41"/>
    </row>
    <row r="21" spans="1:20" ht="15.75">
      <c r="A21" s="188" t="s">
        <v>612</v>
      </c>
      <c r="B21" s="189">
        <v>1284654.6299999999</v>
      </c>
      <c r="C21" s="187">
        <v>760.01654663985198</v>
      </c>
      <c r="D21" s="184">
        <v>0.1945371107252383</v>
      </c>
      <c r="E21" s="185">
        <v>0</v>
      </c>
      <c r="F21" s="185">
        <v>0</v>
      </c>
      <c r="G21" s="185">
        <v>0</v>
      </c>
      <c r="H21" s="185">
        <v>0.1945371107252383</v>
      </c>
      <c r="I21" s="185">
        <v>0</v>
      </c>
      <c r="J21" s="184">
        <v>0</v>
      </c>
      <c r="K21" s="184">
        <v>0</v>
      </c>
      <c r="L21" s="184">
        <v>0</v>
      </c>
      <c r="M21" s="184">
        <v>0</v>
      </c>
      <c r="N21" s="184">
        <v>0</v>
      </c>
      <c r="O21" s="184">
        <v>0.80546288927476173</v>
      </c>
      <c r="P21" s="186">
        <v>1</v>
      </c>
      <c r="R21" s="41">
        <f t="shared" si="0"/>
        <v>0</v>
      </c>
      <c r="S21" s="41">
        <f t="shared" si="1"/>
        <v>0</v>
      </c>
      <c r="T21" s="41">
        <f t="shared" si="2"/>
        <v>0</v>
      </c>
    </row>
    <row r="22" spans="1:20" ht="15.75">
      <c r="A22" s="188" t="s">
        <v>253</v>
      </c>
      <c r="B22" s="189">
        <v>4717615</v>
      </c>
      <c r="C22" s="187">
        <v>724.740469604748</v>
      </c>
      <c r="D22" s="184">
        <v>0.30309022673533131</v>
      </c>
      <c r="E22" s="185">
        <v>7.2307723288144539E-3</v>
      </c>
      <c r="F22" s="185">
        <v>0.12897746000892399</v>
      </c>
      <c r="G22" s="185">
        <v>3.6855487359608616E-3</v>
      </c>
      <c r="H22" s="185">
        <v>0.14004809633681425</v>
      </c>
      <c r="I22" s="185">
        <v>2.314834932481773E-2</v>
      </c>
      <c r="J22" s="184">
        <v>4.1648163319813088E-3</v>
      </c>
      <c r="K22" s="184">
        <v>0</v>
      </c>
      <c r="L22" s="184">
        <v>0</v>
      </c>
      <c r="M22" s="184">
        <v>0</v>
      </c>
      <c r="N22" s="184">
        <v>0</v>
      </c>
      <c r="O22" s="184">
        <v>0.69274495693268734</v>
      </c>
      <c r="P22" s="186">
        <v>1</v>
      </c>
      <c r="R22" s="41">
        <f t="shared" si="0"/>
        <v>0</v>
      </c>
      <c r="S22" s="41">
        <f t="shared" si="1"/>
        <v>19648.000000000004</v>
      </c>
      <c r="T22" s="41">
        <f t="shared" si="2"/>
        <v>0</v>
      </c>
    </row>
    <row r="23" spans="1:20" ht="15.75">
      <c r="A23" s="188" t="s">
        <v>254</v>
      </c>
      <c r="B23" s="189">
        <v>109213</v>
      </c>
      <c r="C23" s="187">
        <v>0</v>
      </c>
      <c r="D23" s="184">
        <v>1</v>
      </c>
      <c r="E23" s="185">
        <v>0</v>
      </c>
      <c r="F23" s="185">
        <v>0</v>
      </c>
      <c r="G23" s="185">
        <v>0</v>
      </c>
      <c r="H23" s="185">
        <v>0.5000045782095538</v>
      </c>
      <c r="I23" s="185">
        <v>0.4999954217904462</v>
      </c>
      <c r="J23" s="184">
        <v>0</v>
      </c>
      <c r="K23" s="184">
        <v>0</v>
      </c>
      <c r="L23" s="184">
        <v>0</v>
      </c>
      <c r="M23" s="184">
        <v>0</v>
      </c>
      <c r="N23" s="184">
        <v>0</v>
      </c>
      <c r="O23" s="184">
        <v>0</v>
      </c>
      <c r="P23" s="186">
        <v>1</v>
      </c>
      <c r="R23" s="41">
        <f t="shared" si="0"/>
        <v>0</v>
      </c>
      <c r="S23" s="41">
        <f t="shared" si="1"/>
        <v>0</v>
      </c>
      <c r="T23" s="41">
        <f t="shared" si="2"/>
        <v>0</v>
      </c>
    </row>
    <row r="24" spans="1:20" ht="15.75">
      <c r="A24" s="188" t="s">
        <v>255</v>
      </c>
      <c r="B24" s="189">
        <v>66730.734049200008</v>
      </c>
      <c r="C24" s="187">
        <v>805.43176738830721</v>
      </c>
      <c r="D24" s="184">
        <v>4.0326246044527975E-2</v>
      </c>
      <c r="E24" s="185">
        <v>0</v>
      </c>
      <c r="F24" s="185">
        <v>0</v>
      </c>
      <c r="G24" s="185">
        <v>0</v>
      </c>
      <c r="H24" s="185">
        <v>4.0326246044527975E-2</v>
      </c>
      <c r="I24" s="185">
        <v>0</v>
      </c>
      <c r="J24" s="184">
        <v>5.8129137274888151E-2</v>
      </c>
      <c r="K24" s="184">
        <v>0</v>
      </c>
      <c r="L24" s="184">
        <v>0</v>
      </c>
      <c r="M24" s="184">
        <v>0.85512321740575981</v>
      </c>
      <c r="N24" s="184">
        <v>0</v>
      </c>
      <c r="O24" s="184">
        <v>4.642139927482402E-2</v>
      </c>
      <c r="P24" s="186">
        <v>1</v>
      </c>
      <c r="R24" s="41">
        <f t="shared" si="0"/>
        <v>0</v>
      </c>
      <c r="S24" s="41">
        <f t="shared" si="1"/>
        <v>3879</v>
      </c>
      <c r="T24" s="41">
        <f t="shared" si="2"/>
        <v>0</v>
      </c>
    </row>
    <row r="25" spans="1:20" ht="15.75">
      <c r="A25" s="188" t="s">
        <v>256</v>
      </c>
      <c r="B25" s="189">
        <v>141775</v>
      </c>
      <c r="C25" s="187">
        <v>482.73567205471204</v>
      </c>
      <c r="D25" s="184">
        <v>0.55561488273673076</v>
      </c>
      <c r="E25" s="185">
        <v>0.19763921706929993</v>
      </c>
      <c r="F25" s="185">
        <v>0.35354611179686124</v>
      </c>
      <c r="G25" s="185">
        <v>0</v>
      </c>
      <c r="H25" s="185">
        <v>4.4295538705695645E-3</v>
      </c>
      <c r="I25" s="185">
        <v>0</v>
      </c>
      <c r="J25" s="184">
        <v>7.913454417210369E-3</v>
      </c>
      <c r="K25" s="184">
        <v>0.11121643449127137</v>
      </c>
      <c r="L25" s="184">
        <v>0</v>
      </c>
      <c r="M25" s="184">
        <v>0</v>
      </c>
      <c r="N25" s="184">
        <v>0</v>
      </c>
      <c r="O25" s="184">
        <v>0.32525522835478748</v>
      </c>
      <c r="P25" s="186">
        <v>1</v>
      </c>
      <c r="R25" s="41">
        <f t="shared" si="0"/>
        <v>0</v>
      </c>
      <c r="S25" s="41">
        <f t="shared" si="1"/>
        <v>1121.93</v>
      </c>
      <c r="T25" s="41">
        <f t="shared" si="2"/>
        <v>15767.71</v>
      </c>
    </row>
    <row r="26" spans="1:20" ht="15.75">
      <c r="A26" s="188" t="s">
        <v>17</v>
      </c>
      <c r="B26" s="189">
        <v>11514</v>
      </c>
      <c r="C26" s="187">
        <v>375.85157291976367</v>
      </c>
      <c r="D26" s="184">
        <v>0.18811881188118812</v>
      </c>
      <c r="E26" s="185">
        <v>0</v>
      </c>
      <c r="F26" s="185">
        <v>0.1045683515719993</v>
      </c>
      <c r="G26" s="185">
        <v>2.3276011811707485E-2</v>
      </c>
      <c r="H26" s="185">
        <v>6.0274448497481328E-2</v>
      </c>
      <c r="I26" s="185">
        <v>0</v>
      </c>
      <c r="J26" s="184">
        <v>0.41036998436685773</v>
      </c>
      <c r="K26" s="184">
        <v>0</v>
      </c>
      <c r="L26" s="184">
        <v>0</v>
      </c>
      <c r="M26" s="184">
        <v>0.25959788084071561</v>
      </c>
      <c r="N26" s="184">
        <v>0</v>
      </c>
      <c r="O26" s="184">
        <v>0.14191332291123848</v>
      </c>
      <c r="P26" s="186">
        <v>1</v>
      </c>
      <c r="R26" s="41">
        <f t="shared" si="0"/>
        <v>0</v>
      </c>
      <c r="S26" s="41">
        <f t="shared" si="1"/>
        <v>4725</v>
      </c>
      <c r="T26" s="41">
        <f t="shared" si="2"/>
        <v>0</v>
      </c>
    </row>
    <row r="27" spans="1:20" ht="15.75">
      <c r="A27" s="188" t="s">
        <v>258</v>
      </c>
      <c r="B27" s="189">
        <v>328423</v>
      </c>
      <c r="C27" s="187">
        <v>277.23435239903608</v>
      </c>
      <c r="D27" s="184">
        <v>0.64588835130304523</v>
      </c>
      <c r="E27" s="185">
        <v>0.11103914768454097</v>
      </c>
      <c r="F27" s="185">
        <v>0.41993569268900172</v>
      </c>
      <c r="G27" s="185">
        <v>4.4668004372409968E-3</v>
      </c>
      <c r="H27" s="185">
        <v>9.7063421258559851E-2</v>
      </c>
      <c r="I27" s="185">
        <v>1.338328923370166E-2</v>
      </c>
      <c r="J27" s="184">
        <v>6.9300871132655139E-3</v>
      </c>
      <c r="K27" s="184">
        <v>5.6823060504288675E-2</v>
      </c>
      <c r="L27" s="184">
        <v>0</v>
      </c>
      <c r="M27" s="184">
        <v>0.22345572630418697</v>
      </c>
      <c r="N27" s="184">
        <v>0</v>
      </c>
      <c r="O27" s="184">
        <v>6.69027747752136E-2</v>
      </c>
      <c r="P27" s="186">
        <v>1</v>
      </c>
      <c r="R27" s="41">
        <f t="shared" si="0"/>
        <v>0</v>
      </c>
      <c r="S27" s="41">
        <f t="shared" si="1"/>
        <v>2276</v>
      </c>
      <c r="T27" s="41">
        <f t="shared" si="2"/>
        <v>18662</v>
      </c>
    </row>
    <row r="28" spans="1:20" ht="15.75">
      <c r="A28" s="188" t="s">
        <v>259</v>
      </c>
      <c r="B28" s="189">
        <v>133745.28075999999</v>
      </c>
      <c r="C28" s="187">
        <v>650.72999810673537</v>
      </c>
      <c r="D28" s="184">
        <v>0.21709177202373239</v>
      </c>
      <c r="E28" s="185">
        <v>0</v>
      </c>
      <c r="F28" s="185">
        <v>0</v>
      </c>
      <c r="G28" s="185">
        <v>0</v>
      </c>
      <c r="H28" s="185">
        <v>0.21709177202373239</v>
      </c>
      <c r="I28" s="185">
        <v>0</v>
      </c>
      <c r="J28" s="184">
        <v>9.3266842232617109E-2</v>
      </c>
      <c r="K28" s="184">
        <v>0</v>
      </c>
      <c r="L28" s="184">
        <v>0</v>
      </c>
      <c r="M28" s="184">
        <v>0</v>
      </c>
      <c r="N28" s="184">
        <v>0</v>
      </c>
      <c r="O28" s="184">
        <v>0.68964138574365053</v>
      </c>
      <c r="P28" s="186">
        <v>1</v>
      </c>
      <c r="R28" s="41">
        <f t="shared" si="0"/>
        <v>0</v>
      </c>
      <c r="S28" s="41">
        <f t="shared" si="1"/>
        <v>12474</v>
      </c>
      <c r="T28" s="41">
        <f t="shared" si="2"/>
        <v>0</v>
      </c>
    </row>
    <row r="29" spans="1:20" ht="15.75">
      <c r="A29" s="188" t="s">
        <v>613</v>
      </c>
      <c r="B29" s="189">
        <v>973268</v>
      </c>
      <c r="C29" s="187">
        <v>514.51268458539721</v>
      </c>
      <c r="D29" s="184">
        <v>0.3525411294730742</v>
      </c>
      <c r="E29" s="185">
        <v>0</v>
      </c>
      <c r="F29" s="185">
        <v>8.7615127590756098E-2</v>
      </c>
      <c r="G29" s="185">
        <v>1.6286367167111217E-2</v>
      </c>
      <c r="H29" s="185">
        <v>0.16782427861596189</v>
      </c>
      <c r="I29" s="185">
        <v>8.081535609924502E-2</v>
      </c>
      <c r="J29" s="184">
        <v>8.7992332402367465E-2</v>
      </c>
      <c r="K29" s="184">
        <v>0.10951064790713311</v>
      </c>
      <c r="L29" s="184">
        <v>1.5708931147433183E-2</v>
      </c>
      <c r="M29" s="184">
        <v>0.32549924583978923</v>
      </c>
      <c r="N29" s="184">
        <v>1.8185212883176576E-4</v>
      </c>
      <c r="O29" s="184">
        <v>0.10856586110137099</v>
      </c>
      <c r="P29" s="186">
        <v>1</v>
      </c>
      <c r="R29" s="41">
        <f t="shared" si="0"/>
        <v>15288.999999999998</v>
      </c>
      <c r="S29" s="41">
        <f t="shared" si="1"/>
        <v>85640.121372587382</v>
      </c>
      <c r="T29" s="41">
        <f t="shared" si="2"/>
        <v>106583.20926727963</v>
      </c>
    </row>
    <row r="30" spans="1:20" ht="15.75">
      <c r="A30" s="188" t="s">
        <v>261</v>
      </c>
      <c r="B30" s="189">
        <v>30478.400000000001</v>
      </c>
      <c r="C30" s="187">
        <v>349.37203292457974</v>
      </c>
      <c r="D30" s="184">
        <v>0.1981075122053651</v>
      </c>
      <c r="E30" s="185">
        <v>0</v>
      </c>
      <c r="F30" s="185">
        <v>5.8369205732584382E-2</v>
      </c>
      <c r="G30" s="185">
        <v>1.9587642395926294E-2</v>
      </c>
      <c r="H30" s="185">
        <v>0.12015066407685442</v>
      </c>
      <c r="I30" s="185">
        <v>0</v>
      </c>
      <c r="J30" s="184">
        <v>0.41032337655519974</v>
      </c>
      <c r="K30" s="184">
        <v>0</v>
      </c>
      <c r="L30" s="184">
        <v>0</v>
      </c>
      <c r="M30" s="184">
        <v>0.39156911123943511</v>
      </c>
      <c r="N30" s="184">
        <v>0</v>
      </c>
      <c r="O30" s="184">
        <v>0</v>
      </c>
      <c r="P30" s="186">
        <v>1</v>
      </c>
      <c r="R30" s="41">
        <f t="shared" si="0"/>
        <v>0</v>
      </c>
      <c r="S30" s="41">
        <f t="shared" si="1"/>
        <v>12506</v>
      </c>
      <c r="T30" s="41">
        <f t="shared" si="2"/>
        <v>0</v>
      </c>
    </row>
    <row r="31" spans="1:20" ht="15.75">
      <c r="A31" s="188" t="s">
        <v>262</v>
      </c>
      <c r="B31" s="189">
        <v>6205</v>
      </c>
      <c r="C31" s="187">
        <v>67.560393368896058</v>
      </c>
      <c r="D31" s="184">
        <v>1</v>
      </c>
      <c r="E31" s="185">
        <v>0</v>
      </c>
      <c r="F31" s="185">
        <v>0.57066881547139403</v>
      </c>
      <c r="G31" s="185">
        <v>6.1885576148267528E-2</v>
      </c>
      <c r="H31" s="185">
        <v>0.36744560838033846</v>
      </c>
      <c r="I31" s="185">
        <v>0</v>
      </c>
      <c r="J31" s="184">
        <v>0</v>
      </c>
      <c r="K31" s="184">
        <v>0</v>
      </c>
      <c r="L31" s="184">
        <v>0</v>
      </c>
      <c r="M31" s="184">
        <v>0</v>
      </c>
      <c r="N31" s="184">
        <v>0</v>
      </c>
      <c r="O31" s="184">
        <v>0</v>
      </c>
      <c r="P31" s="186">
        <v>1</v>
      </c>
      <c r="R31" s="41">
        <f t="shared" si="0"/>
        <v>0</v>
      </c>
      <c r="S31" s="41">
        <f t="shared" si="1"/>
        <v>0</v>
      </c>
      <c r="T31" s="41">
        <f t="shared" si="2"/>
        <v>0</v>
      </c>
    </row>
    <row r="32" spans="1:20" ht="15.75">
      <c r="A32" s="188" t="s">
        <v>263</v>
      </c>
      <c r="B32" s="189">
        <v>68780</v>
      </c>
      <c r="C32" s="187">
        <v>193.64421677402311</v>
      </c>
      <c r="D32" s="184">
        <v>0.39351555684792089</v>
      </c>
      <c r="E32" s="185">
        <v>0</v>
      </c>
      <c r="F32" s="185">
        <v>0.23130270427449839</v>
      </c>
      <c r="G32" s="185">
        <v>2.8990985751671999E-2</v>
      </c>
      <c r="H32" s="185">
        <v>0.1332218668217505</v>
      </c>
      <c r="I32" s="185">
        <v>0</v>
      </c>
      <c r="J32" s="184">
        <v>0.4250881070078511</v>
      </c>
      <c r="K32" s="184">
        <v>0</v>
      </c>
      <c r="L32" s="184">
        <v>0</v>
      </c>
      <c r="M32" s="184">
        <v>0.18139633614422773</v>
      </c>
      <c r="N32" s="184">
        <v>0</v>
      </c>
      <c r="O32" s="184">
        <v>0</v>
      </c>
      <c r="P32" s="186">
        <v>1</v>
      </c>
      <c r="R32" s="41">
        <f t="shared" si="0"/>
        <v>0</v>
      </c>
      <c r="S32" s="41">
        <f t="shared" si="1"/>
        <v>29237.559999999998</v>
      </c>
      <c r="T32" s="41">
        <f t="shared" si="2"/>
        <v>0</v>
      </c>
    </row>
    <row r="33" spans="1:20" ht="15.75">
      <c r="A33" s="188" t="s">
        <v>264</v>
      </c>
      <c r="B33" s="189">
        <v>120932</v>
      </c>
      <c r="C33" s="187">
        <v>468.48652847538409</v>
      </c>
      <c r="D33" s="184">
        <v>0.18683226937452452</v>
      </c>
      <c r="E33" s="185">
        <v>0</v>
      </c>
      <c r="F33" s="185">
        <v>0.16114841398471869</v>
      </c>
      <c r="G33" s="185">
        <v>2.5179439685112295E-2</v>
      </c>
      <c r="H33" s="185">
        <v>5.0441570469354682E-4</v>
      </c>
      <c r="I33" s="185">
        <v>0</v>
      </c>
      <c r="J33" s="184">
        <v>0.32936179009691402</v>
      </c>
      <c r="K33" s="184">
        <v>0</v>
      </c>
      <c r="L33" s="184">
        <v>0</v>
      </c>
      <c r="M33" s="184">
        <v>0.18982916018919721</v>
      </c>
      <c r="N33" s="184">
        <v>0</v>
      </c>
      <c r="O33" s="184">
        <v>0.29397678033936425</v>
      </c>
      <c r="P33" s="186">
        <v>1</v>
      </c>
      <c r="R33" s="41">
        <f t="shared" si="0"/>
        <v>0</v>
      </c>
      <c r="S33" s="41">
        <f t="shared" si="1"/>
        <v>39830.380000000005</v>
      </c>
      <c r="T33" s="41">
        <f t="shared" si="2"/>
        <v>0</v>
      </c>
    </row>
    <row r="34" spans="1:20" ht="15.75">
      <c r="A34" s="188" t="s">
        <v>265</v>
      </c>
      <c r="B34" s="189">
        <v>216698</v>
      </c>
      <c r="C34" s="187">
        <v>719.0151969439496</v>
      </c>
      <c r="D34" s="184">
        <v>0.23799019834054769</v>
      </c>
      <c r="E34" s="185">
        <v>0</v>
      </c>
      <c r="F34" s="185">
        <v>0</v>
      </c>
      <c r="G34" s="185">
        <v>0</v>
      </c>
      <c r="H34" s="185">
        <v>0.23799019834054769</v>
      </c>
      <c r="I34" s="185">
        <v>0</v>
      </c>
      <c r="J34" s="184">
        <v>0</v>
      </c>
      <c r="K34" s="184">
        <v>0</v>
      </c>
      <c r="L34" s="184">
        <v>0</v>
      </c>
      <c r="M34" s="184">
        <v>0</v>
      </c>
      <c r="N34" s="184">
        <v>0</v>
      </c>
      <c r="O34" s="184">
        <v>0.76200980165945231</v>
      </c>
      <c r="P34" s="186">
        <v>1</v>
      </c>
      <c r="R34" s="41">
        <f t="shared" si="0"/>
        <v>0</v>
      </c>
      <c r="S34" s="41">
        <f t="shared" si="1"/>
        <v>0</v>
      </c>
      <c r="T34" s="41">
        <f t="shared" si="2"/>
        <v>0</v>
      </c>
    </row>
    <row r="35" spans="1:20" ht="15.75">
      <c r="A35" s="188" t="s">
        <v>266</v>
      </c>
      <c r="B35" s="189">
        <v>80333</v>
      </c>
      <c r="C35" s="187">
        <v>596.73489347391478</v>
      </c>
      <c r="D35" s="184">
        <v>0</v>
      </c>
      <c r="E35" s="185">
        <v>0</v>
      </c>
      <c r="F35" s="185">
        <v>0</v>
      </c>
      <c r="G35" s="185">
        <v>0</v>
      </c>
      <c r="H35" s="185">
        <v>0</v>
      </c>
      <c r="I35" s="185">
        <v>0</v>
      </c>
      <c r="J35" s="184">
        <v>0.3675824381014029</v>
      </c>
      <c r="K35" s="184">
        <v>0</v>
      </c>
      <c r="L35" s="184">
        <v>0</v>
      </c>
      <c r="M35" s="184">
        <v>0</v>
      </c>
      <c r="N35" s="184">
        <v>0</v>
      </c>
      <c r="O35" s="184">
        <v>0.6324175618985971</v>
      </c>
      <c r="P35" s="186">
        <v>1</v>
      </c>
      <c r="R35" s="41">
        <f t="shared" si="0"/>
        <v>0</v>
      </c>
      <c r="S35" s="41">
        <f t="shared" si="1"/>
        <v>29529</v>
      </c>
      <c r="T35" s="41">
        <f t="shared" si="2"/>
        <v>0</v>
      </c>
    </row>
    <row r="36" spans="1:20" ht="15.75">
      <c r="A36" s="188" t="s">
        <v>267</v>
      </c>
      <c r="B36" s="189">
        <v>806645</v>
      </c>
      <c r="C36" s="187">
        <v>45.999924354380283</v>
      </c>
      <c r="D36" s="184">
        <v>0.36723961594009757</v>
      </c>
      <c r="E36" s="185">
        <v>1.1288732961835753E-2</v>
      </c>
      <c r="F36" s="185">
        <v>0</v>
      </c>
      <c r="G36" s="185">
        <v>1.5676040885395683E-2</v>
      </c>
      <c r="H36" s="185">
        <v>0.33748055216359119</v>
      </c>
      <c r="I36" s="185">
        <v>2.7942899292749601E-3</v>
      </c>
      <c r="J36" s="184">
        <v>0.58559961321275156</v>
      </c>
      <c r="K36" s="184">
        <v>0</v>
      </c>
      <c r="L36" s="184">
        <v>0</v>
      </c>
      <c r="M36" s="184">
        <v>2.649244711118274E-5</v>
      </c>
      <c r="N36" s="184">
        <v>0</v>
      </c>
      <c r="O36" s="184">
        <v>4.7134278400039677E-2</v>
      </c>
      <c r="P36" s="186">
        <v>0.99999999999999989</v>
      </c>
      <c r="R36" s="41">
        <f t="shared" si="0"/>
        <v>0</v>
      </c>
      <c r="S36" s="41">
        <f t="shared" si="1"/>
        <v>472371</v>
      </c>
      <c r="T36" s="41">
        <f t="shared" si="2"/>
        <v>0</v>
      </c>
    </row>
    <row r="37" spans="1:20" ht="15.75">
      <c r="A37" s="188" t="s">
        <v>268</v>
      </c>
      <c r="B37" s="189">
        <v>27770</v>
      </c>
      <c r="C37" s="187">
        <v>943.57735999999989</v>
      </c>
      <c r="D37" s="184">
        <v>0</v>
      </c>
      <c r="E37" s="185">
        <v>0</v>
      </c>
      <c r="F37" s="185">
        <v>0</v>
      </c>
      <c r="G37" s="185">
        <v>0</v>
      </c>
      <c r="H37" s="185">
        <v>0</v>
      </c>
      <c r="I37" s="185">
        <v>0</v>
      </c>
      <c r="J37" s="184">
        <v>0</v>
      </c>
      <c r="K37" s="184">
        <v>0</v>
      </c>
      <c r="L37" s="184">
        <v>0</v>
      </c>
      <c r="M37" s="184">
        <v>0</v>
      </c>
      <c r="N37" s="184">
        <v>0</v>
      </c>
      <c r="O37" s="184">
        <v>1</v>
      </c>
      <c r="P37" s="186">
        <v>1</v>
      </c>
      <c r="R37" s="41">
        <f t="shared" si="0"/>
        <v>0</v>
      </c>
      <c r="S37" s="41">
        <f t="shared" si="1"/>
        <v>0</v>
      </c>
      <c r="T37" s="41">
        <f t="shared" si="2"/>
        <v>0</v>
      </c>
    </row>
    <row r="38" spans="1:20" ht="15.75">
      <c r="A38" s="188" t="s">
        <v>269</v>
      </c>
      <c r="B38" s="189">
        <v>41530</v>
      </c>
      <c r="C38" s="187">
        <v>0</v>
      </c>
      <c r="D38" s="184">
        <v>1</v>
      </c>
      <c r="E38" s="185">
        <v>0</v>
      </c>
      <c r="F38" s="185">
        <v>0</v>
      </c>
      <c r="G38" s="185">
        <v>0</v>
      </c>
      <c r="H38" s="185">
        <v>0.60197447628220568</v>
      </c>
      <c r="I38" s="185">
        <v>0.39802552371779437</v>
      </c>
      <c r="J38" s="184">
        <v>0</v>
      </c>
      <c r="K38" s="184">
        <v>0</v>
      </c>
      <c r="L38" s="184">
        <v>0</v>
      </c>
      <c r="M38" s="184">
        <v>0</v>
      </c>
      <c r="N38" s="184">
        <v>0</v>
      </c>
      <c r="O38" s="184">
        <v>0</v>
      </c>
      <c r="P38" s="186">
        <v>1</v>
      </c>
      <c r="R38" s="41">
        <f t="shared" si="0"/>
        <v>0</v>
      </c>
      <c r="S38" s="41">
        <f t="shared" si="1"/>
        <v>0</v>
      </c>
      <c r="T38" s="41">
        <f t="shared" si="2"/>
        <v>0</v>
      </c>
    </row>
    <row r="39" spans="1:20" ht="15.75">
      <c r="A39" s="188" t="s">
        <v>270</v>
      </c>
      <c r="B39" s="189">
        <v>984752</v>
      </c>
      <c r="C39" s="187">
        <v>835.19171714745642</v>
      </c>
      <c r="D39" s="184">
        <v>0.35763522186296653</v>
      </c>
      <c r="E39" s="185">
        <v>8.3907420345427072E-2</v>
      </c>
      <c r="F39" s="185">
        <v>1.7259167790469071E-2</v>
      </c>
      <c r="G39" s="185">
        <v>0</v>
      </c>
      <c r="H39" s="185">
        <v>9.3697702568768582E-2</v>
      </c>
      <c r="I39" s="185">
        <v>0.1627709311583018</v>
      </c>
      <c r="J39" s="184">
        <v>3.6767632865939849E-2</v>
      </c>
      <c r="K39" s="184">
        <v>8.3286959559361134E-2</v>
      </c>
      <c r="L39" s="184">
        <v>0.23918509431816334</v>
      </c>
      <c r="M39" s="184">
        <v>0.11415199153804745</v>
      </c>
      <c r="N39" s="184">
        <v>0</v>
      </c>
      <c r="O39" s="184">
        <v>0.16897309985552178</v>
      </c>
      <c r="P39" s="186">
        <v>1</v>
      </c>
      <c r="R39" s="41">
        <f t="shared" si="0"/>
        <v>235538</v>
      </c>
      <c r="S39" s="41">
        <f t="shared" si="1"/>
        <v>36207</v>
      </c>
      <c r="T39" s="41">
        <f t="shared" si="2"/>
        <v>82017</v>
      </c>
    </row>
    <row r="40" spans="1:20" ht="15.75">
      <c r="A40" s="188" t="s">
        <v>614</v>
      </c>
      <c r="B40" s="189">
        <v>107509</v>
      </c>
      <c r="C40" s="187">
        <v>651</v>
      </c>
      <c r="D40" s="184">
        <v>0.27317712935661198</v>
      </c>
      <c r="E40" s="185">
        <v>0</v>
      </c>
      <c r="F40" s="185">
        <v>0</v>
      </c>
      <c r="G40" s="185">
        <v>0</v>
      </c>
      <c r="H40" s="185">
        <v>0.27317712935661198</v>
      </c>
      <c r="I40" s="185">
        <v>0</v>
      </c>
      <c r="J40" s="184">
        <v>3.6620189937586624E-2</v>
      </c>
      <c r="K40" s="184">
        <v>0</v>
      </c>
      <c r="L40" s="184">
        <v>0</v>
      </c>
      <c r="M40" s="184">
        <v>0</v>
      </c>
      <c r="N40" s="184">
        <v>0</v>
      </c>
      <c r="O40" s="184">
        <v>0.69020268070580137</v>
      </c>
      <c r="P40" s="186">
        <v>1</v>
      </c>
      <c r="R40" s="41">
        <f t="shared" si="0"/>
        <v>0</v>
      </c>
      <c r="S40" s="41">
        <f t="shared" si="1"/>
        <v>3937.0000000000005</v>
      </c>
      <c r="T40" s="41">
        <f t="shared" si="2"/>
        <v>0</v>
      </c>
    </row>
    <row r="41" spans="1:20" ht="15.75">
      <c r="A41" s="188" t="s">
        <v>615</v>
      </c>
      <c r="B41" s="189">
        <v>713199.41599999997</v>
      </c>
      <c r="C41" s="187">
        <v>456.7005975062869</v>
      </c>
      <c r="D41" s="184">
        <v>0.27592703469067342</v>
      </c>
      <c r="E41" s="185">
        <v>0</v>
      </c>
      <c r="F41" s="185">
        <v>0</v>
      </c>
      <c r="G41" s="185">
        <v>4.3386182469897033E-2</v>
      </c>
      <c r="H41" s="185">
        <v>0</v>
      </c>
      <c r="I41" s="185">
        <v>0.23254085222077636</v>
      </c>
      <c r="J41" s="184">
        <v>0.26521111011718135</v>
      </c>
      <c r="K41" s="184">
        <v>2.6755623347234775E-3</v>
      </c>
      <c r="L41" s="184">
        <v>0</v>
      </c>
      <c r="M41" s="184">
        <v>0.45484251490189137</v>
      </c>
      <c r="N41" s="184">
        <v>2.0843579896827926E-4</v>
      </c>
      <c r="O41" s="184">
        <v>1.1353421565624697E-3</v>
      </c>
      <c r="P41" s="186">
        <v>1</v>
      </c>
      <c r="R41" s="41">
        <f t="shared" si="0"/>
        <v>0</v>
      </c>
      <c r="S41" s="41">
        <f t="shared" si="1"/>
        <v>189148.40885228541</v>
      </c>
      <c r="T41" s="41">
        <f t="shared" si="2"/>
        <v>1908.2094945963806</v>
      </c>
    </row>
    <row r="42" spans="1:20" ht="26.25" customHeight="1">
      <c r="A42" s="188" t="s">
        <v>272</v>
      </c>
      <c r="B42" s="189">
        <v>8180</v>
      </c>
      <c r="C42" s="187">
        <v>19.621117999999999</v>
      </c>
      <c r="D42" s="184">
        <v>1</v>
      </c>
      <c r="E42" s="185">
        <v>0</v>
      </c>
      <c r="F42" s="185">
        <v>0.5</v>
      </c>
      <c r="G42" s="185">
        <v>0</v>
      </c>
      <c r="H42" s="185">
        <v>0.3</v>
      </c>
      <c r="I42" s="185">
        <v>0.2</v>
      </c>
      <c r="J42" s="184">
        <v>0</v>
      </c>
      <c r="K42" s="184">
        <v>0</v>
      </c>
      <c r="L42" s="184">
        <v>0</v>
      </c>
      <c r="M42" s="184">
        <v>0</v>
      </c>
      <c r="N42" s="184">
        <v>0</v>
      </c>
      <c r="O42" s="184">
        <v>0</v>
      </c>
      <c r="P42" s="186">
        <v>1</v>
      </c>
      <c r="R42" s="41">
        <f t="shared" si="0"/>
        <v>0</v>
      </c>
      <c r="S42" s="41">
        <f t="shared" si="1"/>
        <v>0</v>
      </c>
      <c r="T42" s="41">
        <f t="shared" si="2"/>
        <v>0</v>
      </c>
    </row>
    <row r="43" spans="1:20" ht="30">
      <c r="A43" s="188" t="s">
        <v>273</v>
      </c>
      <c r="B43" s="189">
        <v>2014304</v>
      </c>
      <c r="C43" s="187">
        <v>698.69995952813576</v>
      </c>
      <c r="D43" s="184">
        <v>0.46418316202519577</v>
      </c>
      <c r="E43" s="185">
        <v>0</v>
      </c>
      <c r="F43" s="185">
        <v>0.35372912926747901</v>
      </c>
      <c r="G43" s="185">
        <v>0</v>
      </c>
      <c r="H43" s="185">
        <v>9.9687038302063644E-2</v>
      </c>
      <c r="I43" s="185">
        <v>1.0766994455653168E-2</v>
      </c>
      <c r="J43" s="184">
        <v>1.1015219152620458E-2</v>
      </c>
      <c r="K43" s="184">
        <v>4.999295041860613E-2</v>
      </c>
      <c r="L43" s="184">
        <v>0.16295206681811683</v>
      </c>
      <c r="M43" s="184">
        <v>3.3059061591497609E-2</v>
      </c>
      <c r="N43" s="184">
        <v>0</v>
      </c>
      <c r="O43" s="184">
        <v>0.27879753999396317</v>
      </c>
      <c r="P43" s="186">
        <v>1</v>
      </c>
      <c r="R43" s="41">
        <f t="shared" si="0"/>
        <v>328235</v>
      </c>
      <c r="S43" s="41">
        <f t="shared" si="1"/>
        <v>22188</v>
      </c>
      <c r="T43" s="41">
        <f t="shared" si="2"/>
        <v>100701</v>
      </c>
    </row>
    <row r="44" spans="1:20" ht="15.75">
      <c r="A44" s="188" t="s">
        <v>274</v>
      </c>
      <c r="B44" s="189">
        <v>1159434</v>
      </c>
      <c r="C44" s="187">
        <v>369.56634072302717</v>
      </c>
      <c r="D44" s="184">
        <v>0.28980088560452771</v>
      </c>
      <c r="E44" s="185">
        <v>0</v>
      </c>
      <c r="F44" s="185">
        <v>2.9991357852193399E-2</v>
      </c>
      <c r="G44" s="185">
        <v>1.7542180063720745E-2</v>
      </c>
      <c r="H44" s="185">
        <v>7.8314073936075707E-4</v>
      </c>
      <c r="I44" s="185">
        <v>0.24148420694925282</v>
      </c>
      <c r="J44" s="184">
        <v>0.33061922408983041</v>
      </c>
      <c r="K44" s="184">
        <v>1.1847771026115009E-2</v>
      </c>
      <c r="L44" s="184">
        <v>0</v>
      </c>
      <c r="M44" s="184">
        <v>0.29678771033970019</v>
      </c>
      <c r="N44" s="184">
        <v>8.4508042389908359E-4</v>
      </c>
      <c r="O44" s="184">
        <v>7.00993285159274E-2</v>
      </c>
      <c r="P44" s="186">
        <v>0.99999999999999989</v>
      </c>
      <c r="R44" s="41">
        <f t="shared" si="0"/>
        <v>0</v>
      </c>
      <c r="S44" s="41">
        <f t="shared" si="1"/>
        <v>383331.16946336842</v>
      </c>
      <c r="T44" s="41">
        <f t="shared" si="2"/>
        <v>13736.708551892631</v>
      </c>
    </row>
    <row r="45" spans="1:20" ht="15.75">
      <c r="A45" s="188" t="s">
        <v>275</v>
      </c>
      <c r="B45" s="189">
        <v>1708</v>
      </c>
      <c r="C45" s="187">
        <v>0</v>
      </c>
      <c r="D45" s="184">
        <v>1</v>
      </c>
      <c r="E45" s="185">
        <v>0</v>
      </c>
      <c r="F45" s="185">
        <v>0</v>
      </c>
      <c r="G45" s="185">
        <v>0</v>
      </c>
      <c r="H45" s="185">
        <v>1</v>
      </c>
      <c r="I45" s="185">
        <v>0</v>
      </c>
      <c r="J45" s="184">
        <v>0</v>
      </c>
      <c r="K45" s="184">
        <v>0</v>
      </c>
      <c r="L45" s="184">
        <v>0</v>
      </c>
      <c r="M45" s="184">
        <v>0</v>
      </c>
      <c r="N45" s="184">
        <v>0</v>
      </c>
      <c r="O45" s="184">
        <v>0</v>
      </c>
      <c r="P45" s="186">
        <v>1</v>
      </c>
      <c r="R45" s="41">
        <f t="shared" si="0"/>
        <v>0</v>
      </c>
      <c r="S45" s="41">
        <f t="shared" si="1"/>
        <v>0</v>
      </c>
      <c r="T45" s="41">
        <f t="shared" si="2"/>
        <v>0</v>
      </c>
    </row>
    <row r="46" spans="1:20" ht="30">
      <c r="A46" s="188" t="s">
        <v>616</v>
      </c>
      <c r="B46" s="189">
        <v>254377</v>
      </c>
      <c r="C46" s="187">
        <v>5.2302058651377279E-4</v>
      </c>
      <c r="D46" s="184">
        <v>0.23027969902939349</v>
      </c>
      <c r="E46" s="185">
        <v>0</v>
      </c>
      <c r="F46" s="185">
        <v>0</v>
      </c>
      <c r="G46" s="185">
        <v>0</v>
      </c>
      <c r="H46" s="185">
        <v>9.3888205301579944E-2</v>
      </c>
      <c r="I46" s="185">
        <v>0.13639149372781353</v>
      </c>
      <c r="J46" s="184">
        <v>0.76971974667521037</v>
      </c>
      <c r="K46" s="184">
        <v>0</v>
      </c>
      <c r="L46" s="184">
        <v>0</v>
      </c>
      <c r="M46" s="184">
        <v>0</v>
      </c>
      <c r="N46" s="184">
        <v>0</v>
      </c>
      <c r="O46" s="184">
        <v>5.5429539610167504E-7</v>
      </c>
      <c r="P46" s="186">
        <v>1</v>
      </c>
      <c r="R46" s="41">
        <f t="shared" si="0"/>
        <v>0</v>
      </c>
      <c r="S46" s="41">
        <f t="shared" si="1"/>
        <v>195799</v>
      </c>
      <c r="T46" s="41">
        <f t="shared" si="2"/>
        <v>0</v>
      </c>
    </row>
    <row r="47" spans="1:20" ht="30">
      <c r="A47" s="188" t="s">
        <v>617</v>
      </c>
      <c r="B47" s="189">
        <v>4163560</v>
      </c>
      <c r="C47" s="187">
        <v>461.42231590538654</v>
      </c>
      <c r="D47" s="184">
        <v>0.29282061841308865</v>
      </c>
      <c r="E47" s="185">
        <v>1.2641258922652698E-2</v>
      </c>
      <c r="F47" s="185">
        <v>4.7829420255742827E-2</v>
      </c>
      <c r="G47" s="185">
        <v>0.13634543131358731</v>
      </c>
      <c r="H47" s="185">
        <v>2.3480253196783523E-2</v>
      </c>
      <c r="I47" s="185">
        <v>7.2524254724322321E-2</v>
      </c>
      <c r="J47" s="184">
        <v>0.22981943096772992</v>
      </c>
      <c r="K47" s="184">
        <v>0</v>
      </c>
      <c r="L47" s="184">
        <v>0</v>
      </c>
      <c r="M47" s="184">
        <v>0.28356790703148332</v>
      </c>
      <c r="N47" s="184">
        <v>0</v>
      </c>
      <c r="O47" s="184">
        <v>0.19379204358769808</v>
      </c>
      <c r="P47" s="186">
        <v>1</v>
      </c>
      <c r="R47" s="41">
        <f t="shared" si="0"/>
        <v>0</v>
      </c>
      <c r="S47" s="41">
        <f t="shared" si="1"/>
        <v>956866.99000000162</v>
      </c>
      <c r="T47" s="41">
        <f t="shared" si="2"/>
        <v>0</v>
      </c>
    </row>
    <row r="48" spans="1:20" ht="30">
      <c r="A48" s="188" t="s">
        <v>618</v>
      </c>
      <c r="B48" s="189">
        <v>33356</v>
      </c>
      <c r="C48" s="187">
        <v>3.2706049264899866</v>
      </c>
      <c r="D48" s="184">
        <v>1</v>
      </c>
      <c r="E48" s="185">
        <v>0.52982971579326055</v>
      </c>
      <c r="F48" s="185">
        <v>0</v>
      </c>
      <c r="G48" s="185">
        <v>0</v>
      </c>
      <c r="H48" s="185">
        <v>0.4701702842067394</v>
      </c>
      <c r="I48" s="185">
        <v>0</v>
      </c>
      <c r="J48" s="184">
        <v>0</v>
      </c>
      <c r="K48" s="184">
        <v>0</v>
      </c>
      <c r="L48" s="184">
        <v>0</v>
      </c>
      <c r="M48" s="184">
        <v>0</v>
      </c>
      <c r="N48" s="184">
        <v>0</v>
      </c>
      <c r="O48" s="184">
        <v>0</v>
      </c>
      <c r="P48" s="186">
        <v>1</v>
      </c>
      <c r="R48" s="41">
        <f t="shared" si="0"/>
        <v>0</v>
      </c>
      <c r="S48" s="41">
        <f t="shared" si="1"/>
        <v>0</v>
      </c>
      <c r="T48" s="41">
        <f t="shared" si="2"/>
        <v>0</v>
      </c>
    </row>
    <row r="49" spans="1:20" ht="30">
      <c r="A49" s="188" t="s">
        <v>619</v>
      </c>
      <c r="B49" s="189">
        <v>5926</v>
      </c>
      <c r="C49" s="187">
        <v>0.25937581235234558</v>
      </c>
      <c r="D49" s="184">
        <v>1</v>
      </c>
      <c r="E49" s="185">
        <v>4.2018224772190346E-2</v>
      </c>
      <c r="F49" s="185">
        <v>0</v>
      </c>
      <c r="G49" s="185">
        <v>0</v>
      </c>
      <c r="H49" s="185">
        <v>0.9579817752278097</v>
      </c>
      <c r="I49" s="185">
        <v>0</v>
      </c>
      <c r="J49" s="184">
        <v>0</v>
      </c>
      <c r="K49" s="184">
        <v>0</v>
      </c>
      <c r="L49" s="184">
        <v>0</v>
      </c>
      <c r="M49" s="184">
        <v>0</v>
      </c>
      <c r="N49" s="184">
        <v>0</v>
      </c>
      <c r="O49" s="184">
        <v>0</v>
      </c>
      <c r="P49" s="186">
        <v>1</v>
      </c>
      <c r="R49" s="41">
        <f t="shared" si="0"/>
        <v>0</v>
      </c>
      <c r="S49" s="41">
        <f t="shared" si="1"/>
        <v>0</v>
      </c>
      <c r="T49" s="41">
        <f t="shared" si="2"/>
        <v>0</v>
      </c>
    </row>
    <row r="50" spans="1:20" ht="30">
      <c r="A50" s="188" t="s">
        <v>620</v>
      </c>
      <c r="B50" s="189">
        <v>6738</v>
      </c>
      <c r="C50" s="187">
        <v>0.28400269516176901</v>
      </c>
      <c r="D50" s="184">
        <v>1</v>
      </c>
      <c r="E50" s="185">
        <v>4.6007717423567823E-2</v>
      </c>
      <c r="F50" s="185">
        <v>0</v>
      </c>
      <c r="G50" s="185">
        <v>0</v>
      </c>
      <c r="H50" s="185">
        <v>0.9539922825764322</v>
      </c>
      <c r="I50" s="185">
        <v>0</v>
      </c>
      <c r="J50" s="184">
        <v>0</v>
      </c>
      <c r="K50" s="184">
        <v>0</v>
      </c>
      <c r="L50" s="184">
        <v>0</v>
      </c>
      <c r="M50" s="184">
        <v>0</v>
      </c>
      <c r="N50" s="184">
        <v>0</v>
      </c>
      <c r="O50" s="184">
        <v>0</v>
      </c>
      <c r="P50" s="186">
        <v>1</v>
      </c>
      <c r="R50" s="41">
        <f t="shared" si="0"/>
        <v>0</v>
      </c>
      <c r="S50" s="41">
        <f t="shared" si="1"/>
        <v>0</v>
      </c>
      <c r="T50" s="41">
        <f t="shared" si="2"/>
        <v>0</v>
      </c>
    </row>
    <row r="51" spans="1:20" ht="15.75">
      <c r="A51" s="188" t="s">
        <v>279</v>
      </c>
      <c r="B51" s="189">
        <v>215740.61</v>
      </c>
      <c r="C51" s="187">
        <v>134.81217351461825</v>
      </c>
      <c r="D51" s="184">
        <v>3.3929634295555206E-3</v>
      </c>
      <c r="E51" s="185">
        <v>0</v>
      </c>
      <c r="F51" s="185">
        <v>0</v>
      </c>
      <c r="G51" s="185">
        <v>3.3929634295555206E-3</v>
      </c>
      <c r="H51" s="185">
        <v>0</v>
      </c>
      <c r="I51" s="185">
        <v>0</v>
      </c>
      <c r="J51" s="184">
        <v>0.85332103214132937</v>
      </c>
      <c r="K51" s="184">
        <v>0</v>
      </c>
      <c r="L51" s="184">
        <v>0</v>
      </c>
      <c r="M51" s="184">
        <v>0</v>
      </c>
      <c r="N51" s="184">
        <v>4.125324388394007E-4</v>
      </c>
      <c r="O51" s="184">
        <v>0.14287347199027567</v>
      </c>
      <c r="P51" s="186">
        <v>1</v>
      </c>
      <c r="R51" s="41">
        <f t="shared" si="0"/>
        <v>0</v>
      </c>
      <c r="S51" s="41">
        <f t="shared" si="1"/>
        <v>184096</v>
      </c>
      <c r="T51" s="41">
        <f t="shared" si="2"/>
        <v>0</v>
      </c>
    </row>
    <row r="52" spans="1:20" ht="15.75">
      <c r="A52" s="188" t="s">
        <v>621</v>
      </c>
      <c r="B52" s="189">
        <v>104959</v>
      </c>
      <c r="C52" s="187">
        <v>484.79707684747166</v>
      </c>
      <c r="D52" s="184">
        <v>0.13853028325346087</v>
      </c>
      <c r="E52" s="185">
        <v>0</v>
      </c>
      <c r="F52" s="185">
        <v>6.8217113349022E-3</v>
      </c>
      <c r="G52" s="185">
        <v>0.13074629140902638</v>
      </c>
      <c r="H52" s="185">
        <v>9.6228050953229356E-4</v>
      </c>
      <c r="I52" s="185">
        <v>0</v>
      </c>
      <c r="J52" s="184">
        <v>0.33770862908373744</v>
      </c>
      <c r="K52" s="184">
        <v>0</v>
      </c>
      <c r="L52" s="184">
        <v>0</v>
      </c>
      <c r="M52" s="184">
        <v>0.1933382558903953</v>
      </c>
      <c r="N52" s="184">
        <v>0</v>
      </c>
      <c r="O52" s="184">
        <v>0.33042283177240644</v>
      </c>
      <c r="P52" s="186">
        <v>1</v>
      </c>
      <c r="R52" s="41">
        <f t="shared" si="0"/>
        <v>0</v>
      </c>
      <c r="S52" s="41">
        <f t="shared" si="1"/>
        <v>35445.56</v>
      </c>
      <c r="T52" s="41">
        <f t="shared" si="2"/>
        <v>0</v>
      </c>
    </row>
    <row r="53" spans="1:20" ht="30">
      <c r="A53" s="188" t="s">
        <v>622</v>
      </c>
      <c r="B53" s="189">
        <v>1050532.2498971899</v>
      </c>
      <c r="C53" s="187">
        <v>215.49392209401987</v>
      </c>
      <c r="D53" s="184">
        <v>0.47625667850650372</v>
      </c>
      <c r="E53" s="185">
        <v>0</v>
      </c>
      <c r="F53" s="185">
        <v>0</v>
      </c>
      <c r="G53" s="185">
        <v>0</v>
      </c>
      <c r="H53" s="185">
        <v>0.26360542479976345</v>
      </c>
      <c r="I53" s="185">
        <v>0.21265125370674026</v>
      </c>
      <c r="J53" s="184">
        <v>0.29076404012641865</v>
      </c>
      <c r="K53" s="184">
        <v>0</v>
      </c>
      <c r="L53" s="184">
        <v>0</v>
      </c>
      <c r="M53" s="184">
        <v>0</v>
      </c>
      <c r="N53" s="184">
        <v>4.5995732167888066E-3</v>
      </c>
      <c r="O53" s="184">
        <v>0.22837970815028866</v>
      </c>
      <c r="P53" s="186">
        <v>1</v>
      </c>
      <c r="R53" s="41">
        <f t="shared" si="0"/>
        <v>0</v>
      </c>
      <c r="S53" s="41">
        <f t="shared" si="1"/>
        <v>305457.00126320339</v>
      </c>
      <c r="T53" s="41">
        <f t="shared" si="2"/>
        <v>0</v>
      </c>
    </row>
    <row r="54" spans="1:20" ht="15.75">
      <c r="A54" s="188" t="s">
        <v>623</v>
      </c>
      <c r="B54" s="189">
        <v>13241.921104984</v>
      </c>
      <c r="C54" s="187">
        <v>510.76335671441512</v>
      </c>
      <c r="D54" s="184">
        <v>0.45869477335232467</v>
      </c>
      <c r="E54" s="185">
        <v>0</v>
      </c>
      <c r="F54" s="185">
        <v>0</v>
      </c>
      <c r="G54" s="185">
        <v>0</v>
      </c>
      <c r="H54" s="185">
        <v>0</v>
      </c>
      <c r="I54" s="185">
        <v>0.45869477335232467</v>
      </c>
      <c r="J54" s="184">
        <v>0</v>
      </c>
      <c r="K54" s="184">
        <v>0</v>
      </c>
      <c r="L54" s="184">
        <v>0</v>
      </c>
      <c r="M54" s="184">
        <v>0</v>
      </c>
      <c r="N54" s="184">
        <v>0</v>
      </c>
      <c r="O54" s="184">
        <v>0.54130522664767533</v>
      </c>
      <c r="P54" s="186">
        <v>1</v>
      </c>
      <c r="R54" s="41">
        <f t="shared" si="0"/>
        <v>0</v>
      </c>
      <c r="S54" s="41">
        <f t="shared" si="1"/>
        <v>0</v>
      </c>
      <c r="T54" s="41">
        <f t="shared" si="2"/>
        <v>0</v>
      </c>
    </row>
    <row r="55" spans="1:20" ht="15.75">
      <c r="A55" s="188" t="s">
        <v>624</v>
      </c>
      <c r="B55" s="189">
        <v>12449.7667881333</v>
      </c>
      <c r="C55" s="187">
        <v>0</v>
      </c>
      <c r="D55" s="184">
        <v>1</v>
      </c>
      <c r="E55" s="185">
        <v>0</v>
      </c>
      <c r="F55" s="185">
        <v>0</v>
      </c>
      <c r="G55" s="185">
        <v>0</v>
      </c>
      <c r="H55" s="185">
        <v>0.5</v>
      </c>
      <c r="I55" s="185">
        <v>0.5</v>
      </c>
      <c r="J55" s="184">
        <v>0</v>
      </c>
      <c r="K55" s="184">
        <v>0</v>
      </c>
      <c r="L55" s="184">
        <v>0</v>
      </c>
      <c r="M55" s="184">
        <v>0</v>
      </c>
      <c r="N55" s="184">
        <v>0</v>
      </c>
      <c r="O55" s="184">
        <v>0</v>
      </c>
      <c r="P55" s="186">
        <v>1</v>
      </c>
      <c r="R55" s="41">
        <f t="shared" si="0"/>
        <v>0</v>
      </c>
      <c r="S55" s="41">
        <f t="shared" si="1"/>
        <v>0</v>
      </c>
      <c r="T55" s="41">
        <f t="shared" si="2"/>
        <v>0</v>
      </c>
    </row>
    <row r="56" spans="1:20" ht="30">
      <c r="A56" s="188" t="s">
        <v>284</v>
      </c>
      <c r="B56" s="189">
        <v>5802429.9835474109</v>
      </c>
      <c r="C56" s="187">
        <v>2.2790038452886114</v>
      </c>
      <c r="D56" s="184">
        <v>0.99999999999999989</v>
      </c>
      <c r="E56" s="185">
        <v>0</v>
      </c>
      <c r="F56" s="185">
        <v>2.9451281618218573E-2</v>
      </c>
      <c r="G56" s="185">
        <v>2.5207714698841695E-2</v>
      </c>
      <c r="H56" s="185">
        <v>0.49997897432627358</v>
      </c>
      <c r="I56" s="185">
        <v>0.44536202935666597</v>
      </c>
      <c r="J56" s="184">
        <v>0</v>
      </c>
      <c r="K56" s="184">
        <v>0</v>
      </c>
      <c r="L56" s="184">
        <v>0</v>
      </c>
      <c r="M56" s="184">
        <v>0</v>
      </c>
      <c r="N56" s="184">
        <v>0</v>
      </c>
      <c r="O56" s="184">
        <v>0</v>
      </c>
      <c r="P56" s="186">
        <v>1.0000000000000002</v>
      </c>
      <c r="R56" s="41">
        <f t="shared" si="0"/>
        <v>0</v>
      </c>
      <c r="S56" s="41">
        <f t="shared" si="1"/>
        <v>0</v>
      </c>
      <c r="T56" s="41">
        <f t="shared" si="2"/>
        <v>0</v>
      </c>
    </row>
    <row r="57" spans="1:20" ht="15.75">
      <c r="A57" s="188" t="s">
        <v>285</v>
      </c>
      <c r="B57" s="189">
        <v>3017865.1905948031</v>
      </c>
      <c r="C57" s="187">
        <v>333.33555751715801</v>
      </c>
      <c r="D57" s="184">
        <v>0.50000013410227861</v>
      </c>
      <c r="E57" s="185">
        <v>8.1033440712373589E-2</v>
      </c>
      <c r="F57" s="185">
        <v>0.27873146972287705</v>
      </c>
      <c r="G57" s="185">
        <v>0</v>
      </c>
      <c r="H57" s="185">
        <v>9.8692281195402742E-3</v>
      </c>
      <c r="I57" s="185">
        <v>0.13036599554748762</v>
      </c>
      <c r="J57" s="184">
        <v>0.31477946826802033</v>
      </c>
      <c r="K57" s="184">
        <v>0</v>
      </c>
      <c r="L57" s="184">
        <v>0</v>
      </c>
      <c r="M57" s="184">
        <v>0</v>
      </c>
      <c r="N57" s="184">
        <v>0</v>
      </c>
      <c r="O57" s="184">
        <v>0.18522039762970108</v>
      </c>
      <c r="P57" s="186">
        <v>1.0000000000000002</v>
      </c>
      <c r="R57" s="41">
        <f t="shared" si="0"/>
        <v>0</v>
      </c>
      <c r="S57" s="41">
        <f t="shared" si="1"/>
        <v>949962</v>
      </c>
      <c r="T57" s="41">
        <f t="shared" si="2"/>
        <v>0</v>
      </c>
    </row>
    <row r="58" spans="1:20" ht="15.75">
      <c r="A58" s="188" t="s">
        <v>286</v>
      </c>
      <c r="B58" s="189">
        <v>1429483.2459211012</v>
      </c>
      <c r="C58" s="187">
        <v>556.91025606852531</v>
      </c>
      <c r="D58" s="184">
        <v>0.26118389359605487</v>
      </c>
      <c r="E58" s="185">
        <v>2.3973698256195931E-2</v>
      </c>
      <c r="F58" s="185">
        <v>5.7853073994380017E-3</v>
      </c>
      <c r="G58" s="185">
        <v>0</v>
      </c>
      <c r="H58" s="185">
        <v>6.8801086183159308E-3</v>
      </c>
      <c r="I58" s="185">
        <v>0.22454477932210498</v>
      </c>
      <c r="J58" s="184">
        <v>0.39966259490477346</v>
      </c>
      <c r="K58" s="184">
        <v>1.5990978190859269E-2</v>
      </c>
      <c r="L58" s="184">
        <v>0</v>
      </c>
      <c r="M58" s="184">
        <v>0</v>
      </c>
      <c r="N58" s="184">
        <v>1.2516563534379502E-3</v>
      </c>
      <c r="O58" s="184">
        <v>0.32191087695487447</v>
      </c>
      <c r="P58" s="186">
        <v>1</v>
      </c>
      <c r="R58" s="41">
        <f t="shared" si="0"/>
        <v>0</v>
      </c>
      <c r="S58" s="41">
        <f t="shared" si="1"/>
        <v>571310.98343772569</v>
      </c>
      <c r="T58" s="41">
        <f t="shared" si="2"/>
        <v>22858.835409723048</v>
      </c>
    </row>
    <row r="59" spans="1:20" ht="15.75">
      <c r="A59" s="188" t="s">
        <v>287</v>
      </c>
      <c r="B59" s="189">
        <v>28898.206898799981</v>
      </c>
      <c r="C59" s="187">
        <v>6.7556102756444036E-3</v>
      </c>
      <c r="D59" s="184">
        <v>0.99999284042775716</v>
      </c>
      <c r="E59" s="185">
        <v>0</v>
      </c>
      <c r="F59" s="185">
        <v>0</v>
      </c>
      <c r="G59" s="185">
        <v>0</v>
      </c>
      <c r="H59" s="185">
        <v>0.99999284042775716</v>
      </c>
      <c r="I59" s="185">
        <v>0</v>
      </c>
      <c r="J59" s="184">
        <v>0</v>
      </c>
      <c r="K59" s="184">
        <v>0</v>
      </c>
      <c r="L59" s="184">
        <v>0</v>
      </c>
      <c r="M59" s="184">
        <v>0</v>
      </c>
      <c r="N59" s="184">
        <v>0</v>
      </c>
      <c r="O59" s="184">
        <v>7.1595722428571202E-6</v>
      </c>
      <c r="P59" s="186">
        <v>1</v>
      </c>
      <c r="R59" s="41">
        <f t="shared" si="0"/>
        <v>0</v>
      </c>
      <c r="S59" s="41">
        <f t="shared" si="1"/>
        <v>0</v>
      </c>
      <c r="T59" s="41">
        <f t="shared" si="2"/>
        <v>0</v>
      </c>
    </row>
    <row r="60" spans="1:20" ht="15.75">
      <c r="A60" s="188" t="s">
        <v>288</v>
      </c>
      <c r="B60" s="189">
        <v>2466085</v>
      </c>
      <c r="C60" s="187">
        <v>15.401821271184968</v>
      </c>
      <c r="D60" s="184">
        <v>0.56458634245721828</v>
      </c>
      <c r="E60" s="185">
        <v>9.7904161637550231E-3</v>
      </c>
      <c r="F60" s="185">
        <v>0.18025452138671616</v>
      </c>
      <c r="G60" s="185">
        <v>7.6684294264732968E-3</v>
      </c>
      <c r="H60" s="185">
        <v>0.25971568650505256</v>
      </c>
      <c r="I60" s="185">
        <v>0.10715728897522113</v>
      </c>
      <c r="J60" s="184">
        <v>0.43541365754278244</v>
      </c>
      <c r="K60" s="184">
        <v>0</v>
      </c>
      <c r="L60" s="184">
        <v>0</v>
      </c>
      <c r="M60" s="184">
        <v>0</v>
      </c>
      <c r="N60" s="184">
        <v>0</v>
      </c>
      <c r="O60" s="184">
        <v>0</v>
      </c>
      <c r="P60" s="186">
        <v>1.0000000000000002</v>
      </c>
      <c r="R60" s="41">
        <f t="shared" si="0"/>
        <v>0</v>
      </c>
      <c r="S60" s="41">
        <f t="shared" si="1"/>
        <v>1073767.0896613926</v>
      </c>
      <c r="T60" s="41">
        <f t="shared" si="2"/>
        <v>0</v>
      </c>
    </row>
    <row r="61" spans="1:20" ht="15.75">
      <c r="A61" s="188" t="s">
        <v>289</v>
      </c>
      <c r="B61" s="189">
        <v>401208</v>
      </c>
      <c r="C61" s="187">
        <v>0</v>
      </c>
      <c r="D61" s="184">
        <v>1</v>
      </c>
      <c r="E61" s="185">
        <v>0</v>
      </c>
      <c r="F61" s="185">
        <v>0</v>
      </c>
      <c r="G61" s="185">
        <v>0</v>
      </c>
      <c r="H61" s="185">
        <v>0.5</v>
      </c>
      <c r="I61" s="185">
        <v>0.5</v>
      </c>
      <c r="J61" s="184">
        <v>0</v>
      </c>
      <c r="K61" s="184">
        <v>0</v>
      </c>
      <c r="L61" s="184">
        <v>0</v>
      </c>
      <c r="M61" s="184">
        <v>0</v>
      </c>
      <c r="N61" s="184">
        <v>0</v>
      </c>
      <c r="O61" s="184">
        <v>0</v>
      </c>
      <c r="P61" s="186">
        <v>1</v>
      </c>
      <c r="R61" s="41">
        <f t="shared" si="0"/>
        <v>0</v>
      </c>
      <c r="S61" s="41">
        <f t="shared" si="1"/>
        <v>0</v>
      </c>
      <c r="T61" s="41">
        <f t="shared" si="2"/>
        <v>0</v>
      </c>
    </row>
    <row r="62" spans="1:20" ht="15.75">
      <c r="A62" s="188" t="s">
        <v>290</v>
      </c>
      <c r="B62" s="189">
        <v>3560</v>
      </c>
      <c r="C62" s="187">
        <v>0</v>
      </c>
      <c r="D62" s="184">
        <v>1</v>
      </c>
      <c r="E62" s="185">
        <v>0</v>
      </c>
      <c r="F62" s="185">
        <v>0</v>
      </c>
      <c r="G62" s="185">
        <v>0</v>
      </c>
      <c r="H62" s="185">
        <v>1</v>
      </c>
      <c r="I62" s="185">
        <v>0</v>
      </c>
      <c r="J62" s="184">
        <v>0</v>
      </c>
      <c r="K62" s="184">
        <v>0</v>
      </c>
      <c r="L62" s="184">
        <v>0</v>
      </c>
      <c r="M62" s="184">
        <v>0</v>
      </c>
      <c r="N62" s="184">
        <v>0</v>
      </c>
      <c r="O62" s="184">
        <v>0</v>
      </c>
      <c r="P62" s="186">
        <v>1</v>
      </c>
      <c r="R62" s="41">
        <f t="shared" si="0"/>
        <v>0</v>
      </c>
      <c r="S62" s="41">
        <f t="shared" si="1"/>
        <v>0</v>
      </c>
      <c r="T62" s="41">
        <f t="shared" si="2"/>
        <v>0</v>
      </c>
    </row>
    <row r="63" spans="1:20" ht="30">
      <c r="A63" s="188" t="s">
        <v>291</v>
      </c>
      <c r="B63" s="190" t="s">
        <v>625</v>
      </c>
      <c r="C63" s="187">
        <v>0</v>
      </c>
      <c r="D63" s="184">
        <v>1</v>
      </c>
      <c r="E63" s="185">
        <v>0</v>
      </c>
      <c r="F63" s="185">
        <v>0</v>
      </c>
      <c r="G63" s="185">
        <v>8.8721697778408708E-3</v>
      </c>
      <c r="H63" s="185">
        <v>0.21491944069841701</v>
      </c>
      <c r="I63" s="185">
        <v>0.77620838952374205</v>
      </c>
      <c r="J63" s="184">
        <v>0</v>
      </c>
      <c r="K63" s="184">
        <v>0</v>
      </c>
      <c r="L63" s="184">
        <v>0</v>
      </c>
      <c r="M63" s="184">
        <v>0</v>
      </c>
      <c r="N63" s="184">
        <v>0</v>
      </c>
      <c r="O63" s="184">
        <v>0</v>
      </c>
      <c r="P63" s="186">
        <v>1</v>
      </c>
      <c r="R63" s="41"/>
      <c r="S63" s="41"/>
      <c r="T63" s="41"/>
    </row>
    <row r="64" spans="1:20" ht="23.25" customHeight="1">
      <c r="A64" s="188" t="s">
        <v>292</v>
      </c>
      <c r="B64" s="190" t="s">
        <v>625</v>
      </c>
      <c r="C64" s="187">
        <v>311</v>
      </c>
      <c r="D64" s="184">
        <v>0.39142325546211398</v>
      </c>
      <c r="E64" s="185">
        <v>1.15883081157434E-2</v>
      </c>
      <c r="F64" s="185">
        <v>2.7072359281193198E-3</v>
      </c>
      <c r="G64" s="185">
        <v>7.4656285777046499E-3</v>
      </c>
      <c r="H64" s="185">
        <v>0.27715927886566699</v>
      </c>
      <c r="I64" s="185">
        <v>9.2502803974879894E-2</v>
      </c>
      <c r="J64" s="184">
        <v>9.1116581347275405E-2</v>
      </c>
      <c r="K64" s="184">
        <v>0.189398219712343</v>
      </c>
      <c r="L64" s="184">
        <v>0</v>
      </c>
      <c r="M64" s="184">
        <v>0</v>
      </c>
      <c r="N64" s="184">
        <v>0</v>
      </c>
      <c r="O64" s="184">
        <v>0.328061943478267</v>
      </c>
      <c r="P64" s="186">
        <v>1</v>
      </c>
      <c r="R64" s="41"/>
      <c r="S64" s="41"/>
      <c r="T64" s="41"/>
    </row>
    <row r="65" spans="1:20" ht="15.75">
      <c r="A65" s="188" t="s">
        <v>293</v>
      </c>
      <c r="B65" s="189">
        <v>6094195.8614093326</v>
      </c>
      <c r="C65" s="187">
        <v>513.00819274375385</v>
      </c>
      <c r="D65" s="184">
        <v>0.49936859090318497</v>
      </c>
      <c r="E65" s="185">
        <v>7.865680901977876E-3</v>
      </c>
      <c r="F65" s="185">
        <v>0</v>
      </c>
      <c r="G65" s="185">
        <v>0</v>
      </c>
      <c r="H65" s="185">
        <v>0.38915798801575552</v>
      </c>
      <c r="I65" s="185">
        <v>0.10234492198545157</v>
      </c>
      <c r="J65" s="184">
        <v>1.4431424916438658E-2</v>
      </c>
      <c r="K65" s="184">
        <v>2.5580639931048813E-2</v>
      </c>
      <c r="L65" s="184">
        <v>0</v>
      </c>
      <c r="M65" s="184">
        <v>0</v>
      </c>
      <c r="N65" s="184">
        <v>0</v>
      </c>
      <c r="O65" s="184">
        <v>0.46061934424932749</v>
      </c>
      <c r="P65" s="186">
        <v>1</v>
      </c>
      <c r="R65" s="41">
        <f t="shared" si="0"/>
        <v>0</v>
      </c>
      <c r="S65" s="41">
        <f t="shared" si="1"/>
        <v>87947.93</v>
      </c>
      <c r="T65" s="41">
        <f t="shared" si="2"/>
        <v>155893.43</v>
      </c>
    </row>
    <row r="66" spans="1:20" ht="15.75">
      <c r="A66" s="188" t="s">
        <v>294</v>
      </c>
      <c r="B66" s="189">
        <v>271682.29733939999</v>
      </c>
      <c r="C66" s="187">
        <v>0</v>
      </c>
      <c r="D66" s="184">
        <v>0.64689639042189451</v>
      </c>
      <c r="E66" s="185">
        <v>0</v>
      </c>
      <c r="F66" s="185">
        <v>0</v>
      </c>
      <c r="G66" s="185">
        <v>9.3986616757412884E-3</v>
      </c>
      <c r="H66" s="185">
        <v>0.25661933284955241</v>
      </c>
      <c r="I66" s="185">
        <v>0.38087839589660072</v>
      </c>
      <c r="J66" s="184">
        <v>0.35310360957810538</v>
      </c>
      <c r="K66" s="184">
        <v>0</v>
      </c>
      <c r="L66" s="184">
        <v>0</v>
      </c>
      <c r="M66" s="184">
        <v>0</v>
      </c>
      <c r="N66" s="184">
        <v>0</v>
      </c>
      <c r="O66" s="184">
        <v>0</v>
      </c>
      <c r="P66" s="186">
        <v>1</v>
      </c>
      <c r="R66" s="41">
        <f t="shared" si="0"/>
        <v>0</v>
      </c>
      <c r="S66" s="41">
        <f t="shared" si="1"/>
        <v>95931.999849014232</v>
      </c>
      <c r="T66" s="41">
        <f t="shared" si="2"/>
        <v>0</v>
      </c>
    </row>
    <row r="67" spans="1:20" ht="15.75">
      <c r="A67" s="188" t="s">
        <v>295</v>
      </c>
      <c r="B67" s="189">
        <v>79846.648010000004</v>
      </c>
      <c r="C67" s="187">
        <v>424.38566770258097</v>
      </c>
      <c r="D67" s="184">
        <v>0.50739053072742368</v>
      </c>
      <c r="E67" s="185">
        <v>0</v>
      </c>
      <c r="F67" s="185">
        <v>3.9976631199348953E-2</v>
      </c>
      <c r="G67" s="185">
        <v>4.778534973092604E-3</v>
      </c>
      <c r="H67" s="185">
        <v>0.14605259319764399</v>
      </c>
      <c r="I67" s="185">
        <v>0.31658277135733814</v>
      </c>
      <c r="J67" s="184">
        <v>5.0947661566087571E-2</v>
      </c>
      <c r="K67" s="184">
        <v>0</v>
      </c>
      <c r="L67" s="184">
        <v>0</v>
      </c>
      <c r="M67" s="184">
        <v>0</v>
      </c>
      <c r="N67" s="184">
        <v>0</v>
      </c>
      <c r="O67" s="184">
        <v>0.44166180770648877</v>
      </c>
      <c r="P67" s="186">
        <v>1</v>
      </c>
      <c r="R67" s="41">
        <f t="shared" ref="R67:R130" si="3">L67*B67</f>
        <v>0</v>
      </c>
      <c r="S67" s="41">
        <f t="shared" ref="S67:S130" si="4">J67*B67</f>
        <v>4068</v>
      </c>
      <c r="T67" s="41">
        <f t="shared" ref="T67:T130" si="5">K67*B67</f>
        <v>0</v>
      </c>
    </row>
    <row r="68" spans="1:20" ht="30">
      <c r="A68" s="188" t="s">
        <v>296</v>
      </c>
      <c r="B68" s="189">
        <v>3370983</v>
      </c>
      <c r="C68" s="187">
        <v>489.16708593388501</v>
      </c>
      <c r="D68" s="184">
        <v>0.43386780651222506</v>
      </c>
      <c r="E68" s="185">
        <v>1.7393739452260661E-2</v>
      </c>
      <c r="F68" s="185">
        <v>1.3817037938191916E-2</v>
      </c>
      <c r="G68" s="185">
        <v>8.5731669367659219E-3</v>
      </c>
      <c r="H68" s="185">
        <v>0.28674187914919774</v>
      </c>
      <c r="I68" s="185">
        <v>0.10734198303580884</v>
      </c>
      <c r="J68" s="184">
        <v>0</v>
      </c>
      <c r="K68" s="184">
        <v>8.9736435929816324E-2</v>
      </c>
      <c r="L68" s="184">
        <v>0</v>
      </c>
      <c r="M68" s="184">
        <v>0</v>
      </c>
      <c r="N68" s="184">
        <v>8.0095331243141844E-6</v>
      </c>
      <c r="O68" s="184">
        <v>0.4763877480248343</v>
      </c>
      <c r="P68" s="186">
        <v>1</v>
      </c>
      <c r="R68" s="41">
        <f t="shared" si="3"/>
        <v>0</v>
      </c>
      <c r="S68" s="41">
        <f t="shared" si="4"/>
        <v>0</v>
      </c>
      <c r="T68" s="41">
        <f t="shared" si="5"/>
        <v>302500</v>
      </c>
    </row>
    <row r="69" spans="1:20" ht="15.75">
      <c r="A69" s="188" t="s">
        <v>300</v>
      </c>
      <c r="B69" s="189">
        <v>30950</v>
      </c>
      <c r="C69" s="187">
        <v>360.204839633532</v>
      </c>
      <c r="D69" s="184">
        <v>0.17680129240710823</v>
      </c>
      <c r="E69" s="185">
        <v>0</v>
      </c>
      <c r="F69" s="185">
        <v>0</v>
      </c>
      <c r="G69" s="185">
        <v>1.5282714054927302E-2</v>
      </c>
      <c r="H69" s="185">
        <v>0.16151857835218095</v>
      </c>
      <c r="I69" s="185">
        <v>0</v>
      </c>
      <c r="J69" s="184">
        <v>0.44145487300837816</v>
      </c>
      <c r="K69" s="184">
        <v>0</v>
      </c>
      <c r="L69" s="184">
        <v>0</v>
      </c>
      <c r="M69" s="184">
        <v>0</v>
      </c>
      <c r="N69" s="184">
        <v>0</v>
      </c>
      <c r="O69" s="184">
        <v>0.38174383458451361</v>
      </c>
      <c r="P69" s="186">
        <v>1</v>
      </c>
      <c r="R69" s="41">
        <f t="shared" si="3"/>
        <v>0</v>
      </c>
      <c r="S69" s="41">
        <f t="shared" si="4"/>
        <v>13663.028319609304</v>
      </c>
      <c r="T69" s="41">
        <f t="shared" si="5"/>
        <v>0</v>
      </c>
    </row>
    <row r="70" spans="1:20" ht="30">
      <c r="A70" s="188" t="s">
        <v>626</v>
      </c>
      <c r="B70" s="189">
        <v>423891.600256384</v>
      </c>
      <c r="C70" s="187">
        <v>336.20603044094264</v>
      </c>
      <c r="D70" s="184">
        <v>0.35756783080468058</v>
      </c>
      <c r="E70" s="185">
        <v>0</v>
      </c>
      <c r="F70" s="185">
        <v>9.8791766514531948E-2</v>
      </c>
      <c r="G70" s="185">
        <v>4.0741548050384864E-3</v>
      </c>
      <c r="H70" s="185">
        <v>0.12511925211049577</v>
      </c>
      <c r="I70" s="185">
        <v>0.12958265737461436</v>
      </c>
      <c r="J70" s="184">
        <v>6.8808487788761571E-2</v>
      </c>
      <c r="K70" s="184">
        <v>0.2684131979288647</v>
      </c>
      <c r="L70" s="184">
        <v>0</v>
      </c>
      <c r="M70" s="184">
        <v>0</v>
      </c>
      <c r="N70" s="184">
        <v>0</v>
      </c>
      <c r="O70" s="184">
        <v>0.30521048347769314</v>
      </c>
      <c r="P70" s="186">
        <v>1</v>
      </c>
      <c r="R70" s="41">
        <f t="shared" si="3"/>
        <v>0</v>
      </c>
      <c r="S70" s="41">
        <f t="shared" si="4"/>
        <v>29167.34</v>
      </c>
      <c r="T70" s="41">
        <f t="shared" si="5"/>
        <v>113778.09999999999</v>
      </c>
    </row>
    <row r="71" spans="1:20" ht="30">
      <c r="A71" s="188" t="s">
        <v>627</v>
      </c>
      <c r="B71" s="189">
        <v>135.35644450000001</v>
      </c>
      <c r="C71" s="187">
        <v>0</v>
      </c>
      <c r="D71" s="184">
        <v>1</v>
      </c>
      <c r="E71" s="185">
        <v>0</v>
      </c>
      <c r="F71" s="185">
        <v>0</v>
      </c>
      <c r="G71" s="185">
        <v>0</v>
      </c>
      <c r="H71" s="185">
        <v>0</v>
      </c>
      <c r="I71" s="185">
        <v>1</v>
      </c>
      <c r="J71" s="184">
        <v>0</v>
      </c>
      <c r="K71" s="184">
        <v>0</v>
      </c>
      <c r="L71" s="184">
        <v>0</v>
      </c>
      <c r="M71" s="184">
        <v>0</v>
      </c>
      <c r="N71" s="184">
        <v>0</v>
      </c>
      <c r="O71" s="184">
        <v>0</v>
      </c>
      <c r="P71" s="186">
        <v>1</v>
      </c>
      <c r="R71" s="41">
        <f t="shared" si="3"/>
        <v>0</v>
      </c>
      <c r="S71" s="41">
        <f t="shared" si="4"/>
        <v>0</v>
      </c>
      <c r="T71" s="41">
        <f t="shared" si="5"/>
        <v>0</v>
      </c>
    </row>
    <row r="72" spans="1:20" ht="15.75">
      <c r="A72" s="188" t="s">
        <v>303</v>
      </c>
      <c r="B72" s="189">
        <v>3422282.2417600001</v>
      </c>
      <c r="C72" s="187">
        <v>567.24329779221659</v>
      </c>
      <c r="D72" s="184">
        <v>0.37219343993817983</v>
      </c>
      <c r="E72" s="185">
        <v>6.1771936113393551E-2</v>
      </c>
      <c r="F72" s="185">
        <v>0.13616059900435251</v>
      </c>
      <c r="G72" s="185">
        <v>5.4815467208082981E-2</v>
      </c>
      <c r="H72" s="185">
        <v>0.11944543761235075</v>
      </c>
      <c r="I72" s="185">
        <v>0</v>
      </c>
      <c r="J72" s="184">
        <v>4.7896400244213148E-2</v>
      </c>
      <c r="K72" s="184">
        <v>3.5462592336506366E-2</v>
      </c>
      <c r="L72" s="184">
        <v>0</v>
      </c>
      <c r="M72" s="184">
        <v>0.35203379350161967</v>
      </c>
      <c r="N72" s="184">
        <v>1.3587424039019684E-4</v>
      </c>
      <c r="O72" s="184">
        <v>0.19227789973909076</v>
      </c>
      <c r="P72" s="186">
        <v>0.99999999999999978</v>
      </c>
      <c r="R72" s="41">
        <f t="shared" si="3"/>
        <v>0</v>
      </c>
      <c r="S72" s="41">
        <f t="shared" si="4"/>
        <v>163915</v>
      </c>
      <c r="T72" s="41">
        <f t="shared" si="5"/>
        <v>121363</v>
      </c>
    </row>
    <row r="73" spans="1:20" ht="15.75">
      <c r="A73" s="188" t="s">
        <v>304</v>
      </c>
      <c r="B73" s="189">
        <v>35364.828999999998</v>
      </c>
      <c r="C73" s="187">
        <v>543.0119591131471</v>
      </c>
      <c r="D73" s="184">
        <v>0.42451781684000228</v>
      </c>
      <c r="E73" s="185">
        <v>0</v>
      </c>
      <c r="F73" s="185">
        <v>0</v>
      </c>
      <c r="G73" s="185">
        <v>0</v>
      </c>
      <c r="H73" s="185">
        <v>0.42451781684000228</v>
      </c>
      <c r="I73" s="185">
        <v>0</v>
      </c>
      <c r="J73" s="184">
        <v>0</v>
      </c>
      <c r="K73" s="184">
        <v>0</v>
      </c>
      <c r="L73" s="184">
        <v>0</v>
      </c>
      <c r="M73" s="184">
        <v>0</v>
      </c>
      <c r="N73" s="184">
        <v>0</v>
      </c>
      <c r="O73" s="184">
        <v>0.57548218315999777</v>
      </c>
      <c r="P73" s="186">
        <v>1</v>
      </c>
      <c r="R73" s="41">
        <f t="shared" si="3"/>
        <v>0</v>
      </c>
      <c r="S73" s="41">
        <f t="shared" si="4"/>
        <v>0</v>
      </c>
      <c r="T73" s="41">
        <f t="shared" si="5"/>
        <v>0</v>
      </c>
    </row>
    <row r="74" spans="1:20" ht="30">
      <c r="A74" s="188" t="s">
        <v>305</v>
      </c>
      <c r="B74" s="190" t="s">
        <v>628</v>
      </c>
      <c r="C74" s="187">
        <v>640.54061848972299</v>
      </c>
      <c r="D74" s="184">
        <v>0.32115728328865101</v>
      </c>
      <c r="E74" s="185">
        <v>0</v>
      </c>
      <c r="F74" s="185">
        <v>0</v>
      </c>
      <c r="G74" s="185">
        <v>0</v>
      </c>
      <c r="H74" s="185">
        <v>0.32115728328865101</v>
      </c>
      <c r="I74" s="185">
        <v>0</v>
      </c>
      <c r="J74" s="184">
        <v>0</v>
      </c>
      <c r="K74" s="184">
        <v>0</v>
      </c>
      <c r="L74" s="184">
        <v>0</v>
      </c>
      <c r="M74" s="184">
        <v>0</v>
      </c>
      <c r="N74" s="184">
        <v>0</v>
      </c>
      <c r="O74" s="184">
        <v>0.67884271671134899</v>
      </c>
      <c r="P74" s="186">
        <v>1</v>
      </c>
      <c r="R74" s="41"/>
      <c r="S74" s="41"/>
      <c r="T74" s="41"/>
    </row>
    <row r="75" spans="1:20" ht="15.75">
      <c r="A75" s="188" t="s">
        <v>306</v>
      </c>
      <c r="B75" s="189">
        <v>7122</v>
      </c>
      <c r="C75" s="187">
        <v>951.82007572030329</v>
      </c>
      <c r="D75" s="184">
        <v>0</v>
      </c>
      <c r="E75" s="185">
        <v>0</v>
      </c>
      <c r="F75" s="185">
        <v>0</v>
      </c>
      <c r="G75" s="185">
        <v>0</v>
      </c>
      <c r="H75" s="185">
        <v>0</v>
      </c>
      <c r="I75" s="185">
        <v>0</v>
      </c>
      <c r="J75" s="184">
        <v>0</v>
      </c>
      <c r="K75" s="184">
        <v>0</v>
      </c>
      <c r="L75" s="184">
        <v>0</v>
      </c>
      <c r="M75" s="184">
        <v>0</v>
      </c>
      <c r="N75" s="184">
        <v>8.4245998315080027E-3</v>
      </c>
      <c r="O75" s="184">
        <v>0.99157540016849199</v>
      </c>
      <c r="P75" s="186">
        <v>1</v>
      </c>
      <c r="R75" s="41">
        <f t="shared" si="3"/>
        <v>0</v>
      </c>
      <c r="S75" s="41">
        <f t="shared" si="4"/>
        <v>0</v>
      </c>
      <c r="T75" s="41">
        <f t="shared" si="5"/>
        <v>0</v>
      </c>
    </row>
    <row r="76" spans="1:20" ht="15.75">
      <c r="A76" s="188" t="s">
        <v>307</v>
      </c>
      <c r="B76" s="189">
        <v>43719</v>
      </c>
      <c r="C76" s="187">
        <v>0</v>
      </c>
      <c r="D76" s="184">
        <v>1</v>
      </c>
      <c r="E76" s="185">
        <v>0</v>
      </c>
      <c r="F76" s="185">
        <v>0</v>
      </c>
      <c r="G76" s="185">
        <v>0</v>
      </c>
      <c r="H76" s="185">
        <v>1</v>
      </c>
      <c r="I76" s="185">
        <v>0</v>
      </c>
      <c r="J76" s="184">
        <v>0</v>
      </c>
      <c r="K76" s="184">
        <v>0</v>
      </c>
      <c r="L76" s="184">
        <v>0</v>
      </c>
      <c r="M76" s="184">
        <v>0</v>
      </c>
      <c r="N76" s="184">
        <v>0</v>
      </c>
      <c r="O76" s="184">
        <v>0</v>
      </c>
      <c r="P76" s="186">
        <v>1</v>
      </c>
      <c r="R76" s="41">
        <f t="shared" si="3"/>
        <v>0</v>
      </c>
      <c r="S76" s="41">
        <f t="shared" si="4"/>
        <v>0</v>
      </c>
      <c r="T76" s="41">
        <f t="shared" si="5"/>
        <v>0</v>
      </c>
    </row>
    <row r="77" spans="1:20" ht="15.75">
      <c r="A77" s="188" t="s">
        <v>308</v>
      </c>
      <c r="B77" s="189">
        <v>20788937.157000002</v>
      </c>
      <c r="C77" s="187">
        <v>498.61833437277079</v>
      </c>
      <c r="D77" s="184">
        <v>0.39508693243773607</v>
      </c>
      <c r="E77" s="185">
        <v>1.3988690128974638E-3</v>
      </c>
      <c r="F77" s="185">
        <v>9.4767096322508737E-2</v>
      </c>
      <c r="G77" s="185">
        <v>2.4213118554283961E-2</v>
      </c>
      <c r="H77" s="185">
        <v>0.13984732928114454</v>
      </c>
      <c r="I77" s="185">
        <v>0.13486051926690135</v>
      </c>
      <c r="J77" s="184">
        <v>3.9252726140540331E-2</v>
      </c>
      <c r="K77" s="184">
        <v>0.13853024338113973</v>
      </c>
      <c r="L77" s="184">
        <v>0.10288000698870936</v>
      </c>
      <c r="M77" s="184">
        <v>0.32359220335296696</v>
      </c>
      <c r="N77" s="184">
        <v>1.605472613931883E-4</v>
      </c>
      <c r="O77" s="184">
        <v>4.9734043751406976E-4</v>
      </c>
      <c r="P77" s="186">
        <v>1</v>
      </c>
      <c r="R77" s="41">
        <f t="shared" si="3"/>
        <v>2138766</v>
      </c>
      <c r="S77" s="41">
        <f t="shared" si="4"/>
        <v>816022.45697662421</v>
      </c>
      <c r="T77" s="41">
        <f t="shared" si="5"/>
        <v>2879896.523994429</v>
      </c>
    </row>
    <row r="78" spans="1:20" ht="30">
      <c r="A78" s="188" t="s">
        <v>629</v>
      </c>
      <c r="B78" s="189">
        <v>525130.19406799099</v>
      </c>
      <c r="C78" s="187">
        <v>559.44395496349273</v>
      </c>
      <c r="D78" s="184">
        <v>0.41070386436792061</v>
      </c>
      <c r="E78" s="185">
        <v>5.5814730006184142E-3</v>
      </c>
      <c r="F78" s="185">
        <v>1.8121220427801035E-2</v>
      </c>
      <c r="G78" s="185">
        <v>4.0332855050528157E-3</v>
      </c>
      <c r="H78" s="185">
        <v>0.15695155397849531</v>
      </c>
      <c r="I78" s="185">
        <v>0.22601633145595304</v>
      </c>
      <c r="J78" s="184">
        <v>6.5279049628522434E-3</v>
      </c>
      <c r="K78" s="184">
        <v>6.9425773668766941E-2</v>
      </c>
      <c r="L78" s="184">
        <v>0</v>
      </c>
      <c r="M78" s="184">
        <v>0</v>
      </c>
      <c r="N78" s="184">
        <v>0</v>
      </c>
      <c r="O78" s="184">
        <v>0.51334245700046022</v>
      </c>
      <c r="P78" s="186">
        <v>1</v>
      </c>
      <c r="R78" s="41">
        <f t="shared" si="3"/>
        <v>0</v>
      </c>
      <c r="S78" s="41">
        <f t="shared" si="4"/>
        <v>3428</v>
      </c>
      <c r="T78" s="41">
        <f t="shared" si="5"/>
        <v>36457.57</v>
      </c>
    </row>
    <row r="79" spans="1:20" ht="30">
      <c r="A79" s="188" t="s">
        <v>630</v>
      </c>
      <c r="B79" s="189">
        <v>5069.8792408441905</v>
      </c>
      <c r="C79" s="187">
        <v>554.41222094405066</v>
      </c>
      <c r="D79" s="184">
        <v>0.41243585905447039</v>
      </c>
      <c r="E79" s="185">
        <v>0</v>
      </c>
      <c r="F79" s="185">
        <v>0</v>
      </c>
      <c r="G79" s="185">
        <v>0</v>
      </c>
      <c r="H79" s="185">
        <v>0.20611930784883864</v>
      </c>
      <c r="I79" s="185">
        <v>0.20631655120563178</v>
      </c>
      <c r="J79" s="184">
        <v>0</v>
      </c>
      <c r="K79" s="184">
        <v>0</v>
      </c>
      <c r="L79" s="184">
        <v>0</v>
      </c>
      <c r="M79" s="184">
        <v>0</v>
      </c>
      <c r="N79" s="184">
        <v>0</v>
      </c>
      <c r="O79" s="184">
        <v>0.58756414094552956</v>
      </c>
      <c r="P79" s="186">
        <v>1</v>
      </c>
      <c r="R79" s="41">
        <f t="shared" si="3"/>
        <v>0</v>
      </c>
      <c r="S79" s="41">
        <f t="shared" si="4"/>
        <v>0</v>
      </c>
      <c r="T79" s="41">
        <f t="shared" si="5"/>
        <v>0</v>
      </c>
    </row>
    <row r="80" spans="1:20" ht="15.75">
      <c r="A80" s="188" t="s">
        <v>311</v>
      </c>
      <c r="B80" s="189">
        <v>127986</v>
      </c>
      <c r="C80" s="187">
        <v>713.62683475231654</v>
      </c>
      <c r="D80" s="184">
        <v>0.13255356054568468</v>
      </c>
      <c r="E80" s="185">
        <v>4.1887393933711499E-2</v>
      </c>
      <c r="F80" s="185">
        <v>0</v>
      </c>
      <c r="G80" s="185">
        <v>4.7661462972512616E-3</v>
      </c>
      <c r="H80" s="185">
        <v>8.5900020314721923E-2</v>
      </c>
      <c r="I80" s="185">
        <v>0</v>
      </c>
      <c r="J80" s="184">
        <v>0.11481724563624146</v>
      </c>
      <c r="K80" s="184">
        <v>0</v>
      </c>
      <c r="L80" s="184">
        <v>0</v>
      </c>
      <c r="M80" s="184">
        <v>0</v>
      </c>
      <c r="N80" s="184">
        <v>0</v>
      </c>
      <c r="O80" s="184">
        <v>0.75262919381807381</v>
      </c>
      <c r="P80" s="186">
        <v>1</v>
      </c>
      <c r="R80" s="41">
        <f t="shared" si="3"/>
        <v>0</v>
      </c>
      <c r="S80" s="41">
        <f t="shared" si="4"/>
        <v>14695</v>
      </c>
      <c r="T80" s="41">
        <f t="shared" si="5"/>
        <v>0</v>
      </c>
    </row>
    <row r="81" spans="1:20" ht="15.75">
      <c r="A81" s="188" t="s">
        <v>631</v>
      </c>
      <c r="B81" s="189">
        <v>34740</v>
      </c>
      <c r="C81" s="187">
        <v>734.95278595970069</v>
      </c>
      <c r="D81" s="184">
        <v>0.22109959700633275</v>
      </c>
      <c r="E81" s="185">
        <v>0</v>
      </c>
      <c r="F81" s="185">
        <v>0</v>
      </c>
      <c r="G81" s="185">
        <v>0</v>
      </c>
      <c r="H81" s="185">
        <v>0.22109959700633275</v>
      </c>
      <c r="I81" s="185">
        <v>0</v>
      </c>
      <c r="J81" s="184">
        <v>0</v>
      </c>
      <c r="K81" s="184">
        <v>0</v>
      </c>
      <c r="L81" s="184">
        <v>0</v>
      </c>
      <c r="M81" s="184">
        <v>0</v>
      </c>
      <c r="N81" s="184">
        <v>0</v>
      </c>
      <c r="O81" s="184">
        <v>0.77890040299366725</v>
      </c>
      <c r="P81" s="186">
        <v>1</v>
      </c>
      <c r="R81" s="41">
        <f t="shared" si="3"/>
        <v>0</v>
      </c>
      <c r="S81" s="41">
        <f t="shared" si="4"/>
        <v>0</v>
      </c>
      <c r="T81" s="41">
        <f t="shared" si="5"/>
        <v>0</v>
      </c>
    </row>
    <row r="82" spans="1:20" ht="30">
      <c r="A82" s="188" t="s">
        <v>632</v>
      </c>
      <c r="B82" s="189">
        <v>544385</v>
      </c>
      <c r="C82" s="187">
        <v>569.63379652723722</v>
      </c>
      <c r="D82" s="184">
        <v>0.3963040862624797</v>
      </c>
      <c r="E82" s="185">
        <v>0</v>
      </c>
      <c r="F82" s="185">
        <v>0.13907804219440287</v>
      </c>
      <c r="G82" s="185">
        <v>0</v>
      </c>
      <c r="H82" s="185">
        <v>0.25722604406807681</v>
      </c>
      <c r="I82" s="185">
        <v>0</v>
      </c>
      <c r="J82" s="184">
        <v>0</v>
      </c>
      <c r="K82" s="184">
        <v>0</v>
      </c>
      <c r="L82" s="184">
        <v>0</v>
      </c>
      <c r="M82" s="184">
        <v>0</v>
      </c>
      <c r="N82" s="184">
        <v>0</v>
      </c>
      <c r="O82" s="184">
        <v>0.6036959137375203</v>
      </c>
      <c r="P82" s="186">
        <v>1</v>
      </c>
      <c r="R82" s="41">
        <f t="shared" si="3"/>
        <v>0</v>
      </c>
      <c r="S82" s="41">
        <f t="shared" si="4"/>
        <v>0</v>
      </c>
      <c r="T82" s="41">
        <f t="shared" si="5"/>
        <v>0</v>
      </c>
    </row>
    <row r="83" spans="1:20" ht="15.75">
      <c r="A83" s="188" t="s">
        <v>633</v>
      </c>
      <c r="B83" s="189">
        <v>414189</v>
      </c>
      <c r="C83" s="187">
        <v>301.64733109739473</v>
      </c>
      <c r="D83" s="184">
        <v>0.31179002822383017</v>
      </c>
      <c r="E83" s="185">
        <v>0</v>
      </c>
      <c r="F83" s="185">
        <v>0.13140377943402651</v>
      </c>
      <c r="G83" s="185">
        <v>4.7603871662453612E-2</v>
      </c>
      <c r="H83" s="185">
        <v>0.13278237712735008</v>
      </c>
      <c r="I83" s="185">
        <v>0</v>
      </c>
      <c r="J83" s="184">
        <v>0.37003116934539543</v>
      </c>
      <c r="K83" s="184">
        <v>0</v>
      </c>
      <c r="L83" s="184">
        <v>0</v>
      </c>
      <c r="M83" s="184">
        <v>0.26299257102433915</v>
      </c>
      <c r="N83" s="184">
        <v>0</v>
      </c>
      <c r="O83" s="184">
        <v>5.5186231406435152E-2</v>
      </c>
      <c r="P83" s="186">
        <v>1</v>
      </c>
      <c r="R83" s="41">
        <f t="shared" si="3"/>
        <v>0</v>
      </c>
      <c r="S83" s="41">
        <f t="shared" si="4"/>
        <v>153262.84</v>
      </c>
      <c r="T83" s="41">
        <f t="shared" si="5"/>
        <v>0</v>
      </c>
    </row>
    <row r="84" spans="1:20" ht="15.75">
      <c r="A84" s="188" t="s">
        <v>634</v>
      </c>
      <c r="B84" s="189">
        <v>436133.99831000052</v>
      </c>
      <c r="C84" s="187">
        <v>0</v>
      </c>
      <c r="D84" s="184">
        <v>1</v>
      </c>
      <c r="E84" s="185">
        <v>0</v>
      </c>
      <c r="F84" s="185">
        <v>0</v>
      </c>
      <c r="G84" s="185">
        <v>0</v>
      </c>
      <c r="H84" s="185">
        <v>0.50000000000000011</v>
      </c>
      <c r="I84" s="185">
        <v>0.5</v>
      </c>
      <c r="J84" s="184">
        <v>0</v>
      </c>
      <c r="K84" s="184">
        <v>0</v>
      </c>
      <c r="L84" s="184">
        <v>0</v>
      </c>
      <c r="M84" s="184">
        <v>0</v>
      </c>
      <c r="N84" s="184">
        <v>0</v>
      </c>
      <c r="O84" s="184">
        <v>0</v>
      </c>
      <c r="P84" s="186">
        <v>1</v>
      </c>
      <c r="R84" s="41">
        <f t="shared" si="3"/>
        <v>0</v>
      </c>
      <c r="S84" s="41">
        <f t="shared" si="4"/>
        <v>0</v>
      </c>
      <c r="T84" s="41">
        <f t="shared" si="5"/>
        <v>0</v>
      </c>
    </row>
    <row r="85" spans="1:20" ht="15.75">
      <c r="A85" s="188" t="s">
        <v>635</v>
      </c>
      <c r="B85" s="189">
        <v>12767.714</v>
      </c>
      <c r="C85" s="187">
        <v>0</v>
      </c>
      <c r="D85" s="184">
        <v>1</v>
      </c>
      <c r="E85" s="185">
        <v>0</v>
      </c>
      <c r="F85" s="185">
        <v>0</v>
      </c>
      <c r="G85" s="185">
        <v>0</v>
      </c>
      <c r="H85" s="185">
        <v>1</v>
      </c>
      <c r="I85" s="185">
        <v>0</v>
      </c>
      <c r="J85" s="184">
        <v>0</v>
      </c>
      <c r="K85" s="184">
        <v>0</v>
      </c>
      <c r="L85" s="184">
        <v>0</v>
      </c>
      <c r="M85" s="184">
        <v>0</v>
      </c>
      <c r="N85" s="184">
        <v>0</v>
      </c>
      <c r="O85" s="184">
        <v>0</v>
      </c>
      <c r="P85" s="186">
        <v>1</v>
      </c>
      <c r="R85" s="41">
        <f t="shared" si="3"/>
        <v>0</v>
      </c>
      <c r="S85" s="41">
        <f t="shared" si="4"/>
        <v>0</v>
      </c>
      <c r="T85" s="41">
        <f t="shared" si="5"/>
        <v>0</v>
      </c>
    </row>
    <row r="86" spans="1:20" ht="15.75">
      <c r="A86" s="188" t="s">
        <v>636</v>
      </c>
      <c r="B86" s="189">
        <v>5049742.846495213</v>
      </c>
      <c r="C86" s="187">
        <v>4.4915206797657179</v>
      </c>
      <c r="D86" s="184">
        <v>0.59583898842784466</v>
      </c>
      <c r="E86" s="185">
        <v>2.2217377979183009E-2</v>
      </c>
      <c r="F86" s="185">
        <v>9.8557833150004232E-3</v>
      </c>
      <c r="G86" s="185">
        <v>7.7325940776916138E-2</v>
      </c>
      <c r="H86" s="185">
        <v>0.33332743197946413</v>
      </c>
      <c r="I86" s="185">
        <v>0.15311245437728097</v>
      </c>
      <c r="J86" s="184">
        <v>0.40115225762535778</v>
      </c>
      <c r="K86" s="184">
        <v>1.9997160877909415E-3</v>
      </c>
      <c r="L86" s="184">
        <v>0</v>
      </c>
      <c r="M86" s="184">
        <v>0</v>
      </c>
      <c r="N86" s="184">
        <v>1.5485142662574757E-4</v>
      </c>
      <c r="O86" s="184">
        <v>8.541864323810698E-4</v>
      </c>
      <c r="P86" s="186">
        <v>1.0000000000000002</v>
      </c>
      <c r="R86" s="41">
        <f t="shared" si="3"/>
        <v>0</v>
      </c>
      <c r="S86" s="41">
        <f t="shared" si="4"/>
        <v>2025715.7432990551</v>
      </c>
      <c r="T86" s="41">
        <f t="shared" si="5"/>
        <v>10098.052009343701</v>
      </c>
    </row>
    <row r="87" spans="1:20" ht="15.75">
      <c r="A87" s="188" t="s">
        <v>637</v>
      </c>
      <c r="B87" s="189">
        <v>1992.5712500000004</v>
      </c>
      <c r="C87" s="187">
        <v>0</v>
      </c>
      <c r="D87" s="184">
        <v>1</v>
      </c>
      <c r="E87" s="185">
        <v>0</v>
      </c>
      <c r="F87" s="185">
        <v>0</v>
      </c>
      <c r="G87" s="185">
        <v>0</v>
      </c>
      <c r="H87" s="185">
        <v>1</v>
      </c>
      <c r="I87" s="185">
        <v>0</v>
      </c>
      <c r="J87" s="184">
        <v>0</v>
      </c>
      <c r="K87" s="184">
        <v>0</v>
      </c>
      <c r="L87" s="184">
        <v>0</v>
      </c>
      <c r="M87" s="184">
        <v>0</v>
      </c>
      <c r="N87" s="184">
        <v>0</v>
      </c>
      <c r="O87" s="184">
        <v>0</v>
      </c>
      <c r="P87" s="186">
        <v>1</v>
      </c>
      <c r="R87" s="41">
        <f t="shared" si="3"/>
        <v>0</v>
      </c>
      <c r="S87" s="41">
        <f t="shared" si="4"/>
        <v>0</v>
      </c>
      <c r="T87" s="41">
        <f t="shared" si="5"/>
        <v>0</v>
      </c>
    </row>
    <row r="88" spans="1:20" ht="15.75">
      <c r="A88" s="188" t="s">
        <v>318</v>
      </c>
      <c r="B88" s="189">
        <v>505765</v>
      </c>
      <c r="C88" s="187">
        <v>918.30349607023163</v>
      </c>
      <c r="D88" s="184">
        <v>9.3562858085583162E-4</v>
      </c>
      <c r="E88" s="185">
        <v>0</v>
      </c>
      <c r="F88" s="185">
        <v>0</v>
      </c>
      <c r="G88" s="185">
        <v>9.3562858085583162E-4</v>
      </c>
      <c r="H88" s="185">
        <v>0</v>
      </c>
      <c r="I88" s="185">
        <v>0</v>
      </c>
      <c r="J88" s="184">
        <v>2.5849524392471356E-2</v>
      </c>
      <c r="K88" s="184">
        <v>0</v>
      </c>
      <c r="L88" s="184">
        <v>0</v>
      </c>
      <c r="M88" s="184">
        <v>0</v>
      </c>
      <c r="N88" s="184">
        <v>0</v>
      </c>
      <c r="O88" s="184">
        <v>0.97321484702667271</v>
      </c>
      <c r="P88" s="186">
        <v>1</v>
      </c>
      <c r="R88" s="41">
        <f t="shared" si="3"/>
        <v>0</v>
      </c>
      <c r="S88" s="41">
        <f t="shared" si="4"/>
        <v>13073.784704358275</v>
      </c>
      <c r="T88" s="41">
        <f t="shared" si="5"/>
        <v>0</v>
      </c>
    </row>
    <row r="89" spans="1:20" ht="15.75">
      <c r="A89" s="188" t="s">
        <v>319</v>
      </c>
      <c r="B89" s="189">
        <v>2583074</v>
      </c>
      <c r="C89" s="187">
        <v>490.84996931065035</v>
      </c>
      <c r="D89" s="184">
        <v>0.28906101799638723</v>
      </c>
      <c r="E89" s="185">
        <v>0</v>
      </c>
      <c r="F89" s="185">
        <v>0</v>
      </c>
      <c r="G89" s="185">
        <v>4.5407138936011896E-3</v>
      </c>
      <c r="H89" s="185">
        <v>0.13446188533506975</v>
      </c>
      <c r="I89" s="185">
        <v>0.15005841876771631</v>
      </c>
      <c r="J89" s="184">
        <v>0.19438803944014044</v>
      </c>
      <c r="K89" s="184">
        <v>1.2277328450451701E-2</v>
      </c>
      <c r="L89" s="184">
        <v>0</v>
      </c>
      <c r="M89" s="184">
        <v>0.12958633782849427</v>
      </c>
      <c r="N89" s="184">
        <v>9.420969797868663E-3</v>
      </c>
      <c r="O89" s="184">
        <v>0.36526630648665759</v>
      </c>
      <c r="P89" s="186">
        <v>1</v>
      </c>
      <c r="R89" s="41">
        <f t="shared" si="3"/>
        <v>0</v>
      </c>
      <c r="S89" s="41">
        <f t="shared" si="4"/>
        <v>502118.69058880134</v>
      </c>
      <c r="T89" s="41">
        <f t="shared" si="5"/>
        <v>31713.247909822076</v>
      </c>
    </row>
    <row r="90" spans="1:20" ht="30">
      <c r="A90" s="188" t="s">
        <v>638</v>
      </c>
      <c r="B90" s="189">
        <v>1819203.6902327701</v>
      </c>
      <c r="C90" s="187">
        <v>20.323584952901374</v>
      </c>
      <c r="D90" s="184">
        <v>1</v>
      </c>
      <c r="E90" s="185">
        <v>8.8116011178515447E-2</v>
      </c>
      <c r="F90" s="185">
        <v>0.17135186598094551</v>
      </c>
      <c r="G90" s="185">
        <v>3.9393053225476635E-2</v>
      </c>
      <c r="H90" s="185">
        <v>0.43884742997486825</v>
      </c>
      <c r="I90" s="185">
        <v>0.26229163964019425</v>
      </c>
      <c r="J90" s="184">
        <v>0</v>
      </c>
      <c r="K90" s="184">
        <v>0</v>
      </c>
      <c r="L90" s="184">
        <v>0</v>
      </c>
      <c r="M90" s="184">
        <v>0</v>
      </c>
      <c r="N90" s="184">
        <v>0</v>
      </c>
      <c r="O90" s="184">
        <v>0</v>
      </c>
      <c r="P90" s="186">
        <v>0.99999999999999967</v>
      </c>
      <c r="R90" s="41">
        <f t="shared" si="3"/>
        <v>0</v>
      </c>
      <c r="S90" s="41">
        <f t="shared" si="4"/>
        <v>0</v>
      </c>
      <c r="T90" s="41">
        <f t="shared" si="5"/>
        <v>0</v>
      </c>
    </row>
    <row r="91" spans="1:20" ht="30">
      <c r="A91" s="188" t="s">
        <v>639</v>
      </c>
      <c r="B91" s="189">
        <v>367705.95596500597</v>
      </c>
      <c r="C91" s="187">
        <v>684.00155954741331</v>
      </c>
      <c r="D91" s="184">
        <v>0.10122218418333744</v>
      </c>
      <c r="E91" s="185">
        <v>0</v>
      </c>
      <c r="F91" s="185">
        <v>0</v>
      </c>
      <c r="G91" s="185">
        <v>0</v>
      </c>
      <c r="H91" s="185">
        <v>6.2930718484750896E-3</v>
      </c>
      <c r="I91" s="185">
        <v>9.4929112334862356E-2</v>
      </c>
      <c r="J91" s="184">
        <v>0</v>
      </c>
      <c r="K91" s="184">
        <v>0.27509752931395753</v>
      </c>
      <c r="L91" s="184">
        <v>0</v>
      </c>
      <c r="M91" s="184">
        <v>0</v>
      </c>
      <c r="N91" s="184">
        <v>0</v>
      </c>
      <c r="O91" s="184">
        <v>0.62368028650270502</v>
      </c>
      <c r="P91" s="186">
        <v>1</v>
      </c>
      <c r="R91" s="41">
        <f t="shared" si="3"/>
        <v>0</v>
      </c>
      <c r="S91" s="41">
        <f t="shared" si="4"/>
        <v>0</v>
      </c>
      <c r="T91" s="41">
        <f t="shared" si="5"/>
        <v>101155</v>
      </c>
    </row>
    <row r="92" spans="1:20" ht="30">
      <c r="A92" s="188" t="s">
        <v>640</v>
      </c>
      <c r="B92" s="189">
        <v>455509.49880717997</v>
      </c>
      <c r="C92" s="187">
        <v>387.97458864360874</v>
      </c>
      <c r="D92" s="184">
        <v>0.58031281607125373</v>
      </c>
      <c r="E92" s="185">
        <v>0.17425981282028277</v>
      </c>
      <c r="F92" s="185">
        <v>9.2263718122353122E-2</v>
      </c>
      <c r="G92" s="185">
        <v>0</v>
      </c>
      <c r="H92" s="185">
        <v>4.2558936862491674E-2</v>
      </c>
      <c r="I92" s="185">
        <v>0.27123034826612613</v>
      </c>
      <c r="J92" s="184">
        <v>0.239940067739982</v>
      </c>
      <c r="K92" s="184">
        <v>0.17973939119688337</v>
      </c>
      <c r="L92" s="184">
        <v>0</v>
      </c>
      <c r="M92" s="184">
        <v>0</v>
      </c>
      <c r="N92" s="184">
        <v>7.7249918809762325E-6</v>
      </c>
      <c r="O92" s="184">
        <v>0</v>
      </c>
      <c r="P92" s="186">
        <v>1</v>
      </c>
      <c r="R92" s="41">
        <f t="shared" si="3"/>
        <v>0</v>
      </c>
      <c r="S92" s="41">
        <f t="shared" si="4"/>
        <v>109294.98000000001</v>
      </c>
      <c r="T92" s="41">
        <f t="shared" si="5"/>
        <v>81873</v>
      </c>
    </row>
    <row r="93" spans="1:20" ht="15.75">
      <c r="A93" s="188" t="s">
        <v>323</v>
      </c>
      <c r="B93" s="189">
        <v>361845</v>
      </c>
      <c r="C93" s="187">
        <v>0</v>
      </c>
      <c r="D93" s="184">
        <v>1</v>
      </c>
      <c r="E93" s="185">
        <v>0</v>
      </c>
      <c r="F93" s="185">
        <v>0</v>
      </c>
      <c r="G93" s="185">
        <v>0</v>
      </c>
      <c r="H93" s="185">
        <v>1</v>
      </c>
      <c r="I93" s="185">
        <v>0</v>
      </c>
      <c r="J93" s="184">
        <v>0</v>
      </c>
      <c r="K93" s="184">
        <v>0</v>
      </c>
      <c r="L93" s="184">
        <v>0</v>
      </c>
      <c r="M93" s="184">
        <v>0</v>
      </c>
      <c r="N93" s="184">
        <v>0</v>
      </c>
      <c r="O93" s="184">
        <v>0</v>
      </c>
      <c r="P93" s="186">
        <v>1</v>
      </c>
      <c r="R93" s="41">
        <f t="shared" si="3"/>
        <v>0</v>
      </c>
      <c r="S93" s="41">
        <f t="shared" si="4"/>
        <v>0</v>
      </c>
      <c r="T93" s="41">
        <f t="shared" si="5"/>
        <v>0</v>
      </c>
    </row>
    <row r="94" spans="1:20" ht="15.75">
      <c r="A94" s="188" t="s">
        <v>324</v>
      </c>
      <c r="B94" s="189">
        <v>28344.338</v>
      </c>
      <c r="C94" s="187">
        <v>6.2137812591527997</v>
      </c>
      <c r="D94" s="184">
        <v>0.65492224869918136</v>
      </c>
      <c r="E94" s="185">
        <v>1.7676512798392587E-2</v>
      </c>
      <c r="F94" s="185">
        <v>1.692055329634056E-3</v>
      </c>
      <c r="G94" s="185">
        <v>1.2722354932302841E-2</v>
      </c>
      <c r="H94" s="185">
        <v>0.59040232832142681</v>
      </c>
      <c r="I94" s="185">
        <v>3.2428997317424962E-2</v>
      </c>
      <c r="J94" s="184">
        <v>7.0952932796247287E-2</v>
      </c>
      <c r="K94" s="184">
        <v>0.27412481850457127</v>
      </c>
      <c r="L94" s="184">
        <v>0</v>
      </c>
      <c r="M94" s="184">
        <v>0</v>
      </c>
      <c r="N94" s="184">
        <v>0</v>
      </c>
      <c r="O94" s="184">
        <v>0</v>
      </c>
      <c r="P94" s="186">
        <v>1.0000000000000009</v>
      </c>
      <c r="R94" s="41">
        <f t="shared" si="3"/>
        <v>0</v>
      </c>
      <c r="S94" s="41">
        <f t="shared" si="4"/>
        <v>2011.1139092681183</v>
      </c>
      <c r="T94" s="41">
        <f t="shared" si="5"/>
        <v>7769.8865098822225</v>
      </c>
    </row>
    <row r="95" spans="1:20" ht="15.75">
      <c r="A95" s="188" t="s">
        <v>325</v>
      </c>
      <c r="B95" s="189">
        <v>26003396.784000002</v>
      </c>
      <c r="C95" s="187">
        <v>12.107034566933715</v>
      </c>
      <c r="D95" s="184">
        <v>0.32764478036222627</v>
      </c>
      <c r="E95" s="185">
        <v>3.4441211003002674E-2</v>
      </c>
      <c r="F95" s="185">
        <v>3.2968286958715725E-3</v>
      </c>
      <c r="G95" s="185">
        <v>2.4788447567462492E-2</v>
      </c>
      <c r="H95" s="185">
        <v>0.20193309633429721</v>
      </c>
      <c r="I95" s="185">
        <v>6.3185196761592358E-2</v>
      </c>
      <c r="J95" s="184">
        <v>0.1382458722254109</v>
      </c>
      <c r="K95" s="184">
        <v>0.53410934741236338</v>
      </c>
      <c r="L95" s="184">
        <v>0</v>
      </c>
      <c r="M95" s="184">
        <v>0</v>
      </c>
      <c r="N95" s="184">
        <v>0</v>
      </c>
      <c r="O95" s="184">
        <v>0</v>
      </c>
      <c r="P95" s="186">
        <v>1</v>
      </c>
      <c r="R95" s="41">
        <f t="shared" si="3"/>
        <v>0</v>
      </c>
      <c r="S95" s="41">
        <f t="shared" si="4"/>
        <v>3594862.2692275252</v>
      </c>
      <c r="T95" s="41">
        <f t="shared" si="5"/>
        <v>13888657.286806989</v>
      </c>
    </row>
    <row r="96" spans="1:20" ht="15.75">
      <c r="A96" s="188" t="s">
        <v>326</v>
      </c>
      <c r="B96" s="189">
        <v>82701</v>
      </c>
      <c r="C96" s="187">
        <v>0</v>
      </c>
      <c r="D96" s="184">
        <v>1</v>
      </c>
      <c r="E96" s="185">
        <v>0</v>
      </c>
      <c r="F96" s="185">
        <v>0</v>
      </c>
      <c r="G96" s="185">
        <v>0</v>
      </c>
      <c r="H96" s="185">
        <v>1</v>
      </c>
      <c r="I96" s="185">
        <v>0</v>
      </c>
      <c r="J96" s="184">
        <v>0</v>
      </c>
      <c r="K96" s="184">
        <v>0</v>
      </c>
      <c r="L96" s="184">
        <v>0</v>
      </c>
      <c r="M96" s="184">
        <v>0</v>
      </c>
      <c r="N96" s="184">
        <v>0</v>
      </c>
      <c r="O96" s="184">
        <v>0</v>
      </c>
      <c r="P96" s="186">
        <v>1</v>
      </c>
      <c r="R96" s="41">
        <f t="shared" si="3"/>
        <v>0</v>
      </c>
      <c r="S96" s="41">
        <f t="shared" si="4"/>
        <v>0</v>
      </c>
      <c r="T96" s="41">
        <f t="shared" si="5"/>
        <v>0</v>
      </c>
    </row>
    <row r="97" spans="1:20" ht="15.75">
      <c r="A97" s="188" t="s">
        <v>442</v>
      </c>
      <c r="B97" s="189">
        <v>4627.9558560000005</v>
      </c>
      <c r="C97" s="187">
        <v>1207.6440778071565</v>
      </c>
      <c r="D97" s="184">
        <v>0.2011900820904767</v>
      </c>
      <c r="E97" s="185">
        <v>5.6292707806636681E-4</v>
      </c>
      <c r="F97" s="185">
        <v>4.8110914868777577E-3</v>
      </c>
      <c r="G97" s="185">
        <v>1.2575179371231128E-2</v>
      </c>
      <c r="H97" s="185">
        <v>1.5519564162864726E-2</v>
      </c>
      <c r="I97" s="185">
        <v>0.16772131999143672</v>
      </c>
      <c r="J97" s="184">
        <v>4.068718368114789E-2</v>
      </c>
      <c r="K97" s="184">
        <v>6.3619574103386891E-4</v>
      </c>
      <c r="L97" s="184">
        <v>0.35020718486664093</v>
      </c>
      <c r="M97" s="184">
        <v>0.21682502311358906</v>
      </c>
      <c r="N97" s="184">
        <v>8.6166500477712613E-4</v>
      </c>
      <c r="O97" s="184">
        <v>0.18959266550233445</v>
      </c>
      <c r="P97" s="186">
        <v>1.0000000000000002</v>
      </c>
      <c r="R97" s="41">
        <f t="shared" si="3"/>
        <v>1620.7433920168457</v>
      </c>
      <c r="S97" s="41">
        <f t="shared" si="4"/>
        <v>188.29848998131604</v>
      </c>
      <c r="T97" s="41">
        <f t="shared" si="5"/>
        <v>2.9442858052799536</v>
      </c>
    </row>
    <row r="98" spans="1:20" ht="15.75">
      <c r="A98" s="188" t="s">
        <v>328</v>
      </c>
      <c r="B98" s="189">
        <v>755786.820144</v>
      </c>
      <c r="C98" s="187">
        <v>1207.6440778071567</v>
      </c>
      <c r="D98" s="184">
        <v>0.2011900820904767</v>
      </c>
      <c r="E98" s="185">
        <v>5.6292707806636681E-4</v>
      </c>
      <c r="F98" s="185">
        <v>4.8110914868777577E-3</v>
      </c>
      <c r="G98" s="185">
        <v>1.2575179371231125E-2</v>
      </c>
      <c r="H98" s="185">
        <v>1.5519564162864726E-2</v>
      </c>
      <c r="I98" s="185">
        <v>0.16772131999143672</v>
      </c>
      <c r="J98" s="184">
        <v>4.068718368114789E-2</v>
      </c>
      <c r="K98" s="184">
        <v>6.3619574103386891E-4</v>
      </c>
      <c r="L98" s="184">
        <v>0.35020718486664099</v>
      </c>
      <c r="M98" s="184">
        <v>0.21682502311358909</v>
      </c>
      <c r="N98" s="184">
        <v>8.6166500477712592E-4</v>
      </c>
      <c r="O98" s="184">
        <v>0.18959266550233453</v>
      </c>
      <c r="P98" s="186">
        <v>0.99999999999999978</v>
      </c>
      <c r="R98" s="41">
        <f t="shared" si="3"/>
        <v>264681.97464194056</v>
      </c>
      <c r="S98" s="41">
        <f t="shared" si="4"/>
        <v>30750.837174989611</v>
      </c>
      <c r="T98" s="41">
        <f t="shared" si="5"/>
        <v>480.82835610514348</v>
      </c>
    </row>
    <row r="99" spans="1:20" ht="15.75">
      <c r="A99" s="188" t="s">
        <v>329</v>
      </c>
      <c r="B99" s="189">
        <v>296693.24699999997</v>
      </c>
      <c r="C99" s="187">
        <v>0</v>
      </c>
      <c r="D99" s="184">
        <v>1</v>
      </c>
      <c r="E99" s="185">
        <v>0</v>
      </c>
      <c r="F99" s="185">
        <v>0</v>
      </c>
      <c r="G99" s="185">
        <v>0</v>
      </c>
      <c r="H99" s="185">
        <v>0.5</v>
      </c>
      <c r="I99" s="185">
        <v>0.5</v>
      </c>
      <c r="J99" s="184">
        <v>0</v>
      </c>
      <c r="K99" s="184">
        <v>0</v>
      </c>
      <c r="L99" s="184">
        <v>0</v>
      </c>
      <c r="M99" s="184">
        <v>0</v>
      </c>
      <c r="N99" s="184">
        <v>0</v>
      </c>
      <c r="O99" s="184">
        <v>0</v>
      </c>
      <c r="P99" s="186">
        <v>1</v>
      </c>
      <c r="R99" s="41">
        <f t="shared" si="3"/>
        <v>0</v>
      </c>
      <c r="S99" s="41">
        <f t="shared" si="4"/>
        <v>0</v>
      </c>
      <c r="T99" s="41">
        <f t="shared" si="5"/>
        <v>0</v>
      </c>
    </row>
    <row r="100" spans="1:20" ht="15.75">
      <c r="A100" s="188" t="s">
        <v>330</v>
      </c>
      <c r="B100" s="189">
        <v>3067254.023</v>
      </c>
      <c r="C100" s="187">
        <v>6.1203938581162083</v>
      </c>
      <c r="D100" s="184">
        <v>0.51707037983003068</v>
      </c>
      <c r="E100" s="185">
        <v>0</v>
      </c>
      <c r="F100" s="185">
        <v>0.14375716095220961</v>
      </c>
      <c r="G100" s="185">
        <v>1.0107165858533862E-2</v>
      </c>
      <c r="H100" s="185">
        <v>0.17053326568491417</v>
      </c>
      <c r="I100" s="185">
        <v>0.1926727873343731</v>
      </c>
      <c r="J100" s="184">
        <v>0.48292962016996932</v>
      </c>
      <c r="K100" s="184">
        <v>0</v>
      </c>
      <c r="L100" s="184">
        <v>0</v>
      </c>
      <c r="M100" s="184">
        <v>0</v>
      </c>
      <c r="N100" s="184">
        <v>0</v>
      </c>
      <c r="O100" s="184">
        <v>0</v>
      </c>
      <c r="P100" s="186">
        <v>1</v>
      </c>
      <c r="R100" s="41">
        <f t="shared" si="3"/>
        <v>0</v>
      </c>
      <c r="S100" s="41">
        <f t="shared" si="4"/>
        <v>1481267.8202922004</v>
      </c>
      <c r="T100" s="41">
        <f t="shared" si="5"/>
        <v>0</v>
      </c>
    </row>
    <row r="101" spans="1:20" ht="15.75">
      <c r="A101" s="188" t="s">
        <v>331</v>
      </c>
      <c r="B101" s="189">
        <v>7282.0150000000003</v>
      </c>
      <c r="C101" s="187">
        <v>0</v>
      </c>
      <c r="D101" s="184">
        <v>1</v>
      </c>
      <c r="E101" s="185">
        <v>0</v>
      </c>
      <c r="F101" s="185">
        <v>0</v>
      </c>
      <c r="G101" s="185">
        <v>0</v>
      </c>
      <c r="H101" s="185">
        <v>1</v>
      </c>
      <c r="I101" s="185">
        <v>0</v>
      </c>
      <c r="J101" s="184">
        <v>0</v>
      </c>
      <c r="K101" s="184">
        <v>0</v>
      </c>
      <c r="L101" s="184">
        <v>0</v>
      </c>
      <c r="M101" s="184">
        <v>0</v>
      </c>
      <c r="N101" s="184">
        <v>0</v>
      </c>
      <c r="O101" s="184">
        <v>0</v>
      </c>
      <c r="P101" s="186">
        <v>1</v>
      </c>
      <c r="R101" s="41">
        <f t="shared" si="3"/>
        <v>0</v>
      </c>
      <c r="S101" s="41">
        <f t="shared" si="4"/>
        <v>0</v>
      </c>
      <c r="T101" s="41">
        <f t="shared" si="5"/>
        <v>0</v>
      </c>
    </row>
    <row r="102" spans="1:20" ht="23.25" customHeight="1">
      <c r="A102" s="188" t="s">
        <v>641</v>
      </c>
      <c r="B102" s="189">
        <v>4141.2524046121198</v>
      </c>
      <c r="C102" s="187">
        <v>472</v>
      </c>
      <c r="D102" s="184">
        <v>0.50009026199260975</v>
      </c>
      <c r="E102" s="185">
        <v>0</v>
      </c>
      <c r="F102" s="185">
        <v>0</v>
      </c>
      <c r="G102" s="185">
        <v>0</v>
      </c>
      <c r="H102" s="185">
        <v>0.24992439457380544</v>
      </c>
      <c r="I102" s="185">
        <v>0.25016586741880431</v>
      </c>
      <c r="J102" s="184">
        <v>0</v>
      </c>
      <c r="K102" s="184">
        <v>0</v>
      </c>
      <c r="L102" s="184">
        <v>0</v>
      </c>
      <c r="M102" s="184">
        <v>0</v>
      </c>
      <c r="N102" s="184">
        <v>0</v>
      </c>
      <c r="O102" s="184">
        <v>0.49990973800739025</v>
      </c>
      <c r="P102" s="186">
        <v>0.99999999999999989</v>
      </c>
      <c r="R102" s="41">
        <f t="shared" si="3"/>
        <v>0</v>
      </c>
      <c r="S102" s="41">
        <f t="shared" si="4"/>
        <v>0</v>
      </c>
      <c r="T102" s="41">
        <f t="shared" si="5"/>
        <v>0</v>
      </c>
    </row>
    <row r="103" spans="1:20" ht="25.5" customHeight="1">
      <c r="A103" s="188" t="s">
        <v>642</v>
      </c>
      <c r="B103" s="189">
        <v>195435.09499324963</v>
      </c>
      <c r="C103" s="187">
        <v>633</v>
      </c>
      <c r="D103" s="184">
        <v>0.39171572538005123</v>
      </c>
      <c r="E103" s="185">
        <v>0</v>
      </c>
      <c r="F103" s="185">
        <v>6.7592772938024652E-3</v>
      </c>
      <c r="G103" s="185">
        <v>1.4378175015582835E-3</v>
      </c>
      <c r="H103" s="185">
        <v>0.10043232000208538</v>
      </c>
      <c r="I103" s="185">
        <v>0.28308631058260514</v>
      </c>
      <c r="J103" s="184">
        <v>3.87852550242412E-3</v>
      </c>
      <c r="K103" s="184">
        <v>0</v>
      </c>
      <c r="L103" s="184">
        <v>0</v>
      </c>
      <c r="M103" s="184">
        <v>0</v>
      </c>
      <c r="N103" s="184">
        <v>0</v>
      </c>
      <c r="O103" s="184">
        <v>0.60440574911752465</v>
      </c>
      <c r="P103" s="186">
        <v>1</v>
      </c>
      <c r="R103" s="41">
        <f t="shared" si="3"/>
        <v>0</v>
      </c>
      <c r="S103" s="41">
        <f t="shared" si="4"/>
        <v>757.99999999999909</v>
      </c>
      <c r="T103" s="41">
        <f t="shared" si="5"/>
        <v>0</v>
      </c>
    </row>
    <row r="104" spans="1:20" ht="30">
      <c r="A104" s="188" t="s">
        <v>334</v>
      </c>
      <c r="B104" s="190" t="s">
        <v>628</v>
      </c>
      <c r="C104" s="187">
        <v>540.52414147208003</v>
      </c>
      <c r="D104" s="184">
        <v>0.43481440342475602</v>
      </c>
      <c r="E104" s="185">
        <v>0</v>
      </c>
      <c r="F104" s="185">
        <v>9.34040631429571E-2</v>
      </c>
      <c r="G104" s="185">
        <v>0</v>
      </c>
      <c r="H104" s="185">
        <v>4.6751442299140501E-2</v>
      </c>
      <c r="I104" s="185">
        <v>0.29465889798265898</v>
      </c>
      <c r="J104" s="184">
        <v>0</v>
      </c>
      <c r="K104" s="184">
        <v>0</v>
      </c>
      <c r="L104" s="184">
        <v>0</v>
      </c>
      <c r="M104" s="184">
        <v>0</v>
      </c>
      <c r="N104" s="184">
        <v>0</v>
      </c>
      <c r="O104" s="184">
        <v>0.56518559657524403</v>
      </c>
      <c r="P104" s="186">
        <v>1</v>
      </c>
      <c r="R104" s="41"/>
      <c r="S104" s="41"/>
      <c r="T104" s="41"/>
    </row>
    <row r="105" spans="1:20" ht="36.75" customHeight="1">
      <c r="A105" s="188" t="s">
        <v>643</v>
      </c>
      <c r="B105" s="189">
        <v>1594452.7127121501</v>
      </c>
      <c r="C105" s="187">
        <v>346</v>
      </c>
      <c r="D105" s="184">
        <v>0.39438548097821441</v>
      </c>
      <c r="E105" s="185">
        <v>2.7031218709953009E-2</v>
      </c>
      <c r="F105" s="185">
        <v>4.4519978193178988E-2</v>
      </c>
      <c r="G105" s="185">
        <v>7.0451132921293069E-2</v>
      </c>
      <c r="H105" s="185">
        <v>0.13695984726228999</v>
      </c>
      <c r="I105" s="185">
        <v>0.11542330389149935</v>
      </c>
      <c r="J105" s="184">
        <v>4.0217756530968811E-2</v>
      </c>
      <c r="K105" s="184">
        <v>0.26747647866869856</v>
      </c>
      <c r="L105" s="184">
        <v>0</v>
      </c>
      <c r="M105" s="184">
        <v>0</v>
      </c>
      <c r="N105" s="184">
        <v>0</v>
      </c>
      <c r="O105" s="184">
        <v>0.29799999999999999</v>
      </c>
      <c r="P105" s="186">
        <v>1</v>
      </c>
      <c r="R105" s="41">
        <f t="shared" si="3"/>
        <v>0</v>
      </c>
      <c r="S105" s="41">
        <f t="shared" si="4"/>
        <v>64125.311000000009</v>
      </c>
      <c r="T105" s="41">
        <f t="shared" si="5"/>
        <v>426478.59699999995</v>
      </c>
    </row>
    <row r="106" spans="1:20" ht="25.5" customHeight="1">
      <c r="A106" s="188" t="s">
        <v>644</v>
      </c>
      <c r="B106" s="189">
        <v>2433.1638541832904</v>
      </c>
      <c r="C106" s="187">
        <v>0</v>
      </c>
      <c r="D106" s="184">
        <v>1</v>
      </c>
      <c r="E106" s="185">
        <v>0</v>
      </c>
      <c r="F106" s="185">
        <v>0</v>
      </c>
      <c r="G106" s="185">
        <v>0.25020542317173378</v>
      </c>
      <c r="H106" s="185">
        <v>0.5</v>
      </c>
      <c r="I106" s="185">
        <v>0.24979457682826622</v>
      </c>
      <c r="J106" s="184">
        <v>0</v>
      </c>
      <c r="K106" s="184">
        <v>0</v>
      </c>
      <c r="L106" s="184">
        <v>0</v>
      </c>
      <c r="M106" s="184">
        <v>0</v>
      </c>
      <c r="N106" s="184">
        <v>0</v>
      </c>
      <c r="O106" s="184">
        <v>0</v>
      </c>
      <c r="P106" s="186">
        <v>1</v>
      </c>
      <c r="R106" s="41">
        <f t="shared" si="3"/>
        <v>0</v>
      </c>
      <c r="S106" s="41">
        <f t="shared" si="4"/>
        <v>0</v>
      </c>
      <c r="T106" s="41">
        <f t="shared" si="5"/>
        <v>0</v>
      </c>
    </row>
    <row r="107" spans="1:20" ht="15.75">
      <c r="A107" s="188" t="s">
        <v>337</v>
      </c>
      <c r="B107" s="189">
        <v>32286</v>
      </c>
      <c r="C107" s="187">
        <v>491.63285479526729</v>
      </c>
      <c r="D107" s="184">
        <v>0.2038654525181193</v>
      </c>
      <c r="E107" s="185">
        <v>0</v>
      </c>
      <c r="F107" s="185">
        <v>0</v>
      </c>
      <c r="G107" s="185">
        <v>1.0406987548782755E-2</v>
      </c>
      <c r="H107" s="185">
        <v>0.19345846496933655</v>
      </c>
      <c r="I107" s="185">
        <v>0</v>
      </c>
      <c r="J107" s="184">
        <v>0.24989159387970017</v>
      </c>
      <c r="K107" s="184">
        <v>0</v>
      </c>
      <c r="L107" s="184">
        <v>0</v>
      </c>
      <c r="M107" s="184">
        <v>0</v>
      </c>
      <c r="N107" s="184">
        <v>2.5212166264015363E-2</v>
      </c>
      <c r="O107" s="184">
        <v>0.5210307873381651</v>
      </c>
      <c r="P107" s="186">
        <v>1</v>
      </c>
      <c r="R107" s="41">
        <f t="shared" si="3"/>
        <v>0</v>
      </c>
      <c r="S107" s="41">
        <f t="shared" si="4"/>
        <v>8068</v>
      </c>
      <c r="T107" s="41">
        <f t="shared" si="5"/>
        <v>0</v>
      </c>
    </row>
    <row r="108" spans="1:20" ht="15.75">
      <c r="A108" s="188" t="s">
        <v>338</v>
      </c>
      <c r="B108" s="189">
        <v>139559</v>
      </c>
      <c r="C108" s="187">
        <v>478.53102233872909</v>
      </c>
      <c r="D108" s="184">
        <v>4.1652634369693103E-2</v>
      </c>
      <c r="E108" s="185">
        <v>0</v>
      </c>
      <c r="F108" s="185">
        <v>2.6598069633631653E-2</v>
      </c>
      <c r="G108" s="185">
        <v>1.4961414168917806E-2</v>
      </c>
      <c r="H108" s="185">
        <v>9.3150567143645335E-5</v>
      </c>
      <c r="I108" s="185">
        <v>0</v>
      </c>
      <c r="J108" s="184">
        <v>0.43438975630378551</v>
      </c>
      <c r="K108" s="184">
        <v>0</v>
      </c>
      <c r="L108" s="184">
        <v>0</v>
      </c>
      <c r="M108" s="184">
        <v>0.31875429030015978</v>
      </c>
      <c r="N108" s="184">
        <v>0</v>
      </c>
      <c r="O108" s="184">
        <v>0.20520331902636163</v>
      </c>
      <c r="P108" s="186">
        <v>1</v>
      </c>
      <c r="R108" s="41">
        <f t="shared" si="3"/>
        <v>0</v>
      </c>
      <c r="S108" s="41">
        <f t="shared" si="4"/>
        <v>60623</v>
      </c>
      <c r="T108" s="41">
        <f t="shared" si="5"/>
        <v>0</v>
      </c>
    </row>
    <row r="109" spans="1:20" ht="30">
      <c r="A109" s="188" t="s">
        <v>645</v>
      </c>
      <c r="B109" s="189">
        <v>527.83256254955995</v>
      </c>
      <c r="C109" s="187">
        <v>553.8707009670303</v>
      </c>
      <c r="D109" s="184">
        <v>0.41300976004020451</v>
      </c>
      <c r="E109" s="185">
        <v>0</v>
      </c>
      <c r="F109" s="185">
        <v>0</v>
      </c>
      <c r="G109" s="185">
        <v>0</v>
      </c>
      <c r="H109" s="185">
        <v>0</v>
      </c>
      <c r="I109" s="185">
        <v>0.41300976004020451</v>
      </c>
      <c r="J109" s="184">
        <v>0</v>
      </c>
      <c r="K109" s="184">
        <v>0</v>
      </c>
      <c r="L109" s="184">
        <v>0</v>
      </c>
      <c r="M109" s="184">
        <v>0</v>
      </c>
      <c r="N109" s="184">
        <v>0</v>
      </c>
      <c r="O109" s="184">
        <v>0.58699023995979549</v>
      </c>
      <c r="P109" s="186">
        <v>1</v>
      </c>
      <c r="R109" s="41">
        <f t="shared" si="3"/>
        <v>0</v>
      </c>
      <c r="S109" s="41">
        <f t="shared" si="4"/>
        <v>0</v>
      </c>
      <c r="T109" s="41">
        <f t="shared" si="5"/>
        <v>0</v>
      </c>
    </row>
    <row r="110" spans="1:20" ht="30">
      <c r="A110" s="188" t="s">
        <v>646</v>
      </c>
      <c r="B110" s="189">
        <v>387936.55352001899</v>
      </c>
      <c r="C110" s="187">
        <v>628.73766621320749</v>
      </c>
      <c r="D110" s="184">
        <v>0.40913649038697636</v>
      </c>
      <c r="E110" s="185">
        <v>0</v>
      </c>
      <c r="F110" s="185">
        <v>1.5912395838927951E-2</v>
      </c>
      <c r="G110" s="185">
        <v>1.7296642812118345E-3</v>
      </c>
      <c r="H110" s="185">
        <v>7.3120204174150369E-2</v>
      </c>
      <c r="I110" s="185">
        <v>0.31837422609268623</v>
      </c>
      <c r="J110" s="184">
        <v>1.3847212775536485E-2</v>
      </c>
      <c r="K110" s="184">
        <v>0</v>
      </c>
      <c r="L110" s="184">
        <v>0</v>
      </c>
      <c r="M110" s="184">
        <v>0</v>
      </c>
      <c r="N110" s="184">
        <v>0</v>
      </c>
      <c r="O110" s="184">
        <v>0.57701629683748712</v>
      </c>
      <c r="P110" s="186">
        <v>1</v>
      </c>
      <c r="R110" s="41">
        <f t="shared" si="3"/>
        <v>0</v>
      </c>
      <c r="S110" s="41">
        <f t="shared" si="4"/>
        <v>5371.84</v>
      </c>
      <c r="T110" s="41">
        <f t="shared" si="5"/>
        <v>0</v>
      </c>
    </row>
    <row r="111" spans="1:20" ht="15.75">
      <c r="A111" s="188" t="s">
        <v>341</v>
      </c>
      <c r="B111" s="189">
        <v>113270</v>
      </c>
      <c r="C111" s="187">
        <v>540.8155560291691</v>
      </c>
      <c r="D111" s="184">
        <v>0.23112033195020748</v>
      </c>
      <c r="E111" s="185">
        <v>9.9973514611106207E-2</v>
      </c>
      <c r="F111" s="185">
        <v>0</v>
      </c>
      <c r="G111" s="185">
        <v>2.6767899708660722E-2</v>
      </c>
      <c r="H111" s="185">
        <v>0.10437891763044053</v>
      </c>
      <c r="I111" s="185">
        <v>0</v>
      </c>
      <c r="J111" s="184">
        <v>0.19848150437008916</v>
      </c>
      <c r="K111" s="184">
        <v>0</v>
      </c>
      <c r="L111" s="184">
        <v>0</v>
      </c>
      <c r="M111" s="184">
        <v>0</v>
      </c>
      <c r="N111" s="184">
        <v>0</v>
      </c>
      <c r="O111" s="184">
        <v>0.57039816367970342</v>
      </c>
      <c r="P111" s="186">
        <v>1</v>
      </c>
      <c r="R111" s="41">
        <f t="shared" si="3"/>
        <v>0</v>
      </c>
      <c r="S111" s="41">
        <f t="shared" si="4"/>
        <v>22482</v>
      </c>
      <c r="T111" s="41">
        <f t="shared" si="5"/>
        <v>0</v>
      </c>
    </row>
    <row r="112" spans="1:20" ht="30">
      <c r="A112" s="188" t="s">
        <v>342</v>
      </c>
      <c r="B112" s="189">
        <v>230001</v>
      </c>
      <c r="C112" s="187">
        <v>45.145866376998356</v>
      </c>
      <c r="D112" s="184">
        <v>0.43449376307059534</v>
      </c>
      <c r="E112" s="185">
        <v>0</v>
      </c>
      <c r="F112" s="185">
        <v>0</v>
      </c>
      <c r="G112" s="185">
        <v>2.7086838752874987E-2</v>
      </c>
      <c r="H112" s="185">
        <v>0.40740692431772035</v>
      </c>
      <c r="I112" s="185">
        <v>0</v>
      </c>
      <c r="J112" s="184">
        <v>0.51358472354468021</v>
      </c>
      <c r="K112" s="184">
        <v>0</v>
      </c>
      <c r="L112" s="184">
        <v>0</v>
      </c>
      <c r="M112" s="184">
        <v>5.1921513384724415E-2</v>
      </c>
      <c r="N112" s="184">
        <v>0</v>
      </c>
      <c r="O112" s="184">
        <v>0</v>
      </c>
      <c r="P112" s="186">
        <v>1</v>
      </c>
      <c r="R112" s="41">
        <f t="shared" si="3"/>
        <v>0</v>
      </c>
      <c r="S112" s="41">
        <f t="shared" si="4"/>
        <v>118125</v>
      </c>
      <c r="T112" s="41">
        <f t="shared" si="5"/>
        <v>0</v>
      </c>
    </row>
    <row r="113" spans="1:20" ht="30">
      <c r="A113" s="188" t="s">
        <v>343</v>
      </c>
      <c r="B113" s="189">
        <v>60312</v>
      </c>
      <c r="C113" s="187">
        <v>0</v>
      </c>
      <c r="D113" s="184">
        <v>0.35596564531104918</v>
      </c>
      <c r="E113" s="185">
        <v>0</v>
      </c>
      <c r="F113" s="185">
        <v>0</v>
      </c>
      <c r="G113" s="185">
        <v>4.6922668788964049E-3</v>
      </c>
      <c r="H113" s="185">
        <v>0.35127337843215278</v>
      </c>
      <c r="I113" s="185">
        <v>0</v>
      </c>
      <c r="J113" s="184">
        <v>0.64403435468895076</v>
      </c>
      <c r="K113" s="184">
        <v>0</v>
      </c>
      <c r="L113" s="184">
        <v>0</v>
      </c>
      <c r="M113" s="184">
        <v>0</v>
      </c>
      <c r="N113" s="184">
        <v>0</v>
      </c>
      <c r="O113" s="184">
        <v>0</v>
      </c>
      <c r="P113" s="186">
        <v>1</v>
      </c>
      <c r="R113" s="41">
        <f t="shared" si="3"/>
        <v>0</v>
      </c>
      <c r="S113" s="41">
        <f t="shared" si="4"/>
        <v>38843</v>
      </c>
      <c r="T113" s="41">
        <f t="shared" si="5"/>
        <v>0</v>
      </c>
    </row>
    <row r="114" spans="1:20" ht="30">
      <c r="A114" s="188" t="s">
        <v>647</v>
      </c>
      <c r="B114" s="189">
        <v>256894</v>
      </c>
      <c r="C114" s="187">
        <v>595.49423237195811</v>
      </c>
      <c r="D114" s="184">
        <v>0.43493753752451675</v>
      </c>
      <c r="E114" s="185">
        <v>0</v>
      </c>
      <c r="F114" s="185">
        <v>3.9782889866919902E-3</v>
      </c>
      <c r="G114" s="185">
        <v>2.9078100519167481E-3</v>
      </c>
      <c r="H114" s="185">
        <v>0.12916204194464476</v>
      </c>
      <c r="I114" s="185">
        <v>0.29888939654126329</v>
      </c>
      <c r="J114" s="184">
        <v>4.6750734569638748E-3</v>
      </c>
      <c r="K114" s="184">
        <v>0</v>
      </c>
      <c r="L114" s="184">
        <v>0</v>
      </c>
      <c r="M114" s="184">
        <v>0</v>
      </c>
      <c r="N114" s="184">
        <v>0</v>
      </c>
      <c r="O114" s="184">
        <v>0.56038738901851937</v>
      </c>
      <c r="P114" s="186">
        <v>1</v>
      </c>
      <c r="R114" s="41">
        <f t="shared" si="3"/>
        <v>0</v>
      </c>
      <c r="S114" s="41">
        <f t="shared" si="4"/>
        <v>1200.9983206532777</v>
      </c>
      <c r="T114" s="41">
        <f t="shared" si="5"/>
        <v>0</v>
      </c>
    </row>
    <row r="115" spans="1:20" ht="30">
      <c r="A115" s="188" t="s">
        <v>648</v>
      </c>
      <c r="B115" s="189">
        <v>1881.31110601573</v>
      </c>
      <c r="C115" s="187">
        <v>0</v>
      </c>
      <c r="D115" s="184">
        <v>1</v>
      </c>
      <c r="E115" s="185">
        <v>0</v>
      </c>
      <c r="F115" s="185">
        <v>0</v>
      </c>
      <c r="G115" s="185">
        <v>0</v>
      </c>
      <c r="H115" s="185">
        <v>0.5</v>
      </c>
      <c r="I115" s="185">
        <v>0.5</v>
      </c>
      <c r="J115" s="184">
        <v>0</v>
      </c>
      <c r="K115" s="184">
        <v>0</v>
      </c>
      <c r="L115" s="184">
        <v>0</v>
      </c>
      <c r="M115" s="184">
        <v>0</v>
      </c>
      <c r="N115" s="184">
        <v>0</v>
      </c>
      <c r="O115" s="184">
        <v>0</v>
      </c>
      <c r="P115" s="186">
        <v>1</v>
      </c>
      <c r="R115" s="41">
        <f t="shared" si="3"/>
        <v>0</v>
      </c>
      <c r="S115" s="41">
        <f t="shared" si="4"/>
        <v>0</v>
      </c>
      <c r="T115" s="41">
        <f t="shared" si="5"/>
        <v>0</v>
      </c>
    </row>
    <row r="116" spans="1:20" ht="15.75">
      <c r="A116" s="188" t="s">
        <v>347</v>
      </c>
      <c r="B116" s="189">
        <v>557001</v>
      </c>
      <c r="C116" s="187">
        <v>73.367456024363534</v>
      </c>
      <c r="D116" s="184">
        <v>0.29757576736846075</v>
      </c>
      <c r="E116" s="185">
        <v>0.20763517480219965</v>
      </c>
      <c r="F116" s="185">
        <v>5.7989123897443629E-4</v>
      </c>
      <c r="G116" s="185">
        <v>2.3874283888179734E-2</v>
      </c>
      <c r="H116" s="185">
        <v>2.740928651833659E-2</v>
      </c>
      <c r="I116" s="185">
        <v>3.8077130920770343E-2</v>
      </c>
      <c r="J116" s="184">
        <v>0.6493995770205081</v>
      </c>
      <c r="K116" s="184">
        <v>0</v>
      </c>
      <c r="L116" s="184">
        <v>0</v>
      </c>
      <c r="M116" s="184">
        <v>0</v>
      </c>
      <c r="N116" s="184">
        <v>0</v>
      </c>
      <c r="O116" s="184">
        <v>5.3024655611031382E-2</v>
      </c>
      <c r="P116" s="186">
        <v>1</v>
      </c>
      <c r="R116" s="41">
        <f t="shared" si="3"/>
        <v>0</v>
      </c>
      <c r="S116" s="41">
        <f t="shared" si="4"/>
        <v>361716.21380000003</v>
      </c>
      <c r="T116" s="41">
        <f t="shared" si="5"/>
        <v>0</v>
      </c>
    </row>
    <row r="117" spans="1:20" ht="15.75">
      <c r="A117" s="188" t="s">
        <v>348</v>
      </c>
      <c r="B117" s="189">
        <v>6909</v>
      </c>
      <c r="C117" s="187">
        <v>0</v>
      </c>
      <c r="D117" s="184">
        <v>1</v>
      </c>
      <c r="E117" s="185">
        <v>0</v>
      </c>
      <c r="F117" s="185">
        <v>0</v>
      </c>
      <c r="G117" s="185">
        <v>0.33333333333333331</v>
      </c>
      <c r="H117" s="185">
        <v>0.33333333333333331</v>
      </c>
      <c r="I117" s="185">
        <v>0.33333333333333331</v>
      </c>
      <c r="J117" s="184">
        <v>0</v>
      </c>
      <c r="K117" s="184">
        <v>0</v>
      </c>
      <c r="L117" s="184">
        <v>0</v>
      </c>
      <c r="M117" s="184">
        <v>0</v>
      </c>
      <c r="N117" s="184">
        <v>0</v>
      </c>
      <c r="O117" s="184">
        <v>0</v>
      </c>
      <c r="P117" s="186">
        <v>1</v>
      </c>
      <c r="R117" s="41">
        <f t="shared" si="3"/>
        <v>0</v>
      </c>
      <c r="S117" s="41">
        <f t="shared" si="4"/>
        <v>0</v>
      </c>
      <c r="T117" s="41">
        <f t="shared" si="5"/>
        <v>0</v>
      </c>
    </row>
    <row r="118" spans="1:20" ht="30">
      <c r="A118" s="188" t="s">
        <v>349</v>
      </c>
      <c r="B118" s="189">
        <v>37247</v>
      </c>
      <c r="C118" s="187">
        <v>0</v>
      </c>
      <c r="D118" s="184">
        <v>1</v>
      </c>
      <c r="E118" s="185">
        <v>0</v>
      </c>
      <c r="F118" s="185">
        <v>0</v>
      </c>
      <c r="G118" s="185">
        <v>0</v>
      </c>
      <c r="H118" s="185">
        <v>0.71941364405186992</v>
      </c>
      <c r="I118" s="185">
        <v>0.28058635594813003</v>
      </c>
      <c r="J118" s="184">
        <v>0</v>
      </c>
      <c r="K118" s="184">
        <v>0</v>
      </c>
      <c r="L118" s="184">
        <v>0</v>
      </c>
      <c r="M118" s="184">
        <v>0</v>
      </c>
      <c r="N118" s="184">
        <v>0</v>
      </c>
      <c r="O118" s="184">
        <v>0</v>
      </c>
      <c r="P118" s="186">
        <v>1</v>
      </c>
      <c r="R118" s="41">
        <f t="shared" si="3"/>
        <v>0</v>
      </c>
      <c r="S118" s="41">
        <f t="shared" si="4"/>
        <v>0</v>
      </c>
      <c r="T118" s="41">
        <f t="shared" si="5"/>
        <v>0</v>
      </c>
    </row>
    <row r="119" spans="1:20" ht="30">
      <c r="A119" s="188" t="s">
        <v>350</v>
      </c>
      <c r="B119" s="189">
        <v>3929</v>
      </c>
      <c r="C119" s="187">
        <v>0</v>
      </c>
      <c r="D119" s="184">
        <v>1</v>
      </c>
      <c r="E119" s="185">
        <v>0</v>
      </c>
      <c r="F119" s="185">
        <v>0</v>
      </c>
      <c r="G119" s="185">
        <v>0</v>
      </c>
      <c r="H119" s="185">
        <v>1</v>
      </c>
      <c r="I119" s="185">
        <v>0</v>
      </c>
      <c r="J119" s="184">
        <v>0</v>
      </c>
      <c r="K119" s="184">
        <v>0</v>
      </c>
      <c r="L119" s="184">
        <v>0</v>
      </c>
      <c r="M119" s="184">
        <v>0</v>
      </c>
      <c r="N119" s="184">
        <v>0</v>
      </c>
      <c r="O119" s="184">
        <v>0</v>
      </c>
      <c r="P119" s="186">
        <v>1</v>
      </c>
      <c r="R119" s="41">
        <f t="shared" si="3"/>
        <v>0</v>
      </c>
      <c r="S119" s="41">
        <f t="shared" si="4"/>
        <v>0</v>
      </c>
      <c r="T119" s="41">
        <f t="shared" si="5"/>
        <v>0</v>
      </c>
    </row>
    <row r="120" spans="1:20" ht="15.75">
      <c r="A120" s="188" t="s">
        <v>649</v>
      </c>
      <c r="B120" s="189">
        <v>365499</v>
      </c>
      <c r="C120" s="187">
        <v>0</v>
      </c>
      <c r="D120" s="184">
        <v>0.84999958960216038</v>
      </c>
      <c r="E120" s="185">
        <v>0</v>
      </c>
      <c r="F120" s="185">
        <v>0</v>
      </c>
      <c r="G120" s="185">
        <v>0</v>
      </c>
      <c r="H120" s="185">
        <v>0.29166700866486639</v>
      </c>
      <c r="I120" s="185">
        <v>0.55833258093729399</v>
      </c>
      <c r="J120" s="184">
        <v>0.15000041039783968</v>
      </c>
      <c r="K120" s="184">
        <v>0</v>
      </c>
      <c r="L120" s="184">
        <v>0</v>
      </c>
      <c r="M120" s="184">
        <v>0</v>
      </c>
      <c r="N120" s="184">
        <v>0</v>
      </c>
      <c r="O120" s="184">
        <v>0</v>
      </c>
      <c r="P120" s="186">
        <v>1</v>
      </c>
      <c r="R120" s="41">
        <f t="shared" si="3"/>
        <v>0</v>
      </c>
      <c r="S120" s="41">
        <f t="shared" si="4"/>
        <v>54825.000000000007</v>
      </c>
      <c r="T120" s="41">
        <f t="shared" si="5"/>
        <v>0</v>
      </c>
    </row>
    <row r="121" spans="1:20" ht="30">
      <c r="A121" s="188" t="s">
        <v>352</v>
      </c>
      <c r="B121" s="189">
        <v>118220</v>
      </c>
      <c r="C121" s="187">
        <v>103.99145172931821</v>
      </c>
      <c r="D121" s="184">
        <v>0.8897902216207072</v>
      </c>
      <c r="E121" s="185">
        <v>0</v>
      </c>
      <c r="F121" s="185">
        <v>0</v>
      </c>
      <c r="G121" s="185">
        <v>0</v>
      </c>
      <c r="H121" s="185">
        <v>0.88344611740822199</v>
      </c>
      <c r="I121" s="185">
        <v>6.3441042124851967E-3</v>
      </c>
      <c r="J121" s="184">
        <v>0</v>
      </c>
      <c r="K121" s="184">
        <v>0</v>
      </c>
      <c r="L121" s="184">
        <v>0</v>
      </c>
      <c r="M121" s="184">
        <v>0</v>
      </c>
      <c r="N121" s="184">
        <v>0</v>
      </c>
      <c r="O121" s="184">
        <v>0.11020977837929284</v>
      </c>
      <c r="P121" s="186">
        <v>1</v>
      </c>
      <c r="R121" s="41">
        <f t="shared" si="3"/>
        <v>0</v>
      </c>
      <c r="S121" s="41">
        <f t="shared" si="4"/>
        <v>0</v>
      </c>
      <c r="T121" s="41">
        <f t="shared" si="5"/>
        <v>0</v>
      </c>
    </row>
    <row r="122" spans="1:20" ht="15.75">
      <c r="A122" s="188" t="s">
        <v>353</v>
      </c>
      <c r="B122" s="189">
        <v>9281527</v>
      </c>
      <c r="C122" s="187">
        <v>259.94198849683403</v>
      </c>
      <c r="D122" s="184">
        <v>0.45001108115076321</v>
      </c>
      <c r="E122" s="185">
        <v>3.1221694447476155E-2</v>
      </c>
      <c r="F122" s="185">
        <v>0.14656004340665066</v>
      </c>
      <c r="G122" s="185">
        <v>1.9789631598335057E-2</v>
      </c>
      <c r="H122" s="185">
        <v>0.10891677630200289</v>
      </c>
      <c r="I122" s="185">
        <v>0.14352293539629848</v>
      </c>
      <c r="J122" s="184">
        <v>0.32648410540141654</v>
      </c>
      <c r="K122" s="184">
        <v>2.9662641732685021E-3</v>
      </c>
      <c r="L122" s="184">
        <v>0</v>
      </c>
      <c r="M122" s="184">
        <v>0.21885482852121227</v>
      </c>
      <c r="N122" s="184">
        <v>1.9064926970346015E-4</v>
      </c>
      <c r="O122" s="184">
        <v>1.493071483636197E-3</v>
      </c>
      <c r="P122" s="186">
        <v>1.0000000000000002</v>
      </c>
      <c r="R122" s="41">
        <f t="shared" si="3"/>
        <v>0</v>
      </c>
      <c r="S122" s="41">
        <f t="shared" si="4"/>
        <v>3030271.0393540934</v>
      </c>
      <c r="T122" s="41">
        <f t="shared" si="5"/>
        <v>27531.461013324282</v>
      </c>
    </row>
    <row r="123" spans="1:20" ht="30">
      <c r="A123" s="188" t="s">
        <v>354</v>
      </c>
      <c r="B123" s="189">
        <v>296219</v>
      </c>
      <c r="C123" s="187">
        <v>0</v>
      </c>
      <c r="D123" s="184">
        <v>1</v>
      </c>
      <c r="E123" s="185">
        <v>0</v>
      </c>
      <c r="F123" s="185">
        <v>0</v>
      </c>
      <c r="G123" s="185">
        <v>0</v>
      </c>
      <c r="H123" s="185">
        <v>1</v>
      </c>
      <c r="I123" s="185">
        <v>0</v>
      </c>
      <c r="J123" s="184">
        <v>0</v>
      </c>
      <c r="K123" s="184">
        <v>0</v>
      </c>
      <c r="L123" s="184">
        <v>0</v>
      </c>
      <c r="M123" s="184">
        <v>0</v>
      </c>
      <c r="N123" s="184">
        <v>0</v>
      </c>
      <c r="O123" s="184">
        <v>0</v>
      </c>
      <c r="P123" s="186">
        <v>1</v>
      </c>
      <c r="R123" s="41">
        <f t="shared" si="3"/>
        <v>0</v>
      </c>
      <c r="S123" s="41">
        <f t="shared" si="4"/>
        <v>0</v>
      </c>
      <c r="T123" s="41">
        <f t="shared" si="5"/>
        <v>0</v>
      </c>
    </row>
    <row r="124" spans="1:20" ht="30">
      <c r="A124" s="188" t="s">
        <v>355</v>
      </c>
      <c r="B124" s="189">
        <v>1721</v>
      </c>
      <c r="C124" s="187">
        <v>0</v>
      </c>
      <c r="D124" s="184">
        <v>1</v>
      </c>
      <c r="E124" s="185">
        <v>0</v>
      </c>
      <c r="F124" s="185">
        <v>0</v>
      </c>
      <c r="G124" s="185">
        <v>0</v>
      </c>
      <c r="H124" s="185">
        <v>1</v>
      </c>
      <c r="I124" s="185">
        <v>0</v>
      </c>
      <c r="J124" s="184">
        <v>0</v>
      </c>
      <c r="K124" s="184">
        <v>0</v>
      </c>
      <c r="L124" s="184">
        <v>0</v>
      </c>
      <c r="M124" s="184">
        <v>0</v>
      </c>
      <c r="N124" s="184">
        <v>0</v>
      </c>
      <c r="O124" s="184">
        <v>0</v>
      </c>
      <c r="P124" s="186">
        <v>1</v>
      </c>
      <c r="R124" s="41">
        <f t="shared" si="3"/>
        <v>0</v>
      </c>
      <c r="S124" s="41">
        <f t="shared" si="4"/>
        <v>0</v>
      </c>
      <c r="T124" s="41">
        <f t="shared" si="5"/>
        <v>0</v>
      </c>
    </row>
    <row r="125" spans="1:20" ht="30">
      <c r="A125" s="188" t="s">
        <v>650</v>
      </c>
      <c r="B125" s="189">
        <v>519022.55978800001</v>
      </c>
      <c r="C125" s="187">
        <v>0</v>
      </c>
      <c r="D125" s="184">
        <v>1</v>
      </c>
      <c r="E125" s="185">
        <v>0</v>
      </c>
      <c r="F125" s="185">
        <v>0</v>
      </c>
      <c r="G125" s="185">
        <v>0</v>
      </c>
      <c r="H125" s="185">
        <v>0.49999903665155493</v>
      </c>
      <c r="I125" s="185">
        <v>0.50000096334844502</v>
      </c>
      <c r="J125" s="184">
        <v>0</v>
      </c>
      <c r="K125" s="184">
        <v>0</v>
      </c>
      <c r="L125" s="184">
        <v>0</v>
      </c>
      <c r="M125" s="184">
        <v>0</v>
      </c>
      <c r="N125" s="184">
        <v>0</v>
      </c>
      <c r="O125" s="184">
        <v>0</v>
      </c>
      <c r="P125" s="186">
        <v>1</v>
      </c>
      <c r="R125" s="41">
        <f t="shared" si="3"/>
        <v>0</v>
      </c>
      <c r="S125" s="41">
        <f t="shared" si="4"/>
        <v>0</v>
      </c>
      <c r="T125" s="41">
        <f t="shared" si="5"/>
        <v>0</v>
      </c>
    </row>
    <row r="126" spans="1:20" ht="30">
      <c r="A126" s="188" t="s">
        <v>651</v>
      </c>
      <c r="B126" s="189">
        <v>6856871.2124433294</v>
      </c>
      <c r="C126" s="187">
        <v>459.97233114125095</v>
      </c>
      <c r="D126" s="184">
        <v>0.51069808539574368</v>
      </c>
      <c r="E126" s="185">
        <v>7.3385657161948462E-2</v>
      </c>
      <c r="F126" s="185">
        <v>6.7080157370507341E-3</v>
      </c>
      <c r="G126" s="185">
        <v>5.0056357975213567E-3</v>
      </c>
      <c r="H126" s="185">
        <v>0.2729679385844917</v>
      </c>
      <c r="I126" s="185">
        <v>0.15263083811473144</v>
      </c>
      <c r="J126" s="184">
        <v>4.2820408632376794E-2</v>
      </c>
      <c r="K126" s="184">
        <v>0</v>
      </c>
      <c r="L126" s="184">
        <v>0</v>
      </c>
      <c r="M126" s="184">
        <v>0</v>
      </c>
      <c r="N126" s="184">
        <v>2.7096906773285207E-4</v>
      </c>
      <c r="O126" s="184">
        <v>0.44621053690414664</v>
      </c>
      <c r="P126" s="186">
        <v>1</v>
      </c>
      <c r="R126" s="41">
        <f t="shared" si="3"/>
        <v>0</v>
      </c>
      <c r="S126" s="41">
        <f t="shared" si="4"/>
        <v>293614.02725640428</v>
      </c>
      <c r="T126" s="41">
        <f t="shared" si="5"/>
        <v>0</v>
      </c>
    </row>
    <row r="127" spans="1:20" ht="15.75">
      <c r="A127" s="188" t="s">
        <v>652</v>
      </c>
      <c r="B127" s="189">
        <v>4619558</v>
      </c>
      <c r="C127" s="187">
        <v>536.67709268389297</v>
      </c>
      <c r="D127" s="184">
        <v>0.41379212335790561</v>
      </c>
      <c r="E127" s="185">
        <v>6.5950709353578846E-3</v>
      </c>
      <c r="F127" s="185">
        <v>0</v>
      </c>
      <c r="G127" s="185">
        <v>7.4766568576474209E-4</v>
      </c>
      <c r="H127" s="185">
        <v>0.22620877239662318</v>
      </c>
      <c r="I127" s="185">
        <v>0.18024061434015978</v>
      </c>
      <c r="J127" s="184">
        <v>1.9557419836943638E-3</v>
      </c>
      <c r="K127" s="184">
        <v>2.5468273361179474E-4</v>
      </c>
      <c r="L127" s="184">
        <v>0</v>
      </c>
      <c r="M127" s="184">
        <v>0.58386999063654987</v>
      </c>
      <c r="N127" s="184">
        <v>1.9934694290207058E-5</v>
      </c>
      <c r="O127" s="184">
        <v>1.0752659394788801E-4</v>
      </c>
      <c r="P127" s="186">
        <v>1</v>
      </c>
      <c r="R127" s="41">
        <f t="shared" si="3"/>
        <v>0</v>
      </c>
      <c r="S127" s="41">
        <f t="shared" si="4"/>
        <v>9034.6635267111687</v>
      </c>
      <c r="T127" s="41">
        <f t="shared" si="5"/>
        <v>1176.5216595182353</v>
      </c>
    </row>
    <row r="128" spans="1:20" ht="30">
      <c r="A128" s="188" t="s">
        <v>653</v>
      </c>
      <c r="B128" s="189">
        <v>382589</v>
      </c>
      <c r="C128" s="187">
        <v>112.06048960681035</v>
      </c>
      <c r="D128" s="184">
        <v>0.66794392938636504</v>
      </c>
      <c r="E128" s="185">
        <v>0</v>
      </c>
      <c r="F128" s="185">
        <v>0</v>
      </c>
      <c r="G128" s="185">
        <v>5.860597142102883E-2</v>
      </c>
      <c r="H128" s="185">
        <v>0.35532647305594256</v>
      </c>
      <c r="I128" s="185">
        <v>0.25401148490939363</v>
      </c>
      <c r="J128" s="184">
        <v>0.21308009378210038</v>
      </c>
      <c r="K128" s="184">
        <v>2.0387413124789265E-4</v>
      </c>
      <c r="L128" s="184">
        <v>0</v>
      </c>
      <c r="M128" s="184">
        <v>0</v>
      </c>
      <c r="N128" s="184">
        <v>0</v>
      </c>
      <c r="O128" s="184">
        <v>0.11869368957288361</v>
      </c>
      <c r="P128" s="186">
        <v>1</v>
      </c>
      <c r="R128" s="41">
        <f t="shared" si="3"/>
        <v>0</v>
      </c>
      <c r="S128" s="41">
        <f t="shared" si="4"/>
        <v>81522.100000000006</v>
      </c>
      <c r="T128" s="41">
        <f t="shared" si="5"/>
        <v>78</v>
      </c>
    </row>
    <row r="129" spans="1:20" ht="15.75">
      <c r="A129" s="188" t="s">
        <v>654</v>
      </c>
      <c r="B129" s="189">
        <v>161447.006818922</v>
      </c>
      <c r="C129" s="187">
        <v>592.4852224833902</v>
      </c>
      <c r="D129" s="184">
        <v>0.43503438920224241</v>
      </c>
      <c r="E129" s="185">
        <v>0</v>
      </c>
      <c r="F129" s="185">
        <v>3.7845235538203192E-3</v>
      </c>
      <c r="G129" s="185">
        <v>3.4004966138254586E-3</v>
      </c>
      <c r="H129" s="185">
        <v>0.1606966924391397</v>
      </c>
      <c r="I129" s="185">
        <v>0.26715267659545694</v>
      </c>
      <c r="J129" s="184">
        <v>5.9524175699203381E-3</v>
      </c>
      <c r="K129" s="184">
        <v>0</v>
      </c>
      <c r="L129" s="184">
        <v>0</v>
      </c>
      <c r="M129" s="184">
        <v>0</v>
      </c>
      <c r="N129" s="184">
        <v>0</v>
      </c>
      <c r="O129" s="184">
        <v>0.55901319322783727</v>
      </c>
      <c r="P129" s="186">
        <v>1</v>
      </c>
      <c r="R129" s="41">
        <f t="shared" si="3"/>
        <v>0</v>
      </c>
      <c r="S129" s="41">
        <f t="shared" si="4"/>
        <v>961</v>
      </c>
      <c r="T129" s="41">
        <f t="shared" si="5"/>
        <v>0</v>
      </c>
    </row>
    <row r="130" spans="1:20" ht="15.75">
      <c r="A130" s="188" t="s">
        <v>655</v>
      </c>
      <c r="B130" s="189">
        <v>97.191996940322596</v>
      </c>
      <c r="C130" s="187">
        <v>555.24194568420148</v>
      </c>
      <c r="D130" s="184">
        <v>0.41155651966448042</v>
      </c>
      <c r="E130" s="185">
        <v>0</v>
      </c>
      <c r="F130" s="185">
        <v>0</v>
      </c>
      <c r="G130" s="185">
        <v>0</v>
      </c>
      <c r="H130" s="185">
        <v>0.41155651966448042</v>
      </c>
      <c r="I130" s="185">
        <v>0</v>
      </c>
      <c r="J130" s="184">
        <v>0</v>
      </c>
      <c r="K130" s="184">
        <v>0</v>
      </c>
      <c r="L130" s="184">
        <v>0</v>
      </c>
      <c r="M130" s="184">
        <v>0</v>
      </c>
      <c r="N130" s="184">
        <v>0</v>
      </c>
      <c r="O130" s="184">
        <v>0.58844348033551952</v>
      </c>
      <c r="P130" s="186">
        <v>1</v>
      </c>
      <c r="R130" s="41">
        <f t="shared" si="3"/>
        <v>0</v>
      </c>
      <c r="S130" s="41">
        <f t="shared" si="4"/>
        <v>0</v>
      </c>
      <c r="T130" s="41">
        <f t="shared" si="5"/>
        <v>0</v>
      </c>
    </row>
    <row r="131" spans="1:20" ht="15.75">
      <c r="A131" s="188" t="s">
        <v>363</v>
      </c>
      <c r="B131" s="189">
        <v>3510133.72</v>
      </c>
      <c r="C131" s="187">
        <v>50.407597379555099</v>
      </c>
      <c r="D131" s="184">
        <v>0.54969672209524822</v>
      </c>
      <c r="E131" s="185">
        <v>1.181464961397539E-2</v>
      </c>
      <c r="F131" s="185">
        <v>1.8116118949451305E-3</v>
      </c>
      <c r="G131" s="185">
        <v>7.8099588752989155E-3</v>
      </c>
      <c r="H131" s="185">
        <v>0.21677664177420566</v>
      </c>
      <c r="I131" s="185">
        <v>0.31148385993682315</v>
      </c>
      <c r="J131" s="184">
        <v>0.15159006090899002</v>
      </c>
      <c r="K131" s="184">
        <v>0.25419294812769866</v>
      </c>
      <c r="L131" s="184">
        <v>0</v>
      </c>
      <c r="M131" s="184">
        <v>0</v>
      </c>
      <c r="N131" s="184">
        <v>8.8969309616800725E-5</v>
      </c>
      <c r="O131" s="184">
        <v>4.4431299558446248E-2</v>
      </c>
      <c r="P131" s="186">
        <v>0.99999999999999944</v>
      </c>
      <c r="R131" s="41">
        <f t="shared" ref="R131:R161" si="6">L131*B131</f>
        <v>0</v>
      </c>
      <c r="S131" s="41">
        <f t="shared" ref="S131:S161" si="7">J131*B131</f>
        <v>532101.38441349973</v>
      </c>
      <c r="T131" s="41">
        <f t="shared" ref="T131:T161" si="8">K131*B131</f>
        <v>892251.23860924598</v>
      </c>
    </row>
    <row r="132" spans="1:20" ht="15.75">
      <c r="A132" s="188" t="s">
        <v>468</v>
      </c>
      <c r="B132" s="189">
        <v>3905.15</v>
      </c>
      <c r="C132" s="187">
        <v>3.6243576815253135E-2</v>
      </c>
      <c r="D132" s="184">
        <v>0.99996158918351408</v>
      </c>
      <c r="E132" s="185">
        <v>0</v>
      </c>
      <c r="F132" s="185">
        <v>0</v>
      </c>
      <c r="G132" s="185">
        <v>0</v>
      </c>
      <c r="H132" s="185">
        <v>0.99996158918351408</v>
      </c>
      <c r="I132" s="185">
        <v>0</v>
      </c>
      <c r="J132" s="184">
        <v>0</v>
      </c>
      <c r="K132" s="184">
        <v>0</v>
      </c>
      <c r="L132" s="184">
        <v>0</v>
      </c>
      <c r="M132" s="184">
        <v>0</v>
      </c>
      <c r="N132" s="184">
        <v>0</v>
      </c>
      <c r="O132" s="184">
        <v>0</v>
      </c>
      <c r="P132" s="186">
        <v>1</v>
      </c>
      <c r="R132" s="41">
        <f t="shared" si="6"/>
        <v>0</v>
      </c>
      <c r="S132" s="41">
        <f t="shared" si="7"/>
        <v>0</v>
      </c>
      <c r="T132" s="41">
        <f t="shared" si="8"/>
        <v>0</v>
      </c>
    </row>
    <row r="133" spans="1:20" ht="15.75">
      <c r="A133" s="188" t="s">
        <v>656</v>
      </c>
      <c r="B133" s="189">
        <v>144333.85</v>
      </c>
      <c r="C133" s="187">
        <v>0</v>
      </c>
      <c r="D133" s="184">
        <v>1</v>
      </c>
      <c r="E133" s="185">
        <v>0</v>
      </c>
      <c r="F133" s="185">
        <v>0</v>
      </c>
      <c r="G133" s="185">
        <v>0</v>
      </c>
      <c r="H133" s="185">
        <v>0</v>
      </c>
      <c r="I133" s="185">
        <v>1</v>
      </c>
      <c r="J133" s="184">
        <v>0</v>
      </c>
      <c r="K133" s="184">
        <v>0</v>
      </c>
      <c r="L133" s="184">
        <v>0</v>
      </c>
      <c r="M133" s="184">
        <v>0</v>
      </c>
      <c r="N133" s="184">
        <v>0</v>
      </c>
      <c r="O133" s="184">
        <v>0</v>
      </c>
      <c r="P133" s="186">
        <v>1</v>
      </c>
      <c r="R133" s="41">
        <f t="shared" si="6"/>
        <v>0</v>
      </c>
      <c r="S133" s="41">
        <f t="shared" si="7"/>
        <v>0</v>
      </c>
      <c r="T133" s="41">
        <f t="shared" si="8"/>
        <v>0</v>
      </c>
    </row>
    <row r="134" spans="1:20" ht="30">
      <c r="A134" s="188" t="s">
        <v>657</v>
      </c>
      <c r="B134" s="189">
        <v>302699.17623534502</v>
      </c>
      <c r="C134" s="187">
        <v>2.5580972595092826E-2</v>
      </c>
      <c r="D134" s="184">
        <v>0.44967757350780546</v>
      </c>
      <c r="E134" s="185">
        <v>0</v>
      </c>
      <c r="F134" s="185">
        <v>0</v>
      </c>
      <c r="G134" s="185">
        <v>1.0697888044852727E-2</v>
      </c>
      <c r="H134" s="185">
        <v>0.19326153825136785</v>
      </c>
      <c r="I134" s="185">
        <v>0.24571814721158491</v>
      </c>
      <c r="J134" s="184">
        <v>0.55032242649219465</v>
      </c>
      <c r="K134" s="184">
        <v>0</v>
      </c>
      <c r="L134" s="184">
        <v>0</v>
      </c>
      <c r="M134" s="184">
        <v>0</v>
      </c>
      <c r="N134" s="184">
        <v>0</v>
      </c>
      <c r="O134" s="184">
        <v>0</v>
      </c>
      <c r="P134" s="186">
        <v>1</v>
      </c>
      <c r="R134" s="41">
        <f t="shared" si="6"/>
        <v>0</v>
      </c>
      <c r="S134" s="41">
        <f t="shared" si="7"/>
        <v>166582.14516302352</v>
      </c>
      <c r="T134" s="41">
        <f t="shared" si="8"/>
        <v>0</v>
      </c>
    </row>
    <row r="135" spans="1:20" ht="30">
      <c r="A135" s="188" t="s">
        <v>658</v>
      </c>
      <c r="B135" s="189">
        <v>26510.2640074226</v>
      </c>
      <c r="C135" s="187">
        <v>478.46045378157743</v>
      </c>
      <c r="D135" s="184">
        <v>0.49999502065647994</v>
      </c>
      <c r="E135" s="185">
        <v>0</v>
      </c>
      <c r="F135" s="185">
        <v>3.6400995468389527E-2</v>
      </c>
      <c r="G135" s="185">
        <v>4.1493362710081326E-3</v>
      </c>
      <c r="H135" s="185">
        <v>2.7649668060445099E-2</v>
      </c>
      <c r="I135" s="185">
        <v>0.43179502085663718</v>
      </c>
      <c r="J135" s="184">
        <v>0</v>
      </c>
      <c r="K135" s="184">
        <v>0</v>
      </c>
      <c r="L135" s="184">
        <v>0</v>
      </c>
      <c r="M135" s="184">
        <v>0</v>
      </c>
      <c r="N135" s="184">
        <v>0</v>
      </c>
      <c r="O135" s="184">
        <v>0.50000497934352006</v>
      </c>
      <c r="P135" s="186">
        <v>1</v>
      </c>
      <c r="R135" s="41">
        <f t="shared" si="6"/>
        <v>0</v>
      </c>
      <c r="S135" s="41">
        <f t="shared" si="7"/>
        <v>0</v>
      </c>
      <c r="T135" s="41">
        <f t="shared" si="8"/>
        <v>0</v>
      </c>
    </row>
    <row r="136" spans="1:20" ht="15.75">
      <c r="A136" s="188" t="s">
        <v>369</v>
      </c>
      <c r="B136" s="189">
        <v>861648</v>
      </c>
      <c r="C136" s="187">
        <v>0</v>
      </c>
      <c r="D136" s="184">
        <v>4.0148643698567312E-4</v>
      </c>
      <c r="E136" s="185">
        <v>0</v>
      </c>
      <c r="F136" s="185">
        <v>0</v>
      </c>
      <c r="G136" s="185">
        <v>4.0148643698567312E-4</v>
      </c>
      <c r="H136" s="185">
        <v>0</v>
      </c>
      <c r="I136" s="185">
        <v>0</v>
      </c>
      <c r="J136" s="184">
        <v>0.99959851356301421</v>
      </c>
      <c r="K136" s="184">
        <v>0</v>
      </c>
      <c r="L136" s="184">
        <v>0</v>
      </c>
      <c r="M136" s="184">
        <v>0</v>
      </c>
      <c r="N136" s="184">
        <v>0</v>
      </c>
      <c r="O136" s="184">
        <v>0</v>
      </c>
      <c r="P136" s="186">
        <v>1</v>
      </c>
      <c r="R136" s="41">
        <f t="shared" si="6"/>
        <v>0</v>
      </c>
      <c r="S136" s="41">
        <f t="shared" si="7"/>
        <v>861302.06001454405</v>
      </c>
      <c r="T136" s="41">
        <f t="shared" si="8"/>
        <v>0</v>
      </c>
    </row>
    <row r="137" spans="1:20" ht="15.75">
      <c r="A137" s="188" t="s">
        <v>370</v>
      </c>
      <c r="B137" s="189">
        <v>79148</v>
      </c>
      <c r="C137" s="187">
        <v>0</v>
      </c>
      <c r="D137" s="184">
        <v>0.52279274270985998</v>
      </c>
      <c r="E137" s="185">
        <v>0</v>
      </c>
      <c r="F137" s="185">
        <v>0</v>
      </c>
      <c r="G137" s="185">
        <v>0.52279274270985998</v>
      </c>
      <c r="H137" s="185">
        <v>0</v>
      </c>
      <c r="I137" s="185">
        <v>0</v>
      </c>
      <c r="J137" s="184">
        <v>0.47720725729013996</v>
      </c>
      <c r="K137" s="184">
        <v>0</v>
      </c>
      <c r="L137" s="184">
        <v>0</v>
      </c>
      <c r="M137" s="184">
        <v>0</v>
      </c>
      <c r="N137" s="184">
        <v>0</v>
      </c>
      <c r="O137" s="184">
        <v>0</v>
      </c>
      <c r="P137" s="186">
        <v>1</v>
      </c>
      <c r="R137" s="41">
        <f t="shared" si="6"/>
        <v>0</v>
      </c>
      <c r="S137" s="41">
        <f t="shared" si="7"/>
        <v>37770</v>
      </c>
      <c r="T137" s="41">
        <f t="shared" si="8"/>
        <v>0</v>
      </c>
    </row>
    <row r="138" spans="1:20" ht="30">
      <c r="A138" s="188" t="s">
        <v>371</v>
      </c>
      <c r="B138" s="189">
        <v>6136021</v>
      </c>
      <c r="C138" s="187">
        <v>650.65025158025003</v>
      </c>
      <c r="D138" s="184">
        <v>0.33299706764367332</v>
      </c>
      <c r="E138" s="185">
        <v>3.5153073954603478E-4</v>
      </c>
      <c r="F138" s="185">
        <v>2.2950214805327426E-2</v>
      </c>
      <c r="G138" s="185">
        <v>5.3663440851978829E-3</v>
      </c>
      <c r="H138" s="185">
        <v>0.13741885824706271</v>
      </c>
      <c r="I138" s="185">
        <v>0.16691011976653927</v>
      </c>
      <c r="J138" s="184">
        <v>6.2236071647632041E-4</v>
      </c>
      <c r="K138" s="184">
        <v>1.5563391695616402E-2</v>
      </c>
      <c r="L138" s="184">
        <v>0</v>
      </c>
      <c r="M138" s="184">
        <v>0</v>
      </c>
      <c r="N138" s="184">
        <v>6.3436643098257139E-6</v>
      </c>
      <c r="O138" s="184">
        <v>0.65081083627992409</v>
      </c>
      <c r="P138" s="186">
        <v>1</v>
      </c>
      <c r="R138" s="41">
        <f t="shared" si="6"/>
        <v>0</v>
      </c>
      <c r="S138" s="41">
        <f t="shared" si="7"/>
        <v>3818.8184258737479</v>
      </c>
      <c r="T138" s="41">
        <f t="shared" si="8"/>
        <v>95497.29827552785</v>
      </c>
    </row>
    <row r="139" spans="1:20" ht="30">
      <c r="A139" s="191" t="s">
        <v>659</v>
      </c>
      <c r="B139" s="183"/>
      <c r="C139" s="183"/>
      <c r="D139" s="183"/>
      <c r="E139" s="183"/>
      <c r="F139" s="183"/>
      <c r="G139" s="183"/>
      <c r="H139" s="183"/>
      <c r="I139" s="183"/>
      <c r="J139" s="183"/>
      <c r="K139" s="183"/>
      <c r="L139" s="183"/>
      <c r="M139" s="183"/>
      <c r="N139" s="183"/>
      <c r="O139" s="183"/>
      <c r="P139" s="192"/>
      <c r="R139" s="41">
        <f t="shared" si="6"/>
        <v>0</v>
      </c>
      <c r="S139" s="41">
        <f t="shared" si="7"/>
        <v>0</v>
      </c>
      <c r="T139" s="41">
        <f t="shared" si="8"/>
        <v>0</v>
      </c>
    </row>
    <row r="140" spans="1:20" ht="15.75">
      <c r="A140" s="188" t="s">
        <v>660</v>
      </c>
      <c r="B140" s="189">
        <v>205416</v>
      </c>
      <c r="C140" s="187">
        <v>0</v>
      </c>
      <c r="D140" s="184">
        <v>0.62190871207695608</v>
      </c>
      <c r="E140" s="185">
        <v>0</v>
      </c>
      <c r="F140" s="185">
        <v>0</v>
      </c>
      <c r="G140" s="185">
        <v>0</v>
      </c>
      <c r="H140" s="185">
        <v>0</v>
      </c>
      <c r="I140" s="185">
        <v>0.62190871207695608</v>
      </c>
      <c r="J140" s="184">
        <v>0.37809128792304397</v>
      </c>
      <c r="K140" s="184">
        <v>0</v>
      </c>
      <c r="L140" s="184">
        <v>0</v>
      </c>
      <c r="M140" s="184">
        <v>0</v>
      </c>
      <c r="N140" s="184">
        <v>0</v>
      </c>
      <c r="O140" s="184">
        <v>0</v>
      </c>
      <c r="P140" s="186">
        <v>1</v>
      </c>
      <c r="R140" s="41">
        <f t="shared" si="6"/>
        <v>0</v>
      </c>
      <c r="S140" s="41">
        <f t="shared" si="7"/>
        <v>77666</v>
      </c>
      <c r="T140" s="41">
        <f t="shared" si="8"/>
        <v>0</v>
      </c>
    </row>
    <row r="141" spans="1:20" ht="15.75">
      <c r="A141" s="188" t="s">
        <v>661</v>
      </c>
      <c r="B141" s="189">
        <v>187801</v>
      </c>
      <c r="C141" s="187">
        <v>0</v>
      </c>
      <c r="D141" s="184">
        <v>1</v>
      </c>
      <c r="E141" s="185">
        <v>0</v>
      </c>
      <c r="F141" s="185">
        <v>0</v>
      </c>
      <c r="G141" s="185">
        <v>0</v>
      </c>
      <c r="H141" s="185">
        <v>0.49999733760736098</v>
      </c>
      <c r="I141" s="185">
        <v>0.50000266239263902</v>
      </c>
      <c r="J141" s="184">
        <v>0</v>
      </c>
      <c r="K141" s="184">
        <v>0</v>
      </c>
      <c r="L141" s="184">
        <v>0</v>
      </c>
      <c r="M141" s="184">
        <v>0</v>
      </c>
      <c r="N141" s="184">
        <v>0</v>
      </c>
      <c r="O141" s="184">
        <v>0</v>
      </c>
      <c r="P141" s="186">
        <v>1</v>
      </c>
      <c r="R141" s="41">
        <f t="shared" si="6"/>
        <v>0</v>
      </c>
      <c r="S141" s="41">
        <f t="shared" si="7"/>
        <v>0</v>
      </c>
      <c r="T141" s="41">
        <f t="shared" si="8"/>
        <v>0</v>
      </c>
    </row>
    <row r="142" spans="1:20" ht="15.75">
      <c r="A142" s="188" t="s">
        <v>662</v>
      </c>
      <c r="B142" s="189">
        <v>3486128</v>
      </c>
      <c r="C142" s="187">
        <v>57.776780010014527</v>
      </c>
      <c r="D142" s="184">
        <v>0.36707780826144409</v>
      </c>
      <c r="E142" s="185">
        <v>2.995601188037934E-2</v>
      </c>
      <c r="F142" s="185">
        <v>0.13958203630202834</v>
      </c>
      <c r="G142" s="185">
        <v>2.0882362350166856E-3</v>
      </c>
      <c r="H142" s="185">
        <v>0.11479771764761747</v>
      </c>
      <c r="I142" s="185">
        <v>8.0653806196402264E-2</v>
      </c>
      <c r="J142" s="184">
        <v>0.38094871466455571</v>
      </c>
      <c r="K142" s="184">
        <v>0.25106593369876395</v>
      </c>
      <c r="L142" s="184">
        <v>0</v>
      </c>
      <c r="M142" s="184">
        <v>0</v>
      </c>
      <c r="N142" s="184">
        <v>1.4193799537504505E-4</v>
      </c>
      <c r="O142" s="184">
        <v>7.656053798611403E-4</v>
      </c>
      <c r="P142" s="186">
        <v>1</v>
      </c>
      <c r="R142" s="41">
        <f t="shared" si="6"/>
        <v>0</v>
      </c>
      <c r="S142" s="41">
        <f t="shared" si="7"/>
        <v>1328035.9807561182</v>
      </c>
      <c r="T142" s="41">
        <f t="shared" si="8"/>
        <v>875247.98131340463</v>
      </c>
    </row>
    <row r="143" spans="1:20" ht="15.75">
      <c r="A143" s="188" t="s">
        <v>375</v>
      </c>
      <c r="B143" s="189">
        <v>2019293.54</v>
      </c>
      <c r="C143" s="187">
        <v>137.72889092222042</v>
      </c>
      <c r="D143" s="184">
        <v>0.51214644107661533</v>
      </c>
      <c r="E143" s="185">
        <v>9.4365180804767981E-2</v>
      </c>
      <c r="F143" s="185">
        <v>0.17815289994935554</v>
      </c>
      <c r="G143" s="185">
        <v>7.4684535463823646E-3</v>
      </c>
      <c r="H143" s="185">
        <v>8.1262083371989591E-2</v>
      </c>
      <c r="I143" s="185">
        <v>0.15089782340411984</v>
      </c>
      <c r="J143" s="184">
        <v>0.35787201384466982</v>
      </c>
      <c r="K143" s="184">
        <v>8.0817868649951108E-3</v>
      </c>
      <c r="L143" s="184">
        <v>0</v>
      </c>
      <c r="M143" s="184">
        <v>0</v>
      </c>
      <c r="N143" s="184">
        <v>1.0402696506407925E-3</v>
      </c>
      <c r="O143" s="184">
        <v>0.12085948856307852</v>
      </c>
      <c r="P143" s="186">
        <v>0.99999999999999989</v>
      </c>
      <c r="R143" s="41">
        <f t="shared" si="6"/>
        <v>0</v>
      </c>
      <c r="S143" s="41">
        <f t="shared" si="7"/>
        <v>722648.64570333238</v>
      </c>
      <c r="T143" s="41">
        <f t="shared" si="8"/>
        <v>16319.50000814148</v>
      </c>
    </row>
    <row r="144" spans="1:20" ht="15.75">
      <c r="A144" s="188" t="s">
        <v>376</v>
      </c>
      <c r="B144" s="189">
        <v>101545.44</v>
      </c>
      <c r="C144" s="187">
        <v>68.144599459654728</v>
      </c>
      <c r="D144" s="184">
        <v>0.9999956669644644</v>
      </c>
      <c r="E144" s="185">
        <v>0</v>
      </c>
      <c r="F144" s="185">
        <v>0.88057129891800157</v>
      </c>
      <c r="G144" s="185">
        <v>0</v>
      </c>
      <c r="H144" s="185">
        <v>0.11942436804646274</v>
      </c>
      <c r="I144" s="185">
        <v>0</v>
      </c>
      <c r="J144" s="184">
        <v>0</v>
      </c>
      <c r="K144" s="184">
        <v>0</v>
      </c>
      <c r="L144" s="184">
        <v>0</v>
      </c>
      <c r="M144" s="184">
        <v>0</v>
      </c>
      <c r="N144" s="184">
        <v>0</v>
      </c>
      <c r="O144" s="184">
        <v>4.3330355356412688E-6</v>
      </c>
      <c r="P144" s="186">
        <v>1</v>
      </c>
      <c r="R144" s="41">
        <f t="shared" si="6"/>
        <v>0</v>
      </c>
      <c r="S144" s="41">
        <f t="shared" si="7"/>
        <v>0</v>
      </c>
      <c r="T144" s="41">
        <f t="shared" si="8"/>
        <v>0</v>
      </c>
    </row>
    <row r="145" spans="1:20" ht="15.75">
      <c r="A145" s="188" t="s">
        <v>377</v>
      </c>
      <c r="B145" s="189">
        <v>114579.83</v>
      </c>
      <c r="C145" s="187">
        <v>0</v>
      </c>
      <c r="D145" s="184">
        <v>1</v>
      </c>
      <c r="E145" s="185">
        <v>0</v>
      </c>
      <c r="F145" s="185">
        <v>0</v>
      </c>
      <c r="G145" s="185">
        <v>0</v>
      </c>
      <c r="H145" s="185">
        <v>1</v>
      </c>
      <c r="I145" s="185">
        <v>0</v>
      </c>
      <c r="J145" s="184">
        <v>0</v>
      </c>
      <c r="K145" s="184">
        <v>0</v>
      </c>
      <c r="L145" s="184">
        <v>0</v>
      </c>
      <c r="M145" s="184">
        <v>0</v>
      </c>
      <c r="N145" s="184">
        <v>0</v>
      </c>
      <c r="O145" s="184">
        <v>0</v>
      </c>
      <c r="P145" s="186">
        <v>0.9999999998857998</v>
      </c>
      <c r="R145" s="41">
        <f t="shared" si="6"/>
        <v>0</v>
      </c>
      <c r="S145" s="41">
        <f t="shared" si="7"/>
        <v>0</v>
      </c>
      <c r="T145" s="41">
        <f t="shared" si="8"/>
        <v>0</v>
      </c>
    </row>
    <row r="146" spans="1:20" ht="15.75">
      <c r="A146" s="188" t="s">
        <v>378</v>
      </c>
      <c r="B146" s="189">
        <v>24736.68</v>
      </c>
      <c r="C146" s="187">
        <v>246.47699544213728</v>
      </c>
      <c r="D146" s="184">
        <v>0.68721748471528421</v>
      </c>
      <c r="E146" s="185">
        <v>5.4112168367273408E-4</v>
      </c>
      <c r="F146" s="185">
        <v>2.6103857161555548E-2</v>
      </c>
      <c r="G146" s="185">
        <v>3.6967924392126896E-3</v>
      </c>
      <c r="H146" s="185">
        <v>0.59835896862104876</v>
      </c>
      <c r="I146" s="185">
        <v>5.8516744809794526E-2</v>
      </c>
      <c r="J146" s="184">
        <v>2.2225356859821653E-2</v>
      </c>
      <c r="K146" s="184">
        <v>4.5286994434010387E-2</v>
      </c>
      <c r="L146" s="184">
        <v>0</v>
      </c>
      <c r="M146" s="184">
        <v>9.9833720002157192E-2</v>
      </c>
      <c r="N146" s="184">
        <v>3.0330636952671097E-4</v>
      </c>
      <c r="O146" s="184">
        <v>0.14513313761920041</v>
      </c>
      <c r="P146" s="186">
        <v>0.99999999993260102</v>
      </c>
      <c r="R146" s="41">
        <f t="shared" si="6"/>
        <v>0</v>
      </c>
      <c r="S146" s="41">
        <f t="shared" si="7"/>
        <v>549.78154052721311</v>
      </c>
      <c r="T146" s="41">
        <f t="shared" si="8"/>
        <v>1120.249889475896</v>
      </c>
    </row>
    <row r="147" spans="1:20" ht="15.75">
      <c r="A147" s="188" t="s">
        <v>663</v>
      </c>
      <c r="B147" s="189">
        <v>4255.893</v>
      </c>
      <c r="C147" s="187">
        <v>279.22879030008374</v>
      </c>
      <c r="D147" s="184">
        <v>0.64565378962905351</v>
      </c>
      <c r="E147" s="185">
        <v>6.1302793023593617E-4</v>
      </c>
      <c r="F147" s="185">
        <v>2.9572634048427884E-2</v>
      </c>
      <c r="G147" s="185">
        <v>4.1880358630999063E-3</v>
      </c>
      <c r="H147" s="185">
        <v>0.54498742594655425</v>
      </c>
      <c r="I147" s="185">
        <v>6.6292665840735607E-2</v>
      </c>
      <c r="J147" s="184">
        <v>2.5179647543243148E-2</v>
      </c>
      <c r="K147" s="184">
        <v>5.1305015644039151E-2</v>
      </c>
      <c r="L147" s="184">
        <v>0</v>
      </c>
      <c r="M147" s="184">
        <v>0.11309999319430376</v>
      </c>
      <c r="N147" s="184">
        <v>3.4362013937740777E-4</v>
      </c>
      <c r="O147" s="184">
        <v>0.16441793384998329</v>
      </c>
      <c r="P147" s="186">
        <v>0.99999999993260102</v>
      </c>
      <c r="R147" s="41">
        <f t="shared" si="6"/>
        <v>0</v>
      </c>
      <c r="S147" s="41">
        <f t="shared" si="7"/>
        <v>107.16188572175571</v>
      </c>
      <c r="T147" s="41">
        <f t="shared" si="8"/>
        <v>218.34865694435672</v>
      </c>
    </row>
    <row r="148" spans="1:20" ht="15.75">
      <c r="A148" s="188" t="s">
        <v>379</v>
      </c>
      <c r="B148" s="189">
        <v>48740909.018000007</v>
      </c>
      <c r="C148" s="187">
        <v>491.08375895807711</v>
      </c>
      <c r="D148" s="184">
        <v>0.37614451236510943</v>
      </c>
      <c r="E148" s="185">
        <v>1.0851030954154132E-3</v>
      </c>
      <c r="F148" s="185">
        <v>5.2345668382819198E-2</v>
      </c>
      <c r="G148" s="185">
        <v>7.4131217431014033E-3</v>
      </c>
      <c r="H148" s="185">
        <v>0.1979578793448927</v>
      </c>
      <c r="I148" s="185">
        <v>0.1173427397988807</v>
      </c>
      <c r="J148" s="184">
        <v>4.4568170622211307E-2</v>
      </c>
      <c r="K148" s="184">
        <v>9.0813322262142754E-2</v>
      </c>
      <c r="L148" s="184">
        <v>0</v>
      </c>
      <c r="M148" s="184">
        <v>0.20019504275990807</v>
      </c>
      <c r="N148" s="184">
        <v>6.0821565714911112E-4</v>
      </c>
      <c r="O148" s="184">
        <v>0.28767073633347956</v>
      </c>
      <c r="P148" s="186">
        <v>1</v>
      </c>
      <c r="R148" s="41">
        <f t="shared" si="6"/>
        <v>0</v>
      </c>
      <c r="S148" s="41">
        <f t="shared" si="7"/>
        <v>2172293.1493959022</v>
      </c>
      <c r="T148" s="41">
        <f t="shared" si="8"/>
        <v>4426323.8780014142</v>
      </c>
    </row>
    <row r="149" spans="1:20" ht="15.75">
      <c r="A149" s="188" t="s">
        <v>380</v>
      </c>
      <c r="B149" s="189">
        <v>20170</v>
      </c>
      <c r="C149" s="187">
        <v>614.56498653049073</v>
      </c>
      <c r="D149" s="184">
        <v>0.34868616757560733</v>
      </c>
      <c r="E149" s="185">
        <v>0</v>
      </c>
      <c r="F149" s="185">
        <v>0</v>
      </c>
      <c r="G149" s="185">
        <v>9.4199305899851269E-4</v>
      </c>
      <c r="H149" s="185">
        <v>0.11323748140803173</v>
      </c>
      <c r="I149" s="185">
        <v>0.23450669310857711</v>
      </c>
      <c r="J149" s="184">
        <v>0</v>
      </c>
      <c r="K149" s="184">
        <v>0</v>
      </c>
      <c r="L149" s="184">
        <v>0</v>
      </c>
      <c r="M149" s="184">
        <v>0</v>
      </c>
      <c r="N149" s="184">
        <v>0</v>
      </c>
      <c r="O149" s="184">
        <v>0.65131383242439267</v>
      </c>
      <c r="P149" s="186">
        <v>1</v>
      </c>
      <c r="R149" s="41">
        <f t="shared" si="6"/>
        <v>0</v>
      </c>
      <c r="S149" s="41">
        <f t="shared" si="7"/>
        <v>0</v>
      </c>
      <c r="T149" s="41">
        <f t="shared" si="8"/>
        <v>0</v>
      </c>
    </row>
    <row r="150" spans="1:20" ht="15.75">
      <c r="A150" s="188" t="s">
        <v>664</v>
      </c>
      <c r="B150" s="189">
        <v>130193</v>
      </c>
      <c r="C150" s="187">
        <v>38.360387999999993</v>
      </c>
      <c r="D150" s="184">
        <v>0</v>
      </c>
      <c r="E150" s="185">
        <v>0</v>
      </c>
      <c r="F150" s="185">
        <v>0</v>
      </c>
      <c r="G150" s="185">
        <v>0</v>
      </c>
      <c r="H150" s="185">
        <v>0</v>
      </c>
      <c r="I150" s="185">
        <v>0</v>
      </c>
      <c r="J150" s="184">
        <v>0.83654291913992285</v>
      </c>
      <c r="K150" s="184">
        <v>0.10893719069613286</v>
      </c>
      <c r="L150" s="184">
        <v>0</v>
      </c>
      <c r="M150" s="184">
        <v>0</v>
      </c>
      <c r="N150" s="184">
        <v>8.5268033783222515E-3</v>
      </c>
      <c r="O150" s="184">
        <v>4.5993086785621994E-2</v>
      </c>
      <c r="P150" s="186">
        <v>0.99999999999999978</v>
      </c>
      <c r="R150" s="41">
        <f t="shared" si="6"/>
        <v>0</v>
      </c>
      <c r="S150" s="41">
        <f>J150*B150</f>
        <v>108912.03227158397</v>
      </c>
      <c r="T150" s="41">
        <f t="shared" si="8"/>
        <v>14182.859668301626</v>
      </c>
    </row>
    <row r="151" spans="1:20" ht="30">
      <c r="A151" s="188" t="s">
        <v>382</v>
      </c>
      <c r="B151" s="189">
        <v>525547</v>
      </c>
      <c r="C151" s="187">
        <v>644.87457772869288</v>
      </c>
      <c r="D151" s="184">
        <v>0.19552009620452596</v>
      </c>
      <c r="E151" s="185">
        <v>0</v>
      </c>
      <c r="F151" s="185">
        <v>0</v>
      </c>
      <c r="G151" s="185">
        <v>0</v>
      </c>
      <c r="H151" s="185">
        <v>0.19552009620452596</v>
      </c>
      <c r="I151" s="185">
        <v>0</v>
      </c>
      <c r="J151" s="184">
        <v>3.9779610577170069E-2</v>
      </c>
      <c r="K151" s="184">
        <v>8.1264461599057744E-2</v>
      </c>
      <c r="L151" s="184">
        <v>0</v>
      </c>
      <c r="M151" s="184">
        <v>0</v>
      </c>
      <c r="N151" s="184">
        <v>0</v>
      </c>
      <c r="O151" s="184">
        <v>0.68343583161924626</v>
      </c>
      <c r="P151" s="186">
        <v>1</v>
      </c>
      <c r="R151" s="41">
        <f t="shared" si="6"/>
        <v>0</v>
      </c>
      <c r="S151" s="41">
        <f t="shared" si="7"/>
        <v>20906.054999999997</v>
      </c>
      <c r="T151" s="41">
        <f t="shared" si="8"/>
        <v>42708.294000000002</v>
      </c>
    </row>
    <row r="152" spans="1:20" ht="15.75">
      <c r="A152" s="191" t="s">
        <v>383</v>
      </c>
      <c r="B152" s="189">
        <v>120909</v>
      </c>
      <c r="C152" s="187">
        <v>0</v>
      </c>
      <c r="D152" s="184">
        <v>1</v>
      </c>
      <c r="E152" s="185">
        <v>0</v>
      </c>
      <c r="F152" s="185">
        <v>0</v>
      </c>
      <c r="G152" s="185">
        <v>1</v>
      </c>
      <c r="H152" s="185">
        <v>0</v>
      </c>
      <c r="I152" s="185">
        <v>0</v>
      </c>
      <c r="J152" s="184">
        <v>0</v>
      </c>
      <c r="K152" s="184">
        <v>0</v>
      </c>
      <c r="L152" s="184">
        <v>0</v>
      </c>
      <c r="M152" s="184">
        <v>0</v>
      </c>
      <c r="N152" s="184">
        <v>0</v>
      </c>
      <c r="O152" s="184">
        <v>0</v>
      </c>
      <c r="P152" s="186">
        <v>1</v>
      </c>
      <c r="R152" s="41">
        <f t="shared" si="6"/>
        <v>0</v>
      </c>
      <c r="S152" s="41">
        <f t="shared" si="7"/>
        <v>0</v>
      </c>
      <c r="T152" s="41">
        <f t="shared" si="8"/>
        <v>0</v>
      </c>
    </row>
    <row r="153" spans="1:20" ht="15.75">
      <c r="A153" s="188" t="s">
        <v>384</v>
      </c>
      <c r="B153" s="189">
        <v>166385</v>
      </c>
      <c r="C153" s="187">
        <v>395.59916859333475</v>
      </c>
      <c r="D153" s="184">
        <v>0.4726447696607266</v>
      </c>
      <c r="E153" s="185">
        <v>0.11962015806713346</v>
      </c>
      <c r="F153" s="185">
        <v>0</v>
      </c>
      <c r="G153" s="185">
        <v>4.2960603419779426E-2</v>
      </c>
      <c r="H153" s="185">
        <v>7.9754785587643123E-2</v>
      </c>
      <c r="I153" s="185">
        <v>0.23030922258617062</v>
      </c>
      <c r="J153" s="184">
        <v>6.230128917871202E-2</v>
      </c>
      <c r="K153" s="184">
        <v>0</v>
      </c>
      <c r="L153" s="184">
        <v>0</v>
      </c>
      <c r="M153" s="184">
        <v>0.125419959731947</v>
      </c>
      <c r="N153" s="184">
        <v>5.4902785707846263E-2</v>
      </c>
      <c r="O153" s="184">
        <v>0.2847311957207681</v>
      </c>
      <c r="P153" s="186">
        <v>1</v>
      </c>
      <c r="R153" s="41">
        <f t="shared" si="6"/>
        <v>0</v>
      </c>
      <c r="S153" s="41">
        <f t="shared" si="7"/>
        <v>10366</v>
      </c>
      <c r="T153" s="41">
        <f t="shared" si="8"/>
        <v>0</v>
      </c>
    </row>
    <row r="154" spans="1:20" ht="15.75">
      <c r="A154" s="188" t="s">
        <v>385</v>
      </c>
      <c r="B154" s="189">
        <v>33.39</v>
      </c>
      <c r="C154" s="187">
        <v>393.62773121784761</v>
      </c>
      <c r="D154" s="184">
        <v>0.32430405713687094</v>
      </c>
      <c r="E154" s="185">
        <v>0</v>
      </c>
      <c r="F154" s="185">
        <v>1.5464119782908065E-2</v>
      </c>
      <c r="G154" s="185">
        <v>5.1493235731225752E-2</v>
      </c>
      <c r="H154" s="185">
        <v>6.7282173697851264E-2</v>
      </c>
      <c r="I154" s="185">
        <v>0.19006452792488582</v>
      </c>
      <c r="J154" s="184">
        <v>0.28944025575408255</v>
      </c>
      <c r="K154" s="184">
        <v>3.2711682876329466E-3</v>
      </c>
      <c r="L154" s="184">
        <v>0</v>
      </c>
      <c r="M154" s="184">
        <v>0.38090240589691637</v>
      </c>
      <c r="N154" s="184">
        <v>1.6327055733995891E-4</v>
      </c>
      <c r="O154" s="184">
        <v>1.9188423671577515E-3</v>
      </c>
      <c r="P154" s="186">
        <v>0.99999999999999967</v>
      </c>
      <c r="R154" s="41">
        <f t="shared" si="6"/>
        <v>0</v>
      </c>
      <c r="S154" s="41">
        <f t="shared" si="7"/>
        <v>9.6644101396288171</v>
      </c>
      <c r="T154" s="41">
        <f t="shared" si="8"/>
        <v>0.10922430912406408</v>
      </c>
    </row>
    <row r="155" spans="1:20" ht="15.75">
      <c r="A155" s="188" t="s">
        <v>386</v>
      </c>
      <c r="B155" s="189">
        <v>2162323.5249999999</v>
      </c>
      <c r="C155" s="187">
        <v>393.62773121784721</v>
      </c>
      <c r="D155" s="184">
        <v>0.32430405713687088</v>
      </c>
      <c r="E155" s="185">
        <v>0</v>
      </c>
      <c r="F155" s="185">
        <v>1.5464119782908065E-2</v>
      </c>
      <c r="G155" s="185">
        <v>5.1493235731225745E-2</v>
      </c>
      <c r="H155" s="185">
        <v>6.728217369785125E-2</v>
      </c>
      <c r="I155" s="185">
        <v>0.19006452792488582</v>
      </c>
      <c r="J155" s="184">
        <v>0.28944025575408261</v>
      </c>
      <c r="K155" s="184">
        <v>3.2711682876329466E-3</v>
      </c>
      <c r="L155" s="184">
        <v>0</v>
      </c>
      <c r="M155" s="184">
        <v>0.38090240589691587</v>
      </c>
      <c r="N155" s="184">
        <v>1.6327055733995891E-4</v>
      </c>
      <c r="O155" s="184">
        <v>1.9188423671577515E-3</v>
      </c>
      <c r="P155" s="186">
        <v>1</v>
      </c>
      <c r="R155" s="41">
        <f t="shared" si="6"/>
        <v>0</v>
      </c>
      <c r="S155" s="41">
        <f t="shared" si="7"/>
        <v>625863.47409906937</v>
      </c>
      <c r="T155" s="41">
        <f t="shared" si="8"/>
        <v>7073.3241425826864</v>
      </c>
    </row>
    <row r="156" spans="1:20" ht="15.75">
      <c r="A156" s="188" t="s">
        <v>387</v>
      </c>
      <c r="B156" s="189">
        <v>645383.72419346415</v>
      </c>
      <c r="C156" s="187">
        <v>449</v>
      </c>
      <c r="D156" s="184">
        <v>0.39508123685431823</v>
      </c>
      <c r="E156" s="185">
        <v>0</v>
      </c>
      <c r="F156" s="185">
        <v>0</v>
      </c>
      <c r="G156" s="185">
        <v>3.0787885183859469E-3</v>
      </c>
      <c r="H156" s="185">
        <v>0.39200244833593229</v>
      </c>
      <c r="I156" s="185">
        <v>0</v>
      </c>
      <c r="J156" s="184">
        <v>0.12871874806544939</v>
      </c>
      <c r="K156" s="184">
        <v>0</v>
      </c>
      <c r="L156" s="184">
        <v>0</v>
      </c>
      <c r="M156" s="184">
        <v>0</v>
      </c>
      <c r="N156" s="184">
        <v>0</v>
      </c>
      <c r="O156" s="184">
        <v>0.47620001508023241</v>
      </c>
      <c r="P156" s="186">
        <v>1</v>
      </c>
      <c r="R156" s="41">
        <f t="shared" si="6"/>
        <v>0</v>
      </c>
      <c r="S156" s="41">
        <f t="shared" si="7"/>
        <v>83072.984999999986</v>
      </c>
      <c r="T156" s="41">
        <f t="shared" si="8"/>
        <v>0</v>
      </c>
    </row>
    <row r="157" spans="1:20" ht="15.75">
      <c r="A157" s="188" t="s">
        <v>388</v>
      </c>
      <c r="B157" s="189">
        <v>9140.5811097954884</v>
      </c>
      <c r="C157" s="187">
        <v>0</v>
      </c>
      <c r="D157" s="184">
        <v>1</v>
      </c>
      <c r="E157" s="185">
        <v>0</v>
      </c>
      <c r="F157" s="185">
        <v>0</v>
      </c>
      <c r="G157" s="185">
        <v>0.42905590198008969</v>
      </c>
      <c r="H157" s="185">
        <v>0.57094409801991031</v>
      </c>
      <c r="I157" s="185">
        <v>0</v>
      </c>
      <c r="J157" s="184">
        <v>0</v>
      </c>
      <c r="K157" s="184">
        <v>0</v>
      </c>
      <c r="L157" s="184">
        <v>0</v>
      </c>
      <c r="M157" s="184">
        <v>0</v>
      </c>
      <c r="N157" s="184">
        <v>0</v>
      </c>
      <c r="O157" s="184">
        <v>0</v>
      </c>
      <c r="P157" s="186">
        <v>1</v>
      </c>
      <c r="R157" s="41">
        <f t="shared" si="6"/>
        <v>0</v>
      </c>
      <c r="S157" s="41">
        <f t="shared" si="7"/>
        <v>0</v>
      </c>
      <c r="T157" s="41">
        <f t="shared" si="8"/>
        <v>0</v>
      </c>
    </row>
    <row r="158" spans="1:20" ht="15.75">
      <c r="A158" s="188" t="s">
        <v>665</v>
      </c>
      <c r="B158" s="189">
        <v>110</v>
      </c>
      <c r="C158" s="187">
        <v>695.41651431999981</v>
      </c>
      <c r="D158" s="184">
        <v>0.26300000000000001</v>
      </c>
      <c r="E158" s="185">
        <v>0</v>
      </c>
      <c r="F158" s="185">
        <v>0</v>
      </c>
      <c r="G158" s="185">
        <v>0</v>
      </c>
      <c r="H158" s="185">
        <v>0.26300000000000001</v>
      </c>
      <c r="I158" s="185">
        <v>0</v>
      </c>
      <c r="J158" s="184">
        <v>0</v>
      </c>
      <c r="K158" s="184">
        <v>0</v>
      </c>
      <c r="L158" s="184">
        <v>0</v>
      </c>
      <c r="M158" s="184">
        <v>0</v>
      </c>
      <c r="N158" s="184">
        <v>0</v>
      </c>
      <c r="O158" s="184">
        <v>0.73699999999999999</v>
      </c>
      <c r="P158" s="186">
        <v>1</v>
      </c>
      <c r="R158" s="41">
        <f t="shared" si="6"/>
        <v>0</v>
      </c>
      <c r="S158" s="41">
        <f t="shared" si="7"/>
        <v>0</v>
      </c>
      <c r="T158" s="41">
        <f t="shared" si="8"/>
        <v>0</v>
      </c>
    </row>
    <row r="159" spans="1:20" ht="15.75">
      <c r="A159" s="188" t="s">
        <v>389</v>
      </c>
      <c r="B159" s="189">
        <v>6583</v>
      </c>
      <c r="C159" s="187">
        <v>943.57735999999989</v>
      </c>
      <c r="D159" s="184">
        <v>0</v>
      </c>
      <c r="E159" s="185">
        <v>0</v>
      </c>
      <c r="F159" s="185">
        <v>0</v>
      </c>
      <c r="G159" s="185">
        <v>0</v>
      </c>
      <c r="H159" s="185">
        <v>0</v>
      </c>
      <c r="I159" s="185">
        <v>0</v>
      </c>
      <c r="J159" s="184">
        <v>0</v>
      </c>
      <c r="K159" s="184">
        <v>0</v>
      </c>
      <c r="L159" s="184">
        <v>0</v>
      </c>
      <c r="M159" s="184">
        <v>0</v>
      </c>
      <c r="N159" s="184">
        <v>0</v>
      </c>
      <c r="O159" s="184">
        <v>1</v>
      </c>
      <c r="P159" s="186">
        <v>1</v>
      </c>
      <c r="R159" s="41">
        <f t="shared" si="6"/>
        <v>0</v>
      </c>
      <c r="S159" s="41">
        <f t="shared" si="7"/>
        <v>0</v>
      </c>
      <c r="T159" s="41">
        <f t="shared" si="8"/>
        <v>0</v>
      </c>
    </row>
    <row r="160" spans="1:20" ht="15.75">
      <c r="A160" s="188" t="s">
        <v>390</v>
      </c>
      <c r="B160" s="189">
        <v>1040817</v>
      </c>
      <c r="C160" s="187">
        <v>640.57446323569513</v>
      </c>
      <c r="D160" s="184">
        <v>0.2265470298813336</v>
      </c>
      <c r="E160" s="185">
        <v>3.5036898897692868E-2</v>
      </c>
      <c r="F160" s="185">
        <v>0</v>
      </c>
      <c r="G160" s="185">
        <v>0</v>
      </c>
      <c r="H160" s="185">
        <v>0.19151013098364073</v>
      </c>
      <c r="I160" s="185">
        <v>0</v>
      </c>
      <c r="J160" s="184">
        <v>1.5230343086248592E-2</v>
      </c>
      <c r="K160" s="184">
        <v>8.7869433339386266E-2</v>
      </c>
      <c r="L160" s="184">
        <v>0</v>
      </c>
      <c r="M160" s="184">
        <v>0.31935247022291141</v>
      </c>
      <c r="N160" s="184">
        <v>0</v>
      </c>
      <c r="O160" s="184">
        <v>0.35100072347012012</v>
      </c>
      <c r="P160" s="186">
        <v>1</v>
      </c>
      <c r="R160" s="41">
        <f t="shared" si="6"/>
        <v>0</v>
      </c>
      <c r="S160" s="41">
        <f t="shared" si="7"/>
        <v>15852</v>
      </c>
      <c r="T160" s="41">
        <f t="shared" si="8"/>
        <v>91456</v>
      </c>
    </row>
    <row r="161" spans="1:20" ht="15.75">
      <c r="A161" s="188" t="s">
        <v>391</v>
      </c>
      <c r="B161" s="189">
        <v>105429</v>
      </c>
      <c r="C161" s="187">
        <v>701.38441252281507</v>
      </c>
      <c r="D161" s="184">
        <v>0.22377156482026828</v>
      </c>
      <c r="E161" s="185">
        <v>0</v>
      </c>
      <c r="F161" s="185">
        <v>0</v>
      </c>
      <c r="G161" s="185">
        <v>0</v>
      </c>
      <c r="H161" s="185">
        <v>0.22377156482026828</v>
      </c>
      <c r="I161" s="185">
        <v>0</v>
      </c>
      <c r="J161" s="184">
        <v>3.2903677448351584E-2</v>
      </c>
      <c r="K161" s="184">
        <v>0</v>
      </c>
      <c r="L161" s="184">
        <v>0</v>
      </c>
      <c r="M161" s="184">
        <v>0</v>
      </c>
      <c r="N161" s="184">
        <v>0</v>
      </c>
      <c r="O161" s="184">
        <v>0.74332475773138018</v>
      </c>
      <c r="P161" s="186">
        <v>1</v>
      </c>
      <c r="R161" s="41">
        <f t="shared" si="6"/>
        <v>0</v>
      </c>
      <c r="S161" s="41">
        <f t="shared" si="7"/>
        <v>3469.0018097022594</v>
      </c>
      <c r="T161" s="41">
        <f t="shared" si="8"/>
        <v>0</v>
      </c>
    </row>
    <row r="162" spans="1:20">
      <c r="A162" s="83"/>
      <c r="B162" s="84"/>
      <c r="C162" s="85"/>
      <c r="D162" s="86"/>
      <c r="E162" s="87"/>
      <c r="F162" s="87"/>
      <c r="G162" s="87"/>
      <c r="H162" s="87"/>
      <c r="I162" s="87"/>
      <c r="J162" s="86"/>
      <c r="K162" s="86"/>
      <c r="L162" s="86"/>
      <c r="M162" s="86"/>
      <c r="N162" s="86"/>
      <c r="O162" s="86"/>
      <c r="P162" s="86"/>
    </row>
    <row r="163" spans="1:20">
      <c r="A163" s="188" t="s">
        <v>666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1B57-AD7B-4F1F-8B74-4B73A735101F}">
  <sheetPr codeName="Sheet35"/>
  <dimension ref="A1:I18"/>
  <sheetViews>
    <sheetView zoomScaleNormal="100" workbookViewId="0"/>
  </sheetViews>
  <sheetFormatPr defaultRowHeight="15"/>
  <cols>
    <col min="1" max="1" width="37.7109375" customWidth="1"/>
    <col min="2" max="5" width="11.42578125" customWidth="1"/>
    <col min="6" max="6" width="49.28515625" customWidth="1"/>
    <col min="8" max="8" width="26.7109375" bestFit="1" customWidth="1"/>
    <col min="9" max="9" width="39.7109375" bestFit="1" customWidth="1"/>
  </cols>
  <sheetData>
    <row r="1" spans="1:9" s="7" customFormat="1" ht="30">
      <c r="A1" s="125" t="s">
        <v>5</v>
      </c>
      <c r="B1" s="223" t="s">
        <v>671</v>
      </c>
      <c r="C1" s="224"/>
      <c r="D1" s="224"/>
      <c r="E1" s="224"/>
      <c r="F1" s="225"/>
      <c r="G1" s="194"/>
      <c r="H1" s="118" t="s">
        <v>4</v>
      </c>
      <c r="I1" s="119"/>
    </row>
    <row r="2" spans="1:9" s="7" customFormat="1" ht="29.65" customHeight="1">
      <c r="A2" s="126" t="s">
        <v>496</v>
      </c>
      <c r="B2" s="127">
        <v>2027</v>
      </c>
      <c r="C2" s="127">
        <v>2028</v>
      </c>
      <c r="D2" s="127">
        <v>2029</v>
      </c>
      <c r="E2" s="128">
        <v>2030</v>
      </c>
      <c r="F2" s="129" t="s">
        <v>497</v>
      </c>
      <c r="H2" s="120">
        <v>0.43540000000000001</v>
      </c>
      <c r="I2" s="62" t="s">
        <v>7</v>
      </c>
    </row>
    <row r="3" spans="1:9" s="7" customFormat="1" ht="30">
      <c r="A3" s="130" t="s">
        <v>584</v>
      </c>
      <c r="B3" s="131">
        <v>377141.734999999</v>
      </c>
      <c r="C3" s="131">
        <v>380162.37500000105</v>
      </c>
      <c r="D3" s="131">
        <v>381856.81099999801</v>
      </c>
      <c r="E3" s="131">
        <v>383741.83699999796</v>
      </c>
      <c r="F3" s="123" t="s">
        <v>561</v>
      </c>
      <c r="H3" s="132">
        <v>0.95946199709706936</v>
      </c>
      <c r="I3" s="123" t="s">
        <v>676</v>
      </c>
    </row>
    <row r="4" spans="1:9" s="7" customFormat="1">
      <c r="A4" s="130" t="s">
        <v>217</v>
      </c>
      <c r="B4" s="131">
        <f>SUMIFS('Form 1.1c (CEC 2025a)'!G:G, 'Form 1.1c (CEC 2025a)'!$B:$B, "Alameda Municipal Power")*1000</f>
        <v>383567.91217971529</v>
      </c>
      <c r="C4" s="131">
        <f>SUMIFS('Form 1.1c (CEC 2025a)'!H:H, 'Form 1.1c (CEC 2025a)'!$B:$B, "Alameda Municipal Power")*1000</f>
        <v>402147.05194676848</v>
      </c>
      <c r="D4" s="131">
        <f>SUMIFS('Form 1.1c (CEC 2025a)'!I:I, 'Form 1.1c (CEC 2025a)'!$B:$B, "Alameda Municipal Power")*1000</f>
        <v>423552.41640793765</v>
      </c>
      <c r="E4" s="131">
        <f>SUMIFS('Form 1.1c (CEC 2025a)'!J:J, 'Form 1.1c (CEC 2025a)'!$B:$B, "Alameda Municipal Power")*1000</f>
        <v>446975.79746887647</v>
      </c>
      <c r="F4" s="123" t="s">
        <v>575</v>
      </c>
      <c r="H4" s="122">
        <f>0.15</f>
        <v>0.15</v>
      </c>
      <c r="I4" s="120" t="s">
        <v>498</v>
      </c>
    </row>
    <row r="5" spans="1:9" s="7" customFormat="1" ht="30">
      <c r="A5" s="130" t="s">
        <v>585</v>
      </c>
      <c r="B5" s="131">
        <f t="shared" ref="B5:E5" si="0">IF(0&lt;(B4-B3),B4*(1+$H$5),B3)</f>
        <v>410417.66603229538</v>
      </c>
      <c r="C5" s="131">
        <f t="shared" si="0"/>
        <v>430297.3455830423</v>
      </c>
      <c r="D5" s="131">
        <f t="shared" si="0"/>
        <v>453201.08555649332</v>
      </c>
      <c r="E5" s="131">
        <f t="shared" si="0"/>
        <v>478264.10329169786</v>
      </c>
      <c r="F5" s="123" t="s">
        <v>586</v>
      </c>
      <c r="H5" s="122">
        <f>0.07</f>
        <v>7.0000000000000007E-2</v>
      </c>
      <c r="I5" s="123" t="s">
        <v>499</v>
      </c>
    </row>
    <row r="6" spans="1:9" s="7" customFormat="1">
      <c r="A6" s="130" t="s">
        <v>500</v>
      </c>
      <c r="B6" s="131">
        <v>0</v>
      </c>
      <c r="C6" s="131">
        <v>0</v>
      </c>
      <c r="D6" s="131">
        <v>0</v>
      </c>
      <c r="E6" s="131">
        <v>0</v>
      </c>
      <c r="F6" s="133" t="s">
        <v>559</v>
      </c>
      <c r="H6" s="124">
        <v>0.05</v>
      </c>
      <c r="I6" s="120" t="s">
        <v>11</v>
      </c>
    </row>
    <row r="7" spans="1:9" s="7" customFormat="1">
      <c r="A7" s="130" t="s">
        <v>501</v>
      </c>
      <c r="B7" s="131">
        <v>0</v>
      </c>
      <c r="C7" s="131">
        <v>0</v>
      </c>
      <c r="D7" s="131">
        <v>0</v>
      </c>
      <c r="E7" s="131">
        <v>0</v>
      </c>
      <c r="F7" s="133" t="s">
        <v>560</v>
      </c>
    </row>
    <row r="8" spans="1:9" s="7" customFormat="1" ht="30">
      <c r="A8" s="130" t="s">
        <v>502</v>
      </c>
      <c r="B8" s="134">
        <v>48290.523717300101</v>
      </c>
      <c r="C8" s="134">
        <v>48307.831941300894</v>
      </c>
      <c r="D8" s="134">
        <v>48290.523715900097</v>
      </c>
      <c r="E8" s="134">
        <v>48290.5237167995</v>
      </c>
      <c r="F8" s="123" t="s">
        <v>558</v>
      </c>
      <c r="H8" s="135">
        <f>SUMIFS('Form 1.5a (CEC 2025a)'!U:U, 'Form 1.5a (CEC 2025a)'!$B:$B, "NCPA - Greater Bay Area")</f>
        <v>3.7943028258503597E-2</v>
      </c>
      <c r="I8" s="123" t="s">
        <v>579</v>
      </c>
    </row>
    <row r="9" spans="1:9" s="7" customFormat="1" ht="75">
      <c r="A9" s="130" t="s">
        <v>503</v>
      </c>
      <c r="B9" s="203">
        <v>0.39</v>
      </c>
      <c r="C9" s="203">
        <v>0.41</v>
      </c>
      <c r="D9" s="203">
        <v>0.43</v>
      </c>
      <c r="E9" s="203">
        <v>0.45</v>
      </c>
      <c r="F9" s="123" t="s">
        <v>690</v>
      </c>
      <c r="H9" s="16"/>
      <c r="I9" s="2"/>
    </row>
    <row r="10" spans="1:9" s="7" customFormat="1">
      <c r="A10" s="130" t="s">
        <v>504</v>
      </c>
      <c r="B10" s="131">
        <f t="shared" ref="B10:E10" si="1">B4*B9</f>
        <v>149591.48575008896</v>
      </c>
      <c r="C10" s="131">
        <f t="shared" si="1"/>
        <v>164880.29129817506</v>
      </c>
      <c r="D10" s="131">
        <f t="shared" si="1"/>
        <v>182127.53905541319</v>
      </c>
      <c r="E10" s="131">
        <f t="shared" si="1"/>
        <v>201139.10886099443</v>
      </c>
      <c r="F10" s="123" t="s">
        <v>587</v>
      </c>
      <c r="H10" s="99"/>
      <c r="I10" s="12"/>
    </row>
    <row r="11" spans="1:9" s="7" customFormat="1" ht="30">
      <c r="A11" s="130" t="s">
        <v>505</v>
      </c>
      <c r="B11" s="131">
        <f t="shared" ref="B11:E11" si="2">MAX(B5-SUM(B6:B8,B10), B5*$H$6)</f>
        <v>212535.65656490633</v>
      </c>
      <c r="C11" s="131">
        <f t="shared" si="2"/>
        <v>217109.22234356636</v>
      </c>
      <c r="D11" s="131">
        <f t="shared" si="2"/>
        <v>222783.02278518002</v>
      </c>
      <c r="E11" s="131">
        <f t="shared" si="2"/>
        <v>228834.47071390392</v>
      </c>
      <c r="F11" s="123" t="s">
        <v>589</v>
      </c>
    </row>
    <row r="12" spans="1:9" s="7" customFormat="1" ht="46.5">
      <c r="A12" s="130" t="s">
        <v>507</v>
      </c>
      <c r="B12" s="131">
        <f>B6*$H$3+B11*$H$2</f>
        <v>92538.024868360211</v>
      </c>
      <c r="C12" s="131">
        <f>C6*$H$3+C11*$H$2</f>
        <v>94529.355408388801</v>
      </c>
      <c r="D12" s="131">
        <f>D6*$H$3+D11*$H$2</f>
        <v>96999.72812066738</v>
      </c>
      <c r="E12" s="131">
        <f>E6*$H$3+E11*$H$2</f>
        <v>99634.528548833769</v>
      </c>
      <c r="F12" s="136" t="s">
        <v>508</v>
      </c>
    </row>
    <row r="13" spans="1:9" s="7" customFormat="1" ht="72.400000000000006" customHeight="1">
      <c r="A13" s="130"/>
      <c r="B13" s="226" t="s">
        <v>557</v>
      </c>
      <c r="C13" s="227"/>
      <c r="D13" s="228"/>
      <c r="E13" s="137">
        <v>0</v>
      </c>
      <c r="F13" s="136" t="s">
        <v>686</v>
      </c>
    </row>
    <row r="14" spans="1:9" s="7" customFormat="1" ht="33">
      <c r="A14" s="130" t="s">
        <v>509</v>
      </c>
      <c r="B14" s="193">
        <f t="shared" ref="B14:E14" si="3">B12/B5</f>
        <v>0.22547281105847544</v>
      </c>
      <c r="C14" s="193">
        <f t="shared" si="3"/>
        <v>0.21968379860745796</v>
      </c>
      <c r="D14" s="193">
        <f t="shared" si="3"/>
        <v>0.21403242669103442</v>
      </c>
      <c r="E14" s="193">
        <f t="shared" si="3"/>
        <v>0.20832533293443878</v>
      </c>
      <c r="F14" s="123" t="s">
        <v>588</v>
      </c>
    </row>
    <row r="15" spans="1:9" s="7" customFormat="1" ht="33.75" thickBot="1">
      <c r="A15" s="130" t="s">
        <v>511</v>
      </c>
      <c r="B15" s="138">
        <f>$E$13*B14</f>
        <v>0</v>
      </c>
      <c r="C15" s="138">
        <f>$E$13*C14</f>
        <v>0</v>
      </c>
      <c r="D15" s="138">
        <f>$E$13*D14</f>
        <v>0</v>
      </c>
      <c r="E15" s="138">
        <f>$E$13*E14</f>
        <v>0</v>
      </c>
      <c r="F15" s="123" t="s">
        <v>512</v>
      </c>
      <c r="H15"/>
      <c r="I15" s="2"/>
    </row>
    <row r="16" spans="1:9" ht="30.75" thickBot="1">
      <c r="A16" s="20" t="s">
        <v>513</v>
      </c>
      <c r="B16" s="8">
        <f>B12-B15</f>
        <v>92538.024868360211</v>
      </c>
      <c r="C16" s="8">
        <f>C12-C15</f>
        <v>94529.355408388801</v>
      </c>
      <c r="D16" s="8">
        <f>D12-D15</f>
        <v>96999.72812066738</v>
      </c>
      <c r="E16" s="8">
        <f>E12-E15</f>
        <v>99634.528548833769</v>
      </c>
      <c r="F16" s="10" t="s">
        <v>514</v>
      </c>
      <c r="G16" s="7"/>
    </row>
    <row r="17" spans="1:9" ht="15.75">
      <c r="A17" s="9"/>
      <c r="B17" s="9"/>
      <c r="C17" s="9"/>
      <c r="D17" s="9"/>
      <c r="E17" s="9"/>
      <c r="I17" s="2"/>
    </row>
    <row r="18" spans="1:9">
      <c r="A18" s="9"/>
      <c r="B18" s="9"/>
      <c r="C18" s="18"/>
      <c r="D18" s="9"/>
      <c r="E18" s="9"/>
    </row>
  </sheetData>
  <mergeCells count="2">
    <mergeCell ref="B1:F1"/>
    <mergeCell ref="B13:D1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FE256-5C45-4E75-A237-8509ECF1AA8F}">
  <sheetPr codeName="Sheet37"/>
  <dimension ref="A1:J18"/>
  <sheetViews>
    <sheetView zoomScaleNormal="100" workbookViewId="0"/>
  </sheetViews>
  <sheetFormatPr defaultRowHeight="15"/>
  <cols>
    <col min="1" max="1" width="37.7109375" customWidth="1"/>
    <col min="2" max="5" width="11" customWidth="1"/>
    <col min="6" max="6" width="49.28515625" customWidth="1"/>
    <col min="8" max="8" width="8.7109375" customWidth="1"/>
    <col min="9" max="9" width="34.28515625" customWidth="1"/>
    <col min="11" max="11" width="12.28515625" customWidth="1"/>
    <col min="12" max="12" width="14.42578125" customWidth="1"/>
    <col min="13" max="13" width="10.7109375" bestFit="1" customWidth="1"/>
  </cols>
  <sheetData>
    <row r="1" spans="1:10" s="7" customFormat="1" ht="30">
      <c r="A1" s="125" t="s">
        <v>14</v>
      </c>
      <c r="B1" s="223" t="s">
        <v>671</v>
      </c>
      <c r="C1" s="224"/>
      <c r="D1" s="224"/>
      <c r="E1" s="224"/>
      <c r="F1" s="225"/>
      <c r="H1" s="229" t="s">
        <v>4</v>
      </c>
      <c r="I1" s="230"/>
      <c r="J1" s="2"/>
    </row>
    <row r="2" spans="1:10" s="7" customFormat="1" ht="33">
      <c r="A2" s="126" t="s">
        <v>496</v>
      </c>
      <c r="B2" s="127">
        <v>2027</v>
      </c>
      <c r="C2" s="127">
        <v>2028</v>
      </c>
      <c r="D2" s="127">
        <v>2029</v>
      </c>
      <c r="E2" s="128">
        <v>2030</v>
      </c>
      <c r="F2" s="129" t="s">
        <v>497</v>
      </c>
      <c r="H2" s="120">
        <v>0.43540000000000001</v>
      </c>
      <c r="I2" s="62" t="s">
        <v>7</v>
      </c>
    </row>
    <row r="3" spans="1:10" s="7" customFormat="1" ht="30">
      <c r="A3" s="130" t="s">
        <v>584</v>
      </c>
      <c r="B3" s="131">
        <f>SUMIFS('Form 1.5a (CEC 2025a)'!G:G, 'Form 1.5a (CEC 2025a)'!$B:$B, "Anaheim, City of")*1000</f>
        <v>2408336.4659469659</v>
      </c>
      <c r="C3" s="131">
        <f>SUMIFS('Form 1.5a (CEC 2025a)'!H:H, 'Form 1.5a (CEC 2025a)'!$B:$B, "Anaheim, City of")*1000</f>
        <v>2487042.5453192317</v>
      </c>
      <c r="D3" s="131">
        <f>SUMIFS('Form 1.5a (CEC 2025a)'!I:I, 'Form 1.5a (CEC 2025a)'!$B:$B, "Anaheim, City of")*1000</f>
        <v>2576294.6373941866</v>
      </c>
      <c r="E3" s="131">
        <f>SUMIFS('Form 1.5a (CEC 2025a)'!J:J, 'Form 1.5a (CEC 2025a)'!$B:$B, "Anaheim, City of")*1000</f>
        <v>2670755.2310062107</v>
      </c>
      <c r="F3" s="123" t="s">
        <v>577</v>
      </c>
      <c r="H3" s="132">
        <v>0.95946199709706936</v>
      </c>
      <c r="I3" s="123" t="s">
        <v>676</v>
      </c>
    </row>
    <row r="4" spans="1:10" s="7" customFormat="1">
      <c r="A4" s="130" t="s">
        <v>217</v>
      </c>
      <c r="B4" s="131">
        <f>SUMIFS('Form 1.1c (CEC 2025a)'!G:G, 'Form 1.1c (CEC 2025a)'!$B:$B, "Anaheim, City of")*1000</f>
        <v>2254996.6909615784</v>
      </c>
      <c r="C4" s="131">
        <f>SUMIFS('Form 1.1c (CEC 2025a)'!H:H, 'Form 1.1c (CEC 2025a)'!$B:$B, "Anaheim, City of")*1000</f>
        <v>2328691.5218344862</v>
      </c>
      <c r="D4" s="131">
        <f>SUMIFS('Form 1.1c (CEC 2025a)'!I:I, 'Form 1.1c (CEC 2025a)'!$B:$B, "Anaheim, City of")*1000</f>
        <v>2412260.8964365046</v>
      </c>
      <c r="E4" s="131">
        <f>SUMIFS('Form 1.1c (CEC 2025a)'!J:J, 'Form 1.1c (CEC 2025a)'!$B:$B, "Anaheim, City of")*1000</f>
        <v>2500707.1451369012</v>
      </c>
      <c r="F4" s="123" t="s">
        <v>578</v>
      </c>
      <c r="H4" s="122">
        <f>0.15</f>
        <v>0.15</v>
      </c>
      <c r="I4" s="123" t="s">
        <v>498</v>
      </c>
    </row>
    <row r="5" spans="1:10" s="7" customFormat="1" ht="30">
      <c r="A5" s="130" t="s">
        <v>585</v>
      </c>
      <c r="B5" s="131">
        <f t="shared" ref="B5:E5" si="0">IF(0&lt;(B4-B3),B4*(1+$H$5),B3)</f>
        <v>2408336.4659469659</v>
      </c>
      <c r="C5" s="131">
        <f t="shared" si="0"/>
        <v>2487042.5453192317</v>
      </c>
      <c r="D5" s="131">
        <f t="shared" si="0"/>
        <v>2576294.6373941866</v>
      </c>
      <c r="E5" s="131">
        <f t="shared" si="0"/>
        <v>2670755.2310062107</v>
      </c>
      <c r="F5" s="123" t="s">
        <v>586</v>
      </c>
      <c r="H5" s="122">
        <f>0.07</f>
        <v>7.0000000000000007E-2</v>
      </c>
      <c r="I5" s="123" t="s">
        <v>499</v>
      </c>
    </row>
    <row r="6" spans="1:10" s="7" customFormat="1">
      <c r="A6" s="130" t="s">
        <v>500</v>
      </c>
      <c r="B6" s="131">
        <v>0</v>
      </c>
      <c r="C6" s="131">
        <v>0</v>
      </c>
      <c r="D6" s="131">
        <v>0</v>
      </c>
      <c r="E6" s="131">
        <v>0</v>
      </c>
      <c r="F6" s="139" t="s">
        <v>515</v>
      </c>
      <c r="H6" s="124">
        <v>0.05</v>
      </c>
      <c r="I6" s="123" t="s">
        <v>516</v>
      </c>
    </row>
    <row r="7" spans="1:10" s="7" customFormat="1">
      <c r="A7" s="130" t="s">
        <v>501</v>
      </c>
      <c r="B7" s="131">
        <v>0</v>
      </c>
      <c r="C7" s="131">
        <v>0</v>
      </c>
      <c r="D7" s="131">
        <v>0</v>
      </c>
      <c r="E7" s="131">
        <v>0</v>
      </c>
      <c r="F7" s="140" t="s">
        <v>517</v>
      </c>
      <c r="I7" s="12"/>
    </row>
    <row r="8" spans="1:10" s="7" customFormat="1" ht="30">
      <c r="A8" s="130" t="s">
        <v>502</v>
      </c>
      <c r="B8" s="131">
        <v>26055.09</v>
      </c>
      <c r="C8" s="131">
        <v>26569.510000000002</v>
      </c>
      <c r="D8" s="131">
        <v>25061.61</v>
      </c>
      <c r="E8" s="131">
        <v>24575.91</v>
      </c>
      <c r="F8" s="123" t="s">
        <v>564</v>
      </c>
      <c r="H8" s="135">
        <f>SUMIFS('Form 1.5a (CEC 2025a)'!U:U, 'Form 1.5a (CEC 2025a)'!$B:$B, "Anaheim, City of")</f>
        <v>2.6865304973805681E-2</v>
      </c>
      <c r="I8" s="123" t="s">
        <v>579</v>
      </c>
    </row>
    <row r="9" spans="1:10" s="7" customFormat="1" ht="75">
      <c r="A9" s="130" t="s">
        <v>503</v>
      </c>
      <c r="B9" s="203">
        <v>0.39</v>
      </c>
      <c r="C9" s="203">
        <v>0.41</v>
      </c>
      <c r="D9" s="203">
        <v>0.43</v>
      </c>
      <c r="E9" s="203">
        <v>0.45</v>
      </c>
      <c r="F9" s="123" t="s">
        <v>690</v>
      </c>
      <c r="H9" s="16"/>
      <c r="I9" s="2"/>
    </row>
    <row r="10" spans="1:10" s="7" customFormat="1">
      <c r="A10" s="130" t="s">
        <v>504</v>
      </c>
      <c r="B10" s="131">
        <f t="shared" ref="B10:E10" si="1">B4*B9</f>
        <v>879448.70947501564</v>
      </c>
      <c r="C10" s="131">
        <f t="shared" si="1"/>
        <v>954763.52395213931</v>
      </c>
      <c r="D10" s="131">
        <f t="shared" si="1"/>
        <v>1037272.185467697</v>
      </c>
      <c r="E10" s="131">
        <f t="shared" si="1"/>
        <v>1125318.2153116055</v>
      </c>
      <c r="F10" s="123" t="s">
        <v>587</v>
      </c>
      <c r="H10" s="115"/>
      <c r="I10" s="12"/>
      <c r="J10" s="115"/>
    </row>
    <row r="11" spans="1:10" s="7" customFormat="1" ht="30">
      <c r="A11" s="130" t="s">
        <v>505</v>
      </c>
      <c r="B11" s="131">
        <f t="shared" ref="B11:E11" si="2">MAX(B5-SUM(B6:B8,B10), B5*$H$6)</f>
        <v>1502832.6664719502</v>
      </c>
      <c r="C11" s="131">
        <f t="shared" si="2"/>
        <v>1505709.5113670924</v>
      </c>
      <c r="D11" s="131">
        <f t="shared" si="2"/>
        <v>1513960.8419264895</v>
      </c>
      <c r="E11" s="131">
        <f t="shared" si="2"/>
        <v>1520861.1056946053</v>
      </c>
      <c r="F11" s="123" t="s">
        <v>589</v>
      </c>
      <c r="H11" s="115"/>
      <c r="J11" s="115"/>
    </row>
    <row r="12" spans="1:10" s="7" customFormat="1" ht="46.5">
      <c r="A12" s="130" t="s">
        <v>507</v>
      </c>
      <c r="B12" s="131">
        <f>B6*$H$3+B11*$H$2</f>
        <v>654333.34298188717</v>
      </c>
      <c r="C12" s="131">
        <f>C6*$H$3+C11*$H$2</f>
        <v>655585.92124923202</v>
      </c>
      <c r="D12" s="131">
        <f>D6*$H$3+D11*$H$2</f>
        <v>659178.55057479348</v>
      </c>
      <c r="E12" s="131">
        <f>E6*$H$3+E11*$H$2</f>
        <v>662182.92541943118</v>
      </c>
      <c r="F12" s="136" t="s">
        <v>508</v>
      </c>
      <c r="H12" s="115"/>
    </row>
    <row r="13" spans="1:10" s="7" customFormat="1" ht="72.400000000000006" customHeight="1">
      <c r="A13" s="130"/>
      <c r="B13" s="226" t="s">
        <v>557</v>
      </c>
      <c r="C13" s="227"/>
      <c r="D13" s="228"/>
      <c r="E13" s="137">
        <v>0</v>
      </c>
      <c r="F13" s="136" t="s">
        <v>686</v>
      </c>
      <c r="H13" s="115"/>
    </row>
    <row r="14" spans="1:10" s="7" customFormat="1" ht="33">
      <c r="A14" s="130" t="s">
        <v>509</v>
      </c>
      <c r="B14" s="193">
        <f t="shared" ref="B14:E14" si="3">B12/B5</f>
        <v>0.27169515233188196</v>
      </c>
      <c r="C14" s="193">
        <f t="shared" si="3"/>
        <v>0.2636006056603597</v>
      </c>
      <c r="D14" s="193">
        <f t="shared" si="3"/>
        <v>0.25586302940937095</v>
      </c>
      <c r="E14" s="193">
        <f t="shared" si="3"/>
        <v>0.24793845491035615</v>
      </c>
      <c r="F14" s="123" t="s">
        <v>588</v>
      </c>
      <c r="H14"/>
      <c r="I14"/>
    </row>
    <row r="15" spans="1:10" s="7" customFormat="1" ht="33.75" thickBot="1">
      <c r="A15" s="130" t="s">
        <v>511</v>
      </c>
      <c r="B15" s="138">
        <f>$E$13*B14</f>
        <v>0</v>
      </c>
      <c r="C15" s="138">
        <f>$E$13*C14</f>
        <v>0</v>
      </c>
      <c r="D15" s="138">
        <f>$E$13*D14</f>
        <v>0</v>
      </c>
      <c r="E15" s="138">
        <f>$E$13*E14</f>
        <v>0</v>
      </c>
      <c r="F15" s="123" t="s">
        <v>518</v>
      </c>
      <c r="H15"/>
      <c r="I15"/>
    </row>
    <row r="16" spans="1:10" ht="30.75" thickBot="1">
      <c r="A16" s="20" t="s">
        <v>513</v>
      </c>
      <c r="B16" s="8">
        <f>B12-B15</f>
        <v>654333.34298188717</v>
      </c>
      <c r="C16" s="8">
        <f>C12-C15</f>
        <v>655585.92124923202</v>
      </c>
      <c r="D16" s="8">
        <f>D12-D15</f>
        <v>659178.55057479348</v>
      </c>
      <c r="E16" s="8">
        <f>E12-E15</f>
        <v>662182.92541943118</v>
      </c>
      <c r="F16" s="10" t="s">
        <v>514</v>
      </c>
    </row>
    <row r="17" spans="1:9" ht="15.75">
      <c r="A17" s="9"/>
      <c r="B17" s="9"/>
      <c r="C17" s="9"/>
      <c r="D17" s="9"/>
      <c r="E17" s="9"/>
      <c r="H17" s="3"/>
      <c r="I17" s="5"/>
    </row>
    <row r="18" spans="1:9">
      <c r="A18" s="9"/>
      <c r="B18" s="9"/>
      <c r="C18" s="9"/>
      <c r="D18" s="9"/>
      <c r="E18" s="9"/>
    </row>
  </sheetData>
  <mergeCells count="3">
    <mergeCell ref="B13:D13"/>
    <mergeCell ref="B1:F1"/>
    <mergeCell ref="H1:I1"/>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01af37b-b357-48b0-a576-b64b7e6d7c4b" xsi:nil="true"/>
    <SharedWithUsers xmlns="f01af37b-b357-48b0-a576-b64b7e6d7c4b">
      <UserInfo>
        <DisplayName>Gold, Rachel@ARB</DisplayName>
        <AccountId>136</AccountId>
        <AccountType/>
      </UserInfo>
      <UserInfo>
        <DisplayName>Kolic, Paulina@ARB</DisplayName>
        <AccountId>208</AccountId>
        <AccountType/>
      </UserInfo>
    </SharedWithUsers>
    <lcf76f155ced4ddcb4097134ff3c332f xmlns="ce710ea3-5396-4192-94ba-3b7cd62df4a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84D34BA6438E74A946D1D53D65B03D6" ma:contentTypeVersion="18" ma:contentTypeDescription="Create a new document." ma:contentTypeScope="" ma:versionID="a3dcae8309cb613abf2b6341e531d299">
  <xsd:schema xmlns:xsd="http://www.w3.org/2001/XMLSchema" xmlns:xs="http://www.w3.org/2001/XMLSchema" xmlns:p="http://schemas.microsoft.com/office/2006/metadata/properties" xmlns:ns2="ce710ea3-5396-4192-94ba-3b7cd62df4a5" xmlns:ns3="f01af37b-b357-48b0-a576-b64b7e6d7c4b" targetNamespace="http://schemas.microsoft.com/office/2006/metadata/properties" ma:root="true" ma:fieldsID="894670acbfcd165e27047a57d5bc1a0d" ns2:_="" ns3:_="">
    <xsd:import namespace="ce710ea3-5396-4192-94ba-3b7cd62df4a5"/>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3:TaxCatchAll" minOccurs="0"/>
                <xsd:element ref="ns2:MediaServiceGenerationTime" minOccurs="0"/>
                <xsd:element ref="ns2:MediaServiceEventHashCode" minOccurs="0"/>
                <xsd:element ref="ns2:MediaServiceLocation" minOccurs="0"/>
                <xsd:element ref="ns2:lcf76f155ced4ddcb4097134ff3c332f" minOccurs="0"/>
                <xsd:element ref="ns2:MediaServiceOC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710ea3-5396-4192-94ba-3b7cd62df4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F507A8-A3BF-42F4-BAF4-DACC7F4846E6}">
  <ds:schemaRefs>
    <ds:schemaRef ds:uri="http://schemas.microsoft.com/office/2006/documentManagement/types"/>
    <ds:schemaRef ds:uri="http://purl.org/dc/dcmitype/"/>
    <ds:schemaRef ds:uri="http://purl.org/dc/terms/"/>
    <ds:schemaRef ds:uri="f01af37b-b357-48b0-a576-b64b7e6d7c4b"/>
    <ds:schemaRef ds:uri="40a1cdc2-a4a3-4f0f-a6a7-29bb8b6da483"/>
    <ds:schemaRef ds:uri="http://schemas.microsoft.com/sharepoint/v3"/>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1C22ECC-ECA5-46BE-B8E6-5AE5B310B462}">
  <ds:schemaRefs>
    <ds:schemaRef ds:uri="http://schemas.microsoft.com/sharepoint/v3/contenttype/forms"/>
  </ds:schemaRefs>
</ds:datastoreItem>
</file>

<file path=customXml/itemProps3.xml><?xml version="1.0" encoding="utf-8"?>
<ds:datastoreItem xmlns:ds="http://schemas.openxmlformats.org/officeDocument/2006/customXml" ds:itemID="{05ADE84B-A9AF-44ED-9B64-279218710CE1}"/>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65</vt:i4>
      </vt:variant>
    </vt:vector>
  </HeadingPairs>
  <TitlesOfParts>
    <vt:vector size="65" baseType="lpstr">
      <vt:lpstr>Information</vt:lpstr>
      <vt:lpstr>Form 1.5a (CEC 2025a)</vt:lpstr>
      <vt:lpstr>Form 1.1c (CEC 2025a)</vt:lpstr>
      <vt:lpstr>2027-2030 Allocation</vt:lpstr>
      <vt:lpstr>2021 PCL (CEC 2023b)</vt:lpstr>
      <vt:lpstr>2022 PCL (CEC 2024b)</vt:lpstr>
      <vt:lpstr>2023 PCL (CEC2025b)</vt:lpstr>
      <vt:lpstr>Alameda</vt:lpstr>
      <vt:lpstr>Anaheim</vt:lpstr>
      <vt:lpstr>Anza</vt:lpstr>
      <vt:lpstr>Azusa</vt:lpstr>
      <vt:lpstr>Banning</vt:lpstr>
      <vt:lpstr>Bear Valley</vt:lpstr>
      <vt:lpstr>Biggs</vt:lpstr>
      <vt:lpstr>Burbank</vt:lpstr>
      <vt:lpstr>CCSF</vt:lpstr>
      <vt:lpstr>Cerritos</vt:lpstr>
      <vt:lpstr>Colton</vt:lpstr>
      <vt:lpstr>Corona</vt:lpstr>
      <vt:lpstr>Eastside</vt:lpstr>
      <vt:lpstr>Glendale</vt:lpstr>
      <vt:lpstr>Gridley</vt:lpstr>
      <vt:lpstr>Healdsburg</vt:lpstr>
      <vt:lpstr>ImperialID</vt:lpstr>
      <vt:lpstr>Industry</vt:lpstr>
      <vt:lpstr>Kirkwood</vt:lpstr>
      <vt:lpstr>LADWP</vt:lpstr>
      <vt:lpstr>Lassen</vt:lpstr>
      <vt:lpstr>Lathrop</vt:lpstr>
      <vt:lpstr>Liberty</vt:lpstr>
      <vt:lpstr>Lodi</vt:lpstr>
      <vt:lpstr>Lompoc</vt:lpstr>
      <vt:lpstr>MercedID</vt:lpstr>
      <vt:lpstr>ModestoID</vt:lpstr>
      <vt:lpstr>MorenoValley</vt:lpstr>
      <vt:lpstr>Needles</vt:lpstr>
      <vt:lpstr>Oakland</vt:lpstr>
      <vt:lpstr>Pacificorp</vt:lpstr>
      <vt:lpstr>Palo Alto</vt:lpstr>
      <vt:lpstr>Pasadena</vt:lpstr>
      <vt:lpstr>PGE</vt:lpstr>
      <vt:lpstr>PGE CCA PCL</vt:lpstr>
      <vt:lpstr>Pittsburg</vt:lpstr>
      <vt:lpstr>PlumasSierra</vt:lpstr>
      <vt:lpstr>PWRPA</vt:lpstr>
      <vt:lpstr>RanchoCucamonga</vt:lpstr>
      <vt:lpstr>Redding</vt:lpstr>
      <vt:lpstr>Riverside</vt:lpstr>
      <vt:lpstr>Roseville</vt:lpstr>
      <vt:lpstr>SCE</vt:lpstr>
      <vt:lpstr>SCE CCAs PCL</vt:lpstr>
      <vt:lpstr>SDGE</vt:lpstr>
      <vt:lpstr>ShastaLake</vt:lpstr>
      <vt:lpstr>SiliconValley</vt:lpstr>
      <vt:lpstr>SMUD</vt:lpstr>
      <vt:lpstr>Stockton</vt:lpstr>
      <vt:lpstr>SurpriseValley</vt:lpstr>
      <vt:lpstr>Trinity</vt:lpstr>
      <vt:lpstr>TruckeeDonner</vt:lpstr>
      <vt:lpstr>TurlockID</vt:lpstr>
      <vt:lpstr>Ukiah</vt:lpstr>
      <vt:lpstr>Victorville</vt:lpstr>
      <vt:lpstr>ValleyElectric</vt:lpstr>
      <vt:lpstr>Vernon</vt:lpstr>
      <vt:lpstr>WAPA</vt:lpstr>
    </vt:vector>
  </TitlesOfParts>
  <Manager/>
  <Company>carb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B EDU Allocation Calculation Spreadsheet</dc:title>
  <dc:subject/>
  <dc:creator>CARB</dc:creator>
  <cp:keywords/>
  <dc:description/>
  <cp:lastModifiedBy>CARB</cp:lastModifiedBy>
  <cp:revision/>
  <cp:lastPrinted>2026-03-23T17:52:34Z</cp:lastPrinted>
  <dcterms:created xsi:type="dcterms:W3CDTF">2016-04-14T23:43:30Z</dcterms:created>
  <dcterms:modified xsi:type="dcterms:W3CDTF">2026-04-14T03:26:09Z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0x010100484D34BA6438E74A946D1D53D65B03D6</vt:lpwstr>
  </property>
  <property fmtid="{D5CDD505-2E9C-101B-9397-08002B2CF9AE}" pid="3" name="Order">
    <vt:r8>21720600</vt:r8>
  </property>
  <property fmtid="{D5CDD505-2E9C-101B-9397-08002B2CF9AE}" pid="4" name="MediaServiceImageTags">
    <vt:lpwstr/>
  </property>
</Properties>
</file>