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mc:AlternateContent xmlns:mc="http://schemas.openxmlformats.org/markup-compatibility/2006">
    <mc:Choice Requires="x15">
      <x15ac:absPath xmlns:x15ac="http://schemas.microsoft.com/office/spreadsheetml/2010/11/ac" url="https://carb.sharepoint.com/sites/STCD/CIB/CIBS/CARB FRIP/FY 22-23/QM/Revised Final_November 2024/"/>
    </mc:Choice>
  </mc:AlternateContent>
  <xr:revisionPtr revIDLastSave="124" documentId="13_ncr:1_{4EB103E5-263F-468E-A62D-07DAE5621BE6}" xr6:coauthVersionLast="47" xr6:coauthVersionMax="47" xr10:uidLastSave="{D673379E-6675-469F-A0FA-3C3705F2AA24}"/>
  <bookViews>
    <workbookView xWindow="-120" yWindow="-120" windowWidth="29040" windowHeight="15840" tabRatio="836" xr2:uid="{00000000-000D-0000-FFFF-FFFF00000000}"/>
  </bookViews>
  <sheets>
    <sheet name="Read Me" sheetId="17" r:id="rId1"/>
    <sheet name="1. Project Info" sheetId="24" r:id="rId2"/>
    <sheet name="2. Inputs" sheetId="42" r:id="rId3"/>
    <sheet name="3. Benefits Summary" sheetId="22" r:id="rId4"/>
    <sheet name="Definitions and Conversions" sheetId="29" r:id="rId5"/>
    <sheet name="Documentation" sheetId="26" r:id="rId6"/>
    <sheet name="AB 1550 Benefits &lt;HIDE&gt;" sheetId="38" state="hidden" r:id="rId7"/>
    <sheet name="Defaults &lt;HIDE&gt;" sheetId="31" state="hidden" r:id="rId8"/>
    <sheet name="Calculations &lt;HIDE&gt;" sheetId="33" state="hidden" r:id="rId9"/>
    <sheet name="Emission Factors &lt;HIDE&gt;" sheetId="32" state="hidden" r:id="rId10"/>
    <sheet name="Fuel Prices &lt;HIDE&gt;" sheetId="39" state="hidden" r:id="rId11"/>
    <sheet name="CCIRTS &lt;HIDE&gt;" sheetId="44" state="hidden" r:id="rId12"/>
    <sheet name="Eligibility &lt;DO NOT USE&gt;" sheetId="45" state="hidden" r:id="rId13"/>
  </sheets>
  <externalReferences>
    <externalReference r:id="rId14"/>
    <externalReference r:id="rId15"/>
  </externalReferences>
  <definedNames>
    <definedName name="_ftnref2" localSheetId="10">'Fuel Prices &lt;HIDE&gt;'!$B$25</definedName>
    <definedName name="_Toc525572044" localSheetId="10">'Fuel Prices &lt;HIDE&gt;'!$B$16</definedName>
    <definedName name="BCS">'[1]Other '!$J$17:$J$18</definedName>
    <definedName name="County">'[1]Other '!$A$2:$A$59</definedName>
    <definedName name="d"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Fuels">'[1]Other '!$F$2:$F$8</definedName>
    <definedName name="Hundred">'[1]Other '!$E$17:$E$37</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nanaerobic">'[1]Other '!$C$2:$C$15</definedName>
    <definedName name="_xlnm.Print_Area" localSheetId="1">'1. Project Info'!$L$1:$M$13</definedName>
    <definedName name="_xlnm.Print_Area" localSheetId="3">'3. Benefits Summary'!$B$1:$D$9</definedName>
    <definedName name="_xlnm.Print_Area" localSheetId="6">'AB 1550 Benefits &lt;HIDE&gt;'!$A$1:$F$44</definedName>
    <definedName name="_xlnm.Print_Area" localSheetId="8">'Calculations &lt;HIDE&gt;'!$A$1:$E$23</definedName>
    <definedName name="_xlnm.Print_Area" localSheetId="5">Documentation!$B$1:$G$30</definedName>
    <definedName name="_xlnm.Print_Area" localSheetId="12">'Eligibility &lt;DO NOT USE&gt;'!$A$1:$F$145</definedName>
    <definedName name="_xlnm.Print_Area" localSheetId="10">'Fuel Prices &lt;HIDE&gt;'!$A$1:$F$34</definedName>
    <definedName name="s"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solsep">'[1]Other '!$J$31:$J$38</definedName>
    <definedName name="sources">'[1]Other '!$J$23:$J$26</definedName>
    <definedName name="yes">'[1]Other '!$J$28:$J$29</definedName>
    <definedName name="YN">'[1]Other '!$J$28:$J$29</definedName>
  </definedNames>
  <calcPr calcId="191028"/>
  <customWorkbookViews>
    <customWorkbookView name="Jimmy Steele - Personal View" guid="{DEDCE137-B42D-4581-9621-E878B14CB7C9}" mergeInterval="0" personalView="1" maximized="1" xWindow="-8" yWindow="-8" windowWidth="1936" windowHeight="11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42" l="1"/>
  <c r="AB18" i="42"/>
  <c r="AB19" i="42"/>
  <c r="AB20" i="42"/>
  <c r="AB21" i="42"/>
  <c r="AB22" i="42"/>
  <c r="AB23" i="42"/>
  <c r="AB24" i="42"/>
  <c r="AB25" i="42"/>
  <c r="AB26" i="42"/>
  <c r="AB27" i="42"/>
  <c r="AB28" i="42"/>
  <c r="AB29" i="42"/>
  <c r="AB30" i="42"/>
  <c r="AB31" i="42"/>
  <c r="AB32" i="42"/>
  <c r="AB33" i="42"/>
  <c r="AB34" i="42"/>
  <c r="AB35" i="42"/>
  <c r="AB36" i="42"/>
  <c r="AB37" i="42"/>
  <c r="AB38" i="42"/>
  <c r="AB39" i="42"/>
  <c r="AL17" i="33" l="1"/>
  <c r="AL18" i="33"/>
  <c r="AL19" i="33"/>
  <c r="AL20" i="33"/>
  <c r="AL21" i="33"/>
  <c r="AL22" i="33"/>
  <c r="AL23" i="33"/>
  <c r="AL24" i="33"/>
  <c r="AL25" i="33"/>
  <c r="AL26" i="33"/>
  <c r="AL27" i="33"/>
  <c r="AL28" i="33"/>
  <c r="AL29" i="33"/>
  <c r="AL30" i="33"/>
  <c r="AL31" i="33"/>
  <c r="AL32" i="33"/>
  <c r="AL33" i="33"/>
  <c r="AL34" i="33"/>
  <c r="AL35" i="33"/>
  <c r="AL36" i="33"/>
  <c r="AL37" i="33"/>
  <c r="AL38" i="33"/>
  <c r="AL39" i="33"/>
  <c r="Z16" i="42" a="1"/>
  <c r="Z16" i="42" s="1"/>
  <c r="Z17" i="42" a="1"/>
  <c r="Z17" i="42" s="1"/>
  <c r="Z18" i="42" a="1"/>
  <c r="Z18" i="42" s="1"/>
  <c r="Z19" i="42" a="1"/>
  <c r="Z19" i="42" s="1"/>
  <c r="Z20" i="42" a="1"/>
  <c r="Z20" i="42" s="1"/>
  <c r="Z21" i="42" a="1"/>
  <c r="Z21" i="42" s="1"/>
  <c r="Z22" i="42" a="1"/>
  <c r="Z22" i="42" s="1"/>
  <c r="Z23" i="42" a="1"/>
  <c r="Z23" i="42" s="1"/>
  <c r="Z24" i="42" a="1"/>
  <c r="Z24" i="42" s="1"/>
  <c r="Z25" i="42" a="1"/>
  <c r="Z25" i="42" s="1"/>
  <c r="Z26" i="42" a="1"/>
  <c r="Z26" i="42" s="1"/>
  <c r="Z27" i="42" a="1"/>
  <c r="Z27" i="42" s="1"/>
  <c r="Z28" i="42" a="1"/>
  <c r="Z28" i="42" s="1"/>
  <c r="Z29" i="42" a="1"/>
  <c r="Z29" i="42" s="1"/>
  <c r="Z30" i="42" a="1"/>
  <c r="Z30" i="42" s="1"/>
  <c r="Z31" i="42" a="1"/>
  <c r="Z31" i="42" s="1"/>
  <c r="Z32" i="42" a="1"/>
  <c r="Z32" i="42" s="1"/>
  <c r="Z33" i="42" a="1"/>
  <c r="Z33" i="42" s="1"/>
  <c r="Z34" i="42" a="1"/>
  <c r="Z34" i="42" s="1"/>
  <c r="Z35" i="42" a="1"/>
  <c r="Z35" i="42" s="1"/>
  <c r="Z36" i="42" a="1"/>
  <c r="Z36" i="42" s="1"/>
  <c r="Z37" i="42" a="1"/>
  <c r="Z37" i="42" s="1"/>
  <c r="Z38" i="42" a="1"/>
  <c r="Z38" i="42" s="1"/>
  <c r="Z39" i="42" a="1"/>
  <c r="Z39" i="42" s="1"/>
  <c r="Z15" i="42" a="1"/>
  <c r="Z15" i="42" s="1"/>
  <c r="U16" i="42" a="1"/>
  <c r="U16" i="42" s="1"/>
  <c r="U17" i="42" a="1"/>
  <c r="U17" i="42" s="1"/>
  <c r="U18" i="42" a="1"/>
  <c r="U18" i="42" s="1"/>
  <c r="U19" i="42" a="1"/>
  <c r="U19" i="42" s="1"/>
  <c r="U20" i="42" a="1"/>
  <c r="U20" i="42" s="1"/>
  <c r="U21" i="42" a="1"/>
  <c r="U21" i="42" s="1"/>
  <c r="U22" i="42" a="1"/>
  <c r="U22" i="42" s="1"/>
  <c r="U23" i="42" a="1"/>
  <c r="U23" i="42" s="1"/>
  <c r="U24" i="42" a="1"/>
  <c r="U24" i="42" s="1"/>
  <c r="U25" i="42" a="1"/>
  <c r="U25" i="42" s="1"/>
  <c r="U26" i="42" a="1"/>
  <c r="U26" i="42" s="1"/>
  <c r="U27" i="42" a="1"/>
  <c r="U27" i="42" s="1"/>
  <c r="U28" i="42" a="1"/>
  <c r="U28" i="42" s="1"/>
  <c r="U29" i="42" a="1"/>
  <c r="U29" i="42" s="1"/>
  <c r="U30" i="42" a="1"/>
  <c r="U30" i="42" s="1"/>
  <c r="U31" i="42" a="1"/>
  <c r="U31" i="42" s="1"/>
  <c r="U32" i="42" a="1"/>
  <c r="U32" i="42" s="1"/>
  <c r="U33" i="42" a="1"/>
  <c r="U33" i="42" s="1"/>
  <c r="U34" i="42" a="1"/>
  <c r="U34" i="42" s="1"/>
  <c r="U35" i="42" a="1"/>
  <c r="U35" i="42" s="1"/>
  <c r="U36" i="42" a="1"/>
  <c r="U36" i="42" s="1"/>
  <c r="U37" i="42" a="1"/>
  <c r="U37" i="42" s="1"/>
  <c r="U38" i="42" a="1"/>
  <c r="U38" i="42" s="1"/>
  <c r="U39" i="42" a="1"/>
  <c r="U39" i="42" s="1"/>
  <c r="U15" i="42" a="1"/>
  <c r="U15" i="42" s="1"/>
  <c r="CE15" i="33" l="1"/>
  <c r="CG16" i="33"/>
  <c r="CG17" i="33"/>
  <c r="CG18" i="33"/>
  <c r="CG19" i="33"/>
  <c r="CG20" i="33"/>
  <c r="CG21" i="33"/>
  <c r="CG22" i="33"/>
  <c r="CG23" i="33"/>
  <c r="CG24" i="33"/>
  <c r="CG25" i="33"/>
  <c r="CG26" i="33"/>
  <c r="CG27" i="33"/>
  <c r="CG28" i="33"/>
  <c r="CG29" i="33"/>
  <c r="CG30" i="33"/>
  <c r="CG31" i="33"/>
  <c r="CG32" i="33"/>
  <c r="CG33" i="33"/>
  <c r="CG34" i="33"/>
  <c r="CG35" i="33"/>
  <c r="CG36" i="33"/>
  <c r="CG37" i="33"/>
  <c r="CG38" i="33"/>
  <c r="CG39" i="33"/>
  <c r="CG15" i="33"/>
  <c r="CE16" i="33"/>
  <c r="CE17" i="33"/>
  <c r="CE18" i="33"/>
  <c r="CE19" i="33"/>
  <c r="CE20" i="33"/>
  <c r="CE21" i="33"/>
  <c r="CE22" i="33"/>
  <c r="CE23" i="33"/>
  <c r="CE24" i="33"/>
  <c r="CE25" i="33"/>
  <c r="CE26" i="33"/>
  <c r="CE27" i="33"/>
  <c r="CE28" i="33"/>
  <c r="CE29" i="33"/>
  <c r="CE30" i="33"/>
  <c r="CE31" i="33"/>
  <c r="CE32" i="33"/>
  <c r="CE33" i="33"/>
  <c r="CE34" i="33"/>
  <c r="CE35" i="33"/>
  <c r="CE36" i="33"/>
  <c r="CE37" i="33"/>
  <c r="CE38" i="33"/>
  <c r="CE39" i="33"/>
  <c r="CB16" i="33"/>
  <c r="CB17" i="33"/>
  <c r="CB18" i="33"/>
  <c r="CB19" i="33"/>
  <c r="CB20" i="33"/>
  <c r="CB21" i="33"/>
  <c r="CB22" i="33"/>
  <c r="CB23" i="33"/>
  <c r="CB24" i="33"/>
  <c r="CB25" i="33"/>
  <c r="CB26" i="33"/>
  <c r="CB27" i="33"/>
  <c r="CB28" i="33"/>
  <c r="CB29" i="33"/>
  <c r="CB30" i="33"/>
  <c r="CB31" i="33"/>
  <c r="CB32" i="33"/>
  <c r="CB33" i="33"/>
  <c r="CB34" i="33"/>
  <c r="CB35" i="33"/>
  <c r="CB36" i="33"/>
  <c r="CB37" i="33"/>
  <c r="CB38" i="33"/>
  <c r="CB39" i="33"/>
  <c r="CB15" i="33"/>
  <c r="BZ16" i="33"/>
  <c r="BZ17" i="33"/>
  <c r="BZ18" i="33"/>
  <c r="BZ19" i="33"/>
  <c r="BZ20" i="33"/>
  <c r="BZ21" i="33"/>
  <c r="BZ22" i="33"/>
  <c r="BZ23" i="33"/>
  <c r="BZ24" i="33"/>
  <c r="BZ25" i="33"/>
  <c r="BZ26" i="33"/>
  <c r="BZ27" i="33"/>
  <c r="BZ28" i="33"/>
  <c r="BZ29" i="33"/>
  <c r="BZ30" i="33"/>
  <c r="BZ31" i="33"/>
  <c r="BZ32" i="33"/>
  <c r="BZ33" i="33"/>
  <c r="BZ34" i="33"/>
  <c r="BZ35" i="33"/>
  <c r="BZ36" i="33"/>
  <c r="BZ37" i="33"/>
  <c r="BZ38" i="33"/>
  <c r="BZ39" i="33"/>
  <c r="BZ15" i="33"/>
  <c r="Y16" i="42"/>
  <c r="Y17" i="42"/>
  <c r="Y18" i="42"/>
  <c r="Y19" i="42"/>
  <c r="Y20" i="42"/>
  <c r="Y21" i="42"/>
  <c r="Y22" i="42"/>
  <c r="Y23" i="42"/>
  <c r="Y24" i="42"/>
  <c r="Y25" i="42"/>
  <c r="Y26" i="42"/>
  <c r="Y27" i="42"/>
  <c r="Y28" i="42"/>
  <c r="Y29" i="42"/>
  <c r="Y30" i="42"/>
  <c r="Y31" i="42"/>
  <c r="Y32" i="42"/>
  <c r="Y33" i="42"/>
  <c r="Y34" i="42"/>
  <c r="Y35" i="42"/>
  <c r="Y36" i="42"/>
  <c r="Y37" i="42"/>
  <c r="Y38" i="42"/>
  <c r="Y39" i="42"/>
  <c r="Y15" i="42"/>
  <c r="W16" i="42"/>
  <c r="W17" i="42"/>
  <c r="W18" i="42"/>
  <c r="W19" i="42"/>
  <c r="W20" i="42"/>
  <c r="W21" i="42"/>
  <c r="W22" i="42"/>
  <c r="W23" i="42"/>
  <c r="W24" i="42"/>
  <c r="W25" i="42"/>
  <c r="W26" i="42"/>
  <c r="W27" i="42"/>
  <c r="W28" i="42"/>
  <c r="W29" i="42"/>
  <c r="W30" i="42"/>
  <c r="W31" i="42"/>
  <c r="W32" i="42"/>
  <c r="W33" i="42"/>
  <c r="W34" i="42"/>
  <c r="W35" i="42"/>
  <c r="W36" i="42"/>
  <c r="W37" i="42"/>
  <c r="W38" i="42"/>
  <c r="W39" i="42"/>
  <c r="W15" i="42"/>
  <c r="T16" i="42"/>
  <c r="T17" i="42"/>
  <c r="T18" i="42"/>
  <c r="T19" i="42"/>
  <c r="T20" i="42"/>
  <c r="T21" i="42"/>
  <c r="T22" i="42"/>
  <c r="T23" i="42"/>
  <c r="T24" i="42"/>
  <c r="T25" i="42"/>
  <c r="T26" i="42"/>
  <c r="T27" i="42"/>
  <c r="T28" i="42"/>
  <c r="T29" i="42"/>
  <c r="T30" i="42"/>
  <c r="T31" i="42"/>
  <c r="T32" i="42"/>
  <c r="T33" i="42"/>
  <c r="T34" i="42"/>
  <c r="T35" i="42"/>
  <c r="T36" i="42"/>
  <c r="T37" i="42"/>
  <c r="T38" i="42"/>
  <c r="T39" i="42"/>
  <c r="T15" i="42"/>
  <c r="R15" i="42"/>
  <c r="R16" i="42"/>
  <c r="R17" i="42"/>
  <c r="R18" i="42"/>
  <c r="R19" i="42"/>
  <c r="R20" i="42"/>
  <c r="R21" i="42"/>
  <c r="R22" i="42"/>
  <c r="R23" i="42"/>
  <c r="R24" i="42"/>
  <c r="R25" i="42"/>
  <c r="R26" i="42"/>
  <c r="R27" i="42"/>
  <c r="R28" i="42"/>
  <c r="R29" i="42"/>
  <c r="R30" i="42"/>
  <c r="R31" i="42"/>
  <c r="R32" i="42"/>
  <c r="R33" i="42"/>
  <c r="R34" i="42"/>
  <c r="R35" i="42"/>
  <c r="R36" i="42"/>
  <c r="R37" i="42"/>
  <c r="R38" i="42"/>
  <c r="R39" i="42"/>
  <c r="D211" i="32"/>
  <c r="D212" i="32"/>
  <c r="D213" i="32"/>
  <c r="D216" i="32"/>
  <c r="I23" i="22"/>
  <c r="I24" i="22"/>
  <c r="I26" i="22"/>
  <c r="I27" i="22"/>
  <c r="I30" i="22"/>
  <c r="I32" i="22"/>
  <c r="I33" i="22"/>
  <c r="I34" i="22"/>
  <c r="I35" i="22"/>
  <c r="I36" i="22"/>
  <c r="I37" i="22"/>
  <c r="I38" i="22"/>
  <c r="I39" i="22"/>
  <c r="H23" i="22"/>
  <c r="H24" i="22"/>
  <c r="H26" i="22"/>
  <c r="H27" i="22"/>
  <c r="H30" i="22"/>
  <c r="H32" i="22"/>
  <c r="H33" i="22"/>
  <c r="H34" i="22"/>
  <c r="H35" i="22"/>
  <c r="H36" i="22"/>
  <c r="H37" i="22"/>
  <c r="H38" i="22"/>
  <c r="H39" i="22"/>
  <c r="K23" i="22"/>
  <c r="K24" i="22"/>
  <c r="K26" i="22"/>
  <c r="K27" i="22"/>
  <c r="K30" i="22"/>
  <c r="K32" i="22"/>
  <c r="K33" i="22"/>
  <c r="K34" i="22"/>
  <c r="K35" i="22"/>
  <c r="K36" i="22"/>
  <c r="K37" i="22"/>
  <c r="K38" i="22"/>
  <c r="K39" i="22"/>
  <c r="J23" i="22"/>
  <c r="J24" i="22"/>
  <c r="J26" i="22"/>
  <c r="J27" i="22"/>
  <c r="J30" i="22"/>
  <c r="J32" i="22"/>
  <c r="J33" i="22"/>
  <c r="J34" i="22"/>
  <c r="J35" i="22"/>
  <c r="J36" i="22"/>
  <c r="J37" i="22"/>
  <c r="J38" i="22"/>
  <c r="J39" i="22"/>
  <c r="AE16" i="33" l="1"/>
  <c r="AG16" i="33" s="1"/>
  <c r="AE17" i="33"/>
  <c r="AG17" i="33" s="1"/>
  <c r="AE18" i="33"/>
  <c r="AG18" i="33" s="1"/>
  <c r="AE19" i="33"/>
  <c r="AG19" i="33" s="1"/>
  <c r="AE20" i="33"/>
  <c r="AG20" i="33" s="1"/>
  <c r="AE21" i="33"/>
  <c r="AG21" i="33" s="1"/>
  <c r="AE22" i="33"/>
  <c r="AG22" i="33" s="1"/>
  <c r="AE23" i="33"/>
  <c r="AG23" i="33" s="1"/>
  <c r="AE24" i="33"/>
  <c r="AG24" i="33" s="1"/>
  <c r="AE25" i="33"/>
  <c r="AG25" i="33" s="1"/>
  <c r="AE26" i="33"/>
  <c r="AG26" i="33" s="1"/>
  <c r="AE27" i="33"/>
  <c r="AG27" i="33" s="1"/>
  <c r="AE28" i="33"/>
  <c r="AE29" i="33"/>
  <c r="AG29" i="33" s="1"/>
  <c r="AE30" i="33"/>
  <c r="AG30" i="33" s="1"/>
  <c r="AE31" i="33"/>
  <c r="AG31" i="33" s="1"/>
  <c r="AE32" i="33"/>
  <c r="AG32" i="33" s="1"/>
  <c r="AE33" i="33"/>
  <c r="AG33" i="33" s="1"/>
  <c r="AE34" i="33"/>
  <c r="AG34" i="33" s="1"/>
  <c r="AE35" i="33"/>
  <c r="AG35" i="33" s="1"/>
  <c r="AE36" i="33"/>
  <c r="AG36" i="33" s="1"/>
  <c r="AE37" i="33"/>
  <c r="AG37" i="33" s="1"/>
  <c r="AE38" i="33"/>
  <c r="AG38" i="33" s="1"/>
  <c r="AE39" i="33"/>
  <c r="AG39" i="33" s="1"/>
  <c r="AE15" i="33"/>
  <c r="AG15" i="33" s="1"/>
  <c r="AB15" i="33"/>
  <c r="AD15" i="33" s="1"/>
  <c r="AC15" i="33" l="1"/>
  <c r="AF15" i="33"/>
  <c r="AI15" i="33"/>
  <c r="CH31" i="33" a="1"/>
  <c r="CH31" i="33" s="1"/>
  <c r="CH30" i="33" a="1"/>
  <c r="CH30" i="33" s="1"/>
  <c r="CH29" i="33" a="1"/>
  <c r="CH29" i="33" s="1"/>
  <c r="CH24" i="33" a="1"/>
  <c r="CH24" i="33" s="1"/>
  <c r="CH23" i="33" a="1"/>
  <c r="CH23" i="33" s="1"/>
  <c r="CH22" i="33" a="1"/>
  <c r="CH22" i="33" s="1"/>
  <c r="CH19" i="33" a="1"/>
  <c r="CH19" i="33" s="1"/>
  <c r="CH17" i="33" a="1"/>
  <c r="CH17" i="33" s="1"/>
  <c r="CH16" i="33" a="1"/>
  <c r="CH16" i="33" s="1"/>
  <c r="BY15" i="33"/>
  <c r="AP15" i="33"/>
  <c r="AJ16" i="33"/>
  <c r="AM16" i="33"/>
  <c r="AO16" i="33" s="1"/>
  <c r="AP16" i="33"/>
  <c r="AQ16" i="33" s="1"/>
  <c r="AJ17" i="33"/>
  <c r="AK17" i="33" s="1"/>
  <c r="AM17" i="33"/>
  <c r="AO17" i="33" s="1"/>
  <c r="AP17" i="33"/>
  <c r="AQ17" i="33" s="1"/>
  <c r="AJ18" i="33"/>
  <c r="AK18" i="33" s="1"/>
  <c r="AM18" i="33"/>
  <c r="AO18" i="33" s="1"/>
  <c r="AP18" i="33"/>
  <c r="AQ18" i="33" s="1"/>
  <c r="AJ19" i="33"/>
  <c r="AK19" i="33" s="1"/>
  <c r="AM19" i="33"/>
  <c r="AO19" i="33" s="1"/>
  <c r="AP19" i="33"/>
  <c r="AQ19" i="33" s="1"/>
  <c r="AJ20" i="33"/>
  <c r="AK20" i="33" s="1"/>
  <c r="AM20" i="33"/>
  <c r="AO20" i="33" s="1"/>
  <c r="AP20" i="33"/>
  <c r="AQ20" i="33" s="1"/>
  <c r="AJ21" i="33"/>
  <c r="AK21" i="33" s="1"/>
  <c r="AM21" i="33"/>
  <c r="AP21" i="33"/>
  <c r="AR21" i="33" s="1"/>
  <c r="AJ22" i="33"/>
  <c r="AK22" i="33" s="1"/>
  <c r="AM22" i="33"/>
  <c r="AO22" i="33" s="1"/>
  <c r="AP22" i="33"/>
  <c r="AQ22" i="33" s="1"/>
  <c r="AJ23" i="33"/>
  <c r="AK23" i="33" s="1"/>
  <c r="AM23" i="33"/>
  <c r="AO23" i="33" s="1"/>
  <c r="AP23" i="33"/>
  <c r="AQ23" i="33" s="1"/>
  <c r="AJ24" i="33"/>
  <c r="AK24" i="33" s="1"/>
  <c r="AM24" i="33"/>
  <c r="AO24" i="33" s="1"/>
  <c r="AP24" i="33"/>
  <c r="AQ24" i="33" s="1"/>
  <c r="AJ25" i="33"/>
  <c r="AK25" i="33" s="1"/>
  <c r="AM25" i="33"/>
  <c r="AO25" i="33" s="1"/>
  <c r="AP25" i="33"/>
  <c r="AQ25" i="33" s="1"/>
  <c r="AJ26" i="33"/>
  <c r="AK26" i="33" s="1"/>
  <c r="AM26" i="33"/>
  <c r="AO26" i="33" s="1"/>
  <c r="AP26" i="33"/>
  <c r="AQ26" i="33" s="1"/>
  <c r="AJ27" i="33"/>
  <c r="AK27" i="33" s="1"/>
  <c r="AM27" i="33"/>
  <c r="AO27" i="33" s="1"/>
  <c r="AP27" i="33"/>
  <c r="AQ27" i="33" s="1"/>
  <c r="AJ28" i="33"/>
  <c r="AK28" i="33" s="1"/>
  <c r="AM28" i="33"/>
  <c r="AP28" i="33"/>
  <c r="AQ28" i="33" s="1"/>
  <c r="AJ29" i="33"/>
  <c r="AK29" i="33" s="1"/>
  <c r="AM29" i="33"/>
  <c r="AO29" i="33" s="1"/>
  <c r="AP29" i="33"/>
  <c r="AQ29" i="33" s="1"/>
  <c r="AJ30" i="33"/>
  <c r="AK30" i="33" s="1"/>
  <c r="AM30" i="33"/>
  <c r="AO30" i="33" s="1"/>
  <c r="AP30" i="33"/>
  <c r="AQ30" i="33" s="1"/>
  <c r="AJ31" i="33"/>
  <c r="AK31" i="33" s="1"/>
  <c r="AM31" i="33"/>
  <c r="AO31" i="33" s="1"/>
  <c r="AP31" i="33"/>
  <c r="AQ31" i="33" s="1"/>
  <c r="AJ32" i="33"/>
  <c r="AK32" i="33" s="1"/>
  <c r="AM32" i="33"/>
  <c r="AO32" i="33" s="1"/>
  <c r="AP32" i="33"/>
  <c r="AQ32" i="33" s="1"/>
  <c r="AJ33" i="33"/>
  <c r="AK33" i="33" s="1"/>
  <c r="AM33" i="33"/>
  <c r="AO33" i="33" s="1"/>
  <c r="AP33" i="33"/>
  <c r="AR33" i="33" s="1"/>
  <c r="AJ34" i="33"/>
  <c r="AK34" i="33" s="1"/>
  <c r="AM34" i="33"/>
  <c r="AO34" i="33" s="1"/>
  <c r="AP34" i="33"/>
  <c r="AQ34" i="33" s="1"/>
  <c r="AJ35" i="33"/>
  <c r="AK35" i="33" s="1"/>
  <c r="AM35" i="33"/>
  <c r="AO35" i="33" s="1"/>
  <c r="AP35" i="33"/>
  <c r="AQ35" i="33" s="1"/>
  <c r="AJ36" i="33"/>
  <c r="AK36" i="33" s="1"/>
  <c r="AM36" i="33"/>
  <c r="AO36" i="33" s="1"/>
  <c r="AP36" i="33"/>
  <c r="AQ36" i="33" s="1"/>
  <c r="AJ37" i="33"/>
  <c r="AK37" i="33" s="1"/>
  <c r="AM37" i="33"/>
  <c r="AO37" i="33" s="1"/>
  <c r="AP37" i="33"/>
  <c r="AQ37" i="33" s="1"/>
  <c r="AJ38" i="33"/>
  <c r="AK38" i="33" s="1"/>
  <c r="AM38" i="33"/>
  <c r="AO38" i="33" s="1"/>
  <c r="AP38" i="33"/>
  <c r="AQ38" i="33" s="1"/>
  <c r="AJ39" i="33"/>
  <c r="AK39" i="33" s="1"/>
  <c r="AM39" i="33"/>
  <c r="AO39" i="33" s="1"/>
  <c r="AP39" i="33"/>
  <c r="AQ39" i="33" s="1"/>
  <c r="AM15" i="33"/>
  <c r="AN15" i="33" s="1"/>
  <c r="AJ15" i="33"/>
  <c r="AL15" i="33" s="1"/>
  <c r="CH15" i="33" a="1"/>
  <c r="CH15" i="33" s="1"/>
  <c r="CC16" i="33" a="1"/>
  <c r="CC16" i="33" s="1"/>
  <c r="CC17" i="33" a="1"/>
  <c r="CC17" i="33" s="1"/>
  <c r="CC18" i="33" a="1"/>
  <c r="CC18" i="33" s="1"/>
  <c r="CC19" i="33" a="1"/>
  <c r="CC19" i="33" s="1"/>
  <c r="CC20" i="33" a="1"/>
  <c r="CC20" i="33" s="1"/>
  <c r="CC21" i="33" a="1"/>
  <c r="CC21" i="33" s="1"/>
  <c r="CC22" i="33" a="1"/>
  <c r="CC22" i="33" s="1"/>
  <c r="CC23" i="33" a="1"/>
  <c r="CC23" i="33" s="1"/>
  <c r="CC24" i="33" a="1"/>
  <c r="CC24" i="33" s="1"/>
  <c r="CC25" i="33" a="1"/>
  <c r="CC25" i="33" s="1"/>
  <c r="CC26" i="33" a="1"/>
  <c r="CC26" i="33" s="1"/>
  <c r="CC27" i="33" a="1"/>
  <c r="CC27" i="33" s="1"/>
  <c r="CC29" i="33" a="1"/>
  <c r="CC29" i="33" s="1"/>
  <c r="CC30" i="33" a="1"/>
  <c r="CC30" i="33" s="1"/>
  <c r="CC31" i="33" a="1"/>
  <c r="CC31" i="33" s="1"/>
  <c r="CC32" i="33" a="1"/>
  <c r="CC32" i="33" s="1"/>
  <c r="CC33" i="33" a="1"/>
  <c r="CC33" i="33" s="1"/>
  <c r="CC34" i="33" a="1"/>
  <c r="CC34" i="33" s="1"/>
  <c r="CC35" i="33" a="1"/>
  <c r="CC35" i="33" s="1"/>
  <c r="CC36" i="33" a="1"/>
  <c r="CC36" i="33" s="1"/>
  <c r="CC37" i="33" a="1"/>
  <c r="CC37" i="33" s="1"/>
  <c r="CC38" i="33" a="1"/>
  <c r="CC38" i="33" s="1"/>
  <c r="CC39" i="33" a="1"/>
  <c r="CC39" i="33" s="1"/>
  <c r="CC15" i="33" a="1"/>
  <c r="CC15" i="33" s="1"/>
  <c r="CD16" i="33"/>
  <c r="CD17" i="33"/>
  <c r="CD18" i="33"/>
  <c r="CD19" i="33"/>
  <c r="CD20" i="33"/>
  <c r="CD21" i="33"/>
  <c r="CD22" i="33"/>
  <c r="CD23" i="33"/>
  <c r="CD24" i="33"/>
  <c r="CD25" i="33"/>
  <c r="CD26" i="33"/>
  <c r="CD27" i="33"/>
  <c r="CD28" i="33"/>
  <c r="CD29" i="33"/>
  <c r="CD30" i="33"/>
  <c r="CD31" i="33"/>
  <c r="CD32" i="33"/>
  <c r="CD33" i="33"/>
  <c r="CD34" i="33"/>
  <c r="CD35" i="33"/>
  <c r="CD36" i="33"/>
  <c r="CD37" i="33"/>
  <c r="CD38" i="33"/>
  <c r="CD39" i="33"/>
  <c r="CD15" i="33"/>
  <c r="CA24" i="33" a="1"/>
  <c r="CA24" i="33" s="1"/>
  <c r="CA32" i="33" a="1"/>
  <c r="CA32" i="33" s="1"/>
  <c r="CA33" i="33" a="1"/>
  <c r="CA33" i="33" s="1"/>
  <c r="CA34" i="33" a="1"/>
  <c r="CA34" i="33" s="1"/>
  <c r="CA35" i="33" a="1"/>
  <c r="CA35" i="33" s="1"/>
  <c r="CA36" i="33" a="1"/>
  <c r="CA36" i="33" s="1"/>
  <c r="CA37" i="33" a="1"/>
  <c r="CA37" i="33" s="1"/>
  <c r="CA38" i="33" a="1"/>
  <c r="CA38" i="33" s="1"/>
  <c r="CA39" i="33" a="1"/>
  <c r="CA39" i="33" s="1"/>
  <c r="BY16" i="33"/>
  <c r="BY17" i="33"/>
  <c r="BY18" i="33"/>
  <c r="BY19" i="33"/>
  <c r="BY20" i="33"/>
  <c r="BY21" i="33"/>
  <c r="BY22" i="33"/>
  <c r="BY23" i="33"/>
  <c r="BY24" i="33"/>
  <c r="BY25" i="33"/>
  <c r="BY26" i="33"/>
  <c r="BY27" i="33"/>
  <c r="BY28" i="33"/>
  <c r="BY29" i="33"/>
  <c r="BY30" i="33"/>
  <c r="BY31" i="33"/>
  <c r="BY32" i="33"/>
  <c r="BY33" i="33"/>
  <c r="BY34" i="33"/>
  <c r="BY35" i="33"/>
  <c r="BY36" i="33"/>
  <c r="BY37" i="33"/>
  <c r="BY38" i="33"/>
  <c r="BY39" i="33"/>
  <c r="B16" i="42"/>
  <c r="AK16" i="33" l="1"/>
  <c r="AS32" i="33"/>
  <c r="AS26" i="33"/>
  <c r="AS18" i="33"/>
  <c r="AS38" i="33"/>
  <c r="AS30" i="33"/>
  <c r="AS29" i="33"/>
  <c r="AS17" i="33"/>
  <c r="AH15" i="33"/>
  <c r="AK15" i="33"/>
  <c r="AS15" i="33" s="1"/>
  <c r="AR32" i="33"/>
  <c r="AN33" i="33"/>
  <c r="AS33" i="33" s="1"/>
  <c r="AN21" i="33"/>
  <c r="AS21" i="33" s="1"/>
  <c r="AQ33" i="33"/>
  <c r="AQ21" i="33"/>
  <c r="AR31" i="33"/>
  <c r="AR19" i="33"/>
  <c r="AN32" i="33"/>
  <c r="AN20" i="33"/>
  <c r="AS20" i="33" s="1"/>
  <c r="AR30" i="33"/>
  <c r="AN31" i="33"/>
  <c r="AS31" i="33" s="1"/>
  <c r="AN19" i="33"/>
  <c r="AS19" i="33" s="1"/>
  <c r="AQ15" i="33"/>
  <c r="AR29" i="33"/>
  <c r="AN30" i="33"/>
  <c r="AN18" i="33"/>
  <c r="AR28" i="33"/>
  <c r="AR16" i="33"/>
  <c r="AN29" i="33"/>
  <c r="AN17" i="33"/>
  <c r="AR39" i="33"/>
  <c r="AR27" i="33"/>
  <c r="AN28" i="33"/>
  <c r="AS28" i="33" s="1"/>
  <c r="AN16" i="33"/>
  <c r="AS16" i="33" s="1"/>
  <c r="AR38" i="33"/>
  <c r="AN39" i="33"/>
  <c r="AS39" i="33" s="1"/>
  <c r="AN27" i="33"/>
  <c r="AS27" i="33" s="1"/>
  <c r="AR37" i="33"/>
  <c r="AR25" i="33"/>
  <c r="AN38" i="33"/>
  <c r="AN26" i="33"/>
  <c r="AR36" i="33"/>
  <c r="AR24" i="33"/>
  <c r="AN37" i="33"/>
  <c r="AS37" i="33" s="1"/>
  <c r="AN25" i="33"/>
  <c r="AS25" i="33" s="1"/>
  <c r="AR35" i="33"/>
  <c r="AR23" i="33"/>
  <c r="AN36" i="33"/>
  <c r="AS36" i="33" s="1"/>
  <c r="AN24" i="33"/>
  <c r="AS24" i="33" s="1"/>
  <c r="AR34" i="33"/>
  <c r="AR22" i="33"/>
  <c r="AN35" i="33"/>
  <c r="AS35" i="33" s="1"/>
  <c r="AN23" i="33"/>
  <c r="AS23" i="33" s="1"/>
  <c r="AN34" i="33"/>
  <c r="AS34" i="33" s="1"/>
  <c r="AN22" i="33"/>
  <c r="AS22" i="33" s="1"/>
  <c r="B11" i="31"/>
  <c r="D20" i="31"/>
  <c r="J16" i="24"/>
  <c r="B15" i="24"/>
  <c r="J17" i="24"/>
  <c r="J18" i="24"/>
  <c r="J19" i="24"/>
  <c r="J20" i="24"/>
  <c r="J21" i="24"/>
  <c r="J22" i="24"/>
  <c r="J23" i="24"/>
  <c r="J24" i="24"/>
  <c r="J25" i="24"/>
  <c r="J26" i="24"/>
  <c r="J27" i="24"/>
  <c r="J28" i="24"/>
  <c r="J29" i="24"/>
  <c r="J30" i="24"/>
  <c r="J31" i="24"/>
  <c r="J32" i="24"/>
  <c r="J33" i="24"/>
  <c r="J34" i="24"/>
  <c r="J35" i="24"/>
  <c r="J36" i="24"/>
  <c r="J37" i="24"/>
  <c r="J38" i="24"/>
  <c r="J39" i="24"/>
  <c r="J15" i="24"/>
  <c r="G15" i="24" s="1"/>
  <c r="H15" i="24" s="1"/>
  <c r="W15" i="24" s="1"/>
  <c r="C15" i="42"/>
  <c r="B15" i="42"/>
  <c r="AB16" i="33"/>
  <c r="AB17" i="33"/>
  <c r="AB18" i="33"/>
  <c r="AB19" i="33"/>
  <c r="AB20" i="33"/>
  <c r="AB21" i="33"/>
  <c r="AB22" i="33"/>
  <c r="AB23" i="33"/>
  <c r="AB24" i="33"/>
  <c r="AB25" i="33"/>
  <c r="AB26" i="33"/>
  <c r="AB27" i="33"/>
  <c r="AB28" i="33"/>
  <c r="AB29" i="33"/>
  <c r="AB30" i="33"/>
  <c r="AB31" i="33"/>
  <c r="AB32" i="33"/>
  <c r="AB33" i="33"/>
  <c r="AB34" i="33"/>
  <c r="AB35" i="33"/>
  <c r="AB36" i="33"/>
  <c r="AB37" i="33"/>
  <c r="AB38" i="33"/>
  <c r="AB39" i="33"/>
  <c r="J70" i="32"/>
  <c r="K70" i="32"/>
  <c r="L70" i="32"/>
  <c r="W15" i="33"/>
  <c r="X15" i="33" s="1"/>
  <c r="D15" i="33"/>
  <c r="D4" i="44"/>
  <c r="G4" i="44"/>
  <c r="BC4" i="44"/>
  <c r="BD4" i="44"/>
  <c r="BE4" i="44"/>
  <c r="BF4" i="44"/>
  <c r="BG4" i="44"/>
  <c r="BH4" i="44"/>
  <c r="D5" i="44"/>
  <c r="G5" i="44"/>
  <c r="BC5" i="44"/>
  <c r="BD5" i="44"/>
  <c r="BE5" i="44"/>
  <c r="BF5" i="44"/>
  <c r="BG5" i="44"/>
  <c r="BH5" i="44"/>
  <c r="D6" i="44"/>
  <c r="G6" i="44"/>
  <c r="BC6" i="44"/>
  <c r="BD6" i="44"/>
  <c r="BE6" i="44"/>
  <c r="BF6" i="44"/>
  <c r="BG6" i="44"/>
  <c r="BH6" i="44"/>
  <c r="D7" i="44"/>
  <c r="G7" i="44"/>
  <c r="BC7" i="44"/>
  <c r="BD7" i="44"/>
  <c r="BE7" i="44"/>
  <c r="BF7" i="44"/>
  <c r="BG7" i="44"/>
  <c r="BH7" i="44"/>
  <c r="D8" i="44"/>
  <c r="G8" i="44"/>
  <c r="BC8" i="44"/>
  <c r="BD8" i="44"/>
  <c r="BE8" i="44"/>
  <c r="BF8" i="44"/>
  <c r="BG8" i="44"/>
  <c r="BH8" i="44"/>
  <c r="D9" i="44"/>
  <c r="G9" i="44"/>
  <c r="BC9" i="44"/>
  <c r="BD9" i="44"/>
  <c r="BE9" i="44"/>
  <c r="BF9" i="44"/>
  <c r="BG9" i="44"/>
  <c r="BH9" i="44"/>
  <c r="D10" i="44"/>
  <c r="G10" i="44"/>
  <c r="BC10" i="44"/>
  <c r="BD10" i="44"/>
  <c r="BE10" i="44"/>
  <c r="BF10" i="44"/>
  <c r="BG10" i="44"/>
  <c r="BH10" i="44"/>
  <c r="D11" i="44"/>
  <c r="G11" i="44"/>
  <c r="BC11" i="44"/>
  <c r="BD11" i="44"/>
  <c r="BE11" i="44"/>
  <c r="BF11" i="44"/>
  <c r="BG11" i="44"/>
  <c r="BH11" i="44"/>
  <c r="D12" i="44"/>
  <c r="G12" i="44"/>
  <c r="BC12" i="44"/>
  <c r="BD12" i="44"/>
  <c r="BE12" i="44"/>
  <c r="BF12" i="44"/>
  <c r="BG12" i="44"/>
  <c r="BH12" i="44"/>
  <c r="D13" i="44"/>
  <c r="G13" i="44"/>
  <c r="BC13" i="44"/>
  <c r="BD13" i="44"/>
  <c r="BE13" i="44"/>
  <c r="BF13" i="44"/>
  <c r="BG13" i="44"/>
  <c r="BH13" i="44"/>
  <c r="D14" i="44"/>
  <c r="G14" i="44"/>
  <c r="BC14" i="44"/>
  <c r="BD14" i="44"/>
  <c r="BE14" i="44"/>
  <c r="BF14" i="44"/>
  <c r="BG14" i="44"/>
  <c r="BH14" i="44"/>
  <c r="D15" i="44"/>
  <c r="G15" i="44"/>
  <c r="BC15" i="44"/>
  <c r="BD15" i="44"/>
  <c r="BE15" i="44"/>
  <c r="BF15" i="44"/>
  <c r="BG15" i="44"/>
  <c r="BH15" i="44"/>
  <c r="D16" i="44"/>
  <c r="G16" i="44"/>
  <c r="BC16" i="44"/>
  <c r="BD16" i="44"/>
  <c r="BE16" i="44"/>
  <c r="BF16" i="44"/>
  <c r="BG16" i="44"/>
  <c r="BH16" i="44"/>
  <c r="D17" i="44"/>
  <c r="G17" i="44"/>
  <c r="BC17" i="44"/>
  <c r="BD17" i="44"/>
  <c r="BE17" i="44"/>
  <c r="BF17" i="44"/>
  <c r="BG17" i="44"/>
  <c r="BH17" i="44"/>
  <c r="D18" i="44"/>
  <c r="G18" i="44"/>
  <c r="BC18" i="44"/>
  <c r="BD18" i="44"/>
  <c r="BE18" i="44"/>
  <c r="BF18" i="44"/>
  <c r="BG18" i="44"/>
  <c r="BH18" i="44"/>
  <c r="D19" i="44"/>
  <c r="G19" i="44"/>
  <c r="BC19" i="44"/>
  <c r="BD19" i="44"/>
  <c r="BE19" i="44"/>
  <c r="BF19" i="44"/>
  <c r="BG19" i="44"/>
  <c r="BH19" i="44"/>
  <c r="D20" i="44"/>
  <c r="G20" i="44"/>
  <c r="BC20" i="44"/>
  <c r="BD20" i="44"/>
  <c r="BE20" i="44"/>
  <c r="BF20" i="44"/>
  <c r="BG20" i="44"/>
  <c r="BH20" i="44"/>
  <c r="D21" i="44"/>
  <c r="G21" i="44"/>
  <c r="BC21" i="44"/>
  <c r="BD21" i="44"/>
  <c r="BE21" i="44"/>
  <c r="BF21" i="44"/>
  <c r="BG21" i="44"/>
  <c r="BH21" i="44"/>
  <c r="D22" i="44"/>
  <c r="G22" i="44"/>
  <c r="BC22" i="44"/>
  <c r="BD22" i="44"/>
  <c r="BE22" i="44"/>
  <c r="BF22" i="44"/>
  <c r="BG22" i="44"/>
  <c r="BH22" i="44"/>
  <c r="D23" i="44"/>
  <c r="G23" i="44"/>
  <c r="BC23" i="44"/>
  <c r="BD23" i="44"/>
  <c r="BE23" i="44"/>
  <c r="BF23" i="44"/>
  <c r="BG23" i="44"/>
  <c r="BH23" i="44"/>
  <c r="D24" i="44"/>
  <c r="G24" i="44"/>
  <c r="BC24" i="44"/>
  <c r="BD24" i="44"/>
  <c r="BE24" i="44"/>
  <c r="BF24" i="44"/>
  <c r="BG24" i="44"/>
  <c r="BH24" i="44"/>
  <c r="D25" i="44"/>
  <c r="G25" i="44"/>
  <c r="BC25" i="44"/>
  <c r="BD25" i="44"/>
  <c r="BE25" i="44"/>
  <c r="BF25" i="44"/>
  <c r="BG25" i="44"/>
  <c r="BH25" i="44"/>
  <c r="D26" i="44"/>
  <c r="G26" i="44"/>
  <c r="BC26" i="44"/>
  <c r="BD26" i="44"/>
  <c r="BE26" i="44"/>
  <c r="BF26" i="44"/>
  <c r="BG26" i="44"/>
  <c r="BH26" i="44"/>
  <c r="D27" i="44"/>
  <c r="G27" i="44"/>
  <c r="BC27" i="44"/>
  <c r="BD27" i="44"/>
  <c r="BE27" i="44"/>
  <c r="BF27" i="44"/>
  <c r="BG27" i="44"/>
  <c r="BH27" i="44"/>
  <c r="D28" i="44"/>
  <c r="G28" i="44"/>
  <c r="BC28" i="44"/>
  <c r="BD28" i="44"/>
  <c r="BE28" i="44"/>
  <c r="BF28" i="44"/>
  <c r="BG28" i="44"/>
  <c r="BH28" i="44"/>
  <c r="D29" i="44"/>
  <c r="G29" i="44"/>
  <c r="BC29" i="44"/>
  <c r="BD29" i="44"/>
  <c r="BE29" i="44"/>
  <c r="BF29" i="44"/>
  <c r="BG29" i="44"/>
  <c r="BH29" i="44"/>
  <c r="D30" i="44"/>
  <c r="G30" i="44"/>
  <c r="BC30" i="44"/>
  <c r="BD30" i="44"/>
  <c r="BE30" i="44"/>
  <c r="BF30" i="44"/>
  <c r="BG30" i="44"/>
  <c r="BH30" i="44"/>
  <c r="D31" i="44"/>
  <c r="G31" i="44"/>
  <c r="BC31" i="44"/>
  <c r="BD31" i="44"/>
  <c r="BE31" i="44"/>
  <c r="BF31" i="44"/>
  <c r="BG31" i="44"/>
  <c r="BH31" i="44"/>
  <c r="D32" i="44"/>
  <c r="G32" i="44"/>
  <c r="BC32" i="44"/>
  <c r="BD32" i="44"/>
  <c r="BE32" i="44"/>
  <c r="BF32" i="44"/>
  <c r="BG32" i="44"/>
  <c r="BH32" i="44"/>
  <c r="G3" i="44"/>
  <c r="D3" i="44"/>
  <c r="AD36" i="33" l="1"/>
  <c r="AI36" i="33" s="1"/>
  <c r="AF36" i="33"/>
  <c r="AD33" i="33"/>
  <c r="AI33" i="33" s="1"/>
  <c r="AF33" i="33"/>
  <c r="AD21" i="33"/>
  <c r="AI21" i="33" s="1"/>
  <c r="AF21" i="33"/>
  <c r="AC37" i="33"/>
  <c r="AF37" i="33"/>
  <c r="AD37" i="33"/>
  <c r="AI37" i="33" s="1"/>
  <c r="AD23" i="33"/>
  <c r="AI23" i="33" s="1"/>
  <c r="AF23" i="33"/>
  <c r="AD32" i="33"/>
  <c r="AI32" i="33" s="1"/>
  <c r="AF32" i="33"/>
  <c r="AD20" i="33"/>
  <c r="AI20" i="33" s="1"/>
  <c r="AF20" i="33"/>
  <c r="AD19" i="33"/>
  <c r="AI19" i="33" s="1"/>
  <c r="AF19" i="33"/>
  <c r="AC17" i="33"/>
  <c r="AF17" i="33"/>
  <c r="AD17" i="33"/>
  <c r="AI17" i="33" s="1"/>
  <c r="AF16" i="33"/>
  <c r="AD30" i="33"/>
  <c r="AI30" i="33" s="1"/>
  <c r="AF30" i="33"/>
  <c r="AF28" i="33"/>
  <c r="AF39" i="33"/>
  <c r="AD39" i="33"/>
  <c r="AI39" i="33" s="1"/>
  <c r="AF27" i="33"/>
  <c r="AD27" i="33"/>
  <c r="AI27" i="33" s="1"/>
  <c r="AD18" i="33"/>
  <c r="AI18" i="33" s="1"/>
  <c r="AF18" i="33"/>
  <c r="AC26" i="33"/>
  <c r="AF26" i="33"/>
  <c r="AD26" i="33"/>
  <c r="AI26" i="33" s="1"/>
  <c r="AD31" i="33"/>
  <c r="AI31" i="33" s="1"/>
  <c r="AF31" i="33"/>
  <c r="AC25" i="33"/>
  <c r="AF25" i="33"/>
  <c r="AD25" i="33"/>
  <c r="AI25" i="33" s="1"/>
  <c r="AD24" i="33"/>
  <c r="AI24" i="33" s="1"/>
  <c r="AF24" i="33"/>
  <c r="AC38" i="33"/>
  <c r="AH38" i="33" s="1"/>
  <c r="AF38" i="33"/>
  <c r="AD38" i="33"/>
  <c r="AI38" i="33" s="1"/>
  <c r="AF29" i="33"/>
  <c r="AD35" i="33"/>
  <c r="AI35" i="33" s="1"/>
  <c r="AF35" i="33"/>
  <c r="AD34" i="33"/>
  <c r="AI34" i="33" s="1"/>
  <c r="AF34" i="33"/>
  <c r="AF22" i="33"/>
  <c r="BX15" i="33"/>
  <c r="CF15" i="33" s="1" a="1"/>
  <c r="CF15" i="33" s="1"/>
  <c r="CA15" i="33" a="1"/>
  <c r="CA15" i="33" s="1"/>
  <c r="V15" i="24"/>
  <c r="AC28" i="33"/>
  <c r="AC16" i="33"/>
  <c r="AC23" i="33"/>
  <c r="AH23" i="33" s="1"/>
  <c r="AC34" i="33"/>
  <c r="AH34" i="33" s="1"/>
  <c r="AC22" i="33"/>
  <c r="AC33" i="33"/>
  <c r="AC19" i="33"/>
  <c r="AC39" i="33"/>
  <c r="AC27" i="33"/>
  <c r="AH27" i="33" s="1"/>
  <c r="AC35" i="33"/>
  <c r="AH35" i="33" s="1"/>
  <c r="AC32" i="33"/>
  <c r="AH32" i="33" s="1"/>
  <c r="AC31" i="33"/>
  <c r="AC21" i="33"/>
  <c r="AH21" i="33" s="1"/>
  <c r="AC20" i="33"/>
  <c r="AC30" i="33"/>
  <c r="AH30" i="33" s="1"/>
  <c r="AC18" i="33"/>
  <c r="AH18" i="33" s="1"/>
  <c r="AC29" i="33"/>
  <c r="AH29" i="33" s="1"/>
  <c r="AC24" i="33"/>
  <c r="AC36" i="33"/>
  <c r="AH36" i="33" s="1"/>
  <c r="C20" i="39"/>
  <c r="U15" i="33"/>
  <c r="D16" i="42"/>
  <c r="B17" i="42"/>
  <c r="D17" i="42"/>
  <c r="B18" i="42"/>
  <c r="D18" i="42"/>
  <c r="B19" i="42"/>
  <c r="D19" i="42"/>
  <c r="B20" i="42"/>
  <c r="D20" i="42"/>
  <c r="B21" i="42"/>
  <c r="D21" i="42"/>
  <c r="B22" i="42"/>
  <c r="D22" i="42"/>
  <c r="B23" i="42"/>
  <c r="D23" i="42"/>
  <c r="B24" i="42"/>
  <c r="D24" i="42"/>
  <c r="B25" i="42"/>
  <c r="D25" i="42"/>
  <c r="B26" i="42"/>
  <c r="D26" i="42"/>
  <c r="B27" i="42"/>
  <c r="D27" i="42"/>
  <c r="B28" i="42"/>
  <c r="D28" i="42"/>
  <c r="B29" i="42"/>
  <c r="D29" i="42"/>
  <c r="B30" i="42"/>
  <c r="D30" i="42"/>
  <c r="B31" i="42"/>
  <c r="D31" i="42"/>
  <c r="B32" i="42"/>
  <c r="D32" i="42"/>
  <c r="B33" i="42"/>
  <c r="D33" i="42"/>
  <c r="B34" i="42"/>
  <c r="D34" i="42"/>
  <c r="B35" i="42"/>
  <c r="D35" i="42"/>
  <c r="B36" i="42"/>
  <c r="D36" i="42"/>
  <c r="B37" i="42"/>
  <c r="D37" i="42"/>
  <c r="B38" i="42"/>
  <c r="D38" i="42"/>
  <c r="B39" i="42"/>
  <c r="D39" i="42"/>
  <c r="AT39" i="33"/>
  <c r="D39" i="33"/>
  <c r="D16" i="33"/>
  <c r="D17" i="33"/>
  <c r="D18" i="33"/>
  <c r="D19" i="33"/>
  <c r="D20" i="33"/>
  <c r="D21" i="33"/>
  <c r="D22" i="33"/>
  <c r="D23" i="33"/>
  <c r="D24" i="33"/>
  <c r="D25" i="33"/>
  <c r="D26" i="33"/>
  <c r="D27" i="33"/>
  <c r="D28" i="33"/>
  <c r="D29" i="33"/>
  <c r="D30" i="33"/>
  <c r="D31" i="33"/>
  <c r="D32" i="33"/>
  <c r="D33" i="33"/>
  <c r="D34" i="33"/>
  <c r="D35" i="33"/>
  <c r="D36" i="33"/>
  <c r="D37" i="33"/>
  <c r="D38" i="33"/>
  <c r="B16" i="22"/>
  <c r="B17" i="22"/>
  <c r="B18" i="22"/>
  <c r="B19" i="22"/>
  <c r="B20" i="22"/>
  <c r="B21" i="22"/>
  <c r="B22" i="22"/>
  <c r="B23" i="22"/>
  <c r="B24" i="22"/>
  <c r="B25" i="22"/>
  <c r="B26" i="22"/>
  <c r="B27" i="22"/>
  <c r="B28" i="22"/>
  <c r="B29" i="22"/>
  <c r="B30" i="22"/>
  <c r="B31" i="22"/>
  <c r="B32" i="22"/>
  <c r="B33" i="22"/>
  <c r="B34" i="22"/>
  <c r="B35" i="22"/>
  <c r="B36" i="22"/>
  <c r="B37" i="22"/>
  <c r="B38" i="22"/>
  <c r="B39" i="22"/>
  <c r="B16" i="33"/>
  <c r="W16" i="33" s="1"/>
  <c r="X16" i="33" s="1"/>
  <c r="B17" i="33"/>
  <c r="B18" i="33"/>
  <c r="B19" i="33"/>
  <c r="B20" i="33"/>
  <c r="B21" i="33"/>
  <c r="B22" i="33"/>
  <c r="B23" i="33"/>
  <c r="B24" i="33"/>
  <c r="B25" i="33"/>
  <c r="B26" i="33"/>
  <c r="B27" i="33"/>
  <c r="B28" i="33"/>
  <c r="B29" i="33"/>
  <c r="B30" i="33"/>
  <c r="B31" i="33"/>
  <c r="B32" i="33"/>
  <c r="B33" i="33"/>
  <c r="B34" i="33"/>
  <c r="B35" i="33"/>
  <c r="B36" i="33"/>
  <c r="B37" i="33"/>
  <c r="B38" i="33"/>
  <c r="B39" i="33"/>
  <c r="B15" i="33"/>
  <c r="AV15" i="33" s="1"/>
  <c r="AH19" i="33" l="1"/>
  <c r="AH24" i="33"/>
  <c r="AH33" i="33"/>
  <c r="AH25" i="33"/>
  <c r="AH22" i="33"/>
  <c r="AH28" i="33"/>
  <c r="AH26" i="33"/>
  <c r="AH37" i="33"/>
  <c r="AH20" i="33"/>
  <c r="AH16" i="33"/>
  <c r="AH31" i="33"/>
  <c r="AH17" i="33"/>
  <c r="AH39" i="33"/>
  <c r="X15" i="42"/>
  <c r="AR15" i="33" s="1"/>
  <c r="S15" i="42"/>
  <c r="AO15" i="33" s="1"/>
  <c r="Q15" i="42"/>
  <c r="V15" i="42"/>
  <c r="AT34" i="33"/>
  <c r="AT32" i="33"/>
  <c r="AT37" i="33"/>
  <c r="AT33" i="33"/>
  <c r="AT36" i="33"/>
  <c r="AT24" i="33"/>
  <c r="AT38" i="33"/>
  <c r="AT35" i="33"/>
  <c r="AT29" i="33"/>
  <c r="AT22" i="33"/>
  <c r="X15" i="24"/>
  <c r="S15" i="24" s="1"/>
  <c r="E15" i="42" s="1" a="1"/>
  <c r="E15" i="42" s="1"/>
  <c r="W17" i="33"/>
  <c r="X17" i="33" s="1"/>
  <c r="D40" i="33"/>
  <c r="B15" i="22"/>
  <c r="AV16" i="33"/>
  <c r="AT15" i="33" l="1"/>
  <c r="W18" i="33"/>
  <c r="X18" i="33" s="1"/>
  <c r="AV17" i="33"/>
  <c r="F40" i="33"/>
  <c r="G40" i="33"/>
  <c r="H40" i="33"/>
  <c r="I40" i="33"/>
  <c r="J40" i="33"/>
  <c r="O40" i="33"/>
  <c r="T40" i="33"/>
  <c r="C15" i="33"/>
  <c r="W19" i="33" l="1"/>
  <c r="X19" i="33" s="1"/>
  <c r="AV18" i="33"/>
  <c r="W20" i="33" l="1"/>
  <c r="X20" i="33" s="1"/>
  <c r="AV19" i="33"/>
  <c r="W21" i="33" l="1"/>
  <c r="X21" i="33" s="1"/>
  <c r="AV20" i="33"/>
  <c r="W22" i="33" l="1"/>
  <c r="X22" i="33" s="1"/>
  <c r="AV21" i="33"/>
  <c r="D15" i="42"/>
  <c r="F39" i="24"/>
  <c r="F16" i="24"/>
  <c r="F17" i="24"/>
  <c r="F18" i="24"/>
  <c r="F19" i="24"/>
  <c r="F20" i="24"/>
  <c r="F21" i="24"/>
  <c r="F22" i="24"/>
  <c r="F23" i="24"/>
  <c r="F24" i="24"/>
  <c r="F25" i="24"/>
  <c r="F26" i="24"/>
  <c r="F27" i="24"/>
  <c r="F28" i="24"/>
  <c r="F29" i="24"/>
  <c r="F30" i="24"/>
  <c r="F31" i="24"/>
  <c r="F32" i="24"/>
  <c r="F33" i="24"/>
  <c r="F34" i="24"/>
  <c r="F35" i="24"/>
  <c r="F36" i="24"/>
  <c r="F37" i="24"/>
  <c r="F38" i="24"/>
  <c r="F15" i="24"/>
  <c r="C15" i="24" s="1"/>
  <c r="Y15" i="24" s="1"/>
  <c r="W23" i="33" l="1"/>
  <c r="X23" i="33" s="1"/>
  <c r="AA15" i="24"/>
  <c r="T15" i="24" s="1"/>
  <c r="D15" i="24"/>
  <c r="Z15" i="24" s="1"/>
  <c r="AV22" i="33"/>
  <c r="C16" i="24"/>
  <c r="W24" i="33" l="1"/>
  <c r="X24" i="33" s="1"/>
  <c r="F15" i="42" a="1"/>
  <c r="F15" i="42" s="1"/>
  <c r="D16" i="24"/>
  <c r="B16" i="24" s="1"/>
  <c r="Y16" i="24"/>
  <c r="AV23" i="33"/>
  <c r="C17" i="24"/>
  <c r="Y17" i="24" s="1"/>
  <c r="AC15" i="42" l="1"/>
  <c r="AA15" i="42"/>
  <c r="AB15" i="42" s="1"/>
  <c r="Y15" i="33" s="1"/>
  <c r="W25" i="33"/>
  <c r="X25" i="33" s="1"/>
  <c r="E15" i="24"/>
  <c r="Z16" i="24"/>
  <c r="D17" i="24"/>
  <c r="Z17" i="24" s="1"/>
  <c r="Y24" i="33"/>
  <c r="AV24" i="33"/>
  <c r="C18" i="24"/>
  <c r="Y18" i="24" s="1"/>
  <c r="Z15" i="33" l="1"/>
  <c r="AA15" i="33"/>
  <c r="AD15" i="42"/>
  <c r="E15" i="33" s="1"/>
  <c r="AA24" i="33"/>
  <c r="Z24" i="33"/>
  <c r="W26" i="33"/>
  <c r="X26" i="33" s="1"/>
  <c r="AA16" i="24"/>
  <c r="T16" i="24" s="1"/>
  <c r="F16" i="42" a="1"/>
  <c r="F16" i="42" s="1"/>
  <c r="B17" i="24"/>
  <c r="D18" i="24"/>
  <c r="AV25" i="33"/>
  <c r="C19" i="24"/>
  <c r="W27" i="33" l="1"/>
  <c r="X27" i="33" s="1"/>
  <c r="AA17" i="24"/>
  <c r="T17" i="24" s="1"/>
  <c r="F17" i="42" s="1" a="1"/>
  <c r="F17" i="42" s="1"/>
  <c r="Y19" i="24"/>
  <c r="B18" i="24"/>
  <c r="Z18" i="24"/>
  <c r="AV26" i="33"/>
  <c r="D19" i="24"/>
  <c r="Z19" i="24" s="1"/>
  <c r="C20" i="24"/>
  <c r="W28" i="33" l="1"/>
  <c r="X28" i="33" s="1"/>
  <c r="AA18" i="24"/>
  <c r="T18" i="24" s="1"/>
  <c r="F18" i="42" s="1" a="1"/>
  <c r="F18" i="42" s="1"/>
  <c r="AA19" i="24"/>
  <c r="T19" i="24" s="1"/>
  <c r="F19" i="42" s="1" a="1"/>
  <c r="F19" i="42" s="1"/>
  <c r="Y20" i="24"/>
  <c r="AV27" i="33"/>
  <c r="B19" i="24"/>
  <c r="C21" i="24"/>
  <c r="D20" i="24"/>
  <c r="Z20" i="24" s="1"/>
  <c r="W29" i="33" l="1"/>
  <c r="X29" i="33" s="1"/>
  <c r="Y21" i="24"/>
  <c r="AA20" i="24"/>
  <c r="T20" i="24" s="1"/>
  <c r="F20" i="42" s="1" a="1"/>
  <c r="F20" i="42" s="1"/>
  <c r="AV28" i="33"/>
  <c r="B20" i="24"/>
  <c r="D21" i="24"/>
  <c r="Z21" i="24" s="1"/>
  <c r="C22" i="24"/>
  <c r="W30" i="33" l="1"/>
  <c r="X30" i="33" s="1"/>
  <c r="Y22" i="24"/>
  <c r="AA21" i="24"/>
  <c r="T21" i="24" s="1"/>
  <c r="F21" i="42" s="1" a="1"/>
  <c r="F21" i="42" s="1"/>
  <c r="AV29" i="33"/>
  <c r="B21" i="24"/>
  <c r="D22" i="24"/>
  <c r="Z22" i="24" s="1"/>
  <c r="C23" i="24"/>
  <c r="W31" i="33" l="1"/>
  <c r="X31" i="33" s="1"/>
  <c r="Y23" i="24"/>
  <c r="AA22" i="24"/>
  <c r="T22" i="24" s="1"/>
  <c r="F22" i="42" s="1" a="1"/>
  <c r="F22" i="42" s="1"/>
  <c r="AV30" i="33"/>
  <c r="B22" i="24"/>
  <c r="D23" i="24"/>
  <c r="Z23" i="24" s="1"/>
  <c r="C24" i="24"/>
  <c r="W32" i="33" l="1"/>
  <c r="X32" i="33" s="1"/>
  <c r="AA23" i="24"/>
  <c r="T23" i="24" s="1"/>
  <c r="F23" i="42" s="1" a="1"/>
  <c r="F23" i="42" s="1"/>
  <c r="Y24" i="24"/>
  <c r="AV31" i="33"/>
  <c r="B23" i="24"/>
  <c r="D24" i="24"/>
  <c r="Z24" i="24" s="1"/>
  <c r="C25" i="24"/>
  <c r="W33" i="33" l="1"/>
  <c r="X33" i="33" s="1"/>
  <c r="AA24" i="24"/>
  <c r="T24" i="24" s="1"/>
  <c r="F24" i="42" s="1" a="1"/>
  <c r="F24" i="42" s="1"/>
  <c r="Y25" i="24"/>
  <c r="Y32" i="33"/>
  <c r="AV32" i="33"/>
  <c r="B24" i="24"/>
  <c r="C26" i="24"/>
  <c r="D25" i="24"/>
  <c r="Z25" i="24" s="1"/>
  <c r="AA32" i="33" l="1"/>
  <c r="Z32" i="33"/>
  <c r="W34" i="33"/>
  <c r="X34" i="33" s="1"/>
  <c r="AA25" i="24"/>
  <c r="T25" i="24" s="1"/>
  <c r="F25" i="42" s="1" a="1"/>
  <c r="F25" i="42" s="1"/>
  <c r="Y26" i="24"/>
  <c r="Y33" i="33"/>
  <c r="AV33" i="33"/>
  <c r="B25" i="24"/>
  <c r="D26" i="24"/>
  <c r="Z26" i="24" s="1"/>
  <c r="C27" i="24"/>
  <c r="Z33" i="33" l="1"/>
  <c r="AA33" i="33"/>
  <c r="W35" i="33"/>
  <c r="X35" i="33" s="1"/>
  <c r="AA26" i="24"/>
  <c r="T26" i="24" s="1"/>
  <c r="F26" i="42" s="1" a="1"/>
  <c r="F26" i="42" s="1"/>
  <c r="Y27" i="24"/>
  <c r="Y34" i="33"/>
  <c r="AV34" i="33"/>
  <c r="B26" i="24"/>
  <c r="C28" i="24"/>
  <c r="D27" i="24"/>
  <c r="Z27" i="24" s="1"/>
  <c r="Z34" i="33" l="1"/>
  <c r="AA34" i="33"/>
  <c r="W36" i="33"/>
  <c r="X36" i="33" s="1"/>
  <c r="AA27" i="24"/>
  <c r="T27" i="24" s="1"/>
  <c r="F27" i="42" s="1" a="1"/>
  <c r="F27" i="42" s="1"/>
  <c r="Y28" i="24"/>
  <c r="Y35" i="33"/>
  <c r="AV35" i="33"/>
  <c r="B27" i="24"/>
  <c r="C29" i="24"/>
  <c r="D28" i="24"/>
  <c r="Z28" i="24" s="1"/>
  <c r="AA35" i="33" l="1"/>
  <c r="Z35" i="33"/>
  <c r="W37" i="33"/>
  <c r="X37" i="33" s="1"/>
  <c r="AA28" i="24"/>
  <c r="T28" i="24" s="1"/>
  <c r="F28" i="42" s="1" a="1"/>
  <c r="F28" i="42" s="1"/>
  <c r="Y29" i="24"/>
  <c r="Y36" i="33"/>
  <c r="AV36" i="33"/>
  <c r="B28" i="24"/>
  <c r="D29" i="24"/>
  <c r="Z29" i="24" s="1"/>
  <c r="C30" i="24"/>
  <c r="AA36" i="33" l="1"/>
  <c r="Z36" i="33"/>
  <c r="W38" i="33"/>
  <c r="X38" i="33" s="1"/>
  <c r="AA29" i="24"/>
  <c r="T29" i="24" s="1"/>
  <c r="F29" i="42" s="1" a="1"/>
  <c r="F29" i="42" s="1"/>
  <c r="Y30" i="24"/>
  <c r="Y37" i="33"/>
  <c r="AV37" i="33"/>
  <c r="B29" i="24"/>
  <c r="D30" i="24"/>
  <c r="Z30" i="24" s="1"/>
  <c r="C31" i="24"/>
  <c r="AA37" i="33" l="1"/>
  <c r="Z37" i="33"/>
  <c r="W39" i="33"/>
  <c r="X39" i="33" s="1"/>
  <c r="AA30" i="24"/>
  <c r="T30" i="24" s="1"/>
  <c r="F30" i="42" s="1" a="1"/>
  <c r="F30" i="42" s="1"/>
  <c r="Y31" i="24"/>
  <c r="Y38" i="33"/>
  <c r="AV38" i="33"/>
  <c r="B30" i="24"/>
  <c r="D31" i="24"/>
  <c r="Z31" i="24" s="1"/>
  <c r="C32" i="24"/>
  <c r="AA38" i="33" l="1"/>
  <c r="Z38" i="33"/>
  <c r="Y39" i="33"/>
  <c r="Z39" i="33" s="1"/>
  <c r="AA31" i="24"/>
  <c r="T31" i="24" s="1"/>
  <c r="F31" i="42" s="1" a="1"/>
  <c r="F31" i="42" s="1"/>
  <c r="Y32" i="24"/>
  <c r="AV39" i="33"/>
  <c r="BS35" i="33" s="1"/>
  <c r="B31" i="24"/>
  <c r="C33" i="24"/>
  <c r="D32" i="24"/>
  <c r="Z32" i="24" s="1"/>
  <c r="BU34" i="33" l="1"/>
  <c r="BS32" i="33"/>
  <c r="BS38" i="33"/>
  <c r="BS36" i="33"/>
  <c r="BS39" i="33"/>
  <c r="BU15" i="33"/>
  <c r="H15" i="22" s="1"/>
  <c r="BS15" i="33"/>
  <c r="J15" i="22" s="1"/>
  <c r="BS17" i="33"/>
  <c r="J17" i="22" s="1"/>
  <c r="BS16" i="33"/>
  <c r="J16" i="22" s="1"/>
  <c r="BS18" i="33"/>
  <c r="J18" i="22" s="1"/>
  <c r="BS19" i="33"/>
  <c r="J19" i="22" s="1"/>
  <c r="BS20" i="33"/>
  <c r="J20" i="22" s="1"/>
  <c r="BS21" i="33"/>
  <c r="J21" i="22" s="1"/>
  <c r="BS22" i="33"/>
  <c r="J22" i="22" s="1"/>
  <c r="BS23" i="33"/>
  <c r="BS24" i="33"/>
  <c r="BS25" i="33"/>
  <c r="J25" i="22" s="1"/>
  <c r="BS28" i="33"/>
  <c r="J28" i="22" s="1"/>
  <c r="BS26" i="33"/>
  <c r="BS29" i="33"/>
  <c r="J29" i="22" s="1"/>
  <c r="BS27" i="33"/>
  <c r="BS30" i="33"/>
  <c r="BS31" i="33"/>
  <c r="J31" i="22" s="1"/>
  <c r="BS33" i="33"/>
  <c r="BS34" i="33"/>
  <c r="BS37" i="33"/>
  <c r="BH34" i="33"/>
  <c r="AY34" i="33"/>
  <c r="BB30" i="33"/>
  <c r="BM30" i="33"/>
  <c r="BU32" i="33"/>
  <c r="AA39" i="33"/>
  <c r="BU39" i="33"/>
  <c r="BU17" i="33"/>
  <c r="H17" i="22" s="1"/>
  <c r="BU16" i="33"/>
  <c r="H16" i="22" s="1"/>
  <c r="BU20" i="33"/>
  <c r="H20" i="22" s="1"/>
  <c r="BU18" i="33"/>
  <c r="H18" i="22" s="1"/>
  <c r="BU19" i="33"/>
  <c r="H19" i="22" s="1"/>
  <c r="BU21" i="33"/>
  <c r="H21" i="22" s="1"/>
  <c r="BU22" i="33"/>
  <c r="H22" i="22" s="1"/>
  <c r="BU24" i="33"/>
  <c r="BU23" i="33"/>
  <c r="BU25" i="33"/>
  <c r="H25" i="22" s="1"/>
  <c r="BU27" i="33"/>
  <c r="BU26" i="33"/>
  <c r="BU29" i="33"/>
  <c r="H29" i="22" s="1"/>
  <c r="BU28" i="33"/>
  <c r="H28" i="22" s="1"/>
  <c r="BU30" i="33"/>
  <c r="BU33" i="33"/>
  <c r="BU35" i="33"/>
  <c r="BU31" i="33"/>
  <c r="H31" i="22" s="1"/>
  <c r="BU38" i="33"/>
  <c r="BU36" i="33"/>
  <c r="BU37" i="33"/>
  <c r="BM38" i="33"/>
  <c r="AA32" i="24"/>
  <c r="T32" i="24" s="1"/>
  <c r="F32" i="42" s="1" a="1"/>
  <c r="F32" i="42" s="1"/>
  <c r="Y33" i="24"/>
  <c r="AZ30" i="33"/>
  <c r="BH38" i="33"/>
  <c r="AZ38" i="33"/>
  <c r="BC38" i="33"/>
  <c r="AZ32" i="33"/>
  <c r="AW15" i="33"/>
  <c r="C15" i="22" s="1"/>
  <c r="AZ39" i="33"/>
  <c r="AY39" i="33"/>
  <c r="BC39" i="33"/>
  <c r="BB39" i="33"/>
  <c r="BA39" i="33"/>
  <c r="BM39" i="33"/>
  <c r="BH39" i="33"/>
  <c r="AW39" i="33"/>
  <c r="C39" i="22" s="1"/>
  <c r="AY35" i="33"/>
  <c r="AZ19" i="33"/>
  <c r="AY37" i="33"/>
  <c r="AW23" i="33"/>
  <c r="C23" i="22" s="1"/>
  <c r="AZ35" i="33"/>
  <c r="BM34" i="33"/>
  <c r="BA18" i="33"/>
  <c r="BA17" i="33"/>
  <c r="BM23" i="33"/>
  <c r="AZ20" i="33"/>
  <c r="BB26" i="33"/>
  <c r="BB19" i="33"/>
  <c r="BC24" i="33"/>
  <c r="AZ29" i="33"/>
  <c r="AW18" i="33"/>
  <c r="C18" i="22" s="1"/>
  <c r="AY20" i="33"/>
  <c r="AW32" i="33"/>
  <c r="C32" i="22" s="1"/>
  <c r="BB23" i="33"/>
  <c r="BH15" i="33"/>
  <c r="BH26" i="33"/>
  <c r="AW25" i="33"/>
  <c r="C25" i="22" s="1"/>
  <c r="BC34" i="33"/>
  <c r="AY26" i="33"/>
  <c r="BH27" i="33"/>
  <c r="BC28" i="33"/>
  <c r="BH36" i="33"/>
  <c r="BC37" i="33"/>
  <c r="BM36" i="33"/>
  <c r="AZ33" i="33"/>
  <c r="BC23" i="33"/>
  <c r="BC26" i="33"/>
  <c r="BM21" i="33"/>
  <c r="AW16" i="33"/>
  <c r="C16" i="22" s="1"/>
  <c r="BA33" i="33"/>
  <c r="BA21" i="33"/>
  <c r="BA28" i="33"/>
  <c r="AW37" i="33"/>
  <c r="C37" i="22" s="1"/>
  <c r="AW29" i="33"/>
  <c r="C29" i="22" s="1"/>
  <c r="BA20" i="33"/>
  <c r="AY36" i="33"/>
  <c r="BC27" i="33"/>
  <c r="BC25" i="33"/>
  <c r="BC19" i="33"/>
  <c r="AY25" i="33"/>
  <c r="AZ36" i="33"/>
  <c r="BC33" i="33"/>
  <c r="BA22" i="33"/>
  <c r="BC20" i="33"/>
  <c r="BM22" i="33"/>
  <c r="BB25" i="33"/>
  <c r="BM35" i="33"/>
  <c r="BA19" i="33"/>
  <c r="AW31" i="33"/>
  <c r="C31" i="22" s="1"/>
  <c r="AY29" i="33"/>
  <c r="AZ23" i="33"/>
  <c r="AZ18" i="33"/>
  <c r="BC30" i="33"/>
  <c r="AW21" i="33"/>
  <c r="C21" i="22" s="1"/>
  <c r="AZ17" i="33"/>
  <c r="AW19" i="33"/>
  <c r="C19" i="22" s="1"/>
  <c r="BC15" i="33"/>
  <c r="AY19" i="33"/>
  <c r="BH18" i="33"/>
  <c r="AZ22" i="33"/>
  <c r="AY18" i="33"/>
  <c r="BM28" i="33"/>
  <c r="AZ16" i="33"/>
  <c r="AY22" i="33"/>
  <c r="AY17" i="33"/>
  <c r="AY21" i="33"/>
  <c r="AY16" i="33"/>
  <c r="BB16" i="33"/>
  <c r="BH17" i="33"/>
  <c r="BH20" i="33"/>
  <c r="BH30" i="33"/>
  <c r="AY23" i="33"/>
  <c r="BB21" i="33"/>
  <c r="BH16" i="33"/>
  <c r="AZ15" i="33"/>
  <c r="BA24" i="33"/>
  <c r="BB18" i="33"/>
  <c r="BB37" i="33"/>
  <c r="AZ31" i="33"/>
  <c r="BB20" i="33"/>
  <c r="BM32" i="33"/>
  <c r="AY27" i="33"/>
  <c r="AW17" i="33"/>
  <c r="C17" i="22" s="1"/>
  <c r="BC16" i="33"/>
  <c r="BA35" i="33"/>
  <c r="AW33" i="33"/>
  <c r="C33" i="22" s="1"/>
  <c r="BA26" i="33"/>
  <c r="BM25" i="33"/>
  <c r="AY28" i="33"/>
  <c r="BB36" i="33"/>
  <c r="BH19" i="33"/>
  <c r="BB32" i="33"/>
  <c r="AY31" i="33"/>
  <c r="BA30" i="33"/>
  <c r="BB33" i="33"/>
  <c r="AY30" i="33"/>
  <c r="BB15" i="33"/>
  <c r="BM17" i="33"/>
  <c r="AW34" i="33"/>
  <c r="C34" i="22" s="1"/>
  <c r="BH31" i="33"/>
  <c r="BC31" i="33"/>
  <c r="BA23" i="33"/>
  <c r="BH29" i="33"/>
  <c r="BM26" i="33"/>
  <c r="AW26" i="33"/>
  <c r="C26" i="22" s="1"/>
  <c r="BB31" i="33"/>
  <c r="AY15" i="33"/>
  <c r="BM37" i="33"/>
  <c r="BB29" i="33"/>
  <c r="BA31" i="33"/>
  <c r="BM18" i="33"/>
  <c r="AW27" i="33"/>
  <c r="C27" i="22" s="1"/>
  <c r="AW22" i="33"/>
  <c r="C22" i="22" s="1"/>
  <c r="BB22" i="33"/>
  <c r="BC36" i="33"/>
  <c r="BH21" i="33"/>
  <c r="BC29" i="33"/>
  <c r="BH37" i="33"/>
  <c r="BM33" i="33"/>
  <c r="AW24" i="33"/>
  <c r="C24" i="22" s="1"/>
  <c r="BC21" i="33"/>
  <c r="AW35" i="33"/>
  <c r="C35" i="22" s="1"/>
  <c r="BA16" i="33"/>
  <c r="AZ37" i="33"/>
  <c r="AZ25" i="33"/>
  <c r="BH22" i="33"/>
  <c r="BH35" i="33"/>
  <c r="AW36" i="33"/>
  <c r="C36" i="22" s="1"/>
  <c r="AY32" i="33"/>
  <c r="AZ24" i="33"/>
  <c r="BA32" i="33"/>
  <c r="BM27" i="33"/>
  <c r="AY24" i="33"/>
  <c r="BA15" i="33"/>
  <c r="BA37" i="33"/>
  <c r="AZ26" i="33"/>
  <c r="BM31" i="33"/>
  <c r="BB34" i="33"/>
  <c r="BC35" i="33"/>
  <c r="BC32" i="33"/>
  <c r="AW28" i="33"/>
  <c r="C28" i="22" s="1"/>
  <c r="BM16" i="33"/>
  <c r="BC18" i="33"/>
  <c r="BH32" i="33"/>
  <c r="AW20" i="33"/>
  <c r="C20" i="22" s="1"/>
  <c r="BB24" i="33"/>
  <c r="BC22" i="33"/>
  <c r="BA27" i="33"/>
  <c r="BM15" i="33"/>
  <c r="AZ34" i="33"/>
  <c r="BB28" i="33"/>
  <c r="BB35" i="33"/>
  <c r="BH25" i="33"/>
  <c r="BA25" i="33"/>
  <c r="AZ27" i="33"/>
  <c r="BH23" i="33"/>
  <c r="BB27" i="33"/>
  <c r="BM24" i="33"/>
  <c r="BA34" i="33"/>
  <c r="AZ28" i="33"/>
  <c r="BC17" i="33"/>
  <c r="BH33" i="33"/>
  <c r="AW30" i="33"/>
  <c r="C30" i="22" s="1"/>
  <c r="BM29" i="33"/>
  <c r="BA36" i="33"/>
  <c r="BM19" i="33"/>
  <c r="BM20" i="33"/>
  <c r="AY33" i="33"/>
  <c r="BH28" i="33"/>
  <c r="BH24" i="33"/>
  <c r="BB17" i="33"/>
  <c r="AZ21" i="33"/>
  <c r="BA29" i="33"/>
  <c r="AY38" i="33"/>
  <c r="BB38" i="33"/>
  <c r="BA38" i="33"/>
  <c r="AW38" i="33"/>
  <c r="C38" i="22" s="1"/>
  <c r="B32" i="24"/>
  <c r="C34" i="24"/>
  <c r="D33" i="24"/>
  <c r="Z33" i="24" s="1"/>
  <c r="T33" i="24" l="1"/>
  <c r="AA33" i="24"/>
  <c r="F33" i="42" a="1"/>
  <c r="F33" i="42" s="1"/>
  <c r="Y34" i="24"/>
  <c r="H40" i="22"/>
  <c r="J40" i="22"/>
  <c r="C40" i="22"/>
  <c r="B33" i="24"/>
  <c r="C35" i="24"/>
  <c r="D34" i="24"/>
  <c r="Z34" i="24" s="1"/>
  <c r="AA34" i="24" l="1"/>
  <c r="T34" i="24" s="1"/>
  <c r="F34" i="42" s="1" a="1"/>
  <c r="F34" i="42" s="1"/>
  <c r="Y35" i="24"/>
  <c r="B34" i="24"/>
  <c r="D35" i="24"/>
  <c r="Z35" i="24" s="1"/>
  <c r="C36" i="24"/>
  <c r="AA35" i="24" l="1"/>
  <c r="T35" i="24" s="1"/>
  <c r="F35" i="42" s="1" a="1"/>
  <c r="F35" i="42" s="1"/>
  <c r="Y36" i="24"/>
  <c r="B35" i="24"/>
  <c r="D36" i="24"/>
  <c r="Z36" i="24" s="1"/>
  <c r="C37" i="24"/>
  <c r="AA36" i="24" l="1"/>
  <c r="T36" i="24" s="1"/>
  <c r="F36" i="42" s="1" a="1"/>
  <c r="F36" i="42" s="1"/>
  <c r="Y37" i="24"/>
  <c r="B36" i="24"/>
  <c r="C38" i="24"/>
  <c r="D37" i="24"/>
  <c r="Z37" i="24" s="1"/>
  <c r="T37" i="24" l="1"/>
  <c r="AA37" i="24"/>
  <c r="F37" i="42" a="1"/>
  <c r="F37" i="42" s="1"/>
  <c r="Y38" i="24"/>
  <c r="B37" i="24"/>
  <c r="D38" i="24"/>
  <c r="Z38" i="24" s="1"/>
  <c r="C39" i="24"/>
  <c r="Y39" i="24" s="1"/>
  <c r="T38" i="24" l="1"/>
  <c r="AA38" i="24"/>
  <c r="F38" i="42" a="1"/>
  <c r="F38" i="42" s="1"/>
  <c r="D39" i="24"/>
  <c r="Z39" i="24" s="1"/>
  <c r="B38" i="24"/>
  <c r="AA39" i="24" l="1"/>
  <c r="T39" i="24" s="1"/>
  <c r="I39" i="24" s="1"/>
  <c r="F39" i="42" a="1"/>
  <c r="F39" i="42" s="1"/>
  <c r="B39" i="24"/>
  <c r="L28" i="33" l="1"/>
  <c r="Q28" i="33" s="1"/>
  <c r="V28" i="33"/>
  <c r="U28" i="33"/>
  <c r="M28" i="33"/>
  <c r="R28" i="33" s="1"/>
  <c r="N28" i="33"/>
  <c r="S28" i="33" s="1"/>
  <c r="K28" i="33"/>
  <c r="P28" i="33" s="1"/>
  <c r="L20" i="33"/>
  <c r="Q20" i="33" s="1"/>
  <c r="U20" i="33"/>
  <c r="V20" i="33"/>
  <c r="K20" i="33"/>
  <c r="P20" i="33" s="1"/>
  <c r="M20" i="33"/>
  <c r="R20" i="33" s="1"/>
  <c r="N20" i="33"/>
  <c r="S20" i="33" s="1"/>
  <c r="K29" i="33"/>
  <c r="P29" i="33" s="1"/>
  <c r="U29" i="33"/>
  <c r="V29" i="33"/>
  <c r="L29" i="33"/>
  <c r="Q29" i="33" s="1"/>
  <c r="M29" i="33"/>
  <c r="R29" i="33" s="1"/>
  <c r="N29" i="33"/>
  <c r="S29" i="33" s="1"/>
  <c r="V27" i="33"/>
  <c r="K27" i="33"/>
  <c r="P27" i="33" s="1"/>
  <c r="U27" i="33"/>
  <c r="L27" i="33"/>
  <c r="Q27" i="33" s="1"/>
  <c r="N27" i="33"/>
  <c r="S27" i="33" s="1"/>
  <c r="M27" i="33"/>
  <c r="R27" i="33" s="1"/>
  <c r="L26" i="33"/>
  <c r="Q26" i="33" s="1"/>
  <c r="M26" i="33"/>
  <c r="R26" i="33" s="1"/>
  <c r="U26" i="33"/>
  <c r="V26" i="33"/>
  <c r="K26" i="33"/>
  <c r="P26" i="33" s="1"/>
  <c r="N26" i="33"/>
  <c r="S26" i="33" s="1"/>
  <c r="K25" i="33"/>
  <c r="P25" i="33" s="1"/>
  <c r="M25" i="33"/>
  <c r="R25" i="33" s="1"/>
  <c r="L25" i="33"/>
  <c r="Q25" i="33" s="1"/>
  <c r="U25" i="33"/>
  <c r="V25" i="33"/>
  <c r="N25" i="33"/>
  <c r="S25" i="33" s="1"/>
  <c r="L24" i="33"/>
  <c r="Q24" i="33" s="1"/>
  <c r="U24" i="33"/>
  <c r="V24" i="33"/>
  <c r="M24" i="33"/>
  <c r="R24" i="33" s="1"/>
  <c r="N24" i="33"/>
  <c r="S24" i="33" s="1"/>
  <c r="K24" i="33"/>
  <c r="P24" i="33" s="1"/>
  <c r="K23" i="33"/>
  <c r="P23" i="33" s="1"/>
  <c r="M23" i="33"/>
  <c r="R23" i="33" s="1"/>
  <c r="U23" i="33"/>
  <c r="N23" i="33"/>
  <c r="S23" i="33" s="1"/>
  <c r="L23" i="33"/>
  <c r="Q23" i="33" s="1"/>
  <c r="V23" i="33"/>
  <c r="L22" i="33"/>
  <c r="Q22" i="33" s="1"/>
  <c r="M22" i="33"/>
  <c r="R22" i="33" s="1"/>
  <c r="U22" i="33"/>
  <c r="N22" i="33"/>
  <c r="S22" i="33" s="1"/>
  <c r="K22" i="33"/>
  <c r="P22" i="33" s="1"/>
  <c r="V22" i="33"/>
  <c r="K21" i="33"/>
  <c r="P21" i="33" s="1"/>
  <c r="N21" i="33"/>
  <c r="S21" i="33" s="1"/>
  <c r="M21" i="33"/>
  <c r="R21" i="33" s="1"/>
  <c r="U21" i="33"/>
  <c r="V21" i="33"/>
  <c r="L21" i="33"/>
  <c r="Q21" i="33" s="1"/>
  <c r="V37" i="33" l="1"/>
  <c r="U37" i="33"/>
  <c r="M37" i="33"/>
  <c r="R37" i="33" s="1"/>
  <c r="N37" i="33"/>
  <c r="S37" i="33" s="1"/>
  <c r="K37" i="33"/>
  <c r="P37" i="33" s="1"/>
  <c r="L37" i="33"/>
  <c r="Q37" i="33" s="1"/>
  <c r="V36" i="33"/>
  <c r="N36" i="33"/>
  <c r="S36" i="33" s="1"/>
  <c r="M36" i="33"/>
  <c r="R36" i="33" s="1"/>
  <c r="L36" i="33"/>
  <c r="Q36" i="33" s="1"/>
  <c r="K36" i="33"/>
  <c r="P36" i="33" s="1"/>
  <c r="U36" i="33"/>
  <c r="L33" i="33"/>
  <c r="Q33" i="33" s="1"/>
  <c r="U33" i="33"/>
  <c r="M33" i="33"/>
  <c r="R33" i="33" s="1"/>
  <c r="N33" i="33"/>
  <c r="S33" i="33" s="1"/>
  <c r="K33" i="33"/>
  <c r="P33" i="33" s="1"/>
  <c r="V33" i="33"/>
  <c r="V38" i="33"/>
  <c r="K38" i="33"/>
  <c r="P38" i="33" s="1"/>
  <c r="N38" i="33"/>
  <c r="S38" i="33" s="1"/>
  <c r="M38" i="33"/>
  <c r="R38" i="33" s="1"/>
  <c r="L38" i="33"/>
  <c r="Q38" i="33" s="1"/>
  <c r="U38" i="33"/>
  <c r="L31" i="33"/>
  <c r="Q31" i="33" s="1"/>
  <c r="V31" i="33"/>
  <c r="U31" i="33"/>
  <c r="M31" i="33"/>
  <c r="R31" i="33" s="1"/>
  <c r="K31" i="33"/>
  <c r="P31" i="33" s="1"/>
  <c r="N31" i="33"/>
  <c r="S31" i="33" s="1"/>
  <c r="K34" i="33"/>
  <c r="P34" i="33" s="1"/>
  <c r="U34" i="33"/>
  <c r="N34" i="33"/>
  <c r="S34" i="33" s="1"/>
  <c r="L34" i="33"/>
  <c r="Q34" i="33" s="1"/>
  <c r="M34" i="33"/>
  <c r="R34" i="33" s="1"/>
  <c r="V34" i="33"/>
  <c r="V39" i="33"/>
  <c r="U39" i="33"/>
  <c r="M39" i="33"/>
  <c r="R39" i="33" s="1"/>
  <c r="N39" i="33"/>
  <c r="S39" i="33" s="1"/>
  <c r="K39" i="33"/>
  <c r="P39" i="33" s="1"/>
  <c r="L39" i="33"/>
  <c r="Q39" i="33" s="1"/>
  <c r="L18" i="33"/>
  <c r="Q18" i="33" s="1"/>
  <c r="V18" i="33"/>
  <c r="M18" i="33"/>
  <c r="R18" i="33" s="1"/>
  <c r="K18" i="33"/>
  <c r="P18" i="33" s="1"/>
  <c r="N18" i="33"/>
  <c r="S18" i="33" s="1"/>
  <c r="U18" i="33"/>
  <c r="L16" i="33"/>
  <c r="Q16" i="33" s="1"/>
  <c r="U16" i="33"/>
  <c r="V16" i="33"/>
  <c r="K16" i="33"/>
  <c r="P16" i="33" s="1"/>
  <c r="N16" i="33"/>
  <c r="S16" i="33" s="1"/>
  <c r="M16" i="33"/>
  <c r="R16" i="33" s="1"/>
  <c r="U30" i="33"/>
  <c r="V30" i="33"/>
  <c r="M30" i="33"/>
  <c r="R30" i="33" s="1"/>
  <c r="L30" i="33"/>
  <c r="Q30" i="33" s="1"/>
  <c r="N30" i="33"/>
  <c r="S30" i="33" s="1"/>
  <c r="K30" i="33"/>
  <c r="P30" i="33" s="1"/>
  <c r="N19" i="33"/>
  <c r="V19" i="33"/>
  <c r="K19" i="33"/>
  <c r="M19" i="33"/>
  <c r="U19" i="33"/>
  <c r="L19" i="33"/>
  <c r="N17" i="33"/>
  <c r="S17" i="33" s="1"/>
  <c r="K17" i="33"/>
  <c r="P17" i="33" s="1"/>
  <c r="V17" i="33"/>
  <c r="U17" i="33"/>
  <c r="M17" i="33"/>
  <c r="R17" i="33" s="1"/>
  <c r="L17" i="33"/>
  <c r="Q17" i="33" s="1"/>
  <c r="V35" i="33"/>
  <c r="U35" i="33"/>
  <c r="N35" i="33"/>
  <c r="S35" i="33" s="1"/>
  <c r="K35" i="33"/>
  <c r="P35" i="33" s="1"/>
  <c r="L35" i="33"/>
  <c r="Q35" i="33" s="1"/>
  <c r="M35" i="33"/>
  <c r="R35" i="33" s="1"/>
  <c r="V32" i="33"/>
  <c r="L32" i="33"/>
  <c r="Q32" i="33" s="1"/>
  <c r="K32" i="33"/>
  <c r="P32" i="33" s="1"/>
  <c r="U32" i="33"/>
  <c r="N32" i="33"/>
  <c r="S32" i="33" s="1"/>
  <c r="M32" i="33"/>
  <c r="R32" i="33" s="1"/>
  <c r="BN22" i="33" l="1"/>
  <c r="BN19" i="33"/>
  <c r="BN23" i="33"/>
  <c r="BN24" i="33"/>
  <c r="BN20" i="33"/>
  <c r="BN25" i="33"/>
  <c r="BN26" i="33"/>
  <c r="BN27" i="33"/>
  <c r="BN28" i="33"/>
  <c r="BN29" i="33"/>
  <c r="BN30" i="33"/>
  <c r="BN31" i="33"/>
  <c r="BN32" i="33"/>
  <c r="BN33" i="33"/>
  <c r="BN34" i="33"/>
  <c r="BN35" i="33"/>
  <c r="BN36" i="33"/>
  <c r="BN37" i="33"/>
  <c r="BN38" i="33"/>
  <c r="BN39" i="33"/>
  <c r="BN21" i="33"/>
  <c r="R19" i="33"/>
  <c r="S19" i="33"/>
  <c r="P19" i="33"/>
  <c r="Q19" i="33"/>
  <c r="V15" i="33" l="1"/>
  <c r="L15" i="33"/>
  <c r="M15" i="33"/>
  <c r="N15" i="33"/>
  <c r="K15" i="33"/>
  <c r="E15" i="45"/>
  <c r="D15" i="45"/>
  <c r="BO19" i="33" l="1"/>
  <c r="BO35" i="33"/>
  <c r="BO29" i="33"/>
  <c r="BO30" i="33"/>
  <c r="BO22" i="33"/>
  <c r="BO23" i="33"/>
  <c r="BO20" i="33"/>
  <c r="BO36" i="33"/>
  <c r="BO31" i="33"/>
  <c r="BO24" i="33"/>
  <c r="BO25" i="33"/>
  <c r="BO37" i="33"/>
  <c r="BO26" i="33"/>
  <c r="BO38" i="33"/>
  <c r="BO34" i="33"/>
  <c r="BO27" i="33"/>
  <c r="BO39" i="33"/>
  <c r="BO21" i="33"/>
  <c r="BO28" i="33"/>
  <c r="BO33" i="33"/>
  <c r="BO32" i="33"/>
  <c r="BD26" i="33"/>
  <c r="BD38" i="33"/>
  <c r="BD32" i="33"/>
  <c r="BD33" i="33"/>
  <c r="BD27" i="33"/>
  <c r="BD39" i="33"/>
  <c r="BD34" i="33"/>
  <c r="BD28" i="33"/>
  <c r="BD19" i="33"/>
  <c r="BD24" i="33"/>
  <c r="BD29" i="33"/>
  <c r="BD21" i="33"/>
  <c r="BD30" i="33"/>
  <c r="BD31" i="33"/>
  <c r="BD23" i="33"/>
  <c r="BD20" i="33"/>
  <c r="BD35" i="33"/>
  <c r="BD22" i="33"/>
  <c r="BD36" i="33"/>
  <c r="BD25" i="33"/>
  <c r="BD37" i="33"/>
  <c r="BG22" i="33"/>
  <c r="BG31" i="33"/>
  <c r="BG20" i="33"/>
  <c r="BG24" i="33"/>
  <c r="BG32" i="33"/>
  <c r="BG26" i="33"/>
  <c r="BG19" i="33"/>
  <c r="BG33" i="33"/>
  <c r="BG37" i="33"/>
  <c r="BG23" i="33"/>
  <c r="BG34" i="33"/>
  <c r="BG35" i="33"/>
  <c r="BG36" i="33"/>
  <c r="BG25" i="33"/>
  <c r="BG27" i="33"/>
  <c r="BG21" i="33"/>
  <c r="BG39" i="33"/>
  <c r="BG28" i="33"/>
  <c r="BG29" i="33"/>
  <c r="BG38" i="33"/>
  <c r="BG30" i="33"/>
  <c r="BF22" i="33"/>
  <c r="BF35" i="33"/>
  <c r="BF31" i="33"/>
  <c r="BF21" i="33"/>
  <c r="BF36" i="33"/>
  <c r="BF25" i="33"/>
  <c r="BF37" i="33"/>
  <c r="BF28" i="33"/>
  <c r="BF26" i="33"/>
  <c r="BF38" i="33"/>
  <c r="BF29" i="33"/>
  <c r="BF27" i="33"/>
  <c r="BF39" i="33"/>
  <c r="BF23" i="33"/>
  <c r="BF32" i="33"/>
  <c r="BF24" i="33"/>
  <c r="BF33" i="33"/>
  <c r="BF19" i="33"/>
  <c r="BF34" i="33"/>
  <c r="BF30" i="33"/>
  <c r="BF20" i="33"/>
  <c r="BE24" i="33"/>
  <c r="BE34" i="33"/>
  <c r="BE21" i="33"/>
  <c r="BE35" i="33"/>
  <c r="BE27" i="33"/>
  <c r="BE28" i="33"/>
  <c r="BE22" i="33"/>
  <c r="BE36" i="33"/>
  <c r="BE39" i="33"/>
  <c r="BE25" i="33"/>
  <c r="BE37" i="33"/>
  <c r="BE26" i="33"/>
  <c r="BE38" i="33"/>
  <c r="BE29" i="33"/>
  <c r="BE23" i="33"/>
  <c r="BE31" i="33"/>
  <c r="BE19" i="33"/>
  <c r="BE32" i="33"/>
  <c r="BE20" i="33"/>
  <c r="BE30" i="33"/>
  <c r="BE33" i="33"/>
  <c r="BN15" i="33"/>
  <c r="BN16" i="33"/>
  <c r="BN17" i="33"/>
  <c r="BN18" i="33"/>
  <c r="BF15" i="33"/>
  <c r="BF16" i="33"/>
  <c r="BF17" i="33"/>
  <c r="BF18" i="33"/>
  <c r="BG15" i="33"/>
  <c r="BG16" i="33"/>
  <c r="BG17" i="33"/>
  <c r="BG18" i="33"/>
  <c r="BE15" i="33"/>
  <c r="BE16" i="33"/>
  <c r="BE17" i="33"/>
  <c r="BE18" i="33"/>
  <c r="BO15" i="33"/>
  <c r="BO16" i="33"/>
  <c r="BO17" i="33"/>
  <c r="BO18" i="33"/>
  <c r="BD15" i="33"/>
  <c r="BD16" i="33"/>
  <c r="BD17" i="33"/>
  <c r="BD18" i="33"/>
  <c r="U40" i="33"/>
  <c r="V40" i="33"/>
  <c r="Q15" i="33"/>
  <c r="L40" i="33"/>
  <c r="P15" i="33"/>
  <c r="K40" i="33"/>
  <c r="S15" i="33"/>
  <c r="N40" i="33"/>
  <c r="R15" i="33"/>
  <c r="M40" i="33"/>
  <c r="BK21" i="33" l="1"/>
  <c r="BK23" i="33"/>
  <c r="BK34" i="33"/>
  <c r="BK19" i="33"/>
  <c r="BK29" i="33"/>
  <c r="BK35" i="33"/>
  <c r="BK28" i="33"/>
  <c r="BK22" i="33"/>
  <c r="BK36" i="33"/>
  <c r="BK32" i="33"/>
  <c r="BK25" i="33"/>
  <c r="BK37" i="33"/>
  <c r="BK26" i="33"/>
  <c r="BK27" i="33"/>
  <c r="BK38" i="33"/>
  <c r="BK30" i="33"/>
  <c r="BK39" i="33"/>
  <c r="BK31" i="33"/>
  <c r="BK20" i="33"/>
  <c r="BK24" i="33"/>
  <c r="BK33" i="33"/>
  <c r="BL25" i="33"/>
  <c r="BL37" i="33"/>
  <c r="BL26" i="33"/>
  <c r="BL38" i="33"/>
  <c r="BL32" i="33"/>
  <c r="BL33" i="33"/>
  <c r="BL22" i="33"/>
  <c r="BL27" i="33"/>
  <c r="BL39" i="33"/>
  <c r="BL31" i="33"/>
  <c r="BL24" i="33"/>
  <c r="BL28" i="33"/>
  <c r="BL29" i="33"/>
  <c r="BL19" i="33"/>
  <c r="BL30" i="33"/>
  <c r="BL23" i="33"/>
  <c r="BL35" i="33"/>
  <c r="BL21" i="33"/>
  <c r="BL34" i="33"/>
  <c r="BL20" i="33"/>
  <c r="BL36" i="33"/>
  <c r="BI30" i="33"/>
  <c r="BI23" i="33"/>
  <c r="BI31" i="33"/>
  <c r="BI22" i="33"/>
  <c r="BI32" i="33"/>
  <c r="BI25" i="33"/>
  <c r="BI20" i="33"/>
  <c r="BI33" i="33"/>
  <c r="BI34" i="33"/>
  <c r="BI21" i="33"/>
  <c r="BI38" i="33"/>
  <c r="BI19" i="33"/>
  <c r="BI37" i="33"/>
  <c r="BI24" i="33"/>
  <c r="BI35" i="33"/>
  <c r="BI36" i="33"/>
  <c r="BI26" i="33"/>
  <c r="BI27" i="33"/>
  <c r="BI39" i="33"/>
  <c r="BI28" i="33"/>
  <c r="BI29" i="33"/>
  <c r="BJ28" i="33"/>
  <c r="BJ29" i="33"/>
  <c r="BJ23" i="33"/>
  <c r="BJ22" i="33"/>
  <c r="BJ38" i="33"/>
  <c r="BJ30" i="33"/>
  <c r="BJ33" i="33"/>
  <c r="BJ20" i="33"/>
  <c r="BJ31" i="33"/>
  <c r="BJ19" i="33"/>
  <c r="BJ32" i="33"/>
  <c r="BJ24" i="33"/>
  <c r="BJ34" i="33"/>
  <c r="BJ35" i="33"/>
  <c r="BJ36" i="33"/>
  <c r="BJ26" i="33"/>
  <c r="BJ27" i="33"/>
  <c r="BJ37" i="33"/>
  <c r="BJ39" i="33"/>
  <c r="BJ21" i="33"/>
  <c r="BJ25" i="33"/>
  <c r="BJ15" i="33"/>
  <c r="BJ16" i="33"/>
  <c r="BJ17" i="33"/>
  <c r="BJ18" i="33"/>
  <c r="BK15" i="33"/>
  <c r="BK16" i="33"/>
  <c r="BK17" i="33"/>
  <c r="BK18" i="33"/>
  <c r="BL15" i="33"/>
  <c r="BL16" i="33"/>
  <c r="BL17" i="33"/>
  <c r="BL18" i="33"/>
  <c r="BI15" i="33"/>
  <c r="BI16" i="33"/>
  <c r="BI17" i="33"/>
  <c r="BI18" i="33"/>
  <c r="S40" i="33"/>
  <c r="Q40" i="33"/>
  <c r="P40" i="33"/>
  <c r="R40" i="33"/>
  <c r="C44" i="29" l="1"/>
  <c r="C42" i="29"/>
  <c r="D32" i="45" l="1"/>
  <c r="E32" i="45"/>
  <c r="F32" i="45"/>
  <c r="D55" i="45"/>
  <c r="E55" i="45"/>
  <c r="F55" i="45"/>
  <c r="D63" i="45"/>
  <c r="E63" i="45"/>
  <c r="F63" i="45"/>
  <c r="D99" i="45"/>
  <c r="E99" i="45"/>
  <c r="F99" i="45"/>
  <c r="D100" i="45"/>
  <c r="E100" i="45"/>
  <c r="F100" i="45"/>
  <c r="D111" i="45"/>
  <c r="E111" i="45"/>
  <c r="F111" i="45"/>
  <c r="D117" i="45"/>
  <c r="E117" i="45"/>
  <c r="F117" i="45"/>
  <c r="D118" i="45"/>
  <c r="E118" i="45"/>
  <c r="F118" i="45"/>
  <c r="D119" i="45"/>
  <c r="E119" i="45"/>
  <c r="F119" i="45"/>
  <c r="D120" i="45"/>
  <c r="E120" i="45"/>
  <c r="F120" i="45"/>
  <c r="D27" i="45"/>
  <c r="E27" i="45"/>
  <c r="F27" i="45"/>
  <c r="D28" i="45"/>
  <c r="E28" i="45"/>
  <c r="F28" i="45"/>
  <c r="D29" i="45"/>
  <c r="E29" i="45"/>
  <c r="F29" i="45"/>
  <c r="D30" i="45"/>
  <c r="E30" i="45"/>
  <c r="F30" i="45"/>
  <c r="D31" i="45"/>
  <c r="E31" i="45"/>
  <c r="F31" i="45"/>
  <c r="D33" i="45"/>
  <c r="E33" i="45"/>
  <c r="F33" i="45"/>
  <c r="D34" i="45"/>
  <c r="E34" i="45"/>
  <c r="F34" i="45"/>
  <c r="D35" i="45"/>
  <c r="E35" i="45"/>
  <c r="F35" i="45"/>
  <c r="D36" i="45"/>
  <c r="E36" i="45"/>
  <c r="F36" i="45"/>
  <c r="D37" i="45"/>
  <c r="E37" i="45"/>
  <c r="F37" i="45"/>
  <c r="D38" i="45"/>
  <c r="E38" i="45"/>
  <c r="F38" i="45"/>
  <c r="D39" i="45"/>
  <c r="E39" i="45"/>
  <c r="F39" i="45"/>
  <c r="D40" i="45"/>
  <c r="E40" i="45"/>
  <c r="F40" i="45"/>
  <c r="D41" i="45"/>
  <c r="E41" i="45"/>
  <c r="F41" i="45"/>
  <c r="D42" i="45"/>
  <c r="E42" i="45"/>
  <c r="F42" i="45"/>
  <c r="D43" i="45"/>
  <c r="E43" i="45"/>
  <c r="F43" i="45"/>
  <c r="D44" i="45"/>
  <c r="E44" i="45"/>
  <c r="F44" i="45"/>
  <c r="D45" i="45"/>
  <c r="E45" i="45"/>
  <c r="F45" i="45"/>
  <c r="D46" i="45"/>
  <c r="E46" i="45"/>
  <c r="F46" i="45"/>
  <c r="D47" i="45"/>
  <c r="E47" i="45"/>
  <c r="F47" i="45"/>
  <c r="D48" i="45"/>
  <c r="E48" i="45"/>
  <c r="F48" i="45"/>
  <c r="D49" i="45"/>
  <c r="E49" i="45"/>
  <c r="F49" i="45"/>
  <c r="D50" i="45"/>
  <c r="E50" i="45"/>
  <c r="F50" i="45"/>
  <c r="D51" i="45"/>
  <c r="E51" i="45"/>
  <c r="F51" i="45"/>
  <c r="D52" i="45"/>
  <c r="E52" i="45"/>
  <c r="F52" i="45"/>
  <c r="D53" i="45"/>
  <c r="E53" i="45"/>
  <c r="F53" i="45"/>
  <c r="D54" i="45"/>
  <c r="E54" i="45"/>
  <c r="F54" i="45"/>
  <c r="D56" i="45"/>
  <c r="E56" i="45"/>
  <c r="F56" i="45"/>
  <c r="D57" i="45"/>
  <c r="E57" i="45"/>
  <c r="F57" i="45"/>
  <c r="D58" i="45"/>
  <c r="E58" i="45"/>
  <c r="F58" i="45"/>
  <c r="D59" i="45"/>
  <c r="E59" i="45"/>
  <c r="F59" i="45"/>
  <c r="D60" i="45"/>
  <c r="E60" i="45"/>
  <c r="F60" i="45"/>
  <c r="D61" i="45"/>
  <c r="E61" i="45"/>
  <c r="F61" i="45"/>
  <c r="D62" i="45"/>
  <c r="E62" i="45"/>
  <c r="F62" i="45"/>
  <c r="D64" i="45"/>
  <c r="E64" i="45"/>
  <c r="F64" i="45"/>
  <c r="D65" i="45"/>
  <c r="E65" i="45"/>
  <c r="F65" i="45"/>
  <c r="D66" i="45"/>
  <c r="E66" i="45"/>
  <c r="F66" i="45"/>
  <c r="D67" i="45"/>
  <c r="E67" i="45"/>
  <c r="F67" i="45"/>
  <c r="D68" i="45"/>
  <c r="E68" i="45"/>
  <c r="F68" i="45"/>
  <c r="D69" i="45"/>
  <c r="E69" i="45"/>
  <c r="F69" i="45"/>
  <c r="D70" i="45"/>
  <c r="E70" i="45"/>
  <c r="F70" i="45"/>
  <c r="D71" i="45"/>
  <c r="E71" i="45"/>
  <c r="F71" i="45"/>
  <c r="D72" i="45"/>
  <c r="E72" i="45"/>
  <c r="F72" i="45"/>
  <c r="D73" i="45"/>
  <c r="E73" i="45"/>
  <c r="F73" i="45"/>
  <c r="D74" i="45"/>
  <c r="E74" i="45"/>
  <c r="F74" i="45"/>
  <c r="D75" i="45"/>
  <c r="E75" i="45"/>
  <c r="F75" i="45"/>
  <c r="D76" i="45"/>
  <c r="E76" i="45"/>
  <c r="F76" i="45"/>
  <c r="D77" i="45"/>
  <c r="E77" i="45"/>
  <c r="F77" i="45"/>
  <c r="D78" i="45"/>
  <c r="E78" i="45"/>
  <c r="F78" i="45"/>
  <c r="D79" i="45"/>
  <c r="E79" i="45"/>
  <c r="F79" i="45"/>
  <c r="D80" i="45"/>
  <c r="E80" i="45"/>
  <c r="F80" i="45"/>
  <c r="D81" i="45"/>
  <c r="E81" i="45"/>
  <c r="F81" i="45"/>
  <c r="D82" i="45"/>
  <c r="E82" i="45"/>
  <c r="F82" i="45"/>
  <c r="D83" i="45"/>
  <c r="E83" i="45"/>
  <c r="F83" i="45"/>
  <c r="D84" i="45"/>
  <c r="E84" i="45"/>
  <c r="F84" i="45"/>
  <c r="D85" i="45"/>
  <c r="E85" i="45"/>
  <c r="F85" i="45"/>
  <c r="D86" i="45"/>
  <c r="E86" i="45"/>
  <c r="F86" i="45"/>
  <c r="D87" i="45"/>
  <c r="E87" i="45"/>
  <c r="F87" i="45"/>
  <c r="D88" i="45"/>
  <c r="E88" i="45"/>
  <c r="F88" i="45"/>
  <c r="D89" i="45"/>
  <c r="E89" i="45"/>
  <c r="F89" i="45"/>
  <c r="D90" i="45"/>
  <c r="E90" i="45"/>
  <c r="F90" i="45"/>
  <c r="D91" i="45"/>
  <c r="E91" i="45"/>
  <c r="F91" i="45"/>
  <c r="D92" i="45"/>
  <c r="E92" i="45"/>
  <c r="F92" i="45"/>
  <c r="D93" i="45"/>
  <c r="E93" i="45"/>
  <c r="F93" i="45"/>
  <c r="D94" i="45"/>
  <c r="E94" i="45"/>
  <c r="F94" i="45"/>
  <c r="D95" i="45"/>
  <c r="E95" i="45"/>
  <c r="F95" i="45"/>
  <c r="D96" i="45"/>
  <c r="E96" i="45"/>
  <c r="F96" i="45"/>
  <c r="D97" i="45"/>
  <c r="E97" i="45"/>
  <c r="F97" i="45"/>
  <c r="D98" i="45"/>
  <c r="E98" i="45"/>
  <c r="F98" i="45"/>
  <c r="D101" i="45"/>
  <c r="E101" i="45"/>
  <c r="F101" i="45"/>
  <c r="D102" i="45"/>
  <c r="E102" i="45"/>
  <c r="F102" i="45"/>
  <c r="D103" i="45"/>
  <c r="E103" i="45"/>
  <c r="F103" i="45"/>
  <c r="D104" i="45"/>
  <c r="E104" i="45"/>
  <c r="F104" i="45"/>
  <c r="D105" i="45"/>
  <c r="E105" i="45"/>
  <c r="F105" i="45"/>
  <c r="D106" i="45"/>
  <c r="E106" i="45"/>
  <c r="F106" i="45"/>
  <c r="D107" i="45"/>
  <c r="E107" i="45"/>
  <c r="F107" i="45"/>
  <c r="D108" i="45"/>
  <c r="E108" i="45"/>
  <c r="F108" i="45"/>
  <c r="D109" i="45"/>
  <c r="E109" i="45"/>
  <c r="F109" i="45"/>
  <c r="D110" i="45"/>
  <c r="E110" i="45"/>
  <c r="F110" i="45"/>
  <c r="D112" i="45"/>
  <c r="E112" i="45"/>
  <c r="F112" i="45"/>
  <c r="D113" i="45"/>
  <c r="E113" i="45"/>
  <c r="F113" i="45"/>
  <c r="D114" i="45"/>
  <c r="E114" i="45"/>
  <c r="F114" i="45"/>
  <c r="D115" i="45"/>
  <c r="E115" i="45"/>
  <c r="F115" i="45"/>
  <c r="D116" i="45"/>
  <c r="E116" i="45"/>
  <c r="F116" i="45"/>
  <c r="D121" i="45"/>
  <c r="E121" i="45"/>
  <c r="F121" i="45"/>
  <c r="D122" i="45"/>
  <c r="E122" i="45"/>
  <c r="F122" i="45"/>
  <c r="D123" i="45"/>
  <c r="E123" i="45"/>
  <c r="F123" i="45"/>
  <c r="D124" i="45"/>
  <c r="E124" i="45"/>
  <c r="F124" i="45"/>
  <c r="D125" i="45"/>
  <c r="E125" i="45"/>
  <c r="F125" i="45"/>
  <c r="D126" i="45"/>
  <c r="E126" i="45"/>
  <c r="F126" i="45"/>
  <c r="D127" i="45"/>
  <c r="E127" i="45"/>
  <c r="F127" i="45"/>
  <c r="D128" i="45"/>
  <c r="E128" i="45"/>
  <c r="F128" i="45"/>
  <c r="D129" i="45"/>
  <c r="E129" i="45"/>
  <c r="F129" i="45"/>
  <c r="D130" i="45"/>
  <c r="E130" i="45"/>
  <c r="F130" i="45"/>
  <c r="D131" i="45"/>
  <c r="E131" i="45"/>
  <c r="F131" i="45"/>
  <c r="D132" i="45"/>
  <c r="E132" i="45"/>
  <c r="F132" i="45"/>
  <c r="D133" i="45"/>
  <c r="E133" i="45"/>
  <c r="F133" i="45"/>
  <c r="D134" i="45"/>
  <c r="E134" i="45"/>
  <c r="F134" i="45"/>
  <c r="D135" i="45"/>
  <c r="E135" i="45"/>
  <c r="F135" i="45"/>
  <c r="D136" i="45"/>
  <c r="E136" i="45"/>
  <c r="F136" i="45"/>
  <c r="D137" i="45"/>
  <c r="E137" i="45"/>
  <c r="F137" i="45"/>
  <c r="D138" i="45"/>
  <c r="E138" i="45"/>
  <c r="F138" i="45"/>
  <c r="D139" i="45"/>
  <c r="E139" i="45"/>
  <c r="F139" i="45"/>
  <c r="D140" i="45"/>
  <c r="E140" i="45"/>
  <c r="F140" i="45"/>
  <c r="D141" i="45"/>
  <c r="E141" i="45"/>
  <c r="F141" i="45"/>
  <c r="D142" i="45"/>
  <c r="E142" i="45"/>
  <c r="F142" i="45"/>
  <c r="D143" i="45"/>
  <c r="E143" i="45"/>
  <c r="F143" i="45"/>
  <c r="D144" i="45"/>
  <c r="E144" i="45"/>
  <c r="F144" i="45"/>
  <c r="D145" i="45"/>
  <c r="E145" i="45"/>
  <c r="F145" i="45"/>
  <c r="K46" i="32" l="1"/>
  <c r="L46" i="32"/>
  <c r="K47" i="32"/>
  <c r="L47" i="32"/>
  <c r="K48" i="32"/>
  <c r="L48" i="32"/>
  <c r="K49" i="32"/>
  <c r="L49" i="32"/>
  <c r="K50" i="32"/>
  <c r="L50" i="32"/>
  <c r="K51" i="32"/>
  <c r="L51" i="32"/>
  <c r="K52" i="32"/>
  <c r="L52" i="32"/>
  <c r="K53" i="32"/>
  <c r="L53" i="32"/>
  <c r="K54" i="32"/>
  <c r="L54" i="32"/>
  <c r="K55" i="32"/>
  <c r="L55" i="32"/>
  <c r="K56" i="32"/>
  <c r="L56" i="32"/>
  <c r="K57" i="32"/>
  <c r="L57" i="32"/>
  <c r="K58" i="32"/>
  <c r="L58" i="32"/>
  <c r="K59" i="32"/>
  <c r="L59" i="32"/>
  <c r="K60" i="32"/>
  <c r="L60" i="32"/>
  <c r="K61" i="32"/>
  <c r="L61" i="32"/>
  <c r="K62" i="32"/>
  <c r="L62" i="32"/>
  <c r="K63" i="32"/>
  <c r="L63" i="32"/>
  <c r="K64" i="32"/>
  <c r="L64" i="32"/>
  <c r="K65" i="32"/>
  <c r="L65" i="32"/>
  <c r="K66" i="32"/>
  <c r="L66" i="32"/>
  <c r="K67" i="32"/>
  <c r="L67" i="32"/>
  <c r="K68" i="32"/>
  <c r="L68" i="32"/>
  <c r="K69" i="32"/>
  <c r="L69" i="32"/>
  <c r="K71" i="32"/>
  <c r="L71" i="32"/>
  <c r="K72" i="32"/>
  <c r="L72" i="32"/>
  <c r="K73" i="32"/>
  <c r="L73" i="32"/>
  <c r="K74" i="32"/>
  <c r="L74" i="32"/>
  <c r="K75" i="32"/>
  <c r="L75" i="32"/>
  <c r="K76" i="32"/>
  <c r="L76" i="32"/>
  <c r="K77" i="32"/>
  <c r="L77" i="32"/>
  <c r="K78" i="32"/>
  <c r="L78" i="32"/>
  <c r="K79" i="32"/>
  <c r="L79" i="32"/>
  <c r="K80" i="32"/>
  <c r="L80" i="32"/>
  <c r="K81" i="32"/>
  <c r="L81" i="32"/>
  <c r="K82" i="32"/>
  <c r="L82" i="32"/>
  <c r="K83" i="32"/>
  <c r="L83" i="32"/>
  <c r="K84" i="32"/>
  <c r="L84" i="32"/>
  <c r="K85" i="32"/>
  <c r="L85" i="32"/>
  <c r="K86" i="32"/>
  <c r="L86" i="32"/>
  <c r="K87" i="32"/>
  <c r="L87" i="32"/>
  <c r="K88" i="32"/>
  <c r="L88" i="32"/>
  <c r="K89" i="32"/>
  <c r="L89" i="32"/>
  <c r="K90" i="32"/>
  <c r="L90" i="32"/>
  <c r="K91" i="32"/>
  <c r="L91" i="32"/>
  <c r="K92" i="32"/>
  <c r="L92" i="32"/>
  <c r="K93" i="32"/>
  <c r="L93" i="32"/>
  <c r="K94" i="32"/>
  <c r="L94" i="32"/>
  <c r="K95" i="32"/>
  <c r="L95" i="32"/>
  <c r="K96" i="32"/>
  <c r="L96" i="32"/>
  <c r="K97" i="32"/>
  <c r="L97" i="32"/>
  <c r="K98" i="32"/>
  <c r="L98" i="32"/>
  <c r="K99" i="32"/>
  <c r="L99" i="32"/>
  <c r="K100" i="32"/>
  <c r="L100" i="32"/>
  <c r="K101" i="32"/>
  <c r="L101" i="32"/>
  <c r="K102" i="32"/>
  <c r="L102" i="32"/>
  <c r="K103" i="32"/>
  <c r="L103" i="32"/>
  <c r="K104" i="32"/>
  <c r="L104" i="32"/>
  <c r="K105" i="32"/>
  <c r="L105" i="32"/>
  <c r="K106" i="32"/>
  <c r="L106" i="32"/>
  <c r="K107" i="32"/>
  <c r="L107" i="32"/>
  <c r="K108" i="32"/>
  <c r="L108" i="32"/>
  <c r="K109" i="32"/>
  <c r="L109" i="32"/>
  <c r="K110" i="32"/>
  <c r="L110" i="32"/>
  <c r="K111" i="32"/>
  <c r="L111" i="32"/>
  <c r="K112" i="32"/>
  <c r="L112" i="32"/>
  <c r="K113" i="32"/>
  <c r="L113" i="32"/>
  <c r="K114" i="32"/>
  <c r="L114" i="32"/>
  <c r="K115" i="32"/>
  <c r="L115" i="32"/>
  <c r="K116" i="32"/>
  <c r="L116" i="32"/>
  <c r="K117" i="32"/>
  <c r="L117" i="32"/>
  <c r="K118" i="32"/>
  <c r="L118" i="32"/>
  <c r="K119" i="32"/>
  <c r="L119" i="32"/>
  <c r="K120" i="32"/>
  <c r="L120" i="32"/>
  <c r="K121" i="32"/>
  <c r="L121" i="32"/>
  <c r="K122" i="32"/>
  <c r="L122" i="32"/>
  <c r="K123" i="32"/>
  <c r="L123" i="32"/>
  <c r="K124" i="32"/>
  <c r="L124" i="32"/>
  <c r="K125" i="32"/>
  <c r="L125" i="32"/>
  <c r="K126" i="32"/>
  <c r="L126" i="32"/>
  <c r="K127" i="32"/>
  <c r="L127" i="32"/>
  <c r="K128" i="32"/>
  <c r="L128" i="32"/>
  <c r="K129" i="32"/>
  <c r="L129" i="32"/>
  <c r="K130" i="32"/>
  <c r="L130" i="32"/>
  <c r="K131" i="32"/>
  <c r="L131" i="32"/>
  <c r="K132" i="32"/>
  <c r="L132" i="32"/>
  <c r="K133" i="32"/>
  <c r="L133" i="32"/>
  <c r="K134" i="32"/>
  <c r="L134" i="32"/>
  <c r="K135" i="32"/>
  <c r="L135" i="32"/>
  <c r="K136" i="32"/>
  <c r="L136" i="32"/>
  <c r="K137" i="32"/>
  <c r="L137" i="32"/>
  <c r="K138" i="32"/>
  <c r="L138" i="32"/>
  <c r="K139" i="32"/>
  <c r="L139" i="32"/>
  <c r="K140" i="32"/>
  <c r="L140" i="32"/>
  <c r="K141" i="32"/>
  <c r="L141" i="32"/>
  <c r="K142" i="32"/>
  <c r="L142" i="32"/>
  <c r="K143" i="32"/>
  <c r="L143" i="32"/>
  <c r="K144" i="32"/>
  <c r="L144" i="32"/>
  <c r="K145" i="32"/>
  <c r="L145" i="32"/>
  <c r="K146" i="32"/>
  <c r="L146" i="32"/>
  <c r="K147" i="32"/>
  <c r="L147" i="32"/>
  <c r="K148" i="32"/>
  <c r="L148" i="32"/>
  <c r="K149" i="32"/>
  <c r="L149" i="32"/>
  <c r="K150" i="32"/>
  <c r="L150" i="32"/>
  <c r="K151" i="32"/>
  <c r="L151" i="32"/>
  <c r="K152" i="32"/>
  <c r="L152" i="32"/>
  <c r="K153" i="32"/>
  <c r="L153" i="32"/>
  <c r="K154" i="32"/>
  <c r="L154" i="32"/>
  <c r="K155" i="32"/>
  <c r="L155" i="32"/>
  <c r="K156" i="32"/>
  <c r="L156" i="32"/>
  <c r="K157" i="32"/>
  <c r="L157" i="32"/>
  <c r="K158" i="32"/>
  <c r="L158" i="32"/>
  <c r="K159" i="32"/>
  <c r="L159" i="32"/>
  <c r="K160" i="32"/>
  <c r="L160" i="32"/>
  <c r="K161" i="32"/>
  <c r="L161" i="32"/>
  <c r="K162" i="32"/>
  <c r="L162" i="32"/>
  <c r="K163" i="32"/>
  <c r="L163" i="32"/>
  <c r="K164" i="32"/>
  <c r="L164" i="32"/>
  <c r="K165" i="32"/>
  <c r="L165" i="32"/>
  <c r="K166" i="32"/>
  <c r="L166" i="32"/>
  <c r="K167" i="32"/>
  <c r="L167" i="32"/>
  <c r="K168" i="32"/>
  <c r="L168" i="32"/>
  <c r="K45" i="32"/>
  <c r="L45"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1" i="32"/>
  <c r="J72" i="32"/>
  <c r="J73" i="32"/>
  <c r="J74" i="32"/>
  <c r="J75" i="32"/>
  <c r="J76" i="32"/>
  <c r="J77" i="32"/>
  <c r="J78" i="32"/>
  <c r="J79" i="32"/>
  <c r="J80" i="32"/>
  <c r="J81" i="32"/>
  <c r="J82" i="32"/>
  <c r="J83" i="32"/>
  <c r="J84" i="32"/>
  <c r="J85" i="32"/>
  <c r="J86" i="32"/>
  <c r="J87" i="32"/>
  <c r="J88" i="32"/>
  <c r="J89" i="32"/>
  <c r="J90" i="32"/>
  <c r="J91" i="32"/>
  <c r="J92" i="32"/>
  <c r="J93" i="32"/>
  <c r="J94" i="32"/>
  <c r="J95" i="32"/>
  <c r="J96" i="32"/>
  <c r="J97" i="32"/>
  <c r="J98" i="32"/>
  <c r="J99" i="32"/>
  <c r="J100" i="32"/>
  <c r="J101" i="32"/>
  <c r="J102" i="32"/>
  <c r="J103" i="32"/>
  <c r="J104" i="32"/>
  <c r="J105" i="32"/>
  <c r="J106" i="32"/>
  <c r="J107" i="32"/>
  <c r="J108" i="32"/>
  <c r="J109" i="32"/>
  <c r="J110" i="32"/>
  <c r="J111" i="32"/>
  <c r="J112" i="32"/>
  <c r="J113" i="32"/>
  <c r="J114" i="32"/>
  <c r="J115" i="32"/>
  <c r="J116" i="32"/>
  <c r="J117" i="32"/>
  <c r="J118" i="32"/>
  <c r="J119" i="32"/>
  <c r="J120" i="32"/>
  <c r="J121" i="32"/>
  <c r="J122" i="32"/>
  <c r="J123" i="32"/>
  <c r="J124" i="32"/>
  <c r="J125" i="32"/>
  <c r="J126" i="32"/>
  <c r="J127" i="32"/>
  <c r="J128" i="32"/>
  <c r="J129" i="32"/>
  <c r="J130" i="32"/>
  <c r="J131" i="32"/>
  <c r="J132" i="32"/>
  <c r="J133" i="32"/>
  <c r="J134" i="32"/>
  <c r="J135" i="32"/>
  <c r="J136" i="32"/>
  <c r="J137" i="32"/>
  <c r="J138" i="32"/>
  <c r="J139" i="32"/>
  <c r="J140" i="32"/>
  <c r="J141" i="32"/>
  <c r="J142" i="32"/>
  <c r="J143" i="32"/>
  <c r="J144" i="32"/>
  <c r="J145" i="32"/>
  <c r="J146" i="32"/>
  <c r="J147" i="32"/>
  <c r="J148" i="32"/>
  <c r="J149" i="32"/>
  <c r="J150" i="32"/>
  <c r="J151" i="32"/>
  <c r="J152" i="32"/>
  <c r="J153" i="32"/>
  <c r="J154" i="32"/>
  <c r="J155" i="32"/>
  <c r="J156" i="32"/>
  <c r="J157" i="32"/>
  <c r="J158" i="32"/>
  <c r="J159" i="32"/>
  <c r="J160" i="32"/>
  <c r="J161" i="32"/>
  <c r="J162" i="32"/>
  <c r="J163" i="32"/>
  <c r="J164" i="32"/>
  <c r="J165" i="32"/>
  <c r="J166" i="32"/>
  <c r="J167" i="32"/>
  <c r="J168" i="32"/>
  <c r="BP32" i="44" l="1"/>
  <c r="BO32" i="44"/>
  <c r="BN32" i="44"/>
  <c r="BM32" i="44"/>
  <c r="BL32" i="44"/>
  <c r="BK32" i="44"/>
  <c r="BJ32" i="44"/>
  <c r="BP31" i="44"/>
  <c r="BO31" i="44"/>
  <c r="BN31" i="44"/>
  <c r="BM31" i="44"/>
  <c r="BL31" i="44"/>
  <c r="BK31" i="44"/>
  <c r="BJ31" i="44"/>
  <c r="BP30" i="44"/>
  <c r="BO30" i="44"/>
  <c r="BN30" i="44"/>
  <c r="BM30" i="44"/>
  <c r="BL30" i="44"/>
  <c r="BK30" i="44"/>
  <c r="BJ30" i="44"/>
  <c r="BP29" i="44"/>
  <c r="BO29" i="44"/>
  <c r="BN29" i="44"/>
  <c r="BM29" i="44"/>
  <c r="BL29" i="44"/>
  <c r="BK29" i="44"/>
  <c r="BJ29" i="44"/>
  <c r="BP28" i="44"/>
  <c r="BO28" i="44"/>
  <c r="BN28" i="44"/>
  <c r="BM28" i="44"/>
  <c r="BL28" i="44"/>
  <c r="BK28" i="44"/>
  <c r="BJ28" i="44"/>
  <c r="BP27" i="44"/>
  <c r="BO27" i="44"/>
  <c r="BN27" i="44"/>
  <c r="BM27" i="44"/>
  <c r="BL27" i="44"/>
  <c r="BK27" i="44"/>
  <c r="BJ27" i="44"/>
  <c r="BP26" i="44"/>
  <c r="BO26" i="44"/>
  <c r="BN26" i="44"/>
  <c r="BM26" i="44"/>
  <c r="BL26" i="44"/>
  <c r="BK26" i="44"/>
  <c r="BJ26" i="44"/>
  <c r="BP25" i="44"/>
  <c r="BO25" i="44"/>
  <c r="BN25" i="44"/>
  <c r="BM25" i="44"/>
  <c r="BL25" i="44"/>
  <c r="BK25" i="44"/>
  <c r="BJ25" i="44"/>
  <c r="BP24" i="44"/>
  <c r="BO24" i="44"/>
  <c r="BN24" i="44"/>
  <c r="BM24" i="44"/>
  <c r="BL24" i="44"/>
  <c r="BK24" i="44"/>
  <c r="BJ24" i="44"/>
  <c r="BP23" i="44"/>
  <c r="BO23" i="44"/>
  <c r="BN23" i="44"/>
  <c r="BM23" i="44"/>
  <c r="BL23" i="44"/>
  <c r="BK23" i="44"/>
  <c r="BJ23" i="44"/>
  <c r="BP22" i="44"/>
  <c r="BO22" i="44"/>
  <c r="BN22" i="44"/>
  <c r="BM22" i="44"/>
  <c r="BL22" i="44"/>
  <c r="BK22" i="44"/>
  <c r="BJ22" i="44"/>
  <c r="BP21" i="44"/>
  <c r="BO21" i="44"/>
  <c r="BN21" i="44"/>
  <c r="BM21" i="44"/>
  <c r="BL21" i="44"/>
  <c r="BK21" i="44"/>
  <c r="BJ21" i="44"/>
  <c r="BP20" i="44"/>
  <c r="BO20" i="44"/>
  <c r="BN20" i="44"/>
  <c r="BM20" i="44"/>
  <c r="BL20" i="44"/>
  <c r="BK20" i="44"/>
  <c r="BJ20" i="44"/>
  <c r="BP19" i="44"/>
  <c r="BO19" i="44"/>
  <c r="BN19" i="44"/>
  <c r="BM19" i="44"/>
  <c r="BL19" i="44"/>
  <c r="BK19" i="44"/>
  <c r="BJ19" i="44"/>
  <c r="BP18" i="44"/>
  <c r="BO18" i="44"/>
  <c r="BN18" i="44"/>
  <c r="BM18" i="44"/>
  <c r="BL18" i="44"/>
  <c r="BK18" i="44"/>
  <c r="BJ18" i="44"/>
  <c r="BP17" i="44"/>
  <c r="BO17" i="44"/>
  <c r="BN17" i="44"/>
  <c r="BM17" i="44"/>
  <c r="BL17" i="44"/>
  <c r="BK17" i="44"/>
  <c r="BJ17" i="44"/>
  <c r="BP16" i="44"/>
  <c r="BO16" i="44"/>
  <c r="BN16" i="44"/>
  <c r="BM16" i="44"/>
  <c r="BL16" i="44"/>
  <c r="BK16" i="44"/>
  <c r="BJ16" i="44"/>
  <c r="BP15" i="44"/>
  <c r="BO15" i="44"/>
  <c r="BN15" i="44"/>
  <c r="BM15" i="44"/>
  <c r="BL15" i="44"/>
  <c r="BK15" i="44"/>
  <c r="BJ15" i="44"/>
  <c r="BP14" i="44"/>
  <c r="BO14" i="44"/>
  <c r="BN14" i="44"/>
  <c r="BM14" i="44"/>
  <c r="BL14" i="44"/>
  <c r="BK14" i="44"/>
  <c r="BJ14" i="44"/>
  <c r="BP13" i="44"/>
  <c r="BO13" i="44"/>
  <c r="BN13" i="44"/>
  <c r="BM13" i="44"/>
  <c r="BL13" i="44"/>
  <c r="BK13" i="44"/>
  <c r="BJ13" i="44"/>
  <c r="BP12" i="44"/>
  <c r="BO12" i="44"/>
  <c r="BN12" i="44"/>
  <c r="BM12" i="44"/>
  <c r="BL12" i="44"/>
  <c r="BK12" i="44"/>
  <c r="BJ12" i="44"/>
  <c r="BP11" i="44"/>
  <c r="BO11" i="44"/>
  <c r="BN11" i="44"/>
  <c r="BM11" i="44"/>
  <c r="BL11" i="44"/>
  <c r="BK11" i="44"/>
  <c r="BJ11" i="44"/>
  <c r="BP10" i="44"/>
  <c r="BO10" i="44"/>
  <c r="BN10" i="44"/>
  <c r="BM10" i="44"/>
  <c r="BL10" i="44"/>
  <c r="BK10" i="44"/>
  <c r="BJ10" i="44"/>
  <c r="BP9" i="44"/>
  <c r="BO9" i="44"/>
  <c r="BN9" i="44"/>
  <c r="BM9" i="44"/>
  <c r="BL9" i="44"/>
  <c r="BK9" i="44"/>
  <c r="BJ9" i="44"/>
  <c r="BP8" i="44"/>
  <c r="BO8" i="44"/>
  <c r="BN8" i="44"/>
  <c r="BM8" i="44"/>
  <c r="BL8" i="44"/>
  <c r="BK8" i="44"/>
  <c r="BJ8" i="44"/>
  <c r="BP7" i="44"/>
  <c r="BO7" i="44"/>
  <c r="BN7" i="44"/>
  <c r="BM7" i="44"/>
  <c r="BL7" i="44"/>
  <c r="BK7" i="44"/>
  <c r="BJ7" i="44"/>
  <c r="BP6" i="44"/>
  <c r="BO6" i="44"/>
  <c r="BN6" i="44"/>
  <c r="BM6" i="44"/>
  <c r="BL6" i="44"/>
  <c r="BK6" i="44"/>
  <c r="BJ6" i="44"/>
  <c r="BP5" i="44"/>
  <c r="BO5" i="44"/>
  <c r="BN5" i="44"/>
  <c r="BM5" i="44"/>
  <c r="BL5" i="44"/>
  <c r="BK5" i="44"/>
  <c r="BJ5" i="44"/>
  <c r="BP4" i="44"/>
  <c r="BO4" i="44"/>
  <c r="BN4" i="44"/>
  <c r="BM4" i="44"/>
  <c r="BL4" i="44"/>
  <c r="BK4" i="44"/>
  <c r="BJ4" i="44"/>
  <c r="BP3" i="44"/>
  <c r="BO3" i="44"/>
  <c r="BN3" i="44"/>
  <c r="BM3" i="44"/>
  <c r="BL3" i="44"/>
  <c r="BK3" i="44"/>
  <c r="BJ3" i="44"/>
  <c r="BH3" i="44"/>
  <c r="BG3" i="44"/>
  <c r="BF3" i="44"/>
  <c r="BE3" i="44"/>
  <c r="BD3" i="44"/>
  <c r="BC3" i="44"/>
  <c r="C43" i="38"/>
  <c r="C42" i="38"/>
  <c r="C41" i="38"/>
  <c r="C38" i="38"/>
  <c r="C37" i="38"/>
  <c r="C36" i="38"/>
  <c r="C35" i="38"/>
  <c r="C34" i="38"/>
  <c r="C33" i="38"/>
  <c r="C32" i="38"/>
  <c r="C25" i="38"/>
  <c r="C44" i="38" l="1"/>
  <c r="G16" i="24" l="1"/>
  <c r="V16" i="24" l="1"/>
  <c r="C16" i="42" s="1"/>
  <c r="BX16" i="33" s="1"/>
  <c r="G17" i="24"/>
  <c r="G18" i="24" s="1"/>
  <c r="V18" i="24" s="1"/>
  <c r="H16" i="24"/>
  <c r="CA16" i="33" l="1" a="1"/>
  <c r="CA16" i="33" s="1"/>
  <c r="Q16" i="42" s="1"/>
  <c r="AL16" i="33" s="1"/>
  <c r="AT16" i="33" s="1"/>
  <c r="CF16" i="33" a="1"/>
  <c r="CF16" i="33" s="1"/>
  <c r="V16" i="42" s="1"/>
  <c r="S16" i="42"/>
  <c r="X16" i="42"/>
  <c r="I15" i="24"/>
  <c r="W16" i="24"/>
  <c r="H17" i="24"/>
  <c r="V17" i="24"/>
  <c r="C17" i="42" s="1"/>
  <c r="BX17" i="33" s="1"/>
  <c r="G19" i="24"/>
  <c r="V19" i="24" s="1"/>
  <c r="H18" i="24"/>
  <c r="CA17" i="33" l="1" a="1"/>
  <c r="CA17" i="33" s="1"/>
  <c r="Q17" i="42" s="1"/>
  <c r="CF17" i="33" a="1"/>
  <c r="CF17" i="33" s="1"/>
  <c r="V17" i="42" s="1"/>
  <c r="S19" i="42"/>
  <c r="X19" i="42"/>
  <c r="S17" i="42"/>
  <c r="X17" i="42"/>
  <c r="AR17" i="33" s="1"/>
  <c r="C18" i="42"/>
  <c r="BX18" i="33" s="1"/>
  <c r="CH18" i="33" s="1" a="1"/>
  <c r="CH18" i="33" s="1"/>
  <c r="X16" i="24"/>
  <c r="S16" i="24" s="1"/>
  <c r="E16" i="42" s="1" a="1"/>
  <c r="E16" i="42" s="1"/>
  <c r="I16" i="24"/>
  <c r="W17" i="24"/>
  <c r="I17" i="24"/>
  <c r="W18" i="24"/>
  <c r="G20" i="24"/>
  <c r="V20" i="24" s="1"/>
  <c r="C20" i="42" s="1"/>
  <c r="BX20" i="33" s="1"/>
  <c r="H19" i="24"/>
  <c r="CF20" i="33" l="1" a="1"/>
  <c r="CF20" i="33" s="1"/>
  <c r="V20" i="42" s="1"/>
  <c r="CH20" i="33" a="1"/>
  <c r="CH20" i="33" s="1"/>
  <c r="X20" i="42" s="1"/>
  <c r="CA20" i="33" a="1"/>
  <c r="CA20" i="33" s="1"/>
  <c r="Q20" i="42" s="1"/>
  <c r="CA18" i="33" a="1"/>
  <c r="CA18" i="33" s="1"/>
  <c r="Q18" i="42" s="1"/>
  <c r="CF18" i="33" a="1"/>
  <c r="CF18" i="33" s="1"/>
  <c r="V18" i="42" s="1"/>
  <c r="AT17" i="33"/>
  <c r="C19" i="42"/>
  <c r="S20" i="42"/>
  <c r="S18" i="42"/>
  <c r="X18" i="42"/>
  <c r="AC16" i="42"/>
  <c r="E16" i="24"/>
  <c r="AD16" i="33"/>
  <c r="AI16" i="33" s="1"/>
  <c r="C16" i="33"/>
  <c r="X17" i="24"/>
  <c r="S17" i="24" s="1"/>
  <c r="E17" i="42" s="1" a="1"/>
  <c r="E17" i="42" s="1"/>
  <c r="AA17" i="42" s="1"/>
  <c r="X18" i="24"/>
  <c r="S18" i="24" s="1"/>
  <c r="I18" i="24"/>
  <c r="W19" i="24"/>
  <c r="G21" i="24"/>
  <c r="V21" i="24" s="1"/>
  <c r="C21" i="42" s="1"/>
  <c r="BX21" i="33" s="1"/>
  <c r="H20" i="24"/>
  <c r="AR18" i="33" l="1"/>
  <c r="AR20" i="33"/>
  <c r="CA21" i="33" a="1"/>
  <c r="CA21" i="33" s="1"/>
  <c r="Q21" i="42" s="1"/>
  <c r="CF21" i="33" a="1"/>
  <c r="CF21" i="33" s="1"/>
  <c r="V21" i="42" s="1"/>
  <c r="CH21" i="33" a="1"/>
  <c r="CH21" i="33" s="1"/>
  <c r="X21" i="42" s="1"/>
  <c r="AT20" i="33"/>
  <c r="AT18" i="33"/>
  <c r="AA16" i="42"/>
  <c r="AB16" i="42" s="1"/>
  <c r="Y16" i="33" s="1"/>
  <c r="BX19" i="33"/>
  <c r="S21" i="42"/>
  <c r="AO21" i="33" s="1"/>
  <c r="AC17" i="42"/>
  <c r="C17" i="33"/>
  <c r="E18" i="42" a="1"/>
  <c r="E18" i="42" s="1"/>
  <c r="AA18" i="42" s="1"/>
  <c r="E17" i="24"/>
  <c r="X19" i="24"/>
  <c r="S19" i="24" s="1"/>
  <c r="C18" i="33"/>
  <c r="E18" i="24"/>
  <c r="I19" i="24"/>
  <c r="W20" i="24"/>
  <c r="H21" i="24"/>
  <c r="G22" i="24"/>
  <c r="V22" i="24" s="1"/>
  <c r="C22" i="42" s="1"/>
  <c r="BX22" i="33" s="1"/>
  <c r="CF22" i="33" l="1" a="1"/>
  <c r="CF22" i="33" s="1"/>
  <c r="V22" i="42" s="1"/>
  <c r="CA22" i="33" a="1"/>
  <c r="CA22" i="33" s="1"/>
  <c r="Q22" i="42" s="1"/>
  <c r="CF19" i="33" a="1"/>
  <c r="CF19" i="33" s="1"/>
  <c r="V19" i="42" s="1"/>
  <c r="CA19" i="33" a="1"/>
  <c r="CA19" i="33" s="1"/>
  <c r="Q19" i="42" s="1"/>
  <c r="AA16" i="33"/>
  <c r="Z16" i="33"/>
  <c r="AD16" i="42"/>
  <c r="E16" i="33" s="1"/>
  <c r="S22" i="42"/>
  <c r="X22" i="42"/>
  <c r="AC18" i="42"/>
  <c r="E19" i="42" a="1"/>
  <c r="E19" i="42" s="1"/>
  <c r="Y18" i="33"/>
  <c r="Y17" i="33"/>
  <c r="E19" i="24"/>
  <c r="C19" i="33"/>
  <c r="X20" i="24"/>
  <c r="S20" i="24" s="1"/>
  <c r="E20" i="42" s="1" a="1"/>
  <c r="E20" i="42" s="1"/>
  <c r="AA20" i="42" s="1"/>
  <c r="I20" i="24"/>
  <c r="W21" i="24"/>
  <c r="G23" i="24"/>
  <c r="V23" i="24" s="1"/>
  <c r="C23" i="42" s="1"/>
  <c r="BX23" i="33" s="1"/>
  <c r="H22" i="24"/>
  <c r="AD22" i="33" l="1"/>
  <c r="AI22" i="33" s="1"/>
  <c r="AT21" i="33"/>
  <c r="Y19" i="33"/>
  <c r="CF23" i="33" a="1"/>
  <c r="CF23" i="33" s="1"/>
  <c r="V23" i="42" s="1"/>
  <c r="CA23" i="33" a="1"/>
  <c r="CA23" i="33" s="1"/>
  <c r="Q23" i="42" s="1"/>
  <c r="AA19" i="42"/>
  <c r="Y22" i="33"/>
  <c r="X23" i="42"/>
  <c r="S23" i="42"/>
  <c r="AA17" i="33"/>
  <c r="Z17" i="33"/>
  <c r="Z18" i="33"/>
  <c r="AA18" i="33"/>
  <c r="AC19" i="42"/>
  <c r="AC20" i="42"/>
  <c r="Y20" i="33"/>
  <c r="AD18" i="42"/>
  <c r="E18" i="33" s="1"/>
  <c r="AD17" i="42"/>
  <c r="E17" i="33" s="1"/>
  <c r="E20" i="24"/>
  <c r="C20" i="33"/>
  <c r="X21" i="24"/>
  <c r="S21" i="24" s="1"/>
  <c r="E21" i="42" a="1"/>
  <c r="E21" i="42" s="1"/>
  <c r="AA21" i="42" s="1"/>
  <c r="I21" i="24"/>
  <c r="W22" i="24"/>
  <c r="G24" i="24"/>
  <c r="V24" i="24" s="1"/>
  <c r="C24" i="42" s="1"/>
  <c r="BX24" i="33" s="1"/>
  <c r="CF24" i="33" s="1" a="1"/>
  <c r="CF24" i="33" s="1"/>
  <c r="H23" i="24"/>
  <c r="AT19" i="33" l="1"/>
  <c r="AD19" i="42"/>
  <c r="E19" i="33" s="1"/>
  <c r="Y23" i="33"/>
  <c r="AT23" i="33"/>
  <c r="AA22" i="33"/>
  <c r="Z22" i="33"/>
  <c r="V24" i="42"/>
  <c r="Q24" i="42"/>
  <c r="X24" i="42"/>
  <c r="S24" i="42"/>
  <c r="AA20" i="33"/>
  <c r="Z20" i="33"/>
  <c r="AC21" i="42"/>
  <c r="AD20" i="42"/>
  <c r="E20" i="33" s="1"/>
  <c r="C21" i="33"/>
  <c r="E21" i="24"/>
  <c r="X22" i="24"/>
  <c r="I22" i="24"/>
  <c r="W23" i="24"/>
  <c r="G25" i="24"/>
  <c r="V25" i="24" s="1"/>
  <c r="H24" i="24"/>
  <c r="AA19" i="33" l="1"/>
  <c r="Z19" i="33"/>
  <c r="AA23" i="33"/>
  <c r="Z23" i="33"/>
  <c r="C25" i="42"/>
  <c r="AD21" i="42"/>
  <c r="E21" i="33" s="1"/>
  <c r="Y21" i="33"/>
  <c r="S22" i="24"/>
  <c r="X23" i="24"/>
  <c r="S23" i="24" s="1"/>
  <c r="E23" i="42" a="1"/>
  <c r="E23" i="42" s="1"/>
  <c r="AA23" i="42" s="1"/>
  <c r="I23" i="24"/>
  <c r="W24" i="24"/>
  <c r="H25" i="24"/>
  <c r="G26" i="24"/>
  <c r="V26" i="24" s="1"/>
  <c r="BX25" i="33" l="1"/>
  <c r="CF25" i="33" a="1"/>
  <c r="CF25" i="33" s="1"/>
  <c r="V25" i="42" s="1"/>
  <c r="CA25" i="33" a="1"/>
  <c r="CA25" i="33" s="1"/>
  <c r="Q25" i="42" s="1"/>
  <c r="CH25" i="33" a="1"/>
  <c r="CH25" i="33" s="1"/>
  <c r="X25" i="42" s="1"/>
  <c r="S25" i="42"/>
  <c r="AA21" i="33"/>
  <c r="Z21" i="33"/>
  <c r="C26" i="42"/>
  <c r="BX26" i="33" s="1"/>
  <c r="AC23" i="42"/>
  <c r="AD23" i="42" s="1"/>
  <c r="E23" i="33" s="1"/>
  <c r="C22" i="33"/>
  <c r="E23" i="24"/>
  <c r="C23" i="33"/>
  <c r="E22" i="42" a="1"/>
  <c r="E22" i="42" s="1"/>
  <c r="AA22" i="42" s="1"/>
  <c r="E22" i="24"/>
  <c r="X24" i="24"/>
  <c r="S24" i="24" s="1"/>
  <c r="E24" i="42" a="1"/>
  <c r="E24" i="42" s="1"/>
  <c r="AA24" i="42" s="1"/>
  <c r="I24" i="24"/>
  <c r="W25" i="24"/>
  <c r="H26" i="24"/>
  <c r="G27" i="24"/>
  <c r="V27" i="24" s="1"/>
  <c r="CA26" i="33" l="1" a="1"/>
  <c r="CA26" i="33" s="1"/>
  <c r="Q26" i="42" s="1"/>
  <c r="CF26" i="33" a="1"/>
  <c r="CF26" i="33" s="1"/>
  <c r="V26" i="42" s="1"/>
  <c r="CH26" i="33" a="1"/>
  <c r="CH26" i="33" s="1"/>
  <c r="X26" i="42" s="1"/>
  <c r="AT25" i="33"/>
  <c r="S26" i="42"/>
  <c r="C27" i="42"/>
  <c r="BX27" i="33" s="1"/>
  <c r="AC22" i="42"/>
  <c r="AC24" i="42"/>
  <c r="AD24" i="42" s="1"/>
  <c r="E24" i="33" s="1"/>
  <c r="E24" i="24"/>
  <c r="C24" i="33"/>
  <c r="X25" i="24"/>
  <c r="S25" i="24" s="1"/>
  <c r="C25" i="33" s="1"/>
  <c r="E25" i="42" a="1"/>
  <c r="E25" i="42" s="1"/>
  <c r="AA25" i="42" s="1"/>
  <c r="I25" i="24"/>
  <c r="W26" i="24"/>
  <c r="H27" i="24"/>
  <c r="G28" i="24"/>
  <c r="V28" i="24" s="1"/>
  <c r="E25" i="24" l="1"/>
  <c r="AR26" i="33"/>
  <c r="CA27" i="33" a="1"/>
  <c r="CA27" i="33" s="1"/>
  <c r="Q27" i="42" s="1"/>
  <c r="CH27" i="33" a="1"/>
  <c r="CH27" i="33" s="1"/>
  <c r="X27" i="42" s="1"/>
  <c r="CF27" i="33" a="1"/>
  <c r="CF27" i="33" s="1"/>
  <c r="V27" i="42" s="1"/>
  <c r="Y26" i="33"/>
  <c r="AT26" i="33"/>
  <c r="Y25" i="33"/>
  <c r="S27" i="42"/>
  <c r="S28" i="24"/>
  <c r="C28" i="42"/>
  <c r="BX28" i="33" s="1"/>
  <c r="AC25" i="42"/>
  <c r="AD25" i="42" s="1"/>
  <c r="E25" i="33" s="1"/>
  <c r="AD22" i="42"/>
  <c r="E22" i="33" s="1"/>
  <c r="X26" i="24"/>
  <c r="I26" i="24"/>
  <c r="W27" i="24"/>
  <c r="G29" i="24"/>
  <c r="V29" i="24" s="1"/>
  <c r="H28" i="24"/>
  <c r="Z25" i="33" l="1"/>
  <c r="CF28" i="33" a="1"/>
  <c r="CF28" i="33" s="1"/>
  <c r="V28" i="42" s="1"/>
  <c r="CC28" i="33" a="1"/>
  <c r="CC28" i="33" s="1"/>
  <c r="S28" i="42" s="1"/>
  <c r="CA28" i="33" a="1"/>
  <c r="CA28" i="33" s="1"/>
  <c r="Q28" i="42" s="1"/>
  <c r="CH28" i="33" a="1"/>
  <c r="CH28" i="33" s="1"/>
  <c r="X28" i="42" s="1"/>
  <c r="AA26" i="33"/>
  <c r="Z26" i="33"/>
  <c r="AA25" i="33"/>
  <c r="S26" i="24"/>
  <c r="C29" i="42"/>
  <c r="BX29" i="33" s="1"/>
  <c r="X27" i="24"/>
  <c r="I27" i="24"/>
  <c r="W28" i="24"/>
  <c r="G30" i="24"/>
  <c r="V30" i="24" s="1"/>
  <c r="H29" i="24"/>
  <c r="AD28" i="33" l="1"/>
  <c r="AG28" i="33"/>
  <c r="AT27" i="33"/>
  <c r="AO28" i="33"/>
  <c r="CF29" i="33" a="1"/>
  <c r="CF29" i="33" s="1"/>
  <c r="V29" i="42" s="1"/>
  <c r="CA29" i="33" a="1"/>
  <c r="CA29" i="33" s="1"/>
  <c r="Q29" i="42" s="1"/>
  <c r="Y28" i="33"/>
  <c r="Y27" i="33"/>
  <c r="C26" i="33"/>
  <c r="E26" i="42" a="1"/>
  <c r="E26" i="42" s="1"/>
  <c r="AC26" i="42" s="1"/>
  <c r="E26" i="24"/>
  <c r="S27" i="24"/>
  <c r="S29" i="42"/>
  <c r="X29" i="42"/>
  <c r="C30" i="42"/>
  <c r="BX30" i="33" s="1"/>
  <c r="X28" i="24"/>
  <c r="C28" i="33" s="1"/>
  <c r="E28" i="42" a="1"/>
  <c r="E28" i="42" s="1"/>
  <c r="AA28" i="42" s="1"/>
  <c r="E28" i="24"/>
  <c r="I28" i="24"/>
  <c r="W29" i="24"/>
  <c r="G31" i="24"/>
  <c r="V31" i="24" s="1"/>
  <c r="H30" i="24"/>
  <c r="AI28" i="33" l="1"/>
  <c r="AD29" i="33"/>
  <c r="AI29" i="33" s="1"/>
  <c r="AT28" i="33"/>
  <c r="Z28" i="33" s="1"/>
  <c r="AA27" i="33"/>
  <c r="CA30" i="33" a="1"/>
  <c r="CA30" i="33" s="1"/>
  <c r="Q30" i="42" s="1"/>
  <c r="CF30" i="33" a="1"/>
  <c r="CF30" i="33" s="1"/>
  <c r="V30" i="42" s="1"/>
  <c r="Y29" i="33"/>
  <c r="Z27" i="33"/>
  <c r="AA26" i="42"/>
  <c r="C27" i="33"/>
  <c r="E27" i="42" a="1"/>
  <c r="E27" i="42" s="1"/>
  <c r="E27" i="24"/>
  <c r="X30" i="42"/>
  <c r="S30" i="42"/>
  <c r="S31" i="24"/>
  <c r="C31" i="42"/>
  <c r="BX31" i="33" s="1"/>
  <c r="AC28" i="42"/>
  <c r="X29" i="24"/>
  <c r="S29" i="24" s="1"/>
  <c r="E29" i="42" s="1" a="1"/>
  <c r="E29" i="42" s="1"/>
  <c r="AA29" i="42" s="1"/>
  <c r="I29" i="24"/>
  <c r="W30" i="24"/>
  <c r="H31" i="24"/>
  <c r="G32" i="24"/>
  <c r="V32" i="24" s="1"/>
  <c r="BT28" i="33" l="1"/>
  <c r="K28" i="22" s="1"/>
  <c r="BT15" i="33"/>
  <c r="K15" i="22" s="1"/>
  <c r="BT22" i="33"/>
  <c r="K22" i="22" s="1"/>
  <c r="BT34" i="33"/>
  <c r="BT24" i="33"/>
  <c r="BT26" i="33"/>
  <c r="BT27" i="33"/>
  <c r="BT32" i="33"/>
  <c r="BT37" i="33"/>
  <c r="BT18" i="33"/>
  <c r="K18" i="22" s="1"/>
  <c r="BT17" i="33"/>
  <c r="K17" i="22" s="1"/>
  <c r="BT35" i="33"/>
  <c r="BT21" i="33"/>
  <c r="K21" i="22" s="1"/>
  <c r="BT25" i="33"/>
  <c r="K25" i="22" s="1"/>
  <c r="BT19" i="33"/>
  <c r="K19" i="22" s="1"/>
  <c r="BT36" i="33"/>
  <c r="BT16" i="33"/>
  <c r="K16" i="22" s="1"/>
  <c r="BT23" i="33"/>
  <c r="BT20" i="33"/>
  <c r="K20" i="22" s="1"/>
  <c r="BT39" i="33"/>
  <c r="BT31" i="33"/>
  <c r="K31" i="22" s="1"/>
  <c r="BT38" i="33"/>
  <c r="BT33" i="33"/>
  <c r="BT30" i="33"/>
  <c r="BT29" i="33"/>
  <c r="K29" i="22" s="1"/>
  <c r="AA28" i="33"/>
  <c r="CF31" i="33" a="1"/>
  <c r="CF31" i="33" s="1"/>
  <c r="V31" i="42" s="1"/>
  <c r="CA31" i="33" a="1"/>
  <c r="CA31" i="33" s="1"/>
  <c r="Q31" i="42" s="1"/>
  <c r="Y30" i="33"/>
  <c r="AT30" i="33"/>
  <c r="AA29" i="33"/>
  <c r="Z29" i="33"/>
  <c r="AD26" i="42"/>
  <c r="E26" i="33" s="1"/>
  <c r="C29" i="33"/>
  <c r="E29" i="24"/>
  <c r="AA27" i="42"/>
  <c r="AC27" i="42"/>
  <c r="X31" i="42"/>
  <c r="S31" i="42"/>
  <c r="S32" i="24"/>
  <c r="C32" i="42"/>
  <c r="BX32" i="33" s="1"/>
  <c r="AC29" i="42"/>
  <c r="AD29" i="42" s="1"/>
  <c r="E29" i="33" s="1"/>
  <c r="AD28" i="42"/>
  <c r="E28" i="33" s="1"/>
  <c r="X30" i="24"/>
  <c r="S30" i="24" s="1"/>
  <c r="E30" i="24" s="1"/>
  <c r="I30" i="24"/>
  <c r="W31" i="24"/>
  <c r="G33" i="24"/>
  <c r="V33" i="24" s="1"/>
  <c r="H32" i="24"/>
  <c r="E31" i="24"/>
  <c r="CH32" i="33" l="1" a="1"/>
  <c r="CH32" i="33" s="1"/>
  <c r="X32" i="42" s="1"/>
  <c r="CF32" i="33" a="1"/>
  <c r="CF32" i="33" s="1"/>
  <c r="V32" i="42" s="1"/>
  <c r="AT31" i="33"/>
  <c r="BV16" i="33" s="1"/>
  <c r="I16" i="22" s="1"/>
  <c r="AA30" i="33"/>
  <c r="Z30" i="33"/>
  <c r="E30" i="42" a="1"/>
  <c r="E30" i="42" s="1"/>
  <c r="AA30" i="42" s="1"/>
  <c r="AD27" i="42"/>
  <c r="E27" i="33" s="1"/>
  <c r="Q32" i="42"/>
  <c r="S32" i="42"/>
  <c r="S33" i="24"/>
  <c r="C33" i="42"/>
  <c r="BX33" i="33" s="1"/>
  <c r="X31" i="24"/>
  <c r="E31" i="42" a="1"/>
  <c r="E31" i="42" s="1"/>
  <c r="AA31" i="42" s="1"/>
  <c r="I31" i="24"/>
  <c r="W32" i="24"/>
  <c r="E32" i="24"/>
  <c r="G34" i="24"/>
  <c r="V34" i="24" s="1"/>
  <c r="H33" i="24"/>
  <c r="BV28" i="33" l="1"/>
  <c r="I28" i="22" s="1"/>
  <c r="BV27" i="33"/>
  <c r="BV18" i="33"/>
  <c r="I18" i="22" s="1"/>
  <c r="BV19" i="33"/>
  <c r="I19" i="22" s="1"/>
  <c r="BV24" i="33"/>
  <c r="BV30" i="33"/>
  <c r="BV22" i="33"/>
  <c r="I22" i="22" s="1"/>
  <c r="BV29" i="33"/>
  <c r="I29" i="22" s="1"/>
  <c r="BV20" i="33"/>
  <c r="I20" i="22" s="1"/>
  <c r="BV23" i="33"/>
  <c r="BV17" i="33"/>
  <c r="I17" i="22" s="1"/>
  <c r="BV15" i="33"/>
  <c r="I15" i="22" s="1"/>
  <c r="BV21" i="33"/>
  <c r="I21" i="22" s="1"/>
  <c r="BV25" i="33"/>
  <c r="I25" i="22" s="1"/>
  <c r="BV26" i="33"/>
  <c r="CH33" i="33" a="1"/>
  <c r="CH33" i="33" s="1"/>
  <c r="X33" i="42" s="1"/>
  <c r="CF33" i="33" a="1"/>
  <c r="CF33" i="33" s="1"/>
  <c r="V33" i="42" s="1"/>
  <c r="AB40" i="42"/>
  <c r="Y31" i="33"/>
  <c r="BV38" i="33"/>
  <c r="BV32" i="33"/>
  <c r="BV33" i="33"/>
  <c r="BV37" i="33"/>
  <c r="BV35" i="33"/>
  <c r="BV36" i="33"/>
  <c r="BV34" i="33"/>
  <c r="BV31" i="33"/>
  <c r="I31" i="22" s="1"/>
  <c r="BV39" i="33"/>
  <c r="AC30" i="42"/>
  <c r="AD30" i="42" s="1"/>
  <c r="E30" i="33" s="1"/>
  <c r="S33" i="42"/>
  <c r="Q33" i="42"/>
  <c r="S34" i="24"/>
  <c r="C34" i="42"/>
  <c r="BX34" i="33" s="1"/>
  <c r="AC31" i="42"/>
  <c r="AD31" i="42" s="1"/>
  <c r="E31" i="33" s="1"/>
  <c r="X32" i="24"/>
  <c r="E32" i="42" a="1"/>
  <c r="E32" i="42" s="1"/>
  <c r="AA32" i="42" s="1"/>
  <c r="I32" i="24"/>
  <c r="W33" i="24"/>
  <c r="H34" i="24"/>
  <c r="G35" i="24"/>
  <c r="V35" i="24" s="1"/>
  <c r="E33" i="24"/>
  <c r="BP18" i="33" l="1"/>
  <c r="BP24" i="33"/>
  <c r="BP21" i="33"/>
  <c r="BP19" i="33"/>
  <c r="BP29" i="33"/>
  <c r="BP23" i="33"/>
  <c r="BP15" i="33"/>
  <c r="BP30" i="33"/>
  <c r="BP16" i="33"/>
  <c r="BP20" i="33"/>
  <c r="BP27" i="33"/>
  <c r="BP17" i="33"/>
  <c r="BP22" i="33"/>
  <c r="BP28" i="33"/>
  <c r="BP25" i="33"/>
  <c r="BP26" i="33"/>
  <c r="CF34" i="33" a="1"/>
  <c r="CF34" i="33" s="1"/>
  <c r="V34" i="42" s="1"/>
  <c r="CH34" i="33" a="1"/>
  <c r="CH34" i="33" s="1"/>
  <c r="X34" i="42" s="1"/>
  <c r="BP38" i="33"/>
  <c r="BP32" i="33"/>
  <c r="BP39" i="33"/>
  <c r="BP35" i="33"/>
  <c r="BP33" i="33"/>
  <c r="BP34" i="33"/>
  <c r="BP37" i="33"/>
  <c r="BP36" i="33"/>
  <c r="BP31" i="33"/>
  <c r="Z31" i="33"/>
  <c r="BQ15" i="33" s="1"/>
  <c r="F15" i="22" s="1" a="1"/>
  <c r="F15" i="22" s="1"/>
  <c r="AA31" i="33"/>
  <c r="Q34" i="42"/>
  <c r="S34" i="42"/>
  <c r="S35" i="24"/>
  <c r="C35" i="42"/>
  <c r="BX35" i="33" s="1"/>
  <c r="AC32" i="42"/>
  <c r="X33" i="24"/>
  <c r="E33" i="42" a="1"/>
  <c r="E33" i="42" s="1"/>
  <c r="AA33" i="42" s="1"/>
  <c r="I33" i="24"/>
  <c r="W34" i="24"/>
  <c r="G36" i="24"/>
  <c r="V36" i="24" s="1"/>
  <c r="H35" i="24"/>
  <c r="E34" i="24"/>
  <c r="CH35" i="33" l="1" a="1"/>
  <c r="CH35" i="33" s="1"/>
  <c r="X35" i="42" s="1"/>
  <c r="CF35" i="33" a="1"/>
  <c r="CF35" i="33" s="1"/>
  <c r="V35" i="42" s="1"/>
  <c r="Q35" i="42"/>
  <c r="S35" i="42"/>
  <c r="S36" i="24"/>
  <c r="C36" i="42"/>
  <c r="BX36" i="33" s="1"/>
  <c r="AC33" i="42"/>
  <c r="AD33" i="42" s="1"/>
  <c r="E33" i="33" s="1"/>
  <c r="AD32" i="42"/>
  <c r="E32" i="33" s="1"/>
  <c r="X34" i="24"/>
  <c r="E34" i="42" a="1"/>
  <c r="E34" i="42" s="1"/>
  <c r="AA34" i="42" s="1"/>
  <c r="I34" i="24"/>
  <c r="W35" i="24"/>
  <c r="E35" i="24"/>
  <c r="C30" i="33"/>
  <c r="C35" i="33"/>
  <c r="H36" i="24"/>
  <c r="G37" i="24"/>
  <c r="V37" i="24" s="1"/>
  <c r="CF36" i="33" l="1" a="1"/>
  <c r="CF36" i="33" s="1"/>
  <c r="V36" i="42" s="1"/>
  <c r="CH36" i="33" a="1"/>
  <c r="CH36" i="33" s="1"/>
  <c r="X36" i="42" s="1"/>
  <c r="S36" i="42"/>
  <c r="Q36" i="42"/>
  <c r="S37" i="24"/>
  <c r="C37" i="42"/>
  <c r="BX37" i="33" s="1"/>
  <c r="AC34" i="42"/>
  <c r="AD34" i="42" s="1"/>
  <c r="E34" i="33" s="1"/>
  <c r="X35" i="24"/>
  <c r="E35" i="42" a="1"/>
  <c r="E35" i="42" s="1"/>
  <c r="AA35" i="42" s="1"/>
  <c r="I35" i="24"/>
  <c r="W36" i="24"/>
  <c r="E36" i="24"/>
  <c r="C31" i="33"/>
  <c r="C36" i="33"/>
  <c r="G38" i="24"/>
  <c r="V38" i="24" s="1"/>
  <c r="H37" i="24"/>
  <c r="CH37" i="33" l="1" a="1"/>
  <c r="CH37" i="33" s="1"/>
  <c r="X37" i="42" s="1"/>
  <c r="CF37" i="33" a="1"/>
  <c r="CF37" i="33" s="1"/>
  <c r="V37" i="42" s="1"/>
  <c r="S37" i="42"/>
  <c r="Q37" i="42"/>
  <c r="S38" i="24"/>
  <c r="C38" i="42"/>
  <c r="BX38" i="33" s="1"/>
  <c r="AC35" i="42"/>
  <c r="AD35" i="42" s="1"/>
  <c r="E35" i="33" s="1"/>
  <c r="X36" i="24"/>
  <c r="E36" i="42" a="1"/>
  <c r="E36" i="42" s="1"/>
  <c r="AA36" i="42" s="1"/>
  <c r="I36" i="24"/>
  <c r="W37" i="24"/>
  <c r="G39" i="24"/>
  <c r="V39" i="24" s="1"/>
  <c r="H38" i="24"/>
  <c r="C37" i="33"/>
  <c r="C32" i="33"/>
  <c r="E37" i="24"/>
  <c r="CH38" i="33" l="1" a="1"/>
  <c r="CH38" i="33" s="1"/>
  <c r="X38" i="42" s="1"/>
  <c r="CF38" i="33" a="1"/>
  <c r="CF38" i="33" s="1"/>
  <c r="V38" i="42" s="1"/>
  <c r="S38" i="42"/>
  <c r="Q38" i="42"/>
  <c r="S39" i="24"/>
  <c r="C39" i="42"/>
  <c r="BX39" i="33" s="1"/>
  <c r="AC36" i="42"/>
  <c r="AD36" i="42" s="1"/>
  <c r="E36" i="33" s="1"/>
  <c r="X37" i="24"/>
  <c r="E37" i="42" a="1"/>
  <c r="E37" i="42" s="1"/>
  <c r="AA37" i="42" s="1"/>
  <c r="I37" i="24"/>
  <c r="W38" i="24"/>
  <c r="C33" i="33"/>
  <c r="C38" i="33"/>
  <c r="E38" i="24"/>
  <c r="H39" i="24"/>
  <c r="CF39" i="33" l="1" a="1"/>
  <c r="CF39" i="33" s="1"/>
  <c r="V39" i="42" s="1"/>
  <c r="CH39" i="33" a="1"/>
  <c r="CH39" i="33" s="1"/>
  <c r="X39" i="42" s="1"/>
  <c r="Q39" i="42"/>
  <c r="S39" i="42"/>
  <c r="AC37" i="42"/>
  <c r="AD37" i="42" s="1"/>
  <c r="E37" i="33" s="1"/>
  <c r="X38" i="24"/>
  <c r="E38" i="42" a="1"/>
  <c r="E38" i="42" s="1"/>
  <c r="AA38" i="42" s="1"/>
  <c r="I38" i="24"/>
  <c r="W39" i="24"/>
  <c r="E39" i="24"/>
  <c r="C39" i="33"/>
  <c r="C34" i="33"/>
  <c r="AC38" i="42" l="1"/>
  <c r="AD38" i="42" s="1"/>
  <c r="E38" i="33" s="1"/>
  <c r="X39" i="24"/>
  <c r="E39" i="42" a="1"/>
  <c r="E39" i="42" s="1"/>
  <c r="AA39" i="42" s="1"/>
  <c r="AC39" i="42" l="1"/>
  <c r="AC40" i="42" s="1"/>
  <c r="AD39" i="42" l="1"/>
  <c r="E39" i="33" s="1"/>
  <c r="AA40" i="42"/>
  <c r="I40" i="22" l="1"/>
  <c r="K40" i="22"/>
  <c r="AD40" i="42"/>
  <c r="AX39" i="33" l="1"/>
  <c r="D39" i="22" s="1"/>
  <c r="E39" i="22" s="1"/>
  <c r="AX28" i="33"/>
  <c r="D28" i="22" s="1"/>
  <c r="E28" i="22" s="1"/>
  <c r="AX21" i="33"/>
  <c r="D21" i="22" s="1"/>
  <c r="E21" i="22" s="1"/>
  <c r="AX31" i="33"/>
  <c r="D31" i="22" s="1"/>
  <c r="E31" i="22" s="1"/>
  <c r="AX25" i="33"/>
  <c r="D25" i="22" s="1"/>
  <c r="E25" i="22" s="1"/>
  <c r="AX29" i="33"/>
  <c r="D29" i="22" s="1"/>
  <c r="E29" i="22" s="1"/>
  <c r="AX33" i="33"/>
  <c r="D33" i="22" s="1"/>
  <c r="E33" i="22" s="1"/>
  <c r="AX19" i="33"/>
  <c r="D19" i="22" s="1"/>
  <c r="E19" i="22" s="1"/>
  <c r="AX20" i="33"/>
  <c r="D20" i="22" s="1"/>
  <c r="E20" i="22" s="1"/>
  <c r="AX24" i="33"/>
  <c r="D24" i="22" s="1"/>
  <c r="E24" i="22" s="1"/>
  <c r="AX37" i="33"/>
  <c r="D37" i="22" s="1"/>
  <c r="E37" i="22" s="1"/>
  <c r="AX15" i="33"/>
  <c r="D15" i="22" s="1"/>
  <c r="E15" i="22" s="1"/>
  <c r="AX26" i="33"/>
  <c r="D26" i="22" s="1"/>
  <c r="E26" i="22" s="1"/>
  <c r="AX27" i="33"/>
  <c r="D27" i="22" s="1"/>
  <c r="E27" i="22" s="1"/>
  <c r="AX17" i="33"/>
  <c r="D17" i="22" s="1"/>
  <c r="E17" i="22" s="1"/>
  <c r="E40" i="33"/>
  <c r="AX34" i="33"/>
  <c r="D34" i="22" s="1"/>
  <c r="E34" i="22" s="1"/>
  <c r="AX30" i="33"/>
  <c r="D30" i="22" s="1"/>
  <c r="E30" i="22" s="1"/>
  <c r="AX22" i="33"/>
  <c r="D22" i="22" s="1"/>
  <c r="E22" i="22" s="1"/>
  <c r="AX36" i="33"/>
  <c r="D36" i="22" s="1"/>
  <c r="E36" i="22" s="1"/>
  <c r="AX18" i="33"/>
  <c r="D18" i="22" s="1"/>
  <c r="E18" i="22" s="1"/>
  <c r="AX32" i="33"/>
  <c r="D32" i="22" s="1"/>
  <c r="E32" i="22" s="1"/>
  <c r="AX38" i="33"/>
  <c r="D38" i="22" s="1"/>
  <c r="E38" i="22" s="1"/>
  <c r="AX16" i="33"/>
  <c r="D16" i="22" s="1"/>
  <c r="E16" i="22" s="1"/>
  <c r="AX35" i="33"/>
  <c r="D35" i="22" s="1"/>
  <c r="E35" i="22" s="1"/>
  <c r="AX23" i="33"/>
  <c r="D23" i="22" s="1"/>
  <c r="E23" i="22" s="1"/>
  <c r="BQ31" i="33" l="1"/>
  <c r="F31" i="22" s="1" a="1"/>
  <c r="F31" i="22" s="1"/>
  <c r="BQ21" i="33"/>
  <c r="F21" i="22" s="1" a="1"/>
  <c r="F21" i="22" s="1"/>
  <c r="BQ39" i="33"/>
  <c r="F39" i="22" s="1" a="1"/>
  <c r="F39" i="22" s="1"/>
  <c r="BQ38" i="33"/>
  <c r="F38" i="22" s="1" a="1"/>
  <c r="F38" i="22" s="1"/>
  <c r="BQ25" i="33"/>
  <c r="F25" i="22" s="1" a="1"/>
  <c r="F25" i="22" s="1"/>
  <c r="BQ27" i="33"/>
  <c r="F27" i="22" s="1" a="1"/>
  <c r="F27" i="22" s="1"/>
  <c r="BQ35" i="33"/>
  <c r="F35" i="22" s="1" a="1"/>
  <c r="F35" i="22" s="1"/>
  <c r="BQ16" i="33"/>
  <c r="F16" i="22" s="1" a="1"/>
  <c r="F16" i="22" s="1"/>
  <c r="BQ28" i="33"/>
  <c r="F28" i="22" s="1" a="1"/>
  <c r="F28" i="22" s="1"/>
  <c r="BQ18" i="33"/>
  <c r="F18" i="22" s="1" a="1"/>
  <c r="F18" i="22" s="1"/>
  <c r="BQ37" i="33"/>
  <c r="F37" i="22" s="1" a="1"/>
  <c r="F37" i="22" s="1"/>
  <c r="BQ30" i="33"/>
  <c r="F30" i="22" s="1" a="1"/>
  <c r="F30" i="22" s="1"/>
  <c r="BQ17" i="33"/>
  <c r="F17" i="22" s="1" a="1"/>
  <c r="F17" i="22" s="1"/>
  <c r="BQ32" i="33"/>
  <c r="F32" i="22" s="1" a="1"/>
  <c r="F32" i="22" s="1"/>
  <c r="BQ22" i="33"/>
  <c r="F22" i="22" s="1" a="1"/>
  <c r="F22" i="22" s="1"/>
  <c r="BQ33" i="33"/>
  <c r="F33" i="22" s="1" a="1"/>
  <c r="F33" i="22" s="1"/>
  <c r="BQ26" i="33"/>
  <c r="F26" i="22" s="1" a="1"/>
  <c r="F26" i="22" s="1"/>
  <c r="BQ20" i="33"/>
  <c r="F20" i="22" s="1" a="1"/>
  <c r="F20" i="22" s="1"/>
  <c r="BQ19" i="33"/>
  <c r="F19" i="22" s="1" a="1"/>
  <c r="F19" i="22" s="1"/>
  <c r="BQ24" i="33"/>
  <c r="F24" i="22" s="1" a="1"/>
  <c r="F24" i="22" s="1"/>
  <c r="BQ29" i="33"/>
  <c r="F29" i="22" s="1" a="1"/>
  <c r="F29" i="22" s="1"/>
  <c r="BQ23" i="33"/>
  <c r="F23" i="22" s="1" a="1"/>
  <c r="F23" i="22" s="1"/>
  <c r="BQ34" i="33"/>
  <c r="F34" i="22" s="1" a="1"/>
  <c r="F34" i="22" s="1"/>
  <c r="BQ36" i="33"/>
  <c r="F36" i="22" s="1" a="1"/>
  <c r="F36" i="22" s="1"/>
  <c r="D40" i="22"/>
  <c r="E40" i="22" s="1"/>
  <c r="BR29" i="33"/>
  <c r="BR39" i="33"/>
  <c r="G39" i="22" s="1" a="1"/>
  <c r="G39" i="22" s="1"/>
  <c r="BR32" i="33"/>
  <c r="BR23" i="33"/>
  <c r="BR25" i="33"/>
  <c r="G25" i="22" s="1" a="1"/>
  <c r="G25" i="22" s="1"/>
  <c r="BR35" i="33"/>
  <c r="G35" i="22" s="1" a="1"/>
  <c r="G35" i="22" s="1"/>
  <c r="BR38" i="33"/>
  <c r="G38" i="22" s="1" a="1"/>
  <c r="G38" i="22" s="1"/>
  <c r="BR21" i="33"/>
  <c r="G21" i="22" s="1" a="1"/>
  <c r="G21" i="22" s="1"/>
  <c r="BR33" i="33"/>
  <c r="G33" i="22" s="1" a="1"/>
  <c r="G33" i="22" s="1"/>
  <c r="BR24" i="33"/>
  <c r="BR27" i="33"/>
  <c r="BR26" i="33"/>
  <c r="BR17" i="33"/>
  <c r="G17" i="22" s="1" a="1"/>
  <c r="G17" i="22" s="1"/>
  <c r="BR31" i="33"/>
  <c r="BR18" i="33"/>
  <c r="BR37" i="33"/>
  <c r="BR19" i="33"/>
  <c r="BR16" i="33"/>
  <c r="G16" i="22" s="1" a="1"/>
  <c r="G16" i="22" s="1"/>
  <c r="BR20" i="33"/>
  <c r="G20" i="22" s="1" a="1"/>
  <c r="G20" i="22" s="1"/>
  <c r="BR15" i="33"/>
  <c r="G15" i="22" s="1" a="1"/>
  <c r="G15" i="22" s="1"/>
  <c r="BR36" i="33"/>
  <c r="BR22" i="33"/>
  <c r="G22" i="22" s="1" a="1"/>
  <c r="G22" i="22" s="1"/>
  <c r="BR34" i="33"/>
  <c r="BR28" i="33"/>
  <c r="BR30" i="33"/>
  <c r="G34" i="22" l="1" a="1"/>
  <c r="G34" i="22" s="1"/>
  <c r="G31" i="22" a="1"/>
  <c r="G31" i="22" s="1"/>
  <c r="G24" i="22" a="1"/>
  <c r="G24" i="22" s="1"/>
  <c r="G32" i="22" a="1"/>
  <c r="G32" i="22" s="1"/>
  <c r="G18" i="22" a="1"/>
  <c r="G18" i="22" s="1"/>
  <c r="G37" i="22" a="1"/>
  <c r="G37" i="22" s="1"/>
  <c r="G19" i="22" a="1"/>
  <c r="G19" i="22" s="1"/>
  <c r="G27" i="22" a="1"/>
  <c r="G27" i="22" s="1"/>
  <c r="G23" i="22" a="1"/>
  <c r="G23" i="22" s="1"/>
  <c r="G36" i="22" a="1"/>
  <c r="G36" i="22" s="1"/>
  <c r="G29" i="22" a="1"/>
  <c r="G29" i="22" s="1"/>
  <c r="G30" i="22" a="1"/>
  <c r="G30" i="22" s="1"/>
  <c r="G28" i="22" a="1"/>
  <c r="G28" i="22" s="1"/>
  <c r="G26" i="22" a="1"/>
  <c r="G26" i="22" s="1"/>
  <c r="F40" i="22"/>
  <c r="G40" i="2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<sst xmlns="http://schemas.openxmlformats.org/spreadsheetml/2006/main" count="1909" uniqueCount="692">
  <si>
    <t>ABOUT:</t>
  </si>
  <si>
    <t>http://www.arb.ca.gov/cci-resources.</t>
  </si>
  <si>
    <t>Key for color-coded fields:</t>
  </si>
  <si>
    <t>Green</t>
  </si>
  <si>
    <t>More information:</t>
  </si>
  <si>
    <t>Blue</t>
  </si>
  <si>
    <t>GGRFProgram@arb.ca.gov</t>
  </si>
  <si>
    <t xml:space="preserve">        For more information on CARB’s efforts to support implementation of California Climate Investments, see: </t>
  </si>
  <si>
    <t>www.arb.ca.gov/auctionproceeds</t>
  </si>
  <si>
    <t>FRIP@arb.ca.gov</t>
  </si>
  <si>
    <t>Required input field</t>
  </si>
  <si>
    <t>Output field / not modifiable</t>
  </si>
  <si>
    <t>Black</t>
  </si>
  <si>
    <t>Not applicable</t>
  </si>
  <si>
    <t>Baseline Refrigeration System Inputs</t>
  </si>
  <si>
    <t>Baseline Refrigeration System Assumptions</t>
  </si>
  <si>
    <t>Refrigerant GHG Emission Reductions</t>
  </si>
  <si>
    <t>Project Type</t>
  </si>
  <si>
    <t>Refrigeration Annual Leakage Rate (%/yr)</t>
  </si>
  <si>
    <t>Refrigeration
End-of-Life Leakage (%)</t>
  </si>
  <si>
    <t>Quantification Period (years)</t>
  </si>
  <si>
    <t>This worksheet is used for determining whether and/or how the project provides benefits to priority populations, per Assembly Bill 1550 requirements. By default, FRIP projects are evaluated</t>
  </si>
  <si>
    <t xml:space="preserve">using the benefit criteria table for Energy Efficiency and Renewable Energy. However, FRIP projects may also provide benefits related to Job Training and Workforce Development. </t>
  </si>
  <si>
    <t>Evaluation for whether projects benefit priority populations uses a 3-step process. If the project meets a criteria in Steps 1, 2, and 3, it may be considered as providing direct, meaningful, and</t>
  </si>
  <si>
    <t>assured benefits to priority populations and may be counted toward statutory investment minimums. The benefit criteria table for Energy Efficiency and Renewable Energy is available at:</t>
  </si>
  <si>
    <t>Qualifying Question</t>
  </si>
  <si>
    <t>Inputs</t>
  </si>
  <si>
    <t>Added Criteria Table</t>
  </si>
  <si>
    <t>Additional Potential Project Benefits to Priority Populations</t>
  </si>
  <si>
    <t>Will the project increase residential, commercial, public-sector or industrial energy efficiency or renewable energy generation?</t>
  </si>
  <si>
    <t>Yes</t>
  </si>
  <si>
    <t>Energy Efficiency and Renewable Energy</t>
  </si>
  <si>
    <t>Will the project directly benefit priority populations by providing jobs or jobs training, using GGRF funds for labor and/or training?</t>
  </si>
  <si>
    <t>Job Training and Workforce Development</t>
  </si>
  <si>
    <t>Description / Additional Supporting Information</t>
  </si>
  <si>
    <t>Step 1 – Identify the Priority Population(s)
Evaluate the project against each of the following criteria.</t>
  </si>
  <si>
    <t>Does the project target jobs (using formal targeted hiring strategies) or provide job training to residents of the community that was selected above?</t>
  </si>
  <si>
    <t>Step 2 – Address a Need
Identify an important community or household need and evaluate whether the project provides a benefit that meaningfully addresses that need.</t>
  </si>
  <si>
    <r>
      <rPr>
        <b/>
        <sz val="12"/>
        <rFont val="Avenir LT Std 55 Roman"/>
        <family val="2"/>
      </rPr>
      <t>A. Recommended Approach:</t>
    </r>
    <r>
      <rPr>
        <sz val="12"/>
        <rFont val="Avenir LT Std 55 Roman"/>
        <family val="2"/>
      </rPr>
      <t xml:space="preserve"> Host community meetings, workshops, outreach efforts, or public meetings as part of the planning process to engage local residents and community groups for input on community or household needs, and document how the received input was considered in the design and/or selection of projects to address those needs.</t>
    </r>
  </si>
  <si>
    <r>
      <rPr>
        <b/>
        <sz val="12"/>
        <rFont val="Avenir LT Std 55 Roman"/>
        <family val="2"/>
      </rPr>
      <t xml:space="preserve">B. Recommended Approach: </t>
    </r>
    <r>
      <rPr>
        <sz val="12"/>
        <rFont val="Avenir LT Std 55 Roman"/>
        <family val="2"/>
      </rPr>
      <t>Receive documentation of support from local community-based organizations and/or residents (e.g., letters, emails) identifying a need that the project addresses and demonstrating that the project has broad community support.</t>
    </r>
  </si>
  <si>
    <r>
      <rPr>
        <b/>
        <sz val="12"/>
        <rFont val="Avenir LT Std 55 Roman"/>
        <family val="2"/>
      </rPr>
      <t xml:space="preserve">C. Alternative Approach: </t>
    </r>
    <r>
      <rPr>
        <sz val="12"/>
        <rFont val="Avenir LT Std 55 Roman"/>
        <family val="2"/>
      </rPr>
      <t>Where direct engagement is infeasible, look at the individual factors in CalEnviroScreen that are most impacting an identified disadvantaged or low-income community (i.e., factors that score above the 75th percentile), and confirm that the project will reduce the impacts of at least one of those factors.</t>
    </r>
    <r>
      <rPr>
        <u/>
        <sz val="12"/>
        <color theme="8" tint="-0.499984740745262"/>
        <rFont val="Avenir LT Std 55 Roman"/>
        <family val="2"/>
      </rPr>
      <t xml:space="preserve">
</t>
    </r>
    <r>
      <rPr>
        <u/>
        <sz val="12"/>
        <color theme="8"/>
        <rFont val="Avenir LT Std 55 Roman"/>
        <family val="2"/>
      </rPr>
      <t>https://oehha.ca.gov/calenviroscreen/report/calenviroscreen-30</t>
    </r>
  </si>
  <si>
    <r>
      <rPr>
        <b/>
        <sz val="12"/>
        <rFont val="Avenir LT Std 55 Roman"/>
        <family val="2"/>
      </rPr>
      <t xml:space="preserve">D. Alternative Approach: </t>
    </r>
    <r>
      <rPr>
        <sz val="12"/>
        <rFont val="Avenir LT Std 55 Roman"/>
        <family val="2"/>
      </rPr>
      <t>Where direct engagement is infeasible, refer to the list of common needs for priority populations in CARB’s Funding Guidelines Table 5 and confirm that the project addresses at least one listed need.</t>
    </r>
    <r>
      <rPr>
        <u/>
        <sz val="12"/>
        <rFont val="Avenir LT Std 55 Roman"/>
        <family val="2"/>
      </rPr>
      <t xml:space="preserve">
</t>
    </r>
    <r>
      <rPr>
        <u/>
        <sz val="12"/>
        <color theme="8"/>
        <rFont val="Avenir LT Std 55 Roman"/>
        <family val="2"/>
      </rPr>
      <t>https://www.arb.ca.gov/cc/capandtrade/auctionproceeds/2018-funding-guidelines.pdf</t>
    </r>
  </si>
  <si>
    <t>Step 3 – Provide a Benefit
Evaluate the project against each of the following criteria to determine if it provides direct, meaningful, and assured benefits to priority populations.
The benefit provided must directly address the identified need.</t>
  </si>
  <si>
    <r>
      <rPr>
        <b/>
        <sz val="12"/>
        <rFont val="Avenir LT Std 55 Roman"/>
        <family val="2"/>
      </rPr>
      <t>A1.</t>
    </r>
    <r>
      <rPr>
        <sz val="12"/>
        <rFont val="Avenir LT Std 55 Roman"/>
        <family val="2"/>
      </rPr>
      <t xml:space="preserve"> Project provides energy efficiency upgrades to residents of a disadvantaged or low-income community or a low-income household (e.g. single- or multi-family housing units, shelters, college/university campus housing).</t>
    </r>
  </si>
  <si>
    <r>
      <rPr>
        <b/>
        <sz val="12"/>
        <rFont val="Avenir LT Std 55 Roman"/>
        <family val="2"/>
      </rPr>
      <t>B1.</t>
    </r>
    <r>
      <rPr>
        <sz val="12"/>
        <rFont val="Avenir LT Std 55 Roman"/>
        <family val="2"/>
      </rPr>
      <t xml:space="preserve"> Project provides renewable energy and direct energy cost savings to residents of disadvantaged or low-income communities, or low-income households (e.g. solar photovoltaic systems or community solar).</t>
    </r>
  </si>
  <si>
    <r>
      <rPr>
        <b/>
        <sz val="12"/>
        <rFont val="Avenir LT Std 55 Roman"/>
        <family val="2"/>
      </rPr>
      <t>C1.</t>
    </r>
    <r>
      <rPr>
        <sz val="12"/>
        <rFont val="Avenir LT Std 55 Roman"/>
        <family val="2"/>
      </rPr>
      <t xml:space="preserve"> Project reduces on-site criteria air pollutant or toxic air contaminant emissions through reduction of fossil fuel consumption via efficiency improvements or electrification.</t>
    </r>
  </si>
  <si>
    <r>
      <rPr>
        <b/>
        <sz val="12"/>
        <rFont val="Avenir LT Std 55 Roman"/>
        <family val="2"/>
      </rPr>
      <t>D1.</t>
    </r>
    <r>
      <rPr>
        <sz val="12"/>
        <rFont val="Avenir LT Std 55 Roman"/>
        <family val="2"/>
      </rPr>
      <t xml:space="preserve"> Project reinvests energy or fuel cost savings that would otherwise be realized by the funding recipient into the same disadvantaged or low-income community, or to low-income households, to provide direct, meaningful, and assured benefits to residents.</t>
    </r>
  </si>
  <si>
    <r>
      <rPr>
        <b/>
        <sz val="12"/>
        <rFont val="Avenir LT Std 55 Roman"/>
        <family val="2"/>
      </rPr>
      <t xml:space="preserve">A2. </t>
    </r>
    <r>
      <rPr>
        <sz val="12"/>
        <rFont val="Avenir LT Std 55 Roman"/>
        <family val="2"/>
      </rPr>
      <t>Project provides high-quality (e.g., local living wages, health insurance, paid leave) jobs to priority populations.</t>
    </r>
  </si>
  <si>
    <r>
      <t>B2.</t>
    </r>
    <r>
      <rPr>
        <sz val="12"/>
        <rFont val="Avenir LT Std 55 Roman"/>
        <family val="2"/>
      </rPr>
      <t xml:space="preserve"> Project provides job training to priority populations that is part of a program with an established placement record.</t>
    </r>
  </si>
  <si>
    <r>
      <rPr>
        <b/>
        <sz val="12"/>
        <rFont val="Avenir LT Std 55 Roman"/>
        <family val="2"/>
      </rPr>
      <t xml:space="preserve">C2. </t>
    </r>
    <r>
      <rPr>
        <sz val="12"/>
        <rFont val="Avenir LT Std 55 Roman"/>
        <family val="2"/>
      </rPr>
      <t>Project provides job training to priority populations that includes capacity building that leads to industry-recognized credentials (e.g., certifications, certificates, degrees, licenses, other documentation of competency and qualifications).</t>
    </r>
  </si>
  <si>
    <t>Potentially Count towards AB 1550</t>
  </si>
  <si>
    <t>Does the project meet Step 1?</t>
  </si>
  <si>
    <t>Does the project meet Step 2?</t>
  </si>
  <si>
    <t>Does the project meet Step 3 (corresponding to Step 1)?</t>
  </si>
  <si>
    <t>Does the project potentially provide benefits to priority populations?</t>
  </si>
  <si>
    <t>Energy and Fuel Cost Savings ($)</t>
  </si>
  <si>
    <t>Fossil Fuel Based Energy Use Reductions (kWh)</t>
  </si>
  <si>
    <t>Acronyms</t>
  </si>
  <si>
    <t>CARB</t>
  </si>
  <si>
    <t>California Air Resources Board</t>
  </si>
  <si>
    <t>Diesel PM</t>
  </si>
  <si>
    <t>diesel particulate matter</t>
  </si>
  <si>
    <t>F-gas</t>
  </si>
  <si>
    <t>fluorinated gas</t>
  </si>
  <si>
    <t>FRIP</t>
  </si>
  <si>
    <t>F-gas Reduction Incentive Program</t>
  </si>
  <si>
    <t>GGRF</t>
  </si>
  <si>
    <t>Greenhouse Gas Reduction Fund</t>
  </si>
  <si>
    <t>GHG</t>
  </si>
  <si>
    <t>greenhouse gas</t>
  </si>
  <si>
    <t>GWP</t>
  </si>
  <si>
    <t>global warming potential</t>
  </si>
  <si>
    <t>HVAC</t>
  </si>
  <si>
    <t>heating, ventilation, and air conditioning</t>
  </si>
  <si>
    <t>HVAC-R</t>
  </si>
  <si>
    <t>heating, ventilation, air conditioning, and refrigeration</t>
  </si>
  <si>
    <t>kWh</t>
  </si>
  <si>
    <t>kilowatt hours</t>
  </si>
  <si>
    <t>lbs</t>
  </si>
  <si>
    <t>pounds</t>
  </si>
  <si>
    <r>
      <t>MTCO</t>
    </r>
    <r>
      <rPr>
        <vertAlign val="subscript"/>
        <sz val="12"/>
        <color theme="1"/>
        <rFont val="Avenir LT Std 55 Roman"/>
        <family val="2"/>
      </rPr>
      <t>2</t>
    </r>
    <r>
      <rPr>
        <sz val="12"/>
        <color theme="1"/>
        <rFont val="Avenir LT Std 55 Roman"/>
        <family val="2"/>
      </rPr>
      <t>e</t>
    </r>
  </si>
  <si>
    <t>metric tons of carbon dioxide equivalent</t>
  </si>
  <si>
    <r>
      <t>NO</t>
    </r>
    <r>
      <rPr>
        <vertAlign val="subscript"/>
        <sz val="12"/>
        <color theme="1"/>
        <rFont val="Avenir LT Std 55 Roman"/>
        <family val="2"/>
      </rPr>
      <t>x</t>
    </r>
  </si>
  <si>
    <t>oxides of nitrogen</t>
  </si>
  <si>
    <r>
      <t>PM</t>
    </r>
    <r>
      <rPr>
        <vertAlign val="subscript"/>
        <sz val="12"/>
        <color theme="1"/>
        <rFont val="Avenir LT Std 55 Roman"/>
        <family val="2"/>
      </rPr>
      <t>2.5</t>
    </r>
  </si>
  <si>
    <t>particulate matter with a diameter less than 2.5 micrometers</t>
  </si>
  <si>
    <t>PV</t>
  </si>
  <si>
    <t>photovoltaic</t>
  </si>
  <si>
    <t>RMP</t>
  </si>
  <si>
    <t>Refrigerant Management Program</t>
  </si>
  <si>
    <t>ROG</t>
  </si>
  <si>
    <t>reactive organic gas</t>
  </si>
  <si>
    <t>Definitions</t>
  </si>
  <si>
    <t>Co-benefit</t>
  </si>
  <si>
    <t>A social, economic, and/or environmental benefit as a result of the proposed project in addition to the GHG emission reduction benefit.</t>
  </si>
  <si>
    <t>Energy and fuel cost savings</t>
  </si>
  <si>
    <t>Changes in energy and fuel costs to the operator because of changing the quantity of energy or fuel used, changing to an alternative energy or fuel source, and renewable energy or fuel generation.</t>
  </si>
  <si>
    <t>Funds that are requested to be contributed to the project by FRIP.</t>
  </si>
  <si>
    <t>Key variable</t>
  </si>
  <si>
    <t xml:space="preserve">Project characteristics that contribute to a project’s GHG emission reductions and signal an additional benefit (e.g., renewable energy generated). </t>
  </si>
  <si>
    <t>Non-GGRF Leveraged Funds</t>
  </si>
  <si>
    <t>Match funding contributed from all other sources that are not funded by the Greenhouse Gas Reduction Fund.</t>
  </si>
  <si>
    <t>Other GGRF Leveraged Funds</t>
  </si>
  <si>
    <t>Match funding contributed from other California Climate Investment programs, aside from FRIP, which source funding from the Greenhouse Gas Reduction Fund.</t>
  </si>
  <si>
    <t>Quantification period</t>
  </si>
  <si>
    <t>Number of years that the project activity will provide GHG emission reductions. Sometimes also referred to as "Project Life”, “Useful Life”, or "System Lifetime". For the purposes of FRIP projects, the quantification period is the average lifetime of the refrigeration system.</t>
  </si>
  <si>
    <t>Unit Conversions</t>
  </si>
  <si>
    <t>1 MMBTU =</t>
  </si>
  <si>
    <t xml:space="preserve">1 MT = </t>
  </si>
  <si>
    <t>lb</t>
  </si>
  <si>
    <t>1 MT =</t>
  </si>
  <si>
    <t>g</t>
  </si>
  <si>
    <t>1 lb =</t>
  </si>
  <si>
    <t>1 g =</t>
  </si>
  <si>
    <t>complete and sufficient to allow the calculations to be reviewed and replicated.  Paper copies of supporting materials must be available upon request by</t>
  </si>
  <si>
    <t>agency staff.</t>
  </si>
  <si>
    <t>General Documentation</t>
  </si>
  <si>
    <t>assumptions.</t>
  </si>
  <si>
    <t>Documentation Description</t>
  </si>
  <si>
    <t>Completed?</t>
  </si>
  <si>
    <t>Contact information for the person who can answer project specific questions from staff reviewers on the quantification calculations</t>
  </si>
  <si>
    <r>
      <t xml:space="preserve">Project description, including excerpts or specific references to the location in the </t>
    </r>
    <r>
      <rPr>
        <sz val="12"/>
        <rFont val="Avenir LT Std 55 Roman"/>
        <family val="2"/>
      </rPr>
      <t>main FRIP</t>
    </r>
    <r>
      <rPr>
        <sz val="12"/>
        <color rgb="FF000000"/>
        <rFont val="Avenir LT Std 55 Roman"/>
        <family val="2"/>
      </rPr>
      <t xml:space="preserve"> application of the project information necessary to complete the applicable portions of this Benefits Calculator Tool.</t>
    </r>
  </si>
  <si>
    <r>
      <t>Any other information as necessary and appropriate to substantiate</t>
    </r>
    <r>
      <rPr>
        <sz val="12"/>
        <rFont val="Avenir LT Std 55 Roman"/>
        <family val="2"/>
      </rPr>
      <t xml:space="preserve"> FRIP</t>
    </r>
    <r>
      <rPr>
        <sz val="12"/>
        <color rgb="FF000000"/>
        <rFont val="Avenir LT Std 55 Roman"/>
        <family val="2"/>
      </rPr>
      <t xml:space="preserve"> Benefits Calculator Tool inputs (e.g., software screenshots, specification sheets)</t>
    </r>
  </si>
  <si>
    <t>Project-Specific Documentation</t>
  </si>
  <si>
    <t>limited to, that described in the table below, organized by quantifiable project component.</t>
  </si>
  <si>
    <r>
      <t>Quantifiable Proje</t>
    </r>
    <r>
      <rPr>
        <b/>
        <sz val="12"/>
        <rFont val="Avenir LT Std 55 Roman"/>
        <family val="2"/>
      </rPr>
      <t>ct Component</t>
    </r>
  </si>
  <si>
    <t>Additional Documentation</t>
  </si>
  <si>
    <t>FRIP Benefits Calculator Tool</t>
  </si>
  <si>
    <t>ü</t>
  </si>
  <si>
    <t>Applicants to the FRIP are limited to existing or planned retail food facilities located in California. The tables below list some of the eligibility</t>
  </si>
  <si>
    <t>requirements, as defined in the FRIP Program Guidelines, available at:</t>
  </si>
  <si>
    <t>https://ww2.arb.ca.gov/our-work/programs/FRIP/program-materials</t>
  </si>
  <si>
    <t>FRIP Eligibility Checker Tool</t>
  </si>
  <si>
    <t>Baseline/Existing
Refrigeration Refrigerant</t>
  </si>
  <si>
    <t>Proposed Project/Replacement Refrigeration Refrigerant</t>
  </si>
  <si>
    <t>Eligible for Tier I?</t>
  </si>
  <si>
    <t>Eligible for Tier II?</t>
  </si>
  <si>
    <t>General Eligibility Requirements</t>
  </si>
  <si>
    <t>Tier</t>
  </si>
  <si>
    <t>Facility Type</t>
  </si>
  <si>
    <t>Refrigerant Charge Requirement</t>
  </si>
  <si>
    <t>Baseline Refrigerant GWP Requirement</t>
  </si>
  <si>
    <t>Replacement Refrigerant GWP Requirement</t>
  </si>
  <si>
    <r>
      <rPr>
        <b/>
        <sz val="12"/>
        <color theme="1"/>
        <rFont val="Avenir LT Std 55 Roman"/>
        <family val="2"/>
      </rPr>
      <t xml:space="preserve">Tier I: </t>
    </r>
    <r>
      <rPr>
        <sz val="12"/>
        <color theme="1"/>
        <rFont val="Avenir LT Std 55 Roman"/>
        <family val="2"/>
      </rPr>
      <t>Installation of ultra-low-GWP refrigerant (&lt; 10 GWP) at a new facility.</t>
    </r>
  </si>
  <si>
    <t>New</t>
  </si>
  <si>
    <t>&gt; 50 lb (except for microdistributed systems or self-contained cases)</t>
  </si>
  <si>
    <t>= 1,386 or 1,396 (assumption)</t>
  </si>
  <si>
    <t>&lt; 10</t>
  </si>
  <si>
    <r>
      <rPr>
        <b/>
        <sz val="12"/>
        <rFont val="Avenir LT Std 55 Roman"/>
        <family val="2"/>
      </rPr>
      <t xml:space="preserve">Tier I: </t>
    </r>
    <r>
      <rPr>
        <sz val="12"/>
        <rFont val="Avenir LT Std 55 Roman"/>
        <family val="2"/>
      </rPr>
      <t>Full conversion to ultra-low-GWP refrigerant (&lt; 10 GWP) at an existing facility.</t>
    </r>
  </si>
  <si>
    <t>Existing</t>
  </si>
  <si>
    <t>No restriction</t>
  </si>
  <si>
    <r>
      <rPr>
        <b/>
        <sz val="12"/>
        <rFont val="Avenir LT Std 55 Roman"/>
        <family val="2"/>
      </rPr>
      <t xml:space="preserve">Tier I: </t>
    </r>
    <r>
      <rPr>
        <sz val="12"/>
        <rFont val="Avenir LT Std 55 Roman"/>
        <family val="2"/>
      </rPr>
      <t>Partial conversion to ultra-low-GWP refrigerant (&lt; 10 GWP) at an existing facility.</t>
    </r>
  </si>
  <si>
    <t>&gt; 50 lb (except for microdistributed systems)</t>
  </si>
  <si>
    <r>
      <rPr>
        <b/>
        <sz val="12"/>
        <rFont val="Avenir LT Std 55 Roman"/>
        <family val="2"/>
      </rPr>
      <t>Tier II:</t>
    </r>
    <r>
      <rPr>
        <sz val="12"/>
        <rFont val="Avenir LT Std 55 Roman"/>
        <family val="2"/>
      </rPr>
      <t xml:space="preserve"> Refrigerant retrofit from high-GWP (&gt; 3900) to lower-GWP refrigerant (&lt; 1500 GWP).</t>
    </r>
  </si>
  <si>
    <t>&gt; 50 lb</t>
  </si>
  <si>
    <t>&gt; 3,900</t>
  </si>
  <si>
    <t>&lt; 1,500</t>
  </si>
  <si>
    <r>
      <rPr>
        <b/>
        <sz val="12"/>
        <color theme="1"/>
        <rFont val="Avenir LT Std 55 Roman"/>
        <family val="2"/>
      </rPr>
      <t xml:space="preserve">Tier II: </t>
    </r>
    <r>
      <rPr>
        <sz val="12"/>
        <color theme="1"/>
        <rFont val="Avenir LT Std 55 Roman"/>
        <family val="2"/>
      </rPr>
      <t>Refrigerant retrofit from high-GWP (&gt; 3900) to lower-GWP refrigerant (&lt; 1500 GWP), with a permanent system charge reduction of at least 25%.</t>
    </r>
  </si>
  <si>
    <t>Refrigerant Eligibility List</t>
  </si>
  <si>
    <t>Refrigerant</t>
  </si>
  <si>
    <r>
      <t>Emission Reduction Factor (MTCO</t>
    </r>
    <r>
      <rPr>
        <b/>
        <vertAlign val="subscript"/>
        <sz val="12"/>
        <color theme="1"/>
        <rFont val="Avenir LT Std 55 Roman"/>
        <family val="2"/>
      </rPr>
      <t>2</t>
    </r>
    <r>
      <rPr>
        <b/>
        <sz val="12"/>
        <color theme="1"/>
        <rFont val="Avenir LT Std 55 Roman"/>
        <family val="2"/>
      </rPr>
      <t>e/metric ton)</t>
    </r>
  </si>
  <si>
    <t>Eligible For Tier I (Replacement)</t>
  </si>
  <si>
    <t>Eligible For Tier II (Baseline)</t>
  </si>
  <si>
    <t>Eligible For Tier II (Replacement)</t>
  </si>
  <si>
    <t>R-11</t>
  </si>
  <si>
    <t>R-12</t>
  </si>
  <si>
    <t>R-13</t>
  </si>
  <si>
    <t>R-13b1</t>
  </si>
  <si>
    <t>R-14</t>
  </si>
  <si>
    <t>R-22</t>
  </si>
  <si>
    <t>R-23</t>
  </si>
  <si>
    <t>R-32</t>
  </si>
  <si>
    <t>R-113</t>
  </si>
  <si>
    <t>R-114</t>
  </si>
  <si>
    <t>R-115</t>
  </si>
  <si>
    <t>R-116</t>
  </si>
  <si>
    <t>R-123</t>
  </si>
  <si>
    <t>R-124</t>
  </si>
  <si>
    <t>R-125</t>
  </si>
  <si>
    <t>R-134a</t>
  </si>
  <si>
    <t>R-141b</t>
  </si>
  <si>
    <t>R-142b</t>
  </si>
  <si>
    <t>R-143a</t>
  </si>
  <si>
    <t>R-152a</t>
  </si>
  <si>
    <t>R-161 (Fluoroethane)</t>
  </si>
  <si>
    <t>R-170 (Ethane)</t>
  </si>
  <si>
    <t>R-218</t>
  </si>
  <si>
    <t>R-225ca</t>
  </si>
  <si>
    <t>R-225cb</t>
  </si>
  <si>
    <t>R-227ea</t>
  </si>
  <si>
    <t>R-236fa</t>
  </si>
  <si>
    <t>R-245fa</t>
  </si>
  <si>
    <t>R-290 (Propane)</t>
  </si>
  <si>
    <t>R-365mfc</t>
  </si>
  <si>
    <t>R-401A</t>
  </si>
  <si>
    <t>R-401B</t>
  </si>
  <si>
    <t>R-401C</t>
  </si>
  <si>
    <t>R-402A</t>
  </si>
  <si>
    <t>R-402B</t>
  </si>
  <si>
    <t>R-403B</t>
  </si>
  <si>
    <t>R-404A</t>
  </si>
  <si>
    <t>R-406A</t>
  </si>
  <si>
    <t>R-407A</t>
  </si>
  <si>
    <t>R-407B</t>
  </si>
  <si>
    <t>R-407C</t>
  </si>
  <si>
    <t>R-407D</t>
  </si>
  <si>
    <t>R-407F</t>
  </si>
  <si>
    <t>R-407H</t>
  </si>
  <si>
    <t>R-408A</t>
  </si>
  <si>
    <t>R-409A</t>
  </si>
  <si>
    <t>R-410A</t>
  </si>
  <si>
    <t>R-410B</t>
  </si>
  <si>
    <t>R-411A</t>
  </si>
  <si>
    <t>R-411B</t>
  </si>
  <si>
    <t>R-413A</t>
  </si>
  <si>
    <t>R-414A</t>
  </si>
  <si>
    <t>R-414B</t>
  </si>
  <si>
    <t>R-416A</t>
  </si>
  <si>
    <t>R-417A</t>
  </si>
  <si>
    <t>R-417C</t>
  </si>
  <si>
    <t>R-420A</t>
  </si>
  <si>
    <t>R-421A</t>
  </si>
  <si>
    <t>R-421B</t>
  </si>
  <si>
    <t>R-422A</t>
  </si>
  <si>
    <t>R-422B</t>
  </si>
  <si>
    <t>R-422C</t>
  </si>
  <si>
    <t>R-422D</t>
  </si>
  <si>
    <t>R-423A</t>
  </si>
  <si>
    <t>R-424A</t>
  </si>
  <si>
    <t>R-426A</t>
  </si>
  <si>
    <t>R-427A</t>
  </si>
  <si>
    <t>R-428A</t>
  </si>
  <si>
    <t>R-434A</t>
  </si>
  <si>
    <t>R-437A</t>
  </si>
  <si>
    <t>R-438A</t>
  </si>
  <si>
    <t>R-442AF</t>
  </si>
  <si>
    <t>R-448A</t>
  </si>
  <si>
    <t>R-449A</t>
  </si>
  <si>
    <t>R-449B</t>
  </si>
  <si>
    <t>R-450A</t>
  </si>
  <si>
    <t>R-452A</t>
  </si>
  <si>
    <t>R-452B</t>
  </si>
  <si>
    <t>R-453A</t>
  </si>
  <si>
    <t>R-454B</t>
  </si>
  <si>
    <t>R-466A</t>
  </si>
  <si>
    <t>R-500</t>
  </si>
  <si>
    <t>R-502</t>
  </si>
  <si>
    <t>R-503</t>
  </si>
  <si>
    <t>R-507</t>
  </si>
  <si>
    <t>R-508B</t>
  </si>
  <si>
    <t>R-513A</t>
  </si>
  <si>
    <t>R-514A</t>
  </si>
  <si>
    <t>R-600a (Isobutane)</t>
  </si>
  <si>
    <t>R-601 (Pentane)</t>
  </si>
  <si>
    <t>R-717 (Ammonia)</t>
  </si>
  <si>
    <t>R-718 (Water)</t>
  </si>
  <si>
    <t>R-729 (Air)</t>
  </si>
  <si>
    <t>R-744 (Carbon Dioxide)</t>
  </si>
  <si>
    <t>R-1132a</t>
  </si>
  <si>
    <t>R-1141</t>
  </si>
  <si>
    <t>R-1224yd(Z)</t>
  </si>
  <si>
    <t xml:space="preserve">R-1225ye(E) </t>
  </si>
  <si>
    <t>R-1225ye(Z)</t>
  </si>
  <si>
    <t>R-1234yf</t>
  </si>
  <si>
    <t>R-1234zd(E)</t>
  </si>
  <si>
    <t>R-1234ze(E)</t>
  </si>
  <si>
    <t>R-1234ze(Z)</t>
  </si>
  <si>
    <t>R-1336(Z)</t>
  </si>
  <si>
    <t>R-4310mee</t>
  </si>
  <si>
    <t>EP-88</t>
  </si>
  <si>
    <t>FOR12A</t>
  </si>
  <si>
    <t>FOR12B</t>
  </si>
  <si>
    <t>Free Zone</t>
  </si>
  <si>
    <t>Freeze 12</t>
  </si>
  <si>
    <t>G2018C</t>
  </si>
  <si>
    <t>GHG-HP</t>
  </si>
  <si>
    <t>GHG-X5</t>
  </si>
  <si>
    <t>Glycol</t>
  </si>
  <si>
    <t>HFC-1243zf</t>
  </si>
  <si>
    <t>HFC-1345zfc</t>
  </si>
  <si>
    <t>Hot Shot 2</t>
  </si>
  <si>
    <t>Isceon MO89</t>
  </si>
  <si>
    <t>NARM-502</t>
  </si>
  <si>
    <t>ROG (lb)</t>
  </si>
  <si>
    <t>Co-benefits</t>
  </si>
  <si>
    <t>GHG Emission Factors</t>
  </si>
  <si>
    <t>Type</t>
  </si>
  <si>
    <t>Emission Rate</t>
  </si>
  <si>
    <t>Units</t>
  </si>
  <si>
    <r>
      <t>(MTCO</t>
    </r>
    <r>
      <rPr>
        <vertAlign val="subscript"/>
        <sz val="12"/>
        <color theme="1"/>
        <rFont val="Avenir LT Std 55 Roman"/>
        <family val="2"/>
      </rPr>
      <t>2</t>
    </r>
    <r>
      <rPr>
        <sz val="12"/>
        <color theme="1"/>
        <rFont val="Avenir LT Std 55 Roman"/>
        <family val="2"/>
      </rPr>
      <t>e/MWh)</t>
    </r>
  </si>
  <si>
    <t>California Average Grid Electricity</t>
  </si>
  <si>
    <r>
      <t>(MTCO</t>
    </r>
    <r>
      <rPr>
        <vertAlign val="subscript"/>
        <sz val="12"/>
        <color theme="1"/>
        <rFont val="Avenir LT Std 55 Roman"/>
        <family val="2"/>
      </rPr>
      <t>2</t>
    </r>
    <r>
      <rPr>
        <sz val="12"/>
        <color theme="1"/>
        <rFont val="Avenir LT Std 55 Roman"/>
        <family val="2"/>
      </rPr>
      <t>e/kWh)</t>
    </r>
  </si>
  <si>
    <t>(lbs/MWh)</t>
  </si>
  <si>
    <t>(lbs/kWh)</t>
  </si>
  <si>
    <t>References</t>
  </si>
  <si>
    <t>http://www.energy.ca.gov/almanac/electricity_data/electricity_generation.html</t>
  </si>
  <si>
    <t>Criteria Pollutant California Average Grid Electricity Emission Factors</t>
  </si>
  <si>
    <t>Pollutant</t>
  </si>
  <si>
    <t>(MT/MWh)</t>
  </si>
  <si>
    <t>(MT/kWh)</t>
  </si>
  <si>
    <t>PM</t>
  </si>
  <si>
    <r>
      <t>PM</t>
    </r>
    <r>
      <rPr>
        <vertAlign val="subscript"/>
        <sz val="12"/>
        <color theme="1"/>
        <rFont val="Avenir LT Std 55 Roman"/>
        <family val="2"/>
      </rPr>
      <t>10</t>
    </r>
  </si>
  <si>
    <t>GWPs of Refrigerants</t>
  </si>
  <si>
    <t>Emission Reduction Factor</t>
  </si>
  <si>
    <t>Unit</t>
  </si>
  <si>
    <t>Default Value</t>
  </si>
  <si>
    <t>CARB Refrigerant Management Program (Weighted GWP of 2020 Cold Storage Inventory)</t>
  </si>
  <si>
    <t>IPCC Fourth Assessment Report (AR4)</t>
  </si>
  <si>
    <t>CARB Refrigerant Management Program</t>
  </si>
  <si>
    <t>•</t>
  </si>
  <si>
    <t>IPCC Fourth Assessment Report (AR4) (Used as default refrigerant for TRUs)</t>
  </si>
  <si>
    <t>R-290</t>
  </si>
  <si>
    <t>IPCC Fifth Assessment Report (AR5)</t>
  </si>
  <si>
    <t>R-717</t>
  </si>
  <si>
    <t>R-744</t>
  </si>
  <si>
    <t>https://ww2.arb.ca.gov/resources/documents/high-gwp-refrigerants</t>
  </si>
  <si>
    <t>IPCC, 2007: Climate Change 2007: The Physical Science Basis. Contribution of Working Group I to the Fourth Assessment Report of the Intergovernmental Panel on Climate Change</t>
  </si>
  <si>
    <t>[Solomon, S., D. Qin, M. Manning, Z. Chen, M. Marquis, K.B. Averyt, M. Tignor and H.L. Miller (eds.)]. Cambridge University Press, Cambridge, United Kingdom and New York, NY,</t>
  </si>
  <si>
    <t>USA., 996 pp.</t>
  </si>
  <si>
    <t>https://www.ipcc.ch/report/ar4/wg1/</t>
  </si>
  <si>
    <t>IPCC, 2014: Climate Change 2014: Synthesis Report. Contribution of Working Groups I, II and III to the Fifth Assessment Report of the Intergovernmental Panel on Climate Change</t>
  </si>
  <si>
    <t>[Core Writing Team, R.K. Pachauri and L.A. Meyer (eds.)]. IPCC, Geneva, Switzerland, 151 pp.</t>
  </si>
  <si>
    <t>https://www.ipcc.ch/report/ar5/syr/</t>
  </si>
  <si>
    <t>Refrigerant Annual Leakage Assumptions</t>
  </si>
  <si>
    <t>Average Annual Leak Rate</t>
  </si>
  <si>
    <t>%</t>
  </si>
  <si>
    <t>Microdistributed Refrigeration systems</t>
  </si>
  <si>
    <t>Refrigerant End-of-Life Leakage Assumptions</t>
  </si>
  <si>
    <t>CARB's California’s High Global Warming Potential Gases Emission Inventory Emission Inventory Methodology and Technical Support Document (2016)</t>
  </si>
  <si>
    <t>Energy Type</t>
  </si>
  <si>
    <t>Price</t>
  </si>
  <si>
    <t>Electricity</t>
  </si>
  <si>
    <t>per kWh</t>
  </si>
  <si>
    <t>Natural Gas</t>
  </si>
  <si>
    <t>per therm</t>
  </si>
  <si>
    <r>
      <t>West Coast average retail fuel prices</t>
    </r>
    <r>
      <rPr>
        <b/>
        <vertAlign val="superscript"/>
        <sz val="12"/>
        <color theme="1"/>
        <rFont val="Avenir LT Std 55 Roman"/>
        <family val="2"/>
      </rPr>
      <t>[2]</t>
    </r>
  </si>
  <si>
    <t>Fuel Type</t>
  </si>
  <si>
    <t>Gasoline</t>
  </si>
  <si>
    <t>per gallon</t>
  </si>
  <si>
    <t>Diesel</t>
  </si>
  <si>
    <t>Compressed Natural Gas (CNG)</t>
  </si>
  <si>
    <t>per cubic foot</t>
  </si>
  <si>
    <t>Liquefied Natural Gas (LNG)</t>
  </si>
  <si>
    <t>per DGE</t>
  </si>
  <si>
    <t>Ethanol (E85)</t>
  </si>
  <si>
    <t>Propane</t>
  </si>
  <si>
    <t>Biodiesel (B5/B20)</t>
  </si>
  <si>
    <t>per kilogram</t>
  </si>
  <si>
    <t>California, Oregon, Washington, Nevada, Arizona, Hawaii and Alaska.</t>
  </si>
  <si>
    <t>Reference</t>
  </si>
  <si>
    <t xml:space="preserve">Documentation Tab </t>
  </si>
  <si>
    <t>AB 1550 Criteria Table: Step 1</t>
  </si>
  <si>
    <t>None</t>
  </si>
  <si>
    <t>New Facility</t>
  </si>
  <si>
    <t>Centralized DX System</t>
  </si>
  <si>
    <t>Disadvantaged and Low-Income Community</t>
  </si>
  <si>
    <t>Existing Facility</t>
  </si>
  <si>
    <t>Condensing Unit</t>
  </si>
  <si>
    <t>No</t>
  </si>
  <si>
    <t>Disadvantaged Community</t>
  </si>
  <si>
    <t>Low-Income Community</t>
  </si>
  <si>
    <t>Microdistributed System with Water Loop</t>
  </si>
  <si>
    <t>Buffer Zone</t>
  </si>
  <si>
    <t>Other</t>
  </si>
  <si>
    <t>AGENCY</t>
  </si>
  <si>
    <t>PROGRAM</t>
  </si>
  <si>
    <t>PROJ_ID</t>
  </si>
  <si>
    <t>PROJ_NAME</t>
  </si>
  <si>
    <t>PROJ_TYPE</t>
  </si>
  <si>
    <t>PROJ_DESC</t>
  </si>
  <si>
    <t>ADDRESS</t>
  </si>
  <si>
    <t>LAT_LON</t>
  </si>
  <si>
    <t>EXP_RECORD_DATE</t>
  </si>
  <si>
    <t>DATE_SELECTED</t>
  </si>
  <si>
    <t>DATE_AWARDED</t>
  </si>
  <si>
    <t>PROJ_COMPLETE_DATE</t>
  </si>
  <si>
    <t>DATE_OP</t>
  </si>
  <si>
    <t>TOTAL_COST</t>
  </si>
  <si>
    <t>TOTAL_GGRF_FUNDING</t>
  </si>
  <si>
    <t>FY_FUNDING</t>
  </si>
  <si>
    <t>PROJ_MATCH_FUNDS</t>
  </si>
  <si>
    <t>QUANT_METHOD_DATE</t>
  </si>
  <si>
    <t>PROJ_LIFE</t>
  </si>
  <si>
    <t>EST_GHG_REDUCTIONS</t>
  </si>
  <si>
    <t>GHG_RED_START</t>
  </si>
  <si>
    <t>GOV_PILLAR_LIST</t>
  </si>
  <si>
    <t>OTHER_STATE_PPI</t>
  </si>
  <si>
    <t>OTHER_STATE_PPI_DESC</t>
  </si>
  <si>
    <t>SCOPING_PLAN_MEASURES</t>
  </si>
  <si>
    <t>EST_TOTAL_DPM_RED</t>
  </si>
  <si>
    <t>EST_TOTAL_NOX_RED</t>
  </si>
  <si>
    <t>EST_TOTAL_PM25_RED</t>
  </si>
  <si>
    <t>EST_TOTAL_ROG_RED</t>
  </si>
  <si>
    <t>EST_STATEW_NOX_RED</t>
  </si>
  <si>
    <t>EST_STATEW_PM25_RED</t>
  </si>
  <si>
    <t>EST_STATEW_ROG_RED</t>
  </si>
  <si>
    <t>ENERGY_COST_SAVINGS</t>
  </si>
  <si>
    <t>CLIMATE_ADAPTATION</t>
  </si>
  <si>
    <t>COMMUNITY_ENGAGEMENT</t>
  </si>
  <si>
    <t>EST_FUEL_RED</t>
  </si>
  <si>
    <t>EST_ENERGY_SAVED_KWH</t>
  </si>
  <si>
    <t>EST_ENERGY_SAVED_THERM</t>
  </si>
  <si>
    <t>EST_WATER_SAVED_GAL</t>
  </si>
  <si>
    <t>EST_ENERGY_GEN_KWH</t>
  </si>
  <si>
    <t>EST_ACRES_PRESERVED</t>
  </si>
  <si>
    <t>DIRECT_JOBS_FTE</t>
  </si>
  <si>
    <t>INDIRECT_JOBS_FTE</t>
  </si>
  <si>
    <t>INDUCED_JOBS_FTE</t>
  </si>
  <si>
    <t>PROJ_BENEFITS_DESC</t>
  </si>
  <si>
    <t>CES_VERSION</t>
  </si>
  <si>
    <t>DAC_TABLE_CHOICE</t>
  </si>
  <si>
    <t>DAC3_YN</t>
  </si>
  <si>
    <t>LOW_INCOME_YN</t>
  </si>
  <si>
    <t>BUFFER_YN</t>
  </si>
  <si>
    <t>FG17_COMM_NEED</t>
  </si>
  <si>
    <t>FG17_COMM_NEED_QUAL</t>
  </si>
  <si>
    <t>FG17_BENEFIT</t>
  </si>
  <si>
    <t>DAC_QUALITATIVE</t>
  </si>
  <si>
    <t>POTENTIAL_DAC3_COUNT</t>
  </si>
  <si>
    <t>POTENTIAL_DAC3_AMT</t>
  </si>
  <si>
    <t>POTENTIAL_LOW_INCOME_COUNT</t>
  </si>
  <si>
    <t>POTENTIAL_LOW_INCOME_AMT</t>
  </si>
  <si>
    <t>POTENTIAL_BUFFER_COUNT</t>
  </si>
  <si>
    <t>POTENTIAL_BUFFER_AMT</t>
  </si>
  <si>
    <t>AB_1550_CHOICE</t>
  </si>
  <si>
    <t>DAC3_COUNT</t>
  </si>
  <si>
    <t>DAC3_AMT</t>
  </si>
  <si>
    <t>LOW_INCOME_COUNT</t>
  </si>
  <si>
    <t>LOW_INCOME_AMT</t>
  </si>
  <si>
    <t>BUFFER_COUNT</t>
  </si>
  <si>
    <t>BUFFER_AMT</t>
  </si>
  <si>
    <t>PROJ_COUNT</t>
  </si>
  <si>
    <t>Agency</t>
  </si>
  <si>
    <t>Subprogram</t>
  </si>
  <si>
    <t>Project ID</t>
  </si>
  <si>
    <t>Project Name</t>
  </si>
  <si>
    <t>Project Description</t>
  </si>
  <si>
    <t>Project Address</t>
  </si>
  <si>
    <t>Project Latitude and Longitude (degrees)</t>
  </si>
  <si>
    <t>Expenditure Record Date</t>
  </si>
  <si>
    <t>Date Selected</t>
  </si>
  <si>
    <t>Date Awarded</t>
  </si>
  <si>
    <t>Project Completion Date</t>
  </si>
  <si>
    <t>Date Operational</t>
  </si>
  <si>
    <t>Total Project Cost ($)</t>
  </si>
  <si>
    <t>Total GGRF Funding Amount from this Program ($)</t>
  </si>
  <si>
    <t>Fiscal Year(s)</t>
  </si>
  <si>
    <t>Total Matching Funds ($)</t>
  </si>
  <si>
    <t>Quantification Methodology Date</t>
  </si>
  <si>
    <t>GHG Emission Reductions (MTCO2E)</t>
  </si>
  <si>
    <t>Date GHG Emission Reductions Begin</t>
  </si>
  <si>
    <t>Governor’s Pillars (1;2;3;4;5;6)</t>
  </si>
  <si>
    <t>Other State Policies, Plans, or Initiatives? (Y/N)</t>
  </si>
  <si>
    <t>Describe other State Policies, Plans, or Initiatives</t>
  </si>
  <si>
    <t>Support Scoping Plan? (Y/N)</t>
  </si>
  <si>
    <t>Total Diesel PM Reductions (lbs)</t>
  </si>
  <si>
    <t>Total NOx Reductions (lbs)</t>
  </si>
  <si>
    <t>Total PM 2.5 Reductions (lbs)</t>
  </si>
  <si>
    <t>Total Reactive Organic Gases Reductions (lbs)</t>
  </si>
  <si>
    <t>Remote Nox Reductions (lbs)</t>
  </si>
  <si>
    <t>Remote PM 2.5 Reductions (lbs)</t>
  </si>
  <si>
    <t>Remote Reactive Organic Gases Reductions (lbs)</t>
  </si>
  <si>
    <t>Climate Adaptation</t>
  </si>
  <si>
    <t>Community Engagement</t>
  </si>
  <si>
    <t>Fossil Fuel Based Transportation Fuel Use Reductions (gallons)</t>
  </si>
  <si>
    <t>Fossil Fuel Based Energy Use Reductions (therms)</t>
  </si>
  <si>
    <t>Water Use Reductions (gallons)</t>
  </si>
  <si>
    <t>Renewable Energy Generation (kWh)</t>
  </si>
  <si>
    <t>Land Conserved (acres)</t>
  </si>
  <si>
    <t>Direct Jobs</t>
  </si>
  <si>
    <t>Indirect Jobs</t>
  </si>
  <si>
    <t>Induced Jobs</t>
  </si>
  <si>
    <t>Describe Co-benefits</t>
  </si>
  <si>
    <t>CalEnviroScreen Version</t>
  </si>
  <si>
    <t>Benefit Criteria Table</t>
  </si>
  <si>
    <t>Benefits Criteria Table
Step 1: Disadvantaged Community? (Y/N)</t>
  </si>
  <si>
    <t>Benefits Criteria Table
Step 1: Low-income Community or Low-income Household? (Y/N)</t>
  </si>
  <si>
    <t>Benefits Criteria Table
Step 1: Low-income 1/2-mile Buffer Region? (Y/N)</t>
  </si>
  <si>
    <t>Benefits Criteria Table
Step 2: Identifying Community Need</t>
  </si>
  <si>
    <t>Benefits Criteria Table
Step 2: Description of Community Need</t>
  </si>
  <si>
    <t>Benefits Criteria Table
Step 3: Benefit Criteria Met</t>
  </si>
  <si>
    <t>Benefits Criteria Table
Step 3: Description of Benefits to Priority Populations</t>
  </si>
  <si>
    <t>Qualifying Disadvantaged Community Benefit Count</t>
  </si>
  <si>
    <t>Qualifying Disadvantaged Community Benefit Amount ($)</t>
  </si>
  <si>
    <t>Qualifying Low-income Count</t>
  </si>
  <si>
    <t>Qualifying Low-income Amount ($)</t>
  </si>
  <si>
    <t>Qualifying 1/2-mile Low-income Buffer Count</t>
  </si>
  <si>
    <t>Qualifying 1/2-mile Low-income Buffer Amount ($)</t>
  </si>
  <si>
    <t>Select a Priority Population</t>
  </si>
  <si>
    <t>Claimed Disadvantaged Communities Benefit Count</t>
  </si>
  <si>
    <t>Claimed Disadvantaged Communities Benefit Amount ($)</t>
  </si>
  <si>
    <t>Claimed Low-income Count</t>
  </si>
  <si>
    <t>Claimed Low-income Amount ($)</t>
  </si>
  <si>
    <t>Claimed Low-income 1/2-mile Buffer Count</t>
  </si>
  <si>
    <t>Claimed Low-income 1/2-mile Buffer Amount ($)</t>
  </si>
  <si>
    <t>Count</t>
  </si>
  <si>
    <t>Gray</t>
  </si>
  <si>
    <t>Date Calculator Completed</t>
  </si>
  <si>
    <t>System Name</t>
  </si>
  <si>
    <t>Refrigeration Sector</t>
  </si>
  <si>
    <t>Industrial Process Refrigeration</t>
  </si>
  <si>
    <t>Cold Storage or Other Refrigeration</t>
  </si>
  <si>
    <t>New or Existing Facility</t>
  </si>
  <si>
    <t>&lt;50lb. Refrigeration Equipment to CDU</t>
  </si>
  <si>
    <t>Optional input field</t>
  </si>
  <si>
    <t>Number of Components</t>
  </si>
  <si>
    <t>Number of Systems</t>
  </si>
  <si>
    <t>Countdown quantity of components</t>
  </si>
  <si>
    <r>
      <t xml:space="preserve">Step 1: </t>
    </r>
    <r>
      <rPr>
        <sz val="12"/>
        <color theme="1"/>
        <rFont val="Avenir LT Std 55 Roman"/>
        <family val="2"/>
      </rPr>
      <t>Enter basic information for each project.</t>
    </r>
  </si>
  <si>
    <r>
      <t>Step 4:</t>
    </r>
    <r>
      <rPr>
        <sz val="12"/>
        <color theme="1"/>
        <rFont val="Avenir Next LT Pro"/>
        <family val="2"/>
      </rPr>
      <t xml:space="preserve"> Review the estimated benefits.</t>
    </r>
  </si>
  <si>
    <r>
      <t>Total GHG Reductions
(MTCO</t>
    </r>
    <r>
      <rPr>
        <b/>
        <vertAlign val="subscript"/>
        <sz val="10"/>
        <color theme="1"/>
        <rFont val="Avenir LT Std 55 Roman"/>
        <family val="2"/>
      </rPr>
      <t>2</t>
    </r>
    <r>
      <rPr>
        <b/>
        <sz val="10"/>
        <color theme="1"/>
        <rFont val="Avenir LT Std 55 Roman"/>
        <family val="2"/>
      </rPr>
      <t>e)</t>
    </r>
  </si>
  <si>
    <r>
      <t>NO</t>
    </r>
    <r>
      <rPr>
        <b/>
        <vertAlign val="subscript"/>
        <sz val="10"/>
        <rFont val="Avenir LT Std 55 Roman"/>
        <family val="2"/>
      </rPr>
      <t>x</t>
    </r>
    <r>
      <rPr>
        <b/>
        <sz val="10"/>
        <rFont val="Avenir LT Std 55 Roman"/>
        <family val="2"/>
      </rPr>
      <t xml:space="preserve"> (lb)</t>
    </r>
  </si>
  <si>
    <r>
      <t>PM</t>
    </r>
    <r>
      <rPr>
        <b/>
        <vertAlign val="subscript"/>
        <sz val="10"/>
        <rFont val="Avenir LT Std 55 Roman"/>
        <family val="2"/>
      </rPr>
      <t>2.5</t>
    </r>
    <r>
      <rPr>
        <b/>
        <sz val="10"/>
        <rFont val="Avenir LT Std 55 Roman"/>
        <family val="2"/>
      </rPr>
      <t xml:space="preserve"> (lb)</t>
    </r>
  </si>
  <si>
    <r>
      <t>PM</t>
    </r>
    <r>
      <rPr>
        <b/>
        <vertAlign val="subscript"/>
        <sz val="10"/>
        <rFont val="Avenir LT Std 55 Roman"/>
        <family val="2"/>
      </rPr>
      <t>10</t>
    </r>
    <r>
      <rPr>
        <b/>
        <sz val="10"/>
        <rFont val="Avenir LT Std 55 Roman"/>
        <family val="2"/>
      </rPr>
      <t xml:space="preserve"> (lb)</t>
    </r>
  </si>
  <si>
    <t>Local Criteria and Toxic Air Pollutants</t>
  </si>
  <si>
    <t>Remote Criteria and Toxic Air Pollutants</t>
  </si>
  <si>
    <t>Total Criteria and Toxic Air Pollutants</t>
  </si>
  <si>
    <t>TOTALS</t>
  </si>
  <si>
    <t>GHG reductions to comply</t>
  </si>
  <si>
    <t>GWP by sector</t>
  </si>
  <si>
    <t>HFC Reductions (lb)</t>
  </si>
  <si>
    <t>GHG Emission Reductions</t>
  </si>
  <si>
    <t>Criteria and Toxic Air Pollutants Emission Reductions</t>
  </si>
  <si>
    <t xml:space="preserve">For the purposes of GGRF quantification methodologies, CARB developed a California grid electricity emission factor </t>
  </si>
  <si>
    <t>based on total in-state and imported electricity emissions divided by total consumption.  Emissions data were obtained</t>
  </si>
  <si>
    <t>Funds Requested by System ($)</t>
  </si>
  <si>
    <t>Existing Refrigerant Type</t>
  </si>
  <si>
    <t>Existing Refrigerant Charge (lb)</t>
  </si>
  <si>
    <t>Proposed or Installed Primary Refrigerant Type</t>
  </si>
  <si>
    <t>Proposed or Installed Primary  Refrigerant Charge (lb)</t>
  </si>
  <si>
    <t>Proposed or Installed Ultra-low-GWP Refrigerant Type</t>
  </si>
  <si>
    <t>Proposed or Installed Ultra-low-GWP Refrigerant Charge (lb)</t>
  </si>
  <si>
    <t>FRIP Funds Requested ($)</t>
  </si>
  <si>
    <t>Enter information for claiming benefits to priority populations, as applicable.</t>
  </si>
  <si>
    <t>Proposed or Installed Ultra-low-GWP Refrigerant Annual Leakage Rate (%/yr)</t>
  </si>
  <si>
    <t>Proposed or Installed Ultra-low-GWP Refrigerant End-of-Life Leakage (%)</t>
  </si>
  <si>
    <t>Proposed or Installed Primary  Refrigerant Annual Leakage Rate (%/yr)</t>
  </si>
  <si>
    <t>Proposed or Installed Primary  Refrigerant End-of-Life Leakage (%)</t>
  </si>
  <si>
    <t>End-of-Life Leak Rate</t>
  </si>
  <si>
    <t>Funds Requested by Project ($)</t>
  </si>
  <si>
    <t>Criteria and Toxic Air Pollutant Emission Reductions</t>
  </si>
  <si>
    <t>FRIP Funds Requested</t>
  </si>
  <si>
    <r>
      <t>Popula</t>
    </r>
    <r>
      <rPr>
        <sz val="12"/>
        <rFont val="Avenir LT Std 55 Roman"/>
        <family val="2"/>
      </rPr>
      <t xml:space="preserve">ted FRIP </t>
    </r>
    <r>
      <rPr>
        <sz val="12"/>
        <color rgb="FF000000"/>
        <rFont val="Avenir LT Std 55 Roman"/>
        <family val="2"/>
      </rPr>
      <t xml:space="preserve">Benefits Calculator Tool (this file) </t>
    </r>
    <r>
      <rPr>
        <sz val="12"/>
        <rFont val="Avenir LT Std 55 Roman"/>
        <family val="2"/>
      </rPr>
      <t>(in .xlsx</t>
    </r>
    <r>
      <rPr>
        <sz val="12"/>
        <color rgb="FF000000"/>
        <rFont val="Avenir LT Std 55 Roman"/>
        <family val="2"/>
      </rPr>
      <t>) with worksheets applicable to the project populated (ensure that all fields in the Benefits Summary tab are populated)</t>
    </r>
  </si>
  <si>
    <t>Documentation to support refrigeration system information and estimates.</t>
  </si>
  <si>
    <t>Project Information</t>
  </si>
  <si>
    <t>https://ww2.arb.ca.gov/resources/documents/cci-methodologies</t>
  </si>
  <si>
    <t>West Coast region defined by the U.S. Energy Information Administration includes</t>
  </si>
  <si>
    <t xml:space="preserve">[2] U.S. Department of Energy (average from January 2023 to October 2023). The </t>
  </si>
  <si>
    <t>Hydrogen</t>
  </si>
  <si>
    <r>
      <t>California 2023 Average Industrial Sector Energy Prices</t>
    </r>
    <r>
      <rPr>
        <b/>
        <vertAlign val="superscript"/>
        <sz val="12"/>
        <color theme="1"/>
        <rFont val="Avenir LT Std 55 Roman"/>
        <family val="2"/>
      </rPr>
      <t>[1]</t>
    </r>
  </si>
  <si>
    <t>[1] U.S. Energy Information Administration (as of 2024)</t>
  </si>
  <si>
    <r>
      <t xml:space="preserve">CARB (2024). </t>
    </r>
    <r>
      <rPr>
        <i/>
        <sz val="12"/>
        <color theme="1"/>
        <rFont val="Avenir LT Std 55 Roman"/>
        <family val="2"/>
      </rPr>
      <t>Co-benefit Assessment Methodology for Energy and Fuel Cost Savings.</t>
    </r>
  </si>
  <si>
    <t>https://ww2.arb.ca.gov/applications/statewide-emissions</t>
  </si>
  <si>
    <t xml:space="preserve">Consumption data for in-state generation were obtained from the CEC Energy Almanac, last updated June 2021 available online at: </t>
  </si>
  <si>
    <t xml:space="preserve">Criteria pollutant data is derived from CARB's criteria pollutant emissions inventory for statewide stationary sources of fuel combustion for electric utilities </t>
  </si>
  <si>
    <t>and cogeneration. The latest update is based on 2017 estimated annual average emissions. Criteria pollutant emissions data are available online at:</t>
  </si>
  <si>
    <r>
      <t>MTCO</t>
    </r>
    <r>
      <rPr>
        <vertAlign val="subscript"/>
        <sz val="12"/>
        <rFont val="Avenir Next LT Pro"/>
        <family val="2"/>
      </rPr>
      <t>2</t>
    </r>
    <r>
      <rPr>
        <sz val="12"/>
        <rFont val="Avenir Next LT Pro"/>
        <family val="2"/>
      </rPr>
      <t>e/metric ton</t>
    </r>
  </si>
  <si>
    <t>Eligible Refrigerants (Existing)</t>
  </si>
  <si>
    <t>Refrigerants (Replacement, &lt;2,200)</t>
  </si>
  <si>
    <t>Refrigerants (Replacement, &lt;10)</t>
  </si>
  <si>
    <t>ODS Reductions (lb)</t>
  </si>
  <si>
    <t>GHG Emission Reductions from ODS Reductions (MTCO2e)</t>
  </si>
  <si>
    <t>GHG Emission Reductions from HFC Reductions (MTCO2e)</t>
  </si>
  <si>
    <t>ODS- and HFC-related Reductions</t>
  </si>
  <si>
    <t>ODS Refrigerant?</t>
  </si>
  <si>
    <t>HFC Refrigerant?</t>
  </si>
  <si>
    <t>Sector</t>
  </si>
  <si>
    <t>HFC</t>
  </si>
  <si>
    <t>ODS</t>
  </si>
  <si>
    <t>hydrofluorocarbon</t>
  </si>
  <si>
    <t>ozone-depleting substance</t>
  </si>
  <si>
    <t>Required Inputs: Yes/No</t>
  </si>
  <si>
    <r>
      <rPr>
        <sz val="12"/>
        <rFont val="Avenir LT Std 55 Roman"/>
        <family val="2"/>
      </rPr>
      <t xml:space="preserve">Is the project located within a disadvantaged community census tract, low-income community, both disadvantaged and low-income community, or buffer zone? Use the AB 1550 mapping tool available at: </t>
    </r>
    <r>
      <rPr>
        <u/>
        <sz val="12"/>
        <color theme="8"/>
        <rFont val="Avenir LT Std 55 Roman"/>
        <family val="2"/>
      </rPr>
      <t>https://www.arb.ca.gov/cc/capandtrade/auctionproceeds/communityinvestments.htm</t>
    </r>
  </si>
  <si>
    <t>In addition to FRIP application requirements, users are required to document results from the use of this Benefits Calculator Tool,</t>
  </si>
  <si>
    <t>including supporting materials to verify the accuracy of project-specific inputs.  Users are required to provide electronic documentation that is</t>
  </si>
  <si>
    <t>The following checklist is provided as a guide to users; additional data and/or information may be necessary to support project-specific input</t>
  </si>
  <si>
    <t>Some user-provided data may require additional documentation to substantiate the inputs.  The expected documentation includes, but is not</t>
  </si>
  <si>
    <t>Ultra-low-GWP Refrigeration System</t>
  </si>
  <si>
    <r>
      <t xml:space="preserve">Step 2: </t>
    </r>
    <r>
      <rPr>
        <sz val="12"/>
        <color theme="1"/>
        <rFont val="Avenir LT Std 55 Roman"/>
        <family val="2"/>
      </rPr>
      <t>Enter detailed information for each proposed or installed project. See "Documentation" tab for additional information.</t>
    </r>
  </si>
  <si>
    <t>Proposed or Installed Project Refrigeration System Inputs</t>
  </si>
  <si>
    <t>Proposed or Installed Project Refrigeration System Assumptions</t>
  </si>
  <si>
    <t>Proposed or Installed System Type</t>
  </si>
  <si>
    <t xml:space="preserve">Users must use this Benefits Calculator Tool to report the estimated GHG benefits and selected co-benefits associated with proposed or installed projects. </t>
  </si>
  <si>
    <t xml:space="preserve">        Questions pertaining to FRIP should be sent to:</t>
  </si>
  <si>
    <t>Legal Company Name</t>
  </si>
  <si>
    <t>Retail Food Refrigeration ≥20 Facilities</t>
  </si>
  <si>
    <t>Retail Food Refrigeration &lt;20 Facilities</t>
  </si>
  <si>
    <t>R-125/290/134a/600a</t>
  </si>
  <si>
    <t>R-417B</t>
  </si>
  <si>
    <t>R-442AF (R-442A)</t>
  </si>
  <si>
    <t>R-452C</t>
  </si>
  <si>
    <t>R-458A</t>
  </si>
  <si>
    <t>R-461A</t>
  </si>
  <si>
    <t>R-462A</t>
  </si>
  <si>
    <t>R-508A</t>
  </si>
  <si>
    <t>Ineligible Refrigerants - Not Used</t>
  </si>
  <si>
    <t>Existing System Type</t>
  </si>
  <si>
    <t>Type of System (Proposed or Installed)</t>
  </si>
  <si>
    <t>Type of System (Existing)</t>
  </si>
  <si>
    <t>Secondary/Cascade System</t>
  </si>
  <si>
    <t>Single or One-to-One System</t>
  </si>
  <si>
    <t>Number of Existing Systems</t>
  </si>
  <si>
    <t>Number of Proposed or Installed Systems</t>
  </si>
  <si>
    <t>Existing System Number</t>
  </si>
  <si>
    <t>Proposed or Installed System Number</t>
  </si>
  <si>
    <t>Proposed or Installed</t>
  </si>
  <si>
    <t># Existing</t>
  </si>
  <si>
    <t># Proposed or Installed</t>
  </si>
  <si>
    <t>Charge Size Min</t>
  </si>
  <si>
    <t>Charge Size Max</t>
  </si>
  <si>
    <t>Refrigerant End-of-Life Quantification Period</t>
  </si>
  <si>
    <t>Rack Systems</t>
  </si>
  <si>
    <t>Transcritical CO2</t>
  </si>
  <si>
    <t>https://ww2.arb.ca.gov/sites/default/files/2023-12/ghg_inventory_by_sector_all_00-21.xlsx</t>
  </si>
  <si>
    <t>from the CARB GHG inventory, last updated December 2023, available online at:</t>
  </si>
  <si>
    <t xml:space="preserve">Consumption data were obtained from the CEC Energy Almanac, last updated July 2023 available online at: </t>
  </si>
  <si>
    <t>Existing Primary Refrigerant Type</t>
  </si>
  <si>
    <t>Existing Primary  Refrigerant Charge (lb)</t>
  </si>
  <si>
    <t>Existing Primary  Refrigerant Annual Leakage Rate (%/yr)</t>
  </si>
  <si>
    <t>Existing Primary  Refrigerant End-of-Life Leakage (%)</t>
  </si>
  <si>
    <r>
      <t xml:space="preserve">Retail Food Refrigeration systems with charge </t>
    </r>
    <r>
      <rPr>
        <sz val="12"/>
        <color theme="1"/>
        <rFont val="Calibri"/>
        <family val="2"/>
      </rPr>
      <t>≤</t>
    </r>
    <r>
      <rPr>
        <sz val="12"/>
        <color theme="1"/>
        <rFont val="Avenir LT Std 55 Roman"/>
        <family val="2"/>
      </rPr>
      <t xml:space="preserve"> 50 lbs</t>
    </r>
  </si>
  <si>
    <t>Retail Food Refrigeration systems with charge &gt;50 – &lt;200 lbs</t>
  </si>
  <si>
    <t>Retail Food Refrigeration systems with charge 200 – &lt;2,000 lbs</t>
  </si>
  <si>
    <t>Retail Food Refrigeration systems with charge ≥ 2,000 lbs</t>
  </si>
  <si>
    <t>Retail Food Refrigeration systems, Secondary/Cascade System, &gt;0 lbs</t>
  </si>
  <si>
    <r>
      <t xml:space="preserve">Industrial Refrigeration systems with charge </t>
    </r>
    <r>
      <rPr>
        <sz val="12"/>
        <color theme="1"/>
        <rFont val="Calibri"/>
        <family val="2"/>
      </rPr>
      <t>≤</t>
    </r>
    <r>
      <rPr>
        <sz val="12"/>
        <color theme="1"/>
        <rFont val="Avenir LT Std 55 Roman"/>
        <family val="2"/>
      </rPr>
      <t xml:space="preserve"> 50 lbs</t>
    </r>
  </si>
  <si>
    <t>Industrial Refrigeration systems with charge &gt;50 – &lt;200 lbs</t>
  </si>
  <si>
    <t>Industrial Refrigeration systems with charge 200 – &lt;2,000 lbs</t>
  </si>
  <si>
    <t>Industrial Refrigeration systems with charge ≥ 2,000 lbs</t>
  </si>
  <si>
    <t>Industrial Refrigeration systems with Secondary/Cascade System, &gt;0 lbs</t>
  </si>
  <si>
    <t>Cold Storage systems with charge &gt;50 – &lt;200 lbs</t>
  </si>
  <si>
    <t>Cold Storage systems with charge 200 – &lt;2,000 lbs</t>
  </si>
  <si>
    <t>Cold Storage, Indirect or Cascade Refrigeration systems, &gt;0 lbs</t>
  </si>
  <si>
    <t>Microdistributed Refrigeration systems, &gt;0 lbs</t>
  </si>
  <si>
    <t>Food Retail</t>
  </si>
  <si>
    <t>Industrial</t>
  </si>
  <si>
    <t>Cold Storage</t>
  </si>
  <si>
    <t>0-50</t>
  </si>
  <si>
    <t>50-200</t>
  </si>
  <si>
    <t>200-2000</t>
  </si>
  <si>
    <t>2000+</t>
  </si>
  <si>
    <t>Charge Size (lbs)</t>
  </si>
  <si>
    <t>Category</t>
  </si>
  <si>
    <t>System Type</t>
  </si>
  <si>
    <t>Annual Leak rate (%)</t>
  </si>
  <si>
    <t>0+</t>
  </si>
  <si>
    <t>Charge Range</t>
  </si>
  <si>
    <t>Annual Leak Rate</t>
  </si>
  <si>
    <t>Annual Leak Rate (Primary)</t>
  </si>
  <si>
    <t>Charge Range (Primary)</t>
  </si>
  <si>
    <t>GHG Emission Reductions from HFC Reductions from Existing System to Mid-range GWP Refrigerant Retrofit Baseline (MTCO2e)</t>
  </si>
  <si>
    <t>HFC (lb)</t>
  </si>
  <si>
    <t>HFC (MTCO2e)</t>
  </si>
  <si>
    <t>Proposed or Installed (Primary)</t>
  </si>
  <si>
    <t>Existing (Primary)</t>
  </si>
  <si>
    <t>Total HFC Reductions</t>
  </si>
  <si>
    <t>GHG Emission Reductions from HFC Reductions from Mid-range GWP Refrigerant Retrofit Baseline to Ultra-low-GWP Technology (MTCO2e)</t>
  </si>
  <si>
    <t>Ultra-low-GWP Refrigerant Quantification Period (years)</t>
  </si>
  <si>
    <t>Refrigerant Quantification Period (years)</t>
  </si>
  <si>
    <t>Hypothetical GHG Emission Reductions Needed to Equal Mid-range GWP Refrigerant Retrofit Technologies (MTCO2e)</t>
  </si>
  <si>
    <t>High-GWP ODS Reductions (lb)</t>
  </si>
  <si>
    <t>High-GWP HFC Reductions (lb)</t>
  </si>
  <si>
    <t>ODS (lb)</t>
  </si>
  <si>
    <t>ODS (MTCO2e)</t>
  </si>
  <si>
    <t>Total ODS Reductions</t>
  </si>
  <si>
    <t>Project Info and GHG Emission Reductions</t>
  </si>
  <si>
    <t>2020 HFC Regulation-related Calculations</t>
  </si>
  <si>
    <t>Calculations by Individual System</t>
  </si>
  <si>
    <t>Summation Calculations by Project Name (for "3. Benefits Summary" Tab)</t>
  </si>
  <si>
    <t>Annual Leak Rate Determination by Refrigerant</t>
  </si>
  <si>
    <t>Annual Leak Rate Lookup Table (see "Emission Factors" Tab)</t>
  </si>
  <si>
    <t>High-GWP HFC Refrigerants</t>
  </si>
  <si>
    <t xml:space="preserve">High-GWP ODS Refrigerants </t>
  </si>
  <si>
    <t xml:space="preserve">        Questions on this FRIP Tool should be sent to:</t>
  </si>
  <si>
    <t>Refrigeration systems with charge ≤50 lbs</t>
  </si>
  <si>
    <t>Refrigeration systems with charge &gt;50 lbs</t>
  </si>
  <si>
    <t>Cold Storage systems with charge ≥2,000 lbs</t>
  </si>
  <si>
    <r>
      <t xml:space="preserve">Cold Storage systems with charge </t>
    </r>
    <r>
      <rPr>
        <sz val="12"/>
        <color theme="1"/>
        <rFont val="Calibri"/>
        <family val="2"/>
      </rPr>
      <t>≤</t>
    </r>
    <r>
      <rPr>
        <sz val="12"/>
        <color theme="1"/>
        <rFont val="Avenir LT Std 55 Roman"/>
        <family val="2"/>
      </rPr>
      <t>50 lbs</t>
    </r>
  </si>
  <si>
    <r>
      <t>Total GHG Emission Reductions (MTCO</t>
    </r>
    <r>
      <rPr>
        <vertAlign val="subscript"/>
        <sz val="12"/>
        <color theme="1"/>
        <rFont val="Avenir Next LT Pro"/>
        <family val="2"/>
      </rPr>
      <t>2</t>
    </r>
    <r>
      <rPr>
        <sz val="12"/>
        <color theme="1"/>
        <rFont val="Avenir Next LT Pro"/>
        <family val="2"/>
      </rPr>
      <t>e)</t>
    </r>
  </si>
  <si>
    <r>
      <t>FRIP Funds per Total GHG Emission Reductions ($/MTCO</t>
    </r>
    <r>
      <rPr>
        <vertAlign val="subscript"/>
        <sz val="12"/>
        <color theme="1"/>
        <rFont val="Avenir Next LT Pro"/>
        <family val="2"/>
      </rPr>
      <t>2</t>
    </r>
    <r>
      <rPr>
        <sz val="12"/>
        <color theme="1"/>
        <rFont val="Avenir Next LT Pro"/>
        <family val="2"/>
      </rPr>
      <t>e)</t>
    </r>
  </si>
  <si>
    <r>
      <t>GHG Emission Reductions from HFC Reductions from Existing System to Mid-range GWP Refrigerant Retrofit Baseline (MTCO</t>
    </r>
    <r>
      <rPr>
        <vertAlign val="subscript"/>
        <sz val="12"/>
        <color theme="1"/>
        <rFont val="Avenir Next LT Pro"/>
        <family val="2"/>
      </rPr>
      <t>2</t>
    </r>
    <r>
      <rPr>
        <sz val="12"/>
        <color theme="1"/>
        <rFont val="Avenir Next LT Pro"/>
        <family val="2"/>
      </rPr>
      <t>e)</t>
    </r>
  </si>
  <si>
    <r>
      <t>GHG Emission Reductions from HFC Reductions from Mid-range GWP Refrigerant Retrofit Baseline to Ultra-low-GWP Technology (MTCO</t>
    </r>
    <r>
      <rPr>
        <vertAlign val="subscript"/>
        <sz val="12"/>
        <color theme="1"/>
        <rFont val="Avenir Next LT Pro"/>
        <family val="2"/>
      </rPr>
      <t>2</t>
    </r>
    <r>
      <rPr>
        <sz val="12"/>
        <color theme="1"/>
        <rFont val="Avenir Next LT Pro"/>
        <family val="2"/>
      </rPr>
      <t>e)</t>
    </r>
  </si>
  <si>
    <r>
      <t>GHG Emission Reductions from High-GWP HFC Reductions (MTCO</t>
    </r>
    <r>
      <rPr>
        <vertAlign val="subscript"/>
        <sz val="12"/>
        <color theme="1"/>
        <rFont val="Avenir Next LT Pro"/>
        <family val="2"/>
      </rPr>
      <t>2</t>
    </r>
    <r>
      <rPr>
        <sz val="12"/>
        <color theme="1"/>
        <rFont val="Avenir Next LT Pro"/>
        <family val="2"/>
      </rPr>
      <t>e)</t>
    </r>
  </si>
  <si>
    <r>
      <t>GHG Emission Reductions from High-GWP ODS Reductions (MTCO</t>
    </r>
    <r>
      <rPr>
        <vertAlign val="subscript"/>
        <sz val="12"/>
        <color theme="1"/>
        <rFont val="Avenir Next LT Pro"/>
        <family val="2"/>
      </rPr>
      <t>2</t>
    </r>
    <r>
      <rPr>
        <sz val="12"/>
        <color theme="1"/>
        <rFont val="Avenir Next LT Pro"/>
        <family val="2"/>
      </rPr>
      <t>e)</t>
    </r>
  </si>
  <si>
    <t>HFC- and ODS-related Reductions</t>
  </si>
  <si>
    <r>
      <t>Baseline System
GHG Emissions
(MTCO</t>
    </r>
    <r>
      <rPr>
        <vertAlign val="subscript"/>
        <sz val="12"/>
        <rFont val="Avenir LT Std 55 Roman"/>
        <family val="2"/>
      </rPr>
      <t>2</t>
    </r>
    <r>
      <rPr>
        <sz val="12"/>
        <rFont val="Avenir LT Std 55 Roman"/>
        <family val="2"/>
      </rPr>
      <t>e)</t>
    </r>
  </si>
  <si>
    <r>
      <t>Proposed or Installed System
GHG Emissions
(MTCO</t>
    </r>
    <r>
      <rPr>
        <vertAlign val="subscript"/>
        <sz val="12"/>
        <rFont val="Avenir LT Std 55 Roman"/>
        <family val="2"/>
      </rPr>
      <t>2</t>
    </r>
    <r>
      <rPr>
        <sz val="12"/>
        <rFont val="Avenir LT Std 55 Roman"/>
        <family val="2"/>
      </rPr>
      <t>e)</t>
    </r>
  </si>
  <si>
    <r>
      <t>Total Refrigerant GHG Emission Reduction (MTCO</t>
    </r>
    <r>
      <rPr>
        <vertAlign val="subscript"/>
        <sz val="12"/>
        <rFont val="Avenir LT Std 55 Roman"/>
        <family val="2"/>
      </rPr>
      <t>2</t>
    </r>
    <r>
      <rPr>
        <sz val="12"/>
        <rFont val="Avenir LT Std 55 Roman"/>
        <family val="2"/>
      </rPr>
      <t>e)</t>
    </r>
  </si>
  <si>
    <t>For the California Air Resources Board (CARB) F-gas Reduction Incentive Program (FRIP), CARB staff developed this Final FRIP Benefits Calculator Tool</t>
  </si>
  <si>
    <t>(FRIP Tool) to estimate the greenhouse gas (GHG) emission reductions and selected co-benefits of each proposed project type. In an effort to enhance the analysis,</t>
  </si>
  <si>
    <t>provide greater transparency, and assist in project‑level reporting, CARB has included an output tab in this Final FRIP Tool for selected co‑benefits.</t>
  </si>
  <si>
    <t xml:space="preserve">The Final FRIP Tool and Final FRIP Quantification Methodology are available for download 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</si>
</sst>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_);[Red]\(&quot;$&quot;#,##0.00\)"/>
    <numFmt numFmtId="44" formatCode="_(&quot;$&quot;* #,##0.00_);_(&quot;$&quot;* \(#,##0.00\);_(&quot;$&quot;* &quot;-&quot;??_);_(@_)"/>
    <numFmt numFmtId="43" formatCode="_(* #,##0.00_);_(* \(#,##0.00\);_(* &quot;-&quot;??_);_(@_)"/>
    <numFmt numFmtId="164" formatCode="0."/>
    <numFmt numFmtId="165" formatCode="_(&quot;$&quot;* #,##0_);_(&quot;$&quot;* \(#,##0\);_(&quot;$&quot;* &quot;-&quot;??_);_(@_)"/>
    <numFmt numFmtId="166" formatCode="0.0000"/>
    <numFmt numFmtId="167" formatCode="0.00000"/>
    <numFmt numFmtId="168" formatCode="0.000000000"/>
    <numFmt numFmtId="169" formatCode="0.000000"/>
    <numFmt numFmtId="170" formatCode="0.0%"/>
    <numFmt numFmtId="171" formatCode="&quot;$&quot;#,##0.0000_);[Red]\(&quot;$&quot;#,##0.0000\)"/>
    <numFmt numFmtId="172" formatCode="#,##0.0"/>
    <numFmt numFmtId="173" formatCode="m/d/yy;@"/>
    <numFmt numFmtId="174" formatCode="_(* #,##0_);_(* \(#,##0\);_(* &quot;-&quot;??_);_(@_)"/>
    <numFmt numFmtId="175" formatCode="0;\-0;;@"/>
    <numFmt numFmtId="176" formatCode="0E+00"/>
  </numFmts>
  <fonts count="65" x14ac:knownFonts="1">
    <font>
      <sz val="11"/>
      <color theme="1"/>
      <name val="Calibri"/>
      <family val="2"/>
      <scheme val="minor"/>
    </font>
    <font>
      <sz val="11"/>
      <color theme="1"/>
      <name val="Calibri"/>
      <family val="2"/>
      <scheme val="minor"/>
    </font>
    <font>
      <sz val="10"/>
      <name val="Arial"/>
      <family val="2"/>
    </font>
    <font>
      <u/>
      <sz val="12"/>
      <color theme="10"/>
      <name val="Arial"/>
      <family val="2"/>
    </font>
    <font>
      <u/>
      <sz val="11"/>
      <color theme="10"/>
      <name val="Calibri"/>
      <family val="2"/>
    </font>
    <font>
      <sz val="12"/>
      <color rgb="FF000000"/>
      <name val="Wingdings"/>
      <charset val="2"/>
    </font>
    <font>
      <sz val="9"/>
      <color theme="1"/>
      <name val="Arial"/>
      <family val="2"/>
    </font>
    <font>
      <b/>
      <sz val="9"/>
      <name val="Arial"/>
      <family val="2"/>
    </font>
    <font>
      <b/>
      <sz val="16"/>
      <color theme="1"/>
      <name val="Avenir LT Std 55 Roman"/>
      <family val="2"/>
    </font>
    <font>
      <sz val="11"/>
      <color theme="1"/>
      <name val="Avenir LT Std 55 Roman"/>
      <family val="2"/>
    </font>
    <font>
      <b/>
      <sz val="16"/>
      <name val="Avenir LT Std 55 Roman"/>
      <family val="2"/>
    </font>
    <font>
      <sz val="12"/>
      <name val="Avenir LT Std 55 Roman"/>
      <family val="2"/>
    </font>
    <font>
      <b/>
      <sz val="12"/>
      <color theme="1"/>
      <name val="Avenir LT Std 55 Roman"/>
      <family val="2"/>
    </font>
    <font>
      <u/>
      <sz val="12"/>
      <color theme="10"/>
      <name val="Avenir LT Std 55 Roman"/>
      <family val="2"/>
    </font>
    <font>
      <b/>
      <sz val="12"/>
      <name val="Avenir LT Std 55 Roman"/>
      <family val="2"/>
    </font>
    <font>
      <sz val="12"/>
      <color theme="1"/>
      <name val="Avenir LT Std 55 Roman"/>
      <family val="2"/>
    </font>
    <font>
      <sz val="12"/>
      <color rgb="FFFF0000"/>
      <name val="Avenir LT Std 55 Roman"/>
      <family val="2"/>
    </font>
    <font>
      <b/>
      <vertAlign val="subscript"/>
      <sz val="12"/>
      <color theme="1"/>
      <name val="Avenir LT Std 55 Roman"/>
      <family val="2"/>
    </font>
    <font>
      <i/>
      <sz val="12"/>
      <color theme="1"/>
      <name val="Avenir LT Std 55 Roman"/>
      <family val="2"/>
    </font>
    <font>
      <b/>
      <sz val="14"/>
      <color theme="1"/>
      <name val="Avenir LT Std 55 Roman"/>
      <family val="2"/>
    </font>
    <font>
      <vertAlign val="subscript"/>
      <sz val="12"/>
      <color theme="1"/>
      <name val="Avenir LT Std 55 Roman"/>
      <family val="2"/>
    </font>
    <font>
      <sz val="11"/>
      <name val="Avenir LT Std 55 Roman"/>
      <family val="2"/>
    </font>
    <font>
      <sz val="14"/>
      <color theme="1"/>
      <name val="Avenir LT Std 55 Roman"/>
      <family val="2"/>
    </font>
    <font>
      <b/>
      <sz val="14"/>
      <name val="Avenir LT Std 55 Roman"/>
      <family val="2"/>
    </font>
    <font>
      <b/>
      <sz val="12"/>
      <color rgb="FF000000"/>
      <name val="Avenir LT Std 55 Roman"/>
      <family val="2"/>
    </font>
    <font>
      <sz val="12"/>
      <color rgb="FF000000"/>
      <name val="Avenir LT Std 55 Roman"/>
      <family val="2"/>
    </font>
    <font>
      <b/>
      <vertAlign val="superscript"/>
      <sz val="12"/>
      <color theme="1"/>
      <name val="Avenir LT Std 55 Roman"/>
      <family val="2"/>
    </font>
    <font>
      <sz val="10"/>
      <color rgb="FF000000"/>
      <name val="Avenir LT Std 55 Roman"/>
      <family val="2"/>
    </font>
    <font>
      <b/>
      <sz val="16"/>
      <color rgb="FF0000FF"/>
      <name val="Avenir LT Std 55 Roman"/>
      <family val="2"/>
    </font>
    <font>
      <b/>
      <sz val="14"/>
      <color rgb="FF0000FF"/>
      <name val="Avenir LT Std 55 Roman"/>
      <family val="2"/>
    </font>
    <font>
      <sz val="12"/>
      <name val="Arial"/>
      <family val="2"/>
    </font>
    <font>
      <sz val="16"/>
      <color theme="1"/>
      <name val="Avenir LT Std 55 Roman"/>
      <family val="2"/>
    </font>
    <font>
      <sz val="12"/>
      <color theme="1"/>
      <name val="Calibri"/>
      <family val="2"/>
    </font>
    <font>
      <u/>
      <sz val="12"/>
      <name val="Avenir LT Std 55 Roman"/>
      <family val="2"/>
    </font>
    <font>
      <u/>
      <sz val="12"/>
      <color theme="8"/>
      <name val="Avenir LT Std 55 Roman"/>
      <family val="2"/>
    </font>
    <font>
      <u/>
      <sz val="12"/>
      <color theme="8" tint="-0.499984740745262"/>
      <name val="Avenir LT Std 55 Roman"/>
      <family val="2"/>
    </font>
    <font>
      <b/>
      <sz val="12"/>
      <name val="Avenir Next LT Pro"/>
      <family val="2"/>
    </font>
    <font>
      <sz val="12"/>
      <name val="Avenir Next LT Pro"/>
      <family val="2"/>
    </font>
    <font>
      <sz val="12"/>
      <color theme="0"/>
      <name val="Avenir Next LT Pro"/>
      <family val="2"/>
    </font>
    <font>
      <b/>
      <sz val="16"/>
      <color theme="1"/>
      <name val="Avenir Next LT Pro"/>
      <family val="2"/>
    </font>
    <font>
      <sz val="16"/>
      <color theme="1"/>
      <name val="Avenir Next LT Pro"/>
      <family val="2"/>
    </font>
    <font>
      <b/>
      <sz val="16"/>
      <name val="Avenir Next LT Pro"/>
      <family val="2"/>
    </font>
    <font>
      <sz val="11"/>
      <color theme="1"/>
      <name val="Avenir Next LT Pro"/>
      <family val="2"/>
    </font>
    <font>
      <sz val="12"/>
      <color theme="1"/>
      <name val="Avenir Next LT Pro"/>
      <family val="2"/>
    </font>
    <font>
      <b/>
      <sz val="11"/>
      <color theme="1"/>
      <name val="Avenir LT Std 55 Roman"/>
      <family val="2"/>
    </font>
    <font>
      <b/>
      <sz val="12"/>
      <color theme="1"/>
      <name val="Avenir Next LT Pro"/>
      <family val="2"/>
    </font>
    <font>
      <b/>
      <sz val="10"/>
      <color theme="1"/>
      <name val="Avenir LT Std 55 Roman"/>
      <family val="2"/>
    </font>
    <font>
      <b/>
      <sz val="10"/>
      <name val="Avenir LT Std 55 Roman"/>
      <family val="2"/>
    </font>
    <font>
      <b/>
      <vertAlign val="subscript"/>
      <sz val="10"/>
      <color theme="1"/>
      <name val="Avenir LT Std 55 Roman"/>
      <family val="2"/>
    </font>
    <font>
      <b/>
      <vertAlign val="subscript"/>
      <sz val="10"/>
      <name val="Avenir LT Std 55 Roman"/>
      <family val="2"/>
    </font>
    <font>
      <u/>
      <sz val="12"/>
      <color theme="10"/>
      <name val="Avenir Next LT Pro"/>
      <family val="2"/>
    </font>
    <font>
      <vertAlign val="subscript"/>
      <sz val="12"/>
      <name val="Avenir Next LT Pro"/>
      <family val="2"/>
    </font>
    <font>
      <strike/>
      <sz val="11"/>
      <color rgb="FFFF0000"/>
      <name val="Avenir LT Std 55 Roman"/>
      <family val="2"/>
    </font>
    <font>
      <strike/>
      <sz val="12"/>
      <color rgb="FFFF0000"/>
      <name val="Avenir LT Std 55 Roman"/>
      <family val="2"/>
    </font>
    <font>
      <sz val="11"/>
      <name val="Avenir Next LT Pro"/>
      <family val="2"/>
      <charset val="1"/>
    </font>
    <font>
      <sz val="11"/>
      <color rgb="FF000000"/>
      <name val="Avenir Next LT Pro"/>
      <family val="2"/>
      <charset val="1"/>
    </font>
    <font>
      <sz val="11"/>
      <color theme="1" tint="0.499984740745262"/>
      <name val="Avenir LT Std 55 Roman"/>
      <family val="2"/>
    </font>
    <font>
      <sz val="11"/>
      <color theme="1" tint="0.499984740745262"/>
      <name val="Avenir Next LT Pro"/>
      <family val="2"/>
    </font>
    <font>
      <sz val="8"/>
      <color theme="1" tint="0.499984740745262"/>
      <name val="Avenir Next LT Pro"/>
      <family val="2"/>
    </font>
    <font>
      <sz val="12"/>
      <color theme="1" tint="0.499984740745262"/>
      <name val="Avenir Next LT Pro"/>
      <family val="2"/>
    </font>
    <font>
      <sz val="12"/>
      <color theme="1" tint="0.499984740745262"/>
      <name val="Avenir LT Std 55 Roman"/>
      <family val="2"/>
    </font>
    <font>
      <b/>
      <sz val="12"/>
      <color rgb="FFFF0000"/>
      <name val="Avenir LT Std 55 Roman"/>
      <family val="2"/>
    </font>
    <font>
      <sz val="11"/>
      <color rgb="FF0C0D0E"/>
      <name val="Segoe UI"/>
      <family val="2"/>
    </font>
    <font>
      <vertAlign val="subscript"/>
      <sz val="12"/>
      <color theme="1"/>
      <name val="Avenir Next LT Pro"/>
      <family val="2"/>
    </font>
    <font>
      <vertAlign val="subscript"/>
      <sz val="12"/>
      <name val="Avenir LT Std 55 Roman"/>
      <family val="2"/>
    </font>
  </fonts>
  <fills count="3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14996795556505021"/>
        <bgColor indexed="64"/>
      </patternFill>
    </fill>
    <fill>
      <patternFill patternType="solid">
        <fgColor rgb="FFB7DEDF"/>
        <bgColor indexed="64"/>
      </patternFill>
    </fill>
    <fill>
      <patternFill patternType="solid">
        <fgColor rgb="FFFCD5B4"/>
        <bgColor indexed="64"/>
      </patternFill>
    </fill>
    <fill>
      <patternFill patternType="solid">
        <fgColor rgb="FFB1A0C7"/>
        <bgColor indexed="64"/>
      </patternFill>
    </fill>
    <fill>
      <patternFill patternType="solid">
        <fgColor rgb="FFB7DEE8"/>
        <bgColor indexed="64"/>
      </patternFill>
    </fill>
    <fill>
      <patternFill patternType="gray0625">
        <fgColor theme="1"/>
        <bgColor theme="2"/>
      </patternFill>
    </fill>
    <fill>
      <patternFill patternType="darkHorizontal">
        <fgColor theme="1"/>
        <bgColor theme="2" tint="-0.749992370372631"/>
      </patternFill>
    </fill>
    <fill>
      <patternFill patternType="solid">
        <fgColor theme="2"/>
        <bgColor indexed="64"/>
      </patternFill>
    </fill>
    <fill>
      <patternFill patternType="solid">
        <fgColor theme="9" tint="0.79992065187536243"/>
        <bgColor indexed="64"/>
      </patternFill>
    </fill>
    <fill>
      <patternFill patternType="gray0625">
        <fgColor auto="1"/>
        <bgColor theme="2"/>
      </patternFill>
    </fill>
    <fill>
      <patternFill patternType="darkHorizontal">
        <fgColor auto="1"/>
        <bgColor theme="1" tint="0.24994659260841701"/>
      </patternFill>
    </fill>
    <fill>
      <patternFill patternType="gray0625">
        <fgColor auto="1"/>
        <bgColor theme="0" tint="-4.9989318521683403E-2"/>
      </patternFill>
    </fill>
    <fill>
      <patternFill patternType="solid">
        <fgColor theme="2" tint="-0.249977111117893"/>
        <bgColor indexed="64"/>
      </patternFill>
    </fill>
    <fill>
      <patternFill patternType="gray0625">
        <bgColor theme="0" tint="-0.14996795556505021"/>
      </patternFill>
    </fill>
    <fill>
      <patternFill patternType="gray0625">
        <fgColor theme="1"/>
        <bgColor theme="0" tint="-0.14996795556505021"/>
      </patternFill>
    </fill>
    <fill>
      <patternFill patternType="solid">
        <fgColor rgb="FFFFA7A7"/>
        <bgColor indexed="64"/>
      </patternFill>
    </fill>
    <fill>
      <patternFill patternType="solid">
        <fgColor theme="9" tint="0.79995117038483843"/>
        <bgColor theme="0"/>
      </patternFill>
    </fill>
    <fill>
      <patternFill patternType="solid">
        <fgColor rgb="FFBDD7EE"/>
        <bgColor theme="1"/>
      </patternFill>
    </fill>
    <fill>
      <patternFill patternType="darkHorizontal">
        <fgColor theme="1" tint="0.24994659260841701"/>
        <bgColor theme="1"/>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right style="thin">
        <color indexed="64"/>
      </right>
      <top style="medium">
        <color indexed="64"/>
      </top>
      <bottom style="medium">
        <color indexed="64"/>
      </bottom>
      <diagonal/>
    </border>
  </borders>
  <cellStyleXfs count="16">
    <xf numFmtId="0" fontId="0" fillId="0" borderId="0"/>
    <xf numFmtId="43" fontId="2" fillId="0" borderId="0" applyFont="0" applyFill="0" applyBorder="0" applyAlignment="0" applyProtection="0"/>
    <xf numFmtId="0" fontId="1" fillId="0" borderId="0"/>
    <xf numFmtId="0" fontId="13" fillId="0" borderId="0" applyNumberForma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alignment vertical="top"/>
      <protection locked="0"/>
    </xf>
    <xf numFmtId="0" fontId="3"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814">
    <xf numFmtId="0" fontId="0" fillId="0" borderId="0" xfId="0"/>
    <xf numFmtId="0" fontId="0" fillId="0" borderId="0" xfId="0" applyProtection="1">
      <protection locked="0"/>
    </xf>
    <xf numFmtId="0" fontId="6" fillId="0" borderId="0" xfId="0" applyFont="1" applyProtection="1">
      <protection locked="0"/>
    </xf>
    <xf numFmtId="0" fontId="6" fillId="0" borderId="0" xfId="0" applyFont="1" applyAlignment="1" applyProtection="1">
      <alignment horizontal="left" wrapText="1"/>
      <protection locked="0"/>
    </xf>
    <xf numFmtId="0" fontId="6" fillId="0" borderId="0" xfId="0" applyFont="1" applyAlignment="1" applyProtection="1">
      <alignment horizontal="left"/>
      <protection locked="0"/>
    </xf>
    <xf numFmtId="14" fontId="0" fillId="0" borderId="0" xfId="0" applyNumberFormat="1" applyProtection="1">
      <protection locked="0"/>
    </xf>
    <xf numFmtId="3" fontId="0" fillId="0" borderId="0" xfId="0" applyNumberFormat="1" applyProtection="1">
      <protection locked="0"/>
    </xf>
    <xf numFmtId="0" fontId="11" fillId="4" borderId="1" xfId="12"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15" fillId="4" borderId="1" xfId="0" applyFont="1" applyFill="1" applyBorder="1" applyAlignment="1" applyProtection="1">
      <alignment vertical="center" wrapText="1"/>
      <protection locked="0"/>
    </xf>
    <xf numFmtId="0" fontId="11" fillId="4" borderId="1" xfId="12" applyFont="1" applyFill="1" applyBorder="1" applyAlignment="1" applyProtection="1">
      <alignment vertical="center" wrapText="1"/>
      <protection locked="0"/>
    </xf>
    <xf numFmtId="0" fontId="25" fillId="4" borderId="1" xfId="0" applyFont="1" applyFill="1" applyBorder="1" applyAlignment="1" applyProtection="1">
      <alignment vertical="center" wrapText="1"/>
      <protection locked="0"/>
    </xf>
    <xf numFmtId="0" fontId="13" fillId="0" borderId="0" xfId="12" applyFont="1" applyBorder="1" applyAlignment="1" applyProtection="1">
      <alignment horizontal="left"/>
    </xf>
    <xf numFmtId="0" fontId="13" fillId="0" borderId="0" xfId="12" applyFont="1" applyBorder="1" applyAlignment="1" applyProtection="1">
      <alignment vertical="center" wrapText="1"/>
    </xf>
    <xf numFmtId="0" fontId="13" fillId="0" borderId="0" xfId="12" applyFont="1" applyAlignment="1" applyProtection="1">
      <alignment vertical="center"/>
    </xf>
    <xf numFmtId="0" fontId="13" fillId="0" borderId="0" xfId="12" applyFont="1" applyFill="1" applyBorder="1" applyAlignment="1" applyProtection="1">
      <alignment horizontal="left" vertical="center" wrapText="1"/>
    </xf>
    <xf numFmtId="0" fontId="13" fillId="0" borderId="0" xfId="12" applyFont="1" applyFill="1" applyBorder="1" applyAlignment="1" applyProtection="1">
      <alignment vertical="top" wrapText="1"/>
    </xf>
    <xf numFmtId="0" fontId="7" fillId="17" borderId="1" xfId="0" applyFont="1" applyFill="1" applyBorder="1" applyAlignment="1">
      <alignment horizontal="center" vertical="center" wrapText="1"/>
    </xf>
    <xf numFmtId="0" fontId="7" fillId="16" borderId="1" xfId="0" applyFont="1" applyFill="1" applyBorder="1" applyAlignment="1" applyProtection="1">
      <alignment horizontal="center" vertical="center" wrapText="1"/>
      <protection locked="0"/>
    </xf>
    <xf numFmtId="0" fontId="7" fillId="16" borderId="1" xfId="0" applyFont="1" applyFill="1" applyBorder="1" applyAlignment="1">
      <alignment horizontal="center" vertical="center" wrapText="1"/>
    </xf>
    <xf numFmtId="0" fontId="7" fillId="15" borderId="1" xfId="0" applyFont="1" applyFill="1" applyBorder="1" applyAlignment="1" applyProtection="1">
      <alignment horizontal="center" vertical="center" wrapText="1"/>
      <protection locked="0"/>
    </xf>
    <xf numFmtId="0" fontId="7" fillId="18" borderId="1" xfId="0" applyFont="1" applyFill="1" applyBorder="1" applyAlignment="1" applyProtection="1">
      <alignment horizontal="center" vertical="center" wrapText="1"/>
      <protection locked="0"/>
    </xf>
    <xf numFmtId="0" fontId="7" fillId="15"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wrapText="1"/>
      <protection locked="0"/>
    </xf>
    <xf numFmtId="0" fontId="7" fillId="14" borderId="1" xfId="0" applyFont="1" applyFill="1" applyBorder="1" applyAlignment="1" applyProtection="1">
      <alignment horizontal="center" vertical="center"/>
      <protection locked="0"/>
    </xf>
    <xf numFmtId="0" fontId="7" fillId="14" borderId="1" xfId="0" applyFont="1" applyFill="1" applyBorder="1" applyAlignment="1" applyProtection="1">
      <alignment horizontal="center" vertical="center" wrapText="1"/>
      <protection locked="0"/>
    </xf>
    <xf numFmtId="0" fontId="6" fillId="0" borderId="0" xfId="0" applyFont="1"/>
    <xf numFmtId="0" fontId="6" fillId="0" borderId="55" xfId="0" applyFont="1" applyBorder="1" applyAlignment="1" applyProtection="1">
      <alignment horizontal="left" wrapText="1"/>
      <protection locked="0"/>
    </xf>
    <xf numFmtId="3" fontId="15" fillId="4" borderId="1" xfId="0" applyNumberFormat="1" applyFont="1" applyFill="1" applyBorder="1" applyAlignment="1" applyProtection="1">
      <alignment horizontal="center" vertical="center" wrapText="1"/>
      <protection locked="0"/>
    </xf>
    <xf numFmtId="0" fontId="11" fillId="2" borderId="1" xfId="12" applyFont="1" applyFill="1" applyBorder="1" applyAlignment="1" applyProtection="1">
      <alignment horizontal="left" vertical="center" wrapText="1"/>
    </xf>
    <xf numFmtId="0" fontId="13" fillId="0" borderId="0" xfId="3" applyBorder="1" applyAlignment="1" applyProtection="1"/>
    <xf numFmtId="0" fontId="13" fillId="0" borderId="6" xfId="3" applyBorder="1" applyAlignment="1" applyProtection="1"/>
    <xf numFmtId="0" fontId="11" fillId="0" borderId="5" xfId="3" applyFont="1" applyFill="1" applyBorder="1" applyAlignment="1" applyProtection="1"/>
    <xf numFmtId="0" fontId="11" fillId="0" borderId="5" xfId="3" applyFont="1" applyFill="1" applyBorder="1" applyProtection="1"/>
    <xf numFmtId="0" fontId="25" fillId="4" borderId="11" xfId="0" applyFont="1" applyFill="1" applyBorder="1" applyAlignment="1" applyProtection="1">
      <alignment vertical="center" wrapText="1"/>
      <protection locked="0"/>
    </xf>
    <xf numFmtId="0" fontId="37" fillId="4" borderId="1" xfId="0" applyFont="1" applyFill="1" applyBorder="1" applyAlignment="1" applyProtection="1">
      <alignment horizontal="left" vertical="center" wrapText="1"/>
      <protection locked="0"/>
    </xf>
    <xf numFmtId="3" fontId="15" fillId="4" borderId="23" xfId="0" applyNumberFormat="1" applyFont="1" applyFill="1" applyBorder="1" applyAlignment="1" applyProtection="1">
      <alignment horizontal="center" vertical="center" wrapText="1"/>
      <protection locked="0"/>
    </xf>
    <xf numFmtId="0" fontId="37" fillId="4" borderId="15" xfId="0" applyFont="1" applyFill="1" applyBorder="1" applyAlignment="1" applyProtection="1">
      <alignment horizontal="left" vertical="center" wrapText="1"/>
      <protection locked="0"/>
    </xf>
    <xf numFmtId="0" fontId="37" fillId="4" borderId="17" xfId="0" applyFont="1" applyFill="1" applyBorder="1" applyAlignment="1" applyProtection="1">
      <alignment horizontal="left" vertical="center" wrapText="1"/>
      <protection locked="0"/>
    </xf>
    <xf numFmtId="0" fontId="37" fillId="4" borderId="18" xfId="0" applyFont="1" applyFill="1" applyBorder="1" applyAlignment="1" applyProtection="1">
      <alignment horizontal="left" vertical="center" wrapText="1"/>
      <protection locked="0"/>
    </xf>
    <xf numFmtId="165" fontId="37" fillId="4" borderId="1" xfId="7" applyNumberFormat="1" applyFont="1" applyFill="1" applyBorder="1" applyAlignment="1" applyProtection="1">
      <alignment horizontal="left" vertical="center" wrapText="1"/>
      <protection locked="0"/>
    </xf>
    <xf numFmtId="165" fontId="37" fillId="4" borderId="18" xfId="7" applyNumberFormat="1" applyFont="1" applyFill="1" applyBorder="1" applyAlignment="1" applyProtection="1">
      <alignment horizontal="left" vertical="center" wrapText="1"/>
      <protection locked="0"/>
    </xf>
    <xf numFmtId="174" fontId="44" fillId="0" borderId="0" xfId="14" applyNumberFormat="1" applyFont="1" applyAlignment="1" applyProtection="1">
      <alignment horizontal="center" vertical="center"/>
    </xf>
    <xf numFmtId="174" fontId="44" fillId="27" borderId="41" xfId="14" applyNumberFormat="1" applyFont="1" applyFill="1" applyBorder="1" applyAlignment="1" applyProtection="1">
      <alignment horizontal="left" vertical="center"/>
    </xf>
    <xf numFmtId="0" fontId="13" fillId="0" borderId="0" xfId="3" applyFill="1" applyBorder="1" applyAlignment="1" applyProtection="1">
      <alignment vertical="top" wrapText="1"/>
    </xf>
    <xf numFmtId="0" fontId="13" fillId="0" borderId="7" xfId="12" applyFont="1" applyBorder="1" applyAlignment="1" applyProtection="1">
      <alignment horizontal="left"/>
    </xf>
    <xf numFmtId="0" fontId="13" fillId="0" borderId="8" xfId="12" applyFont="1" applyBorder="1" applyAlignment="1" applyProtection="1">
      <alignment horizontal="left"/>
    </xf>
    <xf numFmtId="3" fontId="15" fillId="4" borderId="34" xfId="0" applyNumberFormat="1" applyFont="1" applyFill="1" applyBorder="1" applyAlignment="1" applyProtection="1">
      <alignment horizontal="center" vertical="center" wrapText="1"/>
      <protection locked="0"/>
    </xf>
    <xf numFmtId="165" fontId="46" fillId="2" borderId="23" xfId="7" applyNumberFormat="1" applyFont="1" applyFill="1" applyBorder="1" applyAlignment="1" applyProtection="1">
      <alignment vertical="center" wrapText="1"/>
    </xf>
    <xf numFmtId="165" fontId="46" fillId="2" borderId="44" xfId="7" applyNumberFormat="1" applyFont="1" applyFill="1" applyBorder="1" applyAlignment="1" applyProtection="1">
      <alignment vertical="center" wrapText="1"/>
    </xf>
    <xf numFmtId="165" fontId="46" fillId="2" borderId="23" xfId="7" applyNumberFormat="1" applyFont="1" applyFill="1" applyBorder="1" applyAlignment="1" applyProtection="1">
      <alignment horizontal="center" vertical="center" wrapText="1"/>
    </xf>
    <xf numFmtId="165" fontId="46" fillId="2" borderId="44" xfId="7" applyNumberFormat="1" applyFont="1" applyFill="1" applyBorder="1" applyAlignment="1" applyProtection="1">
      <alignment horizontal="center" vertical="center" wrapText="1"/>
    </xf>
    <xf numFmtId="165" fontId="9" fillId="0" borderId="1" xfId="7" applyNumberFormat="1" applyFont="1" applyBorder="1" applyAlignment="1" applyProtection="1">
      <alignment horizontal="center" vertical="center"/>
    </xf>
    <xf numFmtId="174" fontId="9" fillId="0" borderId="1" xfId="14" applyNumberFormat="1" applyFont="1" applyBorder="1" applyAlignment="1" applyProtection="1">
      <alignment horizontal="center" vertical="center"/>
    </xf>
    <xf numFmtId="174" fontId="9" fillId="0" borderId="10" xfId="14" applyNumberFormat="1" applyFont="1" applyBorder="1" applyAlignment="1" applyProtection="1">
      <alignment horizontal="center" vertical="center"/>
    </xf>
    <xf numFmtId="174" fontId="9" fillId="0" borderId="23" xfId="14" applyNumberFormat="1" applyFont="1" applyBorder="1" applyAlignment="1" applyProtection="1">
      <alignment horizontal="center" vertical="center"/>
    </xf>
    <xf numFmtId="174" fontId="9" fillId="0" borderId="1" xfId="14" applyNumberFormat="1" applyFont="1" applyBorder="1" applyAlignment="1" applyProtection="1">
      <alignment horizontal="center" vertical="center" wrapText="1"/>
    </xf>
    <xf numFmtId="0" fontId="30" fillId="3" borderId="1" xfId="3" applyFont="1" applyFill="1" applyBorder="1" applyAlignment="1" applyProtection="1">
      <alignment horizontal="center" vertical="center" wrapText="1"/>
      <protection locked="0"/>
    </xf>
    <xf numFmtId="0" fontId="11" fillId="0" borderId="0" xfId="3" applyFont="1" applyFill="1" applyBorder="1" applyAlignment="1" applyProtection="1">
      <alignment horizontal="left" vertical="center" wrapText="1"/>
    </xf>
    <xf numFmtId="0" fontId="11" fillId="4" borderId="1" xfId="0" applyFont="1" applyFill="1" applyBorder="1" applyAlignment="1" applyProtection="1">
      <alignment horizontal="left" vertical="center"/>
      <protection locked="0"/>
    </xf>
    <xf numFmtId="0" fontId="11" fillId="4" borderId="18" xfId="0" applyFont="1" applyFill="1" applyBorder="1" applyAlignment="1" applyProtection="1">
      <alignment horizontal="left" vertical="center"/>
      <protection locked="0"/>
    </xf>
    <xf numFmtId="0" fontId="11" fillId="0" borderId="0" xfId="3" applyFont="1" applyFill="1" applyBorder="1" applyAlignment="1" applyProtection="1">
      <alignment vertical="top"/>
    </xf>
    <xf numFmtId="0" fontId="11" fillId="0" borderId="0" xfId="3" applyFont="1" applyFill="1" applyBorder="1" applyAlignment="1" applyProtection="1">
      <alignment horizontal="center" vertical="center"/>
    </xf>
    <xf numFmtId="0" fontId="14" fillId="0" borderId="0" xfId="3" applyFont="1" applyFill="1" applyBorder="1" applyAlignment="1" applyProtection="1">
      <alignment vertical="top" wrapText="1"/>
    </xf>
    <xf numFmtId="0" fontId="14" fillId="0" borderId="0" xfId="3" applyFont="1" applyFill="1" applyBorder="1" applyAlignment="1" applyProtection="1">
      <alignment horizontal="center" vertical="center" wrapText="1"/>
    </xf>
    <xf numFmtId="0" fontId="13" fillId="0" borderId="0" xfId="3" applyFill="1" applyBorder="1" applyAlignment="1" applyProtection="1">
      <alignment horizontal="left" vertical="top" wrapText="1"/>
    </xf>
    <xf numFmtId="0" fontId="13" fillId="0" borderId="0" xfId="3" applyFill="1" applyBorder="1" applyProtection="1"/>
    <xf numFmtId="173" fontId="37" fillId="4" borderId="69" xfId="8" applyNumberFormat="1" applyFont="1" applyFill="1" applyBorder="1" applyAlignment="1" applyProtection="1">
      <alignment horizontal="left" wrapText="1"/>
      <protection locked="0"/>
    </xf>
    <xf numFmtId="0" fontId="37" fillId="4" borderId="16" xfId="0" applyFont="1" applyFill="1" applyBorder="1" applyAlignment="1" applyProtection="1">
      <alignment horizontal="center" vertical="center" wrapText="1"/>
      <protection locked="0"/>
    </xf>
    <xf numFmtId="0" fontId="37" fillId="4" borderId="19" xfId="0" applyFont="1" applyFill="1" applyBorder="1" applyAlignment="1" applyProtection="1">
      <alignment horizontal="center" vertical="center" wrapText="1"/>
      <protection locked="0"/>
    </xf>
    <xf numFmtId="0" fontId="11" fillId="4" borderId="10" xfId="0" applyFont="1" applyFill="1" applyBorder="1" applyAlignment="1" applyProtection="1">
      <alignment horizontal="center" vertical="center"/>
      <protection locked="0"/>
    </xf>
    <xf numFmtId="0" fontId="11" fillId="4" borderId="48" xfId="0" applyFont="1" applyFill="1" applyBorder="1" applyAlignment="1" applyProtection="1">
      <alignment horizontal="center" vertical="center"/>
      <protection locked="0"/>
    </xf>
    <xf numFmtId="0" fontId="8" fillId="0" borderId="0" xfId="0" applyFont="1" applyAlignment="1">
      <alignment vertical="center"/>
    </xf>
    <xf numFmtId="0" fontId="9" fillId="0" borderId="0" xfId="0" applyFont="1"/>
    <xf numFmtId="0" fontId="10"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8" fillId="0" borderId="0" xfId="0" applyFont="1" applyAlignment="1">
      <alignment horizontal="center" vertical="center"/>
    </xf>
    <xf numFmtId="0" fontId="12" fillId="0" borderId="0" xfId="0" applyFont="1"/>
    <xf numFmtId="0" fontId="11" fillId="0" borderId="0" xfId="0" applyFont="1" applyAlignment="1">
      <alignment vertical="top"/>
    </xf>
    <xf numFmtId="0" fontId="11" fillId="0" borderId="0" xfId="8" applyFont="1" applyAlignment="1">
      <alignment vertical="center"/>
    </xf>
    <xf numFmtId="0" fontId="15" fillId="0" borderId="0" xfId="0" applyFont="1"/>
    <xf numFmtId="0" fontId="11" fillId="0" borderId="0" xfId="8" applyFont="1" applyAlignment="1">
      <alignment vertical="top"/>
    </xf>
    <xf numFmtId="0" fontId="16" fillId="0" borderId="0" xfId="0" applyFont="1" applyAlignment="1">
      <alignment vertical="top" wrapText="1"/>
    </xf>
    <xf numFmtId="0" fontId="56" fillId="0" borderId="0" xfId="0" applyFont="1"/>
    <xf numFmtId="0" fontId="36" fillId="13" borderId="12" xfId="13" applyFont="1" applyFill="1" applyBorder="1" applyAlignment="1">
      <alignment horizontal="left" vertical="center" indent="1"/>
    </xf>
    <xf numFmtId="0" fontId="36" fillId="13" borderId="14" xfId="13" applyFont="1" applyFill="1" applyBorder="1" applyAlignment="1">
      <alignment vertical="center"/>
    </xf>
    <xf numFmtId="0" fontId="36" fillId="13" borderId="0" xfId="13" applyFont="1" applyFill="1" applyAlignment="1">
      <alignment vertical="center"/>
    </xf>
    <xf numFmtId="0" fontId="9" fillId="0" borderId="0" xfId="0" applyFont="1" applyAlignment="1">
      <alignment horizontal="center" vertical="center"/>
    </xf>
    <xf numFmtId="0" fontId="37" fillId="22" borderId="15" xfId="13" applyFont="1" applyFill="1" applyBorder="1" applyAlignment="1">
      <alignment horizontal="left" vertical="center" wrapText="1" indent="1"/>
    </xf>
    <xf numFmtId="0" fontId="37" fillId="0" borderId="16" xfId="13" applyFont="1" applyBorder="1" applyAlignment="1">
      <alignment horizontal="left" vertical="center" indent="1"/>
    </xf>
    <xf numFmtId="0" fontId="37" fillId="0" borderId="0" xfId="13" applyFont="1" applyAlignment="1">
      <alignment horizontal="left" vertical="center" indent="1"/>
    </xf>
    <xf numFmtId="0" fontId="37" fillId="19" borderId="15" xfId="13" applyFont="1" applyFill="1" applyBorder="1" applyAlignment="1">
      <alignment horizontal="left" vertical="center" wrapText="1" indent="1"/>
    </xf>
    <xf numFmtId="0" fontId="10" fillId="0" borderId="0" xfId="0" applyFont="1" applyAlignment="1">
      <alignment horizontal="center" vertical="center"/>
    </xf>
    <xf numFmtId="0" fontId="38" fillId="20" borderId="17" xfId="13" applyFont="1" applyFill="1" applyBorder="1" applyAlignment="1">
      <alignment horizontal="left" vertical="center" wrapText="1" indent="1"/>
    </xf>
    <xf numFmtId="0" fontId="37" fillId="0" borderId="19" xfId="13" applyFont="1" applyBorder="1" applyAlignment="1">
      <alignment horizontal="left" vertical="center" indent="1"/>
    </xf>
    <xf numFmtId="0" fontId="12" fillId="0" borderId="0" xfId="0" applyFont="1" applyAlignment="1">
      <alignment horizontal="center" vertical="center"/>
    </xf>
    <xf numFmtId="0" fontId="37" fillId="21" borderId="68" xfId="8" applyFont="1" applyFill="1" applyBorder="1" applyAlignment="1">
      <alignment horizontal="left" wrapText="1"/>
    </xf>
    <xf numFmtId="0" fontId="37" fillId="0" borderId="0" xfId="8" applyFont="1" applyAlignment="1">
      <alignment horizontal="left" wrapText="1"/>
    </xf>
    <xf numFmtId="0" fontId="37" fillId="0" borderId="0" xfId="8" applyFont="1" applyAlignment="1">
      <alignment horizontal="center" vertical="center" wrapText="1"/>
    </xf>
    <xf numFmtId="173" fontId="37" fillId="0" borderId="0" xfId="8" applyNumberFormat="1" applyFont="1" applyAlignment="1">
      <alignment horizontal="left" wrapText="1"/>
    </xf>
    <xf numFmtId="173" fontId="37" fillId="0" borderId="0" xfId="8" applyNumberFormat="1" applyFont="1" applyAlignment="1">
      <alignment horizontal="center" vertical="center" wrapText="1"/>
    </xf>
    <xf numFmtId="0" fontId="42" fillId="0" borderId="0" xfId="0" applyFont="1"/>
    <xf numFmtId="0" fontId="57" fillId="0" borderId="71" xfId="0" applyFont="1" applyBorder="1"/>
    <xf numFmtId="0" fontId="58" fillId="0" borderId="2" xfId="0" applyFont="1" applyBorder="1" applyAlignment="1">
      <alignment horizontal="left" vertical="top" wrapText="1"/>
    </xf>
    <xf numFmtId="0" fontId="57" fillId="0" borderId="3" xfId="0" applyFont="1" applyBorder="1" applyAlignment="1">
      <alignment horizontal="left" vertical="top" wrapText="1"/>
    </xf>
    <xf numFmtId="0" fontId="58" fillId="0" borderId="4" xfId="0" applyFont="1" applyBorder="1" applyAlignment="1">
      <alignment horizontal="left" vertical="top" wrapText="1"/>
    </xf>
    <xf numFmtId="0" fontId="57" fillId="0" borderId="0" xfId="0" applyFont="1" applyAlignment="1">
      <alignment wrapText="1"/>
    </xf>
    <xf numFmtId="0" fontId="60" fillId="0" borderId="68" xfId="0" applyFont="1" applyBorder="1" applyAlignment="1">
      <alignment horizontal="left" vertical="center" wrapText="1"/>
    </xf>
    <xf numFmtId="0" fontId="60" fillId="0" borderId="30" xfId="0" applyFont="1" applyBorder="1" applyAlignment="1">
      <alignment horizontal="left" vertical="center" wrapText="1"/>
    </xf>
    <xf numFmtId="0" fontId="56" fillId="0" borderId="27" xfId="0" applyFont="1" applyBorder="1" applyAlignment="1">
      <alignment horizontal="center" vertical="center"/>
    </xf>
    <xf numFmtId="0" fontId="56" fillId="0" borderId="28" xfId="0" applyFont="1" applyBorder="1" applyAlignment="1">
      <alignment horizontal="center" vertical="center"/>
    </xf>
    <xf numFmtId="0" fontId="56" fillId="0" borderId="29" xfId="0" applyFont="1" applyBorder="1" applyAlignment="1">
      <alignment horizontal="center" vertical="center"/>
    </xf>
    <xf numFmtId="0" fontId="42" fillId="0" borderId="0" xfId="0" applyFont="1" applyAlignment="1">
      <alignment vertical="center"/>
    </xf>
    <xf numFmtId="0" fontId="57" fillId="0" borderId="72" xfId="0" applyFont="1" applyBorder="1" applyAlignment="1">
      <alignment vertical="center"/>
    </xf>
    <xf numFmtId="0" fontId="57" fillId="0" borderId="5" xfId="0" applyFont="1" applyBorder="1" applyAlignment="1">
      <alignment vertical="center"/>
    </xf>
    <xf numFmtId="0" fontId="57" fillId="0" borderId="0" xfId="0" applyFont="1" applyAlignment="1">
      <alignment vertical="center"/>
    </xf>
    <xf numFmtId="0" fontId="59" fillId="0" borderId="6" xfId="0" applyFont="1" applyBorder="1" applyAlignment="1">
      <alignment vertical="center"/>
    </xf>
    <xf numFmtId="0" fontId="60" fillId="0" borderId="75" xfId="0" applyFont="1" applyBorder="1" applyAlignment="1">
      <alignment horizontal="left" vertical="center"/>
    </xf>
    <xf numFmtId="0" fontId="60" fillId="0" borderId="43" xfId="0" applyFont="1" applyBorder="1" applyAlignment="1">
      <alignment horizontal="left" vertical="center"/>
    </xf>
    <xf numFmtId="0" fontId="56" fillId="0" borderId="5" xfId="0" applyFont="1" applyBorder="1" applyAlignment="1">
      <alignment horizontal="center" vertical="center"/>
    </xf>
    <xf numFmtId="0" fontId="56" fillId="0" borderId="0" xfId="0" applyFont="1" applyAlignment="1">
      <alignment horizontal="center" vertical="center"/>
    </xf>
    <xf numFmtId="0" fontId="56" fillId="0" borderId="6" xfId="0" applyFont="1" applyBorder="1" applyAlignment="1">
      <alignment horizontal="center" vertical="center"/>
    </xf>
    <xf numFmtId="0" fontId="57" fillId="0" borderId="73" xfId="0" applyFont="1" applyBorder="1" applyAlignment="1">
      <alignment vertical="center"/>
    </xf>
    <xf numFmtId="0" fontId="57" fillId="0" borderId="7" xfId="0" applyFont="1" applyBorder="1" applyAlignment="1">
      <alignment vertical="center"/>
    </xf>
    <xf numFmtId="0" fontId="57" fillId="0" borderId="8" xfId="0" applyFont="1" applyBorder="1" applyAlignment="1">
      <alignment vertical="center"/>
    </xf>
    <xf numFmtId="0" fontId="59" fillId="0" borderId="9" xfId="0" applyFont="1" applyBorder="1" applyAlignment="1">
      <alignment vertical="center"/>
    </xf>
    <xf numFmtId="0" fontId="60" fillId="0" borderId="69" xfId="0" applyFont="1" applyBorder="1" applyAlignment="1">
      <alignment horizontal="left" vertical="center"/>
    </xf>
    <xf numFmtId="0" fontId="60" fillId="0" borderId="49" xfId="0" applyFont="1" applyBorder="1" applyAlignment="1">
      <alignment horizontal="left" vertical="center"/>
    </xf>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56" fillId="0" borderId="9" xfId="0" applyFont="1" applyBorder="1" applyAlignment="1">
      <alignment horizontal="center" vertical="center"/>
    </xf>
    <xf numFmtId="0" fontId="11" fillId="0" borderId="0" xfId="0" applyFont="1"/>
    <xf numFmtId="0" fontId="60" fillId="0" borderId="0" xfId="0" applyFont="1"/>
    <xf numFmtId="0" fontId="36" fillId="13" borderId="31" xfId="13" applyFont="1" applyFill="1" applyBorder="1" applyAlignment="1">
      <alignment horizontal="left" vertical="center" indent="1"/>
    </xf>
    <xf numFmtId="0" fontId="36" fillId="13" borderId="3" xfId="13" applyFont="1" applyFill="1" applyBorder="1" applyAlignment="1">
      <alignment vertical="center"/>
    </xf>
    <xf numFmtId="0" fontId="37" fillId="22" borderId="65" xfId="13" applyFont="1" applyFill="1" applyBorder="1" applyAlignment="1">
      <alignment horizontal="left" vertical="center" wrapText="1" indent="1"/>
    </xf>
    <xf numFmtId="0" fontId="37" fillId="0" borderId="54" xfId="13" applyFont="1" applyBorder="1" applyAlignment="1">
      <alignment horizontal="left" vertical="center" indent="1"/>
    </xf>
    <xf numFmtId="0" fontId="37" fillId="0" borderId="10" xfId="13" applyFont="1" applyBorder="1" applyAlignment="1">
      <alignment horizontal="left" vertical="center" indent="1"/>
    </xf>
    <xf numFmtId="0" fontId="38" fillId="20" borderId="52" xfId="13" applyFont="1" applyFill="1" applyBorder="1" applyAlignment="1">
      <alignment horizontal="left" vertical="center" wrapText="1" indent="1"/>
    </xf>
    <xf numFmtId="0" fontId="12" fillId="0" borderId="0" xfId="0" applyFont="1" applyAlignment="1">
      <alignment wrapText="1"/>
    </xf>
    <xf numFmtId="0" fontId="12" fillId="2" borderId="38"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5" fillId="0" borderId="0" xfId="0" applyFont="1" applyAlignment="1">
      <alignment vertical="top" wrapText="1"/>
    </xf>
    <xf numFmtId="0" fontId="37" fillId="23" borderId="25" xfId="0" applyFont="1" applyFill="1" applyBorder="1" applyAlignment="1">
      <alignment horizontal="left" vertical="center" wrapText="1"/>
    </xf>
    <xf numFmtId="0" fontId="37" fillId="23" borderId="40" xfId="0" applyFont="1" applyFill="1" applyBorder="1" applyAlignment="1">
      <alignment horizontal="left" vertical="center" wrapText="1"/>
    </xf>
    <xf numFmtId="0" fontId="37" fillId="23" borderId="23" xfId="0" applyFont="1" applyFill="1" applyBorder="1" applyAlignment="1">
      <alignment horizontal="left" vertical="center" wrapText="1"/>
    </xf>
    <xf numFmtId="0" fontId="37" fillId="23" borderId="44" xfId="0" applyFont="1" applyFill="1" applyBorder="1" applyAlignment="1">
      <alignment horizontal="left" vertical="center" wrapText="1"/>
    </xf>
    <xf numFmtId="170" fontId="15" fillId="25" borderId="23" xfId="0" applyNumberFormat="1" applyFont="1" applyFill="1" applyBorder="1" applyAlignment="1">
      <alignment horizontal="center" vertical="center" wrapText="1"/>
    </xf>
    <xf numFmtId="3" fontId="15" fillId="25" borderId="40" xfId="0" applyNumberFormat="1" applyFont="1" applyFill="1" applyBorder="1" applyAlignment="1">
      <alignment horizontal="center" vertical="center" wrapText="1"/>
    </xf>
    <xf numFmtId="3" fontId="15" fillId="25" borderId="23" xfId="0" applyNumberFormat="1" applyFont="1" applyFill="1" applyBorder="1" applyAlignment="1">
      <alignment horizontal="center" vertical="center" wrapText="1"/>
    </xf>
    <xf numFmtId="175" fontId="37" fillId="23" borderId="40" xfId="0" applyNumberFormat="1" applyFont="1" applyFill="1" applyBorder="1" applyAlignment="1">
      <alignment horizontal="left" vertical="center" wrapText="1"/>
    </xf>
    <xf numFmtId="0" fontId="37" fillId="23" borderId="38" xfId="0" applyFont="1" applyFill="1" applyBorder="1" applyAlignment="1">
      <alignment horizontal="left" vertical="center" wrapText="1"/>
    </xf>
    <xf numFmtId="0" fontId="37" fillId="23" borderId="60" xfId="0" applyFont="1" applyFill="1" applyBorder="1" applyAlignment="1">
      <alignment horizontal="left" vertical="center" wrapText="1"/>
    </xf>
    <xf numFmtId="0" fontId="15" fillId="24" borderId="38" xfId="0" applyFont="1" applyFill="1" applyBorder="1"/>
    <xf numFmtId="0" fontId="15" fillId="24" borderId="70" xfId="0" applyFont="1" applyFill="1" applyBorder="1"/>
    <xf numFmtId="0" fontId="15" fillId="24" borderId="60" xfId="0" applyFont="1" applyFill="1" applyBorder="1"/>
    <xf numFmtId="0" fontId="15" fillId="24" borderId="46" xfId="0" applyFont="1" applyFill="1" applyBorder="1"/>
    <xf numFmtId="0" fontId="15" fillId="24" borderId="42" xfId="0" applyFont="1" applyFill="1" applyBorder="1"/>
    <xf numFmtId="0" fontId="15" fillId="24" borderId="66" xfId="0" applyFont="1" applyFill="1" applyBorder="1"/>
    <xf numFmtId="0" fontId="12" fillId="25" borderId="67" xfId="0" applyFont="1" applyFill="1" applyBorder="1" applyAlignment="1">
      <alignment horizontal="center" vertical="center"/>
    </xf>
    <xf numFmtId="0" fontId="43" fillId="0" borderId="0" xfId="0" applyFont="1" applyAlignment="1">
      <alignment wrapText="1"/>
    </xf>
    <xf numFmtId="0" fontId="45" fillId="0" borderId="0" xfId="0" applyFont="1" applyAlignment="1">
      <alignment vertical="center"/>
    </xf>
    <xf numFmtId="0" fontId="43" fillId="0" borderId="0" xfId="0" applyFont="1" applyAlignment="1">
      <alignment horizontal="left" vertical="center"/>
    </xf>
    <xf numFmtId="0" fontId="43" fillId="0" borderId="0" xfId="0" applyFont="1" applyAlignment="1">
      <alignment vertical="center"/>
    </xf>
    <xf numFmtId="0" fontId="43" fillId="5" borderId="41" xfId="0" applyFont="1" applyFill="1" applyBorder="1" applyAlignment="1">
      <alignment horizontal="left" vertical="center" wrapText="1"/>
    </xf>
    <xf numFmtId="0" fontId="43" fillId="5" borderId="66" xfId="0" applyFont="1" applyFill="1" applyBorder="1" applyAlignment="1">
      <alignment horizontal="left" vertical="center" wrapText="1"/>
    </xf>
    <xf numFmtId="0" fontId="37" fillId="23" borderId="12" xfId="0" applyFont="1" applyFill="1" applyBorder="1" applyAlignment="1">
      <alignment horizontal="left" vertical="center" wrapText="1"/>
    </xf>
    <xf numFmtId="0" fontId="37" fillId="23" borderId="15" xfId="0" applyFont="1" applyFill="1" applyBorder="1" applyAlignment="1">
      <alignment horizontal="left" vertical="center" wrapText="1"/>
    </xf>
    <xf numFmtId="0" fontId="37" fillId="23" borderId="33" xfId="0" applyFont="1" applyFill="1" applyBorder="1" applyAlignment="1">
      <alignment horizontal="left" vertical="center" wrapText="1"/>
    </xf>
    <xf numFmtId="0" fontId="31" fillId="0" borderId="0" xfId="0" applyFont="1"/>
    <xf numFmtId="0" fontId="11" fillId="0" borderId="0" xfId="0" applyFont="1" applyAlignment="1">
      <alignment vertical="top" wrapText="1"/>
    </xf>
    <xf numFmtId="0" fontId="19" fillId="5" borderId="1" xfId="0" applyFont="1" applyFill="1" applyBorder="1" applyAlignment="1">
      <alignment horizontal="centerContinuous"/>
    </xf>
    <xf numFmtId="0" fontId="15" fillId="2" borderId="1" xfId="0" applyFont="1" applyFill="1" applyBorder="1" applyAlignment="1">
      <alignment horizontal="right" indent="1"/>
    </xf>
    <xf numFmtId="0" fontId="11" fillId="0" borderId="1" xfId="0" applyFont="1" applyBorder="1" applyAlignment="1">
      <alignment horizontal="left" indent="1"/>
    </xf>
    <xf numFmtId="3" fontId="15" fillId="0" borderId="1" xfId="0" applyNumberFormat="1" applyFont="1" applyBorder="1" applyAlignment="1">
      <alignment horizontal="left" indent="1"/>
    </xf>
    <xf numFmtId="2" fontId="15" fillId="0" borderId="1" xfId="0" applyNumberFormat="1" applyFont="1" applyBorder="1" applyAlignment="1">
      <alignment horizontal="left" indent="1"/>
    </xf>
    <xf numFmtId="169" fontId="15" fillId="0" borderId="1" xfId="0" applyNumberFormat="1" applyFont="1" applyBorder="1" applyAlignment="1">
      <alignment horizontal="left" indent="1"/>
    </xf>
    <xf numFmtId="0" fontId="15" fillId="0" borderId="0" xfId="0" applyFont="1" applyAlignment="1">
      <alignment horizontal="right" wrapText="1"/>
    </xf>
    <xf numFmtId="0" fontId="12" fillId="0" borderId="0" xfId="0" applyFont="1" applyAlignment="1">
      <alignment horizontal="right" wrapText="1"/>
    </xf>
    <xf numFmtId="0" fontId="15" fillId="0" borderId="0" xfId="0" applyFont="1" applyAlignment="1">
      <alignment horizontal="right" vertical="top" wrapText="1"/>
    </xf>
    <xf numFmtId="0" fontId="11" fillId="0" borderId="1" xfId="0" applyFont="1" applyBorder="1" applyAlignment="1">
      <alignment horizontal="left" wrapText="1" indent="1"/>
    </xf>
    <xf numFmtId="3" fontId="15" fillId="0" borderId="1" xfId="0" applyNumberFormat="1" applyFont="1" applyBorder="1" applyAlignment="1">
      <alignment horizontal="left" wrapText="1" indent="1"/>
    </xf>
    <xf numFmtId="2" fontId="15" fillId="0" borderId="1" xfId="0" applyNumberFormat="1" applyFont="1" applyBorder="1" applyAlignment="1">
      <alignment horizontal="left" wrapText="1" indent="1"/>
    </xf>
    <xf numFmtId="1" fontId="11" fillId="0" borderId="0" xfId="0" applyNumberFormat="1" applyFont="1"/>
    <xf numFmtId="0" fontId="19" fillId="5" borderId="10" xfId="0" applyFont="1" applyFill="1" applyBorder="1" applyAlignment="1">
      <alignment horizontal="centerContinuous"/>
    </xf>
    <xf numFmtId="0" fontId="19" fillId="5" borderId="20" xfId="0" applyFont="1" applyFill="1" applyBorder="1" applyAlignment="1">
      <alignment horizontal="centerContinuous"/>
    </xf>
    <xf numFmtId="0" fontId="19" fillId="5" borderId="11" xfId="0" applyFont="1" applyFill="1" applyBorder="1" applyAlignment="1">
      <alignment horizontal="centerContinuous"/>
    </xf>
    <xf numFmtId="0" fontId="15" fillId="2" borderId="1" xfId="0" applyFont="1" applyFill="1" applyBorder="1" applyAlignment="1">
      <alignment horizontal="right"/>
    </xf>
    <xf numFmtId="0" fontId="11" fillId="0" borderId="1" xfId="0" applyFont="1" applyBorder="1" applyAlignment="1">
      <alignment horizontal="center"/>
    </xf>
    <xf numFmtId="0" fontId="15" fillId="0" borderId="1" xfId="0" applyFont="1" applyBorder="1"/>
    <xf numFmtId="172" fontId="15" fillId="0" borderId="1" xfId="0" applyNumberFormat="1" applyFont="1" applyBorder="1" applyAlignment="1">
      <alignment horizontal="center"/>
    </xf>
    <xf numFmtId="3" fontId="15" fillId="0" borderId="1" xfId="0" applyNumberFormat="1" applyFont="1" applyBorder="1" applyAlignment="1">
      <alignment horizontal="center"/>
    </xf>
    <xf numFmtId="2" fontId="15" fillId="0" borderId="1" xfId="0" applyNumberFormat="1" applyFont="1" applyBorder="1" applyAlignment="1">
      <alignment horizontal="center"/>
    </xf>
    <xf numFmtId="169" fontId="15" fillId="0" borderId="1" xfId="0" applyNumberFormat="1" applyFont="1" applyBorder="1" applyAlignment="1">
      <alignment horizontal="center"/>
    </xf>
    <xf numFmtId="0" fontId="12" fillId="0" borderId="0" xfId="0" applyFont="1" applyAlignment="1">
      <alignment vertical="top"/>
    </xf>
    <xf numFmtId="0" fontId="11" fillId="0" borderId="0" xfId="0" applyFont="1" applyAlignment="1">
      <alignment horizontal="left"/>
    </xf>
    <xf numFmtId="0" fontId="19" fillId="0" borderId="0" xfId="0" applyFont="1" applyAlignment="1">
      <alignment vertical="center"/>
    </xf>
    <xf numFmtId="0" fontId="22" fillId="0" borderId="0" xfId="0" applyFont="1"/>
    <xf numFmtId="0" fontId="23" fillId="0" borderId="0" xfId="0" applyFont="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15" fillId="0" borderId="0" xfId="0" applyFont="1" applyAlignment="1">
      <alignment vertical="top"/>
    </xf>
    <xf numFmtId="0" fontId="19" fillId="0" borderId="0" xfId="0" applyFont="1" applyAlignment="1">
      <alignment vertical="top"/>
    </xf>
    <xf numFmtId="0" fontId="15" fillId="0" borderId="0" xfId="0" applyFont="1" applyAlignment="1">
      <alignment horizontal="left" vertical="top" wrapText="1"/>
    </xf>
    <xf numFmtId="0" fontId="24" fillId="5" borderId="10" xfId="0" applyFont="1" applyFill="1" applyBorder="1" applyAlignment="1">
      <alignment horizontal="center" vertical="center" wrapText="1"/>
    </xf>
    <xf numFmtId="0" fontId="24" fillId="5" borderId="54" xfId="0" applyFont="1" applyFill="1" applyBorder="1" applyAlignment="1">
      <alignment horizontal="centerContinuous" vertical="center" wrapText="1"/>
    </xf>
    <xf numFmtId="0" fontId="24" fillId="5" borderId="50" xfId="0" applyFont="1" applyFill="1" applyBorder="1" applyAlignment="1">
      <alignment horizontal="centerContinuous" vertical="center" wrapText="1"/>
    </xf>
    <xf numFmtId="0" fontId="24" fillId="5" borderId="53" xfId="0" applyFont="1" applyFill="1" applyBorder="1" applyAlignment="1">
      <alignment horizontal="centerContinuous" vertical="center" wrapText="1"/>
    </xf>
    <xf numFmtId="0" fontId="24" fillId="5" borderId="11" xfId="0" applyFont="1" applyFill="1" applyBorder="1" applyAlignment="1">
      <alignment horizontal="center" vertical="center" wrapText="1"/>
    </xf>
    <xf numFmtId="164" fontId="25" fillId="0" borderId="10" xfId="0" applyNumberFormat="1" applyFont="1" applyBorder="1" applyAlignment="1">
      <alignment horizontal="center" vertical="center" wrapText="1"/>
    </xf>
    <xf numFmtId="0" fontId="25" fillId="0" borderId="10" xfId="0" applyFont="1" applyBorder="1" applyAlignment="1">
      <alignment horizontal="centerContinuous" vertical="center" wrapText="1"/>
    </xf>
    <xf numFmtId="0" fontId="25" fillId="0" borderId="20" xfId="0" applyFont="1" applyBorder="1" applyAlignment="1">
      <alignment horizontal="centerContinuous" vertical="center" wrapText="1"/>
    </xf>
    <xf numFmtId="0" fontId="25" fillId="0" borderId="11" xfId="0" applyFont="1" applyBorder="1" applyAlignment="1">
      <alignment horizontal="centerContinuous" vertical="center" wrapText="1"/>
    </xf>
    <xf numFmtId="0" fontId="25" fillId="0" borderId="44" xfId="0" applyFont="1" applyBorder="1" applyAlignment="1">
      <alignment horizontal="centerContinuous" vertical="center" wrapText="1"/>
    </xf>
    <xf numFmtId="0" fontId="25" fillId="0" borderId="45" xfId="0" applyFont="1" applyBorder="1" applyAlignment="1">
      <alignment horizontal="centerContinuous" vertical="center" wrapText="1"/>
    </xf>
    <xf numFmtId="0" fontId="25" fillId="0" borderId="40" xfId="0" applyFont="1" applyBorder="1" applyAlignment="1">
      <alignment horizontal="centerContinuous" vertical="center" wrapText="1"/>
    </xf>
    <xf numFmtId="0" fontId="12" fillId="5" borderId="34"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24" fillId="5" borderId="34" xfId="0" applyFont="1" applyFill="1" applyBorder="1" applyAlignment="1">
      <alignment horizontal="center" vertical="center" wrapText="1"/>
    </xf>
    <xf numFmtId="0" fontId="15" fillId="0" borderId="1" xfId="0" applyFont="1" applyBorder="1" applyAlignment="1">
      <alignment horizontal="left" vertical="center" wrapText="1"/>
    </xf>
    <xf numFmtId="0" fontId="5" fillId="0" borderId="23" xfId="0" applyFont="1" applyBorder="1" applyAlignment="1">
      <alignment horizontal="center" vertical="center" wrapText="1"/>
    </xf>
    <xf numFmtId="0" fontId="11" fillId="0" borderId="1" xfId="0" applyFont="1" applyBorder="1" applyAlignment="1">
      <alignment horizontal="left" vertical="top" wrapText="1"/>
    </xf>
    <xf numFmtId="0" fontId="9" fillId="0" borderId="0" xfId="0" applyFont="1" applyAlignment="1">
      <alignment horizontal="center"/>
    </xf>
    <xf numFmtId="0" fontId="15" fillId="13" borderId="0" xfId="0" applyFont="1" applyFill="1"/>
    <xf numFmtId="0" fontId="15" fillId="13" borderId="0" xfId="0" applyFont="1" applyFill="1" applyAlignment="1">
      <alignment wrapText="1"/>
    </xf>
    <xf numFmtId="0" fontId="13" fillId="0" borderId="0" xfId="3" applyFill="1" applyBorder="1" applyAlignment="1" applyProtection="1">
      <alignment vertical="top"/>
    </xf>
    <xf numFmtId="0" fontId="12" fillId="11" borderId="1" xfId="0" applyFont="1" applyFill="1" applyBorder="1" applyAlignment="1">
      <alignment horizontal="center" vertical="center"/>
    </xf>
    <xf numFmtId="0" fontId="12" fillId="11" borderId="1" xfId="0" applyFont="1" applyFill="1" applyBorder="1" applyAlignment="1">
      <alignment horizontal="center" vertical="center" wrapText="1"/>
    </xf>
    <xf numFmtId="0" fontId="12" fillId="11" borderId="1" xfId="0" applyFont="1" applyFill="1" applyBorder="1" applyAlignment="1">
      <alignment horizontal="center"/>
    </xf>
    <xf numFmtId="0" fontId="12" fillId="5" borderId="1" xfId="0" applyFont="1" applyFill="1" applyBorder="1" applyAlignment="1">
      <alignment horizontal="centerContinuous"/>
    </xf>
    <xf numFmtId="0" fontId="15" fillId="2" borderId="10" xfId="0" applyFont="1" applyFill="1" applyBorder="1" applyAlignment="1">
      <alignment horizontal="left" vertical="center" wrapText="1"/>
    </xf>
    <xf numFmtId="0" fontId="11" fillId="3" borderId="1" xfId="0" applyFont="1" applyFill="1" applyBorder="1" applyAlignment="1">
      <alignment horizontal="center" vertical="center"/>
    </xf>
    <xf numFmtId="0" fontId="12" fillId="5" borderId="1" xfId="0" applyFont="1" applyFill="1" applyBorder="1" applyAlignment="1">
      <alignment horizontal="centerContinuous" vertical="center" wrapText="1"/>
    </xf>
    <xf numFmtId="0" fontId="12" fillId="5" borderId="1" xfId="0" applyFont="1" applyFill="1" applyBorder="1" applyAlignment="1">
      <alignment horizontal="centerContinuous" vertical="center"/>
    </xf>
    <xf numFmtId="0" fontId="33" fillId="2" borderId="1" xfId="3" applyFont="1"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35" fillId="2" borderId="1" xfId="3"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2" fillId="5" borderId="10" xfId="0" applyFont="1" applyFill="1" applyBorder="1" applyAlignment="1">
      <alignment horizontal="centerContinuous" vertical="top" wrapText="1"/>
    </xf>
    <xf numFmtId="0" fontId="12" fillId="5" borderId="11" xfId="0" applyFont="1" applyFill="1" applyBorder="1" applyAlignment="1">
      <alignment horizontal="centerContinuous" vertical="top" wrapText="1"/>
    </xf>
    <xf numFmtId="0" fontId="15" fillId="2" borderId="23" xfId="0" applyFont="1" applyFill="1" applyBorder="1" applyAlignment="1">
      <alignment horizontal="left" vertical="top" wrapText="1"/>
    </xf>
    <xf numFmtId="0" fontId="15" fillId="3" borderId="23" xfId="0" applyFont="1" applyFill="1" applyBorder="1" applyAlignment="1">
      <alignment horizontal="center" vertical="top" wrapText="1"/>
    </xf>
    <xf numFmtId="0" fontId="15" fillId="2" borderId="1" xfId="0" applyFont="1" applyFill="1" applyBorder="1" applyAlignment="1">
      <alignment horizontal="left" vertical="top" wrapText="1"/>
    </xf>
    <xf numFmtId="0" fontId="11" fillId="3" borderId="1" xfId="0" applyFont="1" applyFill="1" applyBorder="1" applyAlignment="1">
      <alignment horizontal="center"/>
    </xf>
    <xf numFmtId="0" fontId="15" fillId="3" borderId="1" xfId="0" applyFont="1" applyFill="1" applyBorder="1" applyAlignment="1">
      <alignment horizontal="center"/>
    </xf>
    <xf numFmtId="0" fontId="12" fillId="2" borderId="10" xfId="0" applyFont="1" applyFill="1" applyBorder="1" applyAlignment="1">
      <alignment horizontal="left"/>
    </xf>
    <xf numFmtId="0" fontId="12" fillId="3" borderId="1" xfId="0" applyFont="1" applyFill="1" applyBorder="1" applyAlignment="1">
      <alignment horizontal="center"/>
    </xf>
    <xf numFmtId="0" fontId="44" fillId="2" borderId="24" xfId="0" applyFont="1" applyFill="1" applyBorder="1"/>
    <xf numFmtId="0" fontId="52" fillId="2" borderId="1" xfId="0" applyFont="1" applyFill="1" applyBorder="1"/>
    <xf numFmtId="0" fontId="12" fillId="2" borderId="39" xfId="0" applyFont="1" applyFill="1" applyBorder="1"/>
    <xf numFmtId="0" fontId="14" fillId="2" borderId="39" xfId="0" applyFont="1" applyFill="1" applyBorder="1"/>
    <xf numFmtId="0" fontId="14" fillId="2" borderId="24" xfId="0" applyFont="1" applyFill="1" applyBorder="1"/>
    <xf numFmtId="0" fontId="12" fillId="2" borderId="24" xfId="0" applyFont="1" applyFill="1" applyBorder="1"/>
    <xf numFmtId="0" fontId="15" fillId="0" borderId="23" xfId="0" applyFont="1" applyBorder="1"/>
    <xf numFmtId="0" fontId="53" fillId="29" borderId="64" xfId="0" applyFont="1" applyFill="1" applyBorder="1"/>
    <xf numFmtId="0" fontId="15" fillId="0" borderId="40" xfId="0" applyFont="1" applyBorder="1"/>
    <xf numFmtId="0" fontId="54" fillId="0" borderId="40" xfId="0" applyFont="1" applyBorder="1"/>
    <xf numFmtId="0" fontId="15" fillId="0" borderId="63" xfId="0" applyFont="1" applyBorder="1"/>
    <xf numFmtId="0" fontId="16" fillId="0" borderId="0" xfId="0" applyFont="1"/>
    <xf numFmtId="0" fontId="9" fillId="0" borderId="1" xfId="0" applyFont="1" applyBorder="1"/>
    <xf numFmtId="0" fontId="53" fillId="29" borderId="55" xfId="0" applyFont="1" applyFill="1" applyBorder="1"/>
    <xf numFmtId="0" fontId="15" fillId="0" borderId="55" xfId="0" applyFont="1" applyBorder="1"/>
    <xf numFmtId="0" fontId="54" fillId="0" borderId="23" xfId="0" applyFont="1" applyBorder="1"/>
    <xf numFmtId="0" fontId="54" fillId="0" borderId="1" xfId="0" applyFont="1" applyBorder="1"/>
    <xf numFmtId="0" fontId="15" fillId="0" borderId="22" xfId="0" applyFont="1" applyBorder="1"/>
    <xf numFmtId="0" fontId="53" fillId="29" borderId="20" xfId="0" applyFont="1" applyFill="1" applyBorder="1"/>
    <xf numFmtId="0" fontId="15" fillId="0" borderId="10" xfId="0" applyFont="1" applyBorder="1"/>
    <xf numFmtId="0" fontId="11" fillId="0" borderId="1" xfId="0" applyFont="1" applyBorder="1"/>
    <xf numFmtId="0" fontId="55" fillId="0" borderId="1" xfId="0" applyFont="1" applyBorder="1"/>
    <xf numFmtId="0" fontId="21" fillId="0" borderId="1" xfId="0" applyFont="1" applyBorder="1"/>
    <xf numFmtId="0" fontId="21" fillId="0" borderId="0" xfId="0" applyFont="1"/>
    <xf numFmtId="0" fontId="54" fillId="0" borderId="10" xfId="0" applyFont="1" applyBorder="1"/>
    <xf numFmtId="0" fontId="9" fillId="0" borderId="23" xfId="0" applyFont="1" applyBorder="1"/>
    <xf numFmtId="0" fontId="14" fillId="0" borderId="0" xfId="0" applyFont="1" applyAlignment="1">
      <alignment horizontal="centerContinuous"/>
    </xf>
    <xf numFmtId="0" fontId="15" fillId="0" borderId="0" xfId="0" applyFont="1" applyAlignment="1">
      <alignment vertical="center" wrapText="1"/>
    </xf>
    <xf numFmtId="0" fontId="44" fillId="0" borderId="0" xfId="0" applyFont="1"/>
    <xf numFmtId="0" fontId="46" fillId="2" borderId="23" xfId="0" applyFont="1" applyFill="1" applyBorder="1" applyAlignment="1">
      <alignment horizontal="center" vertical="center"/>
    </xf>
    <xf numFmtId="0" fontId="46" fillId="2" borderId="23" xfId="0" applyFont="1" applyFill="1" applyBorder="1" applyAlignment="1">
      <alignment wrapText="1"/>
    </xf>
    <xf numFmtId="0" fontId="46" fillId="2" borderId="23" xfId="0" applyFont="1" applyFill="1" applyBorder="1" applyAlignment="1">
      <alignment vertical="center" wrapText="1"/>
    </xf>
    <xf numFmtId="0" fontId="47" fillId="2" borderId="23" xfId="0" applyFont="1" applyFill="1" applyBorder="1" applyAlignment="1">
      <alignment horizontal="center" vertical="center" wrapText="1"/>
    </xf>
    <xf numFmtId="0" fontId="47" fillId="2" borderId="44" xfId="0" applyFont="1" applyFill="1" applyBorder="1" applyAlignment="1">
      <alignment horizontal="center" vertical="center" wrapText="1"/>
    </xf>
    <xf numFmtId="43" fontId="9" fillId="0" borderId="0" xfId="0" applyNumberFormat="1" applyFont="1"/>
    <xf numFmtId="0" fontId="12" fillId="7" borderId="31" xfId="0" applyFont="1" applyFill="1" applyBorder="1" applyAlignment="1">
      <alignment horizontal="centerContinuous"/>
    </xf>
    <xf numFmtId="0" fontId="12" fillId="7" borderId="32" xfId="0" applyFont="1" applyFill="1" applyBorder="1" applyAlignment="1">
      <alignment horizontal="centerContinuous"/>
    </xf>
    <xf numFmtId="0" fontId="12" fillId="7" borderId="30" xfId="0" applyFont="1" applyFill="1" applyBorder="1" applyAlignment="1">
      <alignment horizontal="centerContinuous"/>
    </xf>
    <xf numFmtId="0" fontId="16" fillId="0" borderId="0" xfId="0" applyFont="1" applyAlignment="1">
      <alignment vertical="top"/>
    </xf>
    <xf numFmtId="0" fontId="12" fillId="9" borderId="17" xfId="0" applyFont="1" applyFill="1" applyBorder="1" applyAlignment="1">
      <alignment horizontal="center" vertical="center"/>
    </xf>
    <xf numFmtId="0" fontId="12" fillId="9" borderId="18" xfId="0" applyFont="1" applyFill="1" applyBorder="1" applyAlignment="1">
      <alignment horizontal="center"/>
    </xf>
    <xf numFmtId="0" fontId="12" fillId="9" borderId="19" xfId="0" applyFont="1" applyFill="1" applyBorder="1" applyAlignment="1">
      <alignment horizontal="center"/>
    </xf>
    <xf numFmtId="0" fontId="15" fillId="0" borderId="35" xfId="0" applyFont="1" applyBorder="1" applyAlignment="1">
      <alignment horizontal="center" vertical="center" wrapText="1"/>
    </xf>
    <xf numFmtId="166" fontId="15" fillId="4" borderId="23" xfId="0" applyNumberFormat="1" applyFont="1" applyFill="1" applyBorder="1" applyAlignment="1">
      <alignment horizontal="center"/>
    </xf>
    <xf numFmtId="0" fontId="15" fillId="0" borderId="26" xfId="0" applyFont="1" applyBorder="1" applyAlignment="1">
      <alignment horizontal="center"/>
    </xf>
    <xf numFmtId="0" fontId="15" fillId="0" borderId="36" xfId="0" applyFont="1" applyBorder="1" applyAlignment="1">
      <alignment horizontal="center" vertical="center" wrapText="1"/>
    </xf>
    <xf numFmtId="167" fontId="15" fillId="4" borderId="1" xfId="0" applyNumberFormat="1" applyFont="1" applyFill="1" applyBorder="1" applyAlignment="1">
      <alignment horizontal="center"/>
    </xf>
    <xf numFmtId="0" fontId="15" fillId="0" borderId="16" xfId="0" applyFont="1" applyBorder="1" applyAlignment="1">
      <alignment horizontal="center"/>
    </xf>
    <xf numFmtId="2" fontId="15" fillId="4" borderId="1" xfId="0" applyNumberFormat="1" applyFont="1" applyFill="1" applyBorder="1" applyAlignment="1">
      <alignment horizontal="center"/>
    </xf>
    <xf numFmtId="166" fontId="15" fillId="4" borderId="34" xfId="0" applyNumberFormat="1" applyFont="1" applyFill="1" applyBorder="1" applyAlignment="1">
      <alignment horizontal="center"/>
    </xf>
    <xf numFmtId="0" fontId="15" fillId="0" borderId="37" xfId="0" applyFont="1" applyBorder="1" applyAlignment="1">
      <alignment horizontal="center"/>
    </xf>
    <xf numFmtId="0" fontId="12" fillId="14" borderId="31" xfId="0" applyFont="1" applyFill="1" applyBorder="1" applyAlignment="1">
      <alignment vertical="top"/>
    </xf>
    <xf numFmtId="0" fontId="12" fillId="14" borderId="32" xfId="0" applyFont="1" applyFill="1" applyBorder="1" applyAlignment="1">
      <alignment vertical="top"/>
    </xf>
    <xf numFmtId="0" fontId="12" fillId="14" borderId="30" xfId="0" applyFont="1" applyFill="1" applyBorder="1" applyAlignment="1">
      <alignment vertical="top"/>
    </xf>
    <xf numFmtId="0" fontId="43" fillId="0" borderId="5" xfId="0" applyFont="1" applyBorder="1" applyAlignment="1">
      <alignment vertical="top"/>
    </xf>
    <xf numFmtId="0" fontId="15" fillId="0" borderId="6" xfId="0" applyFont="1" applyBorder="1" applyAlignment="1">
      <alignment vertical="top"/>
    </xf>
    <xf numFmtId="0" fontId="15" fillId="0" borderId="5" xfId="0" applyFont="1" applyBorder="1"/>
    <xf numFmtId="0" fontId="50" fillId="0" borderId="5" xfId="3" applyFont="1" applyBorder="1" applyProtection="1"/>
    <xf numFmtId="0" fontId="15" fillId="0" borderId="0" xfId="0" applyFont="1" applyAlignment="1">
      <alignment horizontal="left"/>
    </xf>
    <xf numFmtId="0" fontId="9" fillId="0" borderId="0" xfId="0" applyFont="1" applyAlignment="1">
      <alignment horizontal="left"/>
    </xf>
    <xf numFmtId="0" fontId="9" fillId="0" borderId="5" xfId="0" applyFont="1" applyBorder="1"/>
    <xf numFmtId="0" fontId="15" fillId="0" borderId="6" xfId="0" applyFont="1" applyBorder="1"/>
    <xf numFmtId="0" fontId="43" fillId="0" borderId="5" xfId="0" applyFont="1" applyBorder="1"/>
    <xf numFmtId="0" fontId="50" fillId="0" borderId="5" xfId="3" applyFont="1" applyBorder="1" applyAlignment="1" applyProtection="1"/>
    <xf numFmtId="0" fontId="9" fillId="0" borderId="9" xfId="0" applyFont="1" applyBorder="1"/>
    <xf numFmtId="0" fontId="12" fillId="8" borderId="27" xfId="0" applyFont="1" applyFill="1" applyBorder="1" applyAlignment="1">
      <alignment horizontal="centerContinuous"/>
    </xf>
    <xf numFmtId="0" fontId="12" fillId="8" borderId="28" xfId="0" applyFont="1" applyFill="1" applyBorder="1" applyAlignment="1">
      <alignment horizontal="centerContinuous"/>
    </xf>
    <xf numFmtId="0" fontId="12" fillId="8" borderId="29" xfId="0" applyFont="1" applyFill="1" applyBorder="1" applyAlignment="1">
      <alignment horizontal="centerContinuous"/>
    </xf>
    <xf numFmtId="0" fontId="12" fillId="0" borderId="15" xfId="0" applyFont="1" applyBorder="1" applyAlignment="1">
      <alignment horizont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5" fillId="0" borderId="15" xfId="0" applyFont="1" applyBorder="1" applyAlignment="1">
      <alignment horizontal="center" vertical="center"/>
    </xf>
    <xf numFmtId="169" fontId="15" fillId="10" borderId="1" xfId="0" applyNumberFormat="1" applyFont="1" applyFill="1" applyBorder="1" applyAlignment="1">
      <alignment horizontal="center" vertical="center"/>
    </xf>
    <xf numFmtId="168" fontId="15" fillId="10" borderId="1" xfId="0" applyNumberFormat="1" applyFont="1" applyFill="1" applyBorder="1" applyAlignment="1">
      <alignment horizontal="center" vertical="center"/>
    </xf>
    <xf numFmtId="166" fontId="15" fillId="10" borderId="1" xfId="0" applyNumberFormat="1" applyFont="1" applyFill="1" applyBorder="1" applyAlignment="1">
      <alignment horizontal="center" vertical="center"/>
    </xf>
    <xf numFmtId="169" fontId="15" fillId="10" borderId="16" xfId="0" applyNumberFormat="1" applyFont="1" applyFill="1" applyBorder="1" applyAlignment="1">
      <alignment horizontal="center" vertical="center"/>
    </xf>
    <xf numFmtId="0" fontId="15" fillId="0" borderId="17" xfId="0" applyFont="1" applyBorder="1" applyAlignment="1">
      <alignment horizontal="center" vertical="center"/>
    </xf>
    <xf numFmtId="169" fontId="15" fillId="10" borderId="18" xfId="0" applyNumberFormat="1" applyFont="1" applyFill="1" applyBorder="1" applyAlignment="1">
      <alignment horizontal="center" vertical="center"/>
    </xf>
    <xf numFmtId="168" fontId="15" fillId="10" borderId="18" xfId="0" applyNumberFormat="1" applyFont="1" applyFill="1" applyBorder="1" applyAlignment="1">
      <alignment horizontal="center" vertical="center"/>
    </xf>
    <xf numFmtId="166" fontId="15" fillId="10" borderId="18" xfId="0" applyNumberFormat="1" applyFont="1" applyFill="1" applyBorder="1" applyAlignment="1">
      <alignment horizontal="center" vertical="center"/>
    </xf>
    <xf numFmtId="169" fontId="15" fillId="10" borderId="19" xfId="0" applyNumberFormat="1" applyFont="1" applyFill="1" applyBorder="1" applyAlignment="1">
      <alignment horizontal="center" vertical="center"/>
    </xf>
    <xf numFmtId="0" fontId="15" fillId="0" borderId="50" xfId="0" applyFont="1" applyBorder="1" applyAlignment="1">
      <alignment vertical="top"/>
    </xf>
    <xf numFmtId="0" fontId="15" fillId="0" borderId="51" xfId="0" applyFont="1" applyBorder="1" applyAlignment="1">
      <alignment vertical="top"/>
    </xf>
    <xf numFmtId="0" fontId="50" fillId="0" borderId="7" xfId="3" applyFont="1" applyBorder="1" applyAlignment="1" applyProtection="1"/>
    <xf numFmtId="0" fontId="15" fillId="0" borderId="8" xfId="0" applyFont="1" applyBorder="1"/>
    <xf numFmtId="0" fontId="15" fillId="0" borderId="8" xfId="0" applyFont="1" applyBorder="1" applyAlignment="1">
      <alignment horizontal="center"/>
    </xf>
    <xf numFmtId="0" fontId="15" fillId="0" borderId="9" xfId="0" applyFont="1" applyBorder="1"/>
    <xf numFmtId="0" fontId="15" fillId="0" borderId="0" xfId="0" applyFont="1" applyAlignment="1">
      <alignment horizontal="center" vertical="center"/>
    </xf>
    <xf numFmtId="169" fontId="15" fillId="0" borderId="0" xfId="0" applyNumberFormat="1" applyFont="1" applyAlignment="1">
      <alignment horizontal="center" vertical="center"/>
    </xf>
    <xf numFmtId="168" fontId="15" fillId="0" borderId="0" xfId="0" applyNumberFormat="1" applyFont="1" applyAlignment="1">
      <alignment horizontal="center" vertical="center"/>
    </xf>
    <xf numFmtId="166" fontId="15" fillId="0" borderId="0" xfId="0" applyNumberFormat="1" applyFont="1" applyAlignment="1">
      <alignment horizontal="center" vertical="center"/>
    </xf>
    <xf numFmtId="0" fontId="12" fillId="12" borderId="27" xfId="0" applyFont="1" applyFill="1" applyBorder="1" applyAlignment="1">
      <alignment horizontal="centerContinuous"/>
    </xf>
    <xf numFmtId="0" fontId="12" fillId="12" borderId="28" xfId="0" applyFont="1" applyFill="1" applyBorder="1" applyAlignment="1">
      <alignment horizontal="centerContinuous"/>
    </xf>
    <xf numFmtId="0" fontId="12" fillId="12" borderId="29" xfId="0" applyFont="1" applyFill="1" applyBorder="1" applyAlignment="1">
      <alignment horizontal="centerContinuous"/>
    </xf>
    <xf numFmtId="0" fontId="12" fillId="12" borderId="3" xfId="0" applyFont="1" applyFill="1" applyBorder="1" applyAlignment="1">
      <alignment horizontal="centerContinuous"/>
    </xf>
    <xf numFmtId="0" fontId="12" fillId="12" borderId="4" xfId="0" applyFont="1" applyFill="1" applyBorder="1" applyAlignment="1">
      <alignment horizontal="centerContinuous"/>
    </xf>
    <xf numFmtId="0" fontId="12" fillId="0" borderId="12" xfId="0" applyFont="1" applyBorder="1"/>
    <xf numFmtId="0" fontId="12" fillId="0" borderId="13" xfId="0" applyFont="1" applyBorder="1" applyAlignment="1">
      <alignment horizontal="center" wrapText="1"/>
    </xf>
    <xf numFmtId="0" fontId="12" fillId="0" borderId="13" xfId="0" applyFont="1" applyBorder="1" applyAlignment="1">
      <alignment horizontal="center"/>
    </xf>
    <xf numFmtId="0" fontId="12" fillId="0" borderId="57" xfId="0" applyFont="1" applyBorder="1" applyAlignment="1">
      <alignment horizontal="centerContinuous"/>
    </xf>
    <xf numFmtId="0" fontId="12" fillId="0" borderId="58" xfId="0" applyFont="1" applyBorder="1" applyAlignment="1">
      <alignment horizontal="centerContinuous"/>
    </xf>
    <xf numFmtId="0" fontId="14" fillId="0" borderId="21" xfId="0" applyFont="1" applyBorder="1" applyAlignment="1">
      <alignment horizontal="center" wrapText="1"/>
    </xf>
    <xf numFmtId="0" fontId="12" fillId="0" borderId="14" xfId="0" applyFont="1" applyBorder="1" applyAlignment="1">
      <alignment horizontal="center" wrapText="1"/>
    </xf>
    <xf numFmtId="0" fontId="37" fillId="0" borderId="15" xfId="0" applyFont="1" applyBorder="1"/>
    <xf numFmtId="0" fontId="37" fillId="0" borderId="1" xfId="0" applyFont="1" applyBorder="1" applyAlignment="1">
      <alignment horizontal="center"/>
    </xf>
    <xf numFmtId="0" fontId="37" fillId="0" borderId="10" xfId="0" applyFont="1" applyBorder="1" applyAlignment="1">
      <alignment horizontal="center"/>
    </xf>
    <xf numFmtId="0" fontId="37" fillId="0" borderId="10" xfId="0" applyFont="1" applyBorder="1"/>
    <xf numFmtId="0" fontId="15" fillId="0" borderId="20" xfId="0" applyFont="1" applyBorder="1"/>
    <xf numFmtId="0" fontId="15" fillId="0" borderId="43" xfId="0" applyFont="1" applyBorder="1"/>
    <xf numFmtId="0" fontId="11" fillId="0" borderId="11" xfId="0" applyFont="1" applyBorder="1" applyAlignment="1">
      <alignment horizontal="center"/>
    </xf>
    <xf numFmtId="0" fontId="15" fillId="0" borderId="1" xfId="0" applyFont="1" applyBorder="1" applyAlignment="1">
      <alignment horizontal="center"/>
    </xf>
    <xf numFmtId="0" fontId="37" fillId="0" borderId="44" xfId="0" applyFont="1" applyBorder="1"/>
    <xf numFmtId="0" fontId="15" fillId="0" borderId="45" xfId="0" applyFont="1" applyBorder="1"/>
    <xf numFmtId="0" fontId="15" fillId="0" borderId="47" xfId="0" applyFont="1" applyBorder="1"/>
    <xf numFmtId="0" fontId="32" fillId="0" borderId="47" xfId="0" applyFont="1" applyBorder="1" applyAlignment="1">
      <alignment horizontal="right"/>
    </xf>
    <xf numFmtId="0" fontId="54" fillId="0" borderId="15" xfId="0" applyFont="1" applyBorder="1"/>
    <xf numFmtId="0" fontId="37" fillId="0" borderId="33" xfId="0" applyFont="1" applyBorder="1"/>
    <xf numFmtId="0" fontId="37" fillId="0" borderId="34" xfId="0" applyFont="1" applyBorder="1" applyAlignment="1">
      <alignment horizontal="center"/>
    </xf>
    <xf numFmtId="0" fontId="37" fillId="0" borderId="17" xfId="0" applyFont="1" applyBorder="1"/>
    <xf numFmtId="0" fontId="37" fillId="0" borderId="18" xfId="0" applyFont="1" applyBorder="1" applyAlignment="1">
      <alignment horizontal="center"/>
    </xf>
    <xf numFmtId="0" fontId="37" fillId="0" borderId="48" xfId="0" applyFont="1" applyBorder="1" applyAlignment="1">
      <alignment horizontal="center"/>
    </xf>
    <xf numFmtId="0" fontId="37" fillId="0" borderId="59" xfId="0" applyFont="1" applyBorder="1"/>
    <xf numFmtId="0" fontId="11" fillId="0" borderId="56" xfId="0" applyFont="1" applyBorder="1" applyAlignment="1">
      <alignment horizontal="center"/>
    </xf>
    <xf numFmtId="0" fontId="15" fillId="0" borderId="18" xfId="0" applyFont="1" applyBorder="1" applyAlignment="1">
      <alignment horizontal="center"/>
    </xf>
    <xf numFmtId="0" fontId="15" fillId="0" borderId="19" xfId="0" applyFont="1" applyBorder="1" applyAlignment="1">
      <alignment horizontal="center"/>
    </xf>
    <xf numFmtId="0" fontId="15" fillId="0" borderId="0" xfId="0" applyFont="1" applyAlignment="1">
      <alignment horizontal="center"/>
    </xf>
    <xf numFmtId="0" fontId="13" fillId="0" borderId="5" xfId="3" applyFill="1" applyBorder="1" applyProtection="1"/>
    <xf numFmtId="0" fontId="11" fillId="0" borderId="0" xfId="0" applyFont="1" applyAlignment="1">
      <alignment horizontal="center"/>
    </xf>
    <xf numFmtId="0" fontId="11" fillId="0" borderId="6" xfId="0" applyFont="1" applyBorder="1"/>
    <xf numFmtId="0" fontId="11" fillId="0" borderId="5" xfId="0" applyFont="1" applyBorder="1"/>
    <xf numFmtId="0" fontId="13" fillId="0" borderId="7" xfId="3" applyFill="1" applyBorder="1" applyProtection="1"/>
    <xf numFmtId="0" fontId="11" fillId="0" borderId="8" xfId="0" applyFont="1" applyBorder="1" applyAlignment="1">
      <alignment horizontal="center"/>
    </xf>
    <xf numFmtId="0" fontId="11" fillId="0" borderId="8" xfId="0" applyFont="1" applyBorder="1"/>
    <xf numFmtId="0" fontId="11" fillId="0" borderId="9" xfId="0" applyFont="1" applyBorder="1"/>
    <xf numFmtId="0" fontId="12" fillId="0" borderId="35" xfId="0" applyFont="1" applyBorder="1"/>
    <xf numFmtId="0" fontId="12" fillId="0" borderId="57" xfId="0" applyFont="1" applyBorder="1" applyAlignment="1">
      <alignment horizontal="center" wrapText="1"/>
    </xf>
    <xf numFmtId="0" fontId="12" fillId="0" borderId="57" xfId="0" applyFont="1" applyBorder="1" applyAlignment="1">
      <alignment horizontal="center"/>
    </xf>
    <xf numFmtId="0" fontId="12" fillId="0" borderId="36" xfId="0" applyFont="1" applyBorder="1"/>
    <xf numFmtId="0" fontId="12" fillId="0" borderId="55" xfId="0" applyFont="1" applyBorder="1" applyAlignment="1">
      <alignment horizontal="center" wrapText="1"/>
    </xf>
    <xf numFmtId="0" fontId="12" fillId="0" borderId="55" xfId="0" applyFont="1" applyBorder="1" applyAlignment="1">
      <alignment horizontal="center"/>
    </xf>
    <xf numFmtId="0" fontId="12" fillId="0" borderId="0" xfId="0" applyFont="1" applyAlignment="1">
      <alignment horizontal="centerContinuous"/>
    </xf>
    <xf numFmtId="0" fontId="12" fillId="0" borderId="6" xfId="0" applyFont="1" applyBorder="1" applyAlignment="1">
      <alignment horizontal="centerContinuous"/>
    </xf>
    <xf numFmtId="0" fontId="15" fillId="0" borderId="15" xfId="0" applyFont="1" applyBorder="1" applyAlignment="1">
      <alignment vertical="center" wrapText="1"/>
    </xf>
    <xf numFmtId="170" fontId="15" fillId="0" borderId="11" xfId="0" applyNumberFormat="1" applyFont="1" applyBorder="1" applyAlignment="1">
      <alignment horizontal="center" vertical="center"/>
    </xf>
    <xf numFmtId="0" fontId="15" fillId="0" borderId="11" xfId="0" applyFont="1" applyBorder="1" applyAlignment="1">
      <alignment horizontal="center" vertical="center"/>
    </xf>
    <xf numFmtId="0" fontId="15" fillId="0" borderId="20" xfId="0" applyFont="1" applyBorder="1" applyAlignment="1">
      <alignment horizontal="centerContinuous" vertical="center" wrapText="1"/>
    </xf>
    <xf numFmtId="0" fontId="15" fillId="0" borderId="43" xfId="0" applyFont="1" applyBorder="1" applyAlignment="1">
      <alignment horizontal="centerContinuous" vertical="center" wrapText="1"/>
    </xf>
    <xf numFmtId="0" fontId="15" fillId="0" borderId="25" xfId="0" applyFont="1" applyBorder="1" applyAlignment="1">
      <alignment vertical="center" wrapText="1"/>
    </xf>
    <xf numFmtId="170" fontId="15" fillId="0" borderId="40" xfId="0" applyNumberFormat="1" applyFont="1" applyBorder="1" applyAlignment="1">
      <alignment horizontal="center" vertical="center"/>
    </xf>
    <xf numFmtId="0" fontId="15" fillId="0" borderId="40" xfId="0" applyFont="1" applyBorder="1" applyAlignment="1">
      <alignment horizontal="center" vertical="center"/>
    </xf>
    <xf numFmtId="0" fontId="15" fillId="0" borderId="45" xfId="0" applyFont="1" applyBorder="1" applyAlignment="1">
      <alignment horizontal="centerContinuous" vertical="center" wrapText="1"/>
    </xf>
    <xf numFmtId="0" fontId="15" fillId="0" borderId="47" xfId="0" applyFont="1" applyBorder="1" applyAlignment="1">
      <alignment horizontal="centerContinuous" vertical="center" wrapText="1"/>
    </xf>
    <xf numFmtId="0" fontId="15" fillId="0" borderId="10" xfId="0" applyFont="1" applyBorder="1" applyAlignment="1">
      <alignment horizontal="centerContinuous" vertical="center" wrapText="1"/>
    </xf>
    <xf numFmtId="0" fontId="15" fillId="0" borderId="38" xfId="0" applyFont="1" applyBorder="1" applyAlignment="1">
      <alignment vertical="center" wrapText="1"/>
    </xf>
    <xf numFmtId="170" fontId="15" fillId="0" borderId="60" xfId="0" applyNumberFormat="1" applyFont="1" applyBorder="1" applyAlignment="1">
      <alignment horizontal="center" vertical="center"/>
    </xf>
    <xf numFmtId="0" fontId="15" fillId="0" borderId="60" xfId="0" applyFont="1" applyBorder="1" applyAlignment="1">
      <alignment horizontal="center" vertical="center"/>
    </xf>
    <xf numFmtId="0" fontId="12" fillId="0" borderId="25" xfId="0" applyFont="1" applyBorder="1"/>
    <xf numFmtId="0" fontId="12" fillId="0" borderId="40" xfId="0" applyFont="1" applyBorder="1" applyAlignment="1">
      <alignment horizontal="center" wrapText="1"/>
    </xf>
    <xf numFmtId="0" fontId="12" fillId="0" borderId="40" xfId="0" applyFont="1" applyBorder="1" applyAlignment="1">
      <alignment horizontal="center"/>
    </xf>
    <xf numFmtId="0" fontId="12" fillId="0" borderId="23" xfId="0" applyFont="1" applyBorder="1" applyAlignment="1">
      <alignment horizontal="centerContinuous"/>
    </xf>
    <xf numFmtId="0" fontId="15" fillId="0" borderId="45" xfId="0" applyFont="1" applyBorder="1" applyAlignment="1">
      <alignment horizontal="centerContinuous"/>
    </xf>
    <xf numFmtId="0" fontId="12" fillId="0" borderId="26" xfId="0" applyFont="1" applyBorder="1" applyAlignment="1">
      <alignment horizontal="centerContinuous"/>
    </xf>
    <xf numFmtId="0" fontId="15" fillId="0" borderId="44" xfId="0" applyFont="1" applyBorder="1" applyAlignment="1">
      <alignment horizontal="centerContinuous" vertical="center" wrapText="1"/>
    </xf>
    <xf numFmtId="0" fontId="15" fillId="0" borderId="45" xfId="0" applyFont="1" applyBorder="1" applyAlignment="1">
      <alignment horizontal="centerContinuous" vertical="center"/>
    </xf>
    <xf numFmtId="0" fontId="15" fillId="0" borderId="47" xfId="0" applyFont="1" applyBorder="1" applyAlignment="1">
      <alignment horizontal="centerContinuous" vertical="center"/>
    </xf>
    <xf numFmtId="0" fontId="15" fillId="0" borderId="8" xfId="0" applyFont="1" applyBorder="1" applyAlignment="1">
      <alignment horizontal="centerContinuous" vertical="center" wrapText="1"/>
    </xf>
    <xf numFmtId="0" fontId="15" fillId="0" borderId="8" xfId="0" applyFont="1" applyBorder="1" applyAlignment="1">
      <alignment horizontal="centerContinuous"/>
    </xf>
    <xf numFmtId="0" fontId="15" fillId="0" borderId="9" xfId="0" applyFont="1" applyBorder="1" applyAlignment="1">
      <alignment horizontal="centerContinuous" vertical="center" wrapText="1"/>
    </xf>
    <xf numFmtId="0" fontId="12" fillId="0" borderId="12" xfId="0" applyFont="1" applyBorder="1" applyAlignment="1">
      <alignment horizontal="center"/>
    </xf>
    <xf numFmtId="0" fontId="12" fillId="0" borderId="21" xfId="0" applyFont="1" applyBorder="1" applyAlignment="1">
      <alignment horizontal="center" wrapText="1"/>
    </xf>
    <xf numFmtId="0" fontId="12" fillId="0" borderId="13" xfId="0" applyFont="1" applyBorder="1" applyAlignment="1">
      <alignment horizontal="center" vertical="center" wrapText="1"/>
    </xf>
    <xf numFmtId="0" fontId="12" fillId="0" borderId="21" xfId="0" applyFont="1" applyBorder="1" applyAlignment="1">
      <alignment horizontal="centerContinuous"/>
    </xf>
    <xf numFmtId="0" fontId="12" fillId="0" borderId="14" xfId="0" applyFont="1" applyBorder="1" applyAlignment="1">
      <alignment horizontal="centerContinuous"/>
    </xf>
    <xf numFmtId="1" fontId="15" fillId="0" borderId="11" xfId="0" applyNumberFormat="1" applyFont="1" applyBorder="1" applyAlignment="1">
      <alignment horizontal="center" vertical="center"/>
    </xf>
    <xf numFmtId="0" fontId="15" fillId="0" borderId="1" xfId="0" applyFont="1" applyBorder="1" applyAlignment="1">
      <alignment horizontal="center" vertical="center"/>
    </xf>
    <xf numFmtId="1" fontId="15" fillId="0" borderId="1" xfId="0" applyNumberFormat="1" applyFont="1" applyBorder="1" applyAlignment="1">
      <alignment horizontal="center" vertical="center"/>
    </xf>
    <xf numFmtId="0" fontId="15" fillId="0" borderId="43" xfId="0" applyFont="1" applyBorder="1" applyAlignment="1">
      <alignment horizontal="centerContinuous" vertical="center"/>
    </xf>
    <xf numFmtId="0" fontId="15" fillId="0" borderId="0" xfId="0" applyFont="1" applyAlignment="1">
      <alignment horizontal="centerContinuous" vertical="center"/>
    </xf>
    <xf numFmtId="0" fontId="15" fillId="0" borderId="1" xfId="0" applyFont="1" applyBorder="1" applyAlignment="1">
      <alignment horizontal="centerContinuous" vertical="center" wrapText="1"/>
    </xf>
    <xf numFmtId="0" fontId="15" fillId="0" borderId="16" xfId="0" applyFont="1" applyBorder="1" applyAlignment="1">
      <alignment horizontal="centerContinuous" vertical="center" wrapText="1"/>
    </xf>
    <xf numFmtId="0" fontId="15" fillId="0" borderId="0" xfId="0" applyFont="1" applyAlignment="1">
      <alignment horizontal="centerContinuous" vertical="center" wrapText="1"/>
    </xf>
    <xf numFmtId="0" fontId="12" fillId="2" borderId="12" xfId="0" applyFont="1" applyFill="1" applyBorder="1" applyAlignment="1">
      <alignment horizontal="centerContinuous" vertical="center"/>
    </xf>
    <xf numFmtId="0" fontId="12" fillId="2" borderId="13" xfId="0" applyFont="1" applyFill="1" applyBorder="1" applyAlignment="1">
      <alignment horizontal="centerContinuous" vertical="center"/>
    </xf>
    <xf numFmtId="0" fontId="12" fillId="2" borderId="14" xfId="0" applyFont="1" applyFill="1" applyBorder="1" applyAlignment="1">
      <alignment horizontal="centerContinuous" vertical="center"/>
    </xf>
    <xf numFmtId="0" fontId="24" fillId="2" borderId="15"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6" xfId="0" applyFont="1" applyFill="1" applyBorder="1" applyAlignment="1">
      <alignment horizontal="center" vertical="center"/>
    </xf>
    <xf numFmtId="0" fontId="25" fillId="3" borderId="15" xfId="0" applyFont="1" applyFill="1" applyBorder="1" applyAlignment="1">
      <alignment vertical="center"/>
    </xf>
    <xf numFmtId="171" fontId="25" fillId="3" borderId="1" xfId="0" applyNumberFormat="1" applyFont="1" applyFill="1" applyBorder="1" applyAlignment="1">
      <alignment horizontal="center" vertical="center"/>
    </xf>
    <xf numFmtId="0" fontId="25" fillId="3" borderId="16" xfId="0" applyFont="1" applyFill="1" applyBorder="1" applyAlignment="1">
      <alignment horizontal="center" vertical="center"/>
    </xf>
    <xf numFmtId="0" fontId="25" fillId="3" borderId="33" xfId="0" applyFont="1" applyFill="1" applyBorder="1" applyAlignment="1">
      <alignment vertical="center"/>
    </xf>
    <xf numFmtId="8" fontId="25" fillId="3" borderId="34" xfId="0" applyNumberFormat="1" applyFont="1" applyFill="1" applyBorder="1" applyAlignment="1">
      <alignment horizontal="center" vertical="center"/>
    </xf>
    <xf numFmtId="0" fontId="25" fillId="3" borderId="37" xfId="0" applyFont="1" applyFill="1" applyBorder="1" applyAlignment="1">
      <alignment horizontal="center" vertical="center"/>
    </xf>
    <xf numFmtId="0" fontId="27" fillId="3" borderId="27" xfId="0" applyFont="1" applyFill="1" applyBorder="1" applyAlignment="1">
      <alignment vertical="center"/>
    </xf>
    <xf numFmtId="8" fontId="27" fillId="3" borderId="28" xfId="0" applyNumberFormat="1" applyFont="1" applyFill="1" applyBorder="1" applyAlignment="1">
      <alignment horizontal="center" vertical="center"/>
    </xf>
    <xf numFmtId="0" fontId="27" fillId="3" borderId="29" xfId="0" applyFont="1" applyFill="1" applyBorder="1" applyAlignment="1">
      <alignment horizontal="center" vertical="center"/>
    </xf>
    <xf numFmtId="8" fontId="25" fillId="3" borderId="1" xfId="0" applyNumberFormat="1" applyFont="1" applyFill="1" applyBorder="1" applyAlignment="1">
      <alignment horizontal="center" vertical="center"/>
    </xf>
    <xf numFmtId="8" fontId="11" fillId="3" borderId="1" xfId="0" applyNumberFormat="1" applyFont="1" applyFill="1" applyBorder="1" applyAlignment="1">
      <alignment horizontal="center" vertical="center"/>
    </xf>
    <xf numFmtId="0" fontId="11" fillId="0" borderId="0" xfId="0" applyFont="1" applyAlignment="1">
      <alignment vertical="center" wrapText="1"/>
    </xf>
    <xf numFmtId="0" fontId="25" fillId="3" borderId="17" xfId="0" applyFont="1" applyFill="1" applyBorder="1" applyAlignment="1">
      <alignment vertical="center"/>
    </xf>
    <xf numFmtId="8" fontId="25" fillId="3" borderId="18" xfId="0" applyNumberFormat="1" applyFont="1" applyFill="1" applyBorder="1" applyAlignment="1">
      <alignment horizontal="center" vertical="center"/>
    </xf>
    <xf numFmtId="0" fontId="25" fillId="3" borderId="19" xfId="0" applyFont="1" applyFill="1" applyBorder="1" applyAlignment="1">
      <alignment horizontal="center" vertical="center"/>
    </xf>
    <xf numFmtId="0" fontId="27" fillId="3" borderId="2" xfId="0" applyFont="1" applyFill="1" applyBorder="1" applyAlignment="1">
      <alignment vertical="center"/>
    </xf>
    <xf numFmtId="0" fontId="27" fillId="3" borderId="3" xfId="0" applyFont="1" applyFill="1" applyBorder="1" applyAlignment="1">
      <alignment vertical="center"/>
    </xf>
    <xf numFmtId="0" fontId="27" fillId="3" borderId="4" xfId="0" applyFont="1" applyFill="1" applyBorder="1" applyAlignment="1">
      <alignment vertical="center"/>
    </xf>
    <xf numFmtId="0" fontId="27" fillId="3" borderId="5" xfId="0" applyFont="1" applyFill="1" applyBorder="1" applyAlignment="1">
      <alignment vertical="center"/>
    </xf>
    <xf numFmtId="0" fontId="27" fillId="3" borderId="0" xfId="0" applyFont="1" applyFill="1" applyAlignment="1">
      <alignment vertical="center"/>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8" xfId="0" applyFont="1" applyFill="1" applyBorder="1" applyAlignment="1">
      <alignment vertical="center"/>
    </xf>
    <xf numFmtId="0" fontId="27" fillId="3" borderId="9" xfId="0" applyFont="1" applyFill="1" applyBorder="1" applyAlignment="1">
      <alignment vertical="center"/>
    </xf>
    <xf numFmtId="0" fontId="12" fillId="5" borderId="31" xfId="0" applyFont="1" applyFill="1" applyBorder="1"/>
    <xf numFmtId="0" fontId="12" fillId="5" borderId="32" xfId="0" applyFont="1" applyFill="1" applyBorder="1"/>
    <xf numFmtId="0" fontId="12" fillId="5" borderId="30" xfId="0" applyFont="1" applyFill="1" applyBorder="1"/>
    <xf numFmtId="0" fontId="15" fillId="0" borderId="5" xfId="0" applyFont="1" applyBorder="1" applyAlignment="1">
      <alignment vertical="center"/>
    </xf>
    <xf numFmtId="0" fontId="15" fillId="0" borderId="0" xfId="0" applyFont="1" applyAlignment="1">
      <alignment vertical="center"/>
    </xf>
    <xf numFmtId="0" fontId="15" fillId="0" borderId="6" xfId="0" applyFont="1" applyBorder="1" applyAlignment="1">
      <alignment vertical="center"/>
    </xf>
    <xf numFmtId="0" fontId="13" fillId="0" borderId="7" xfId="12" applyFont="1" applyBorder="1" applyAlignment="1" applyProtection="1">
      <alignment vertical="center"/>
    </xf>
    <xf numFmtId="0" fontId="15" fillId="0" borderId="8" xfId="0" applyFont="1" applyBorder="1" applyAlignment="1">
      <alignment vertical="center"/>
    </xf>
    <xf numFmtId="0" fontId="15" fillId="0" borderId="9" xfId="0" applyFont="1" applyBorder="1" applyAlignment="1">
      <alignment vertical="center"/>
    </xf>
    <xf numFmtId="0" fontId="13" fillId="0" borderId="0" xfId="3" applyAlignment="1" applyProtection="1">
      <alignment vertical="top"/>
    </xf>
    <xf numFmtId="0" fontId="12" fillId="12" borderId="31" xfId="0" applyFont="1" applyFill="1" applyBorder="1" applyAlignment="1">
      <alignment horizontal="centerContinuous"/>
    </xf>
    <xf numFmtId="0" fontId="12" fillId="12" borderId="32" xfId="0" applyFont="1" applyFill="1" applyBorder="1" applyAlignment="1">
      <alignment horizontal="centerContinuous"/>
    </xf>
    <xf numFmtId="0" fontId="12" fillId="12" borderId="30" xfId="0" applyFont="1" applyFill="1" applyBorder="1" applyAlignment="1">
      <alignment horizontal="centerContinuous"/>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4" fillId="4" borderId="38" xfId="0" applyFont="1" applyFill="1" applyBorder="1" applyAlignment="1">
      <alignment horizontal="center"/>
    </xf>
    <xf numFmtId="0" fontId="12" fillId="4" borderId="60" xfId="0" applyFont="1" applyFill="1" applyBorder="1" applyAlignment="1">
      <alignment horizontal="center"/>
    </xf>
    <xf numFmtId="0" fontId="12" fillId="3" borderId="60" xfId="0" applyFont="1" applyFill="1" applyBorder="1" applyAlignment="1">
      <alignment horizontal="center"/>
    </xf>
    <xf numFmtId="0" fontId="12" fillId="3" borderId="61" xfId="0" applyFont="1" applyFill="1" applyBorder="1" applyAlignment="1">
      <alignment horizontal="center"/>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5" fillId="0" borderId="15" xfId="0" applyFont="1" applyBorder="1" applyAlignment="1">
      <alignment vertical="top" wrapText="1"/>
    </xf>
    <xf numFmtId="3" fontId="15" fillId="0" borderId="1" xfId="0" quotePrefix="1" applyNumberFormat="1" applyFont="1" applyBorder="1" applyAlignment="1">
      <alignment horizontal="left" vertical="center" wrapText="1"/>
    </xf>
    <xf numFmtId="0" fontId="15" fillId="0" borderId="16" xfId="0" applyFont="1" applyBorder="1" applyAlignment="1">
      <alignment horizontal="left" vertical="center" wrapText="1"/>
    </xf>
    <xf numFmtId="0" fontId="11" fillId="0" borderId="25" xfId="0" applyFont="1" applyBorder="1" applyAlignment="1">
      <alignment vertical="top" wrapText="1"/>
    </xf>
    <xf numFmtId="0" fontId="15" fillId="0" borderId="34" xfId="0" applyFont="1" applyBorder="1" applyAlignment="1">
      <alignment horizontal="left" vertical="center" wrapText="1"/>
    </xf>
    <xf numFmtId="0" fontId="11" fillId="0" borderId="36" xfId="0" applyFont="1" applyBorder="1" applyAlignment="1">
      <alignment vertical="top" wrapText="1"/>
    </xf>
    <xf numFmtId="3" fontId="15" fillId="0" borderId="34" xfId="0" quotePrefix="1" applyNumberFormat="1" applyFont="1" applyBorder="1" applyAlignment="1">
      <alignment horizontal="left" vertical="center" wrapText="1"/>
    </xf>
    <xf numFmtId="0" fontId="15" fillId="0" borderId="37" xfId="0" applyFont="1" applyBorder="1" applyAlignment="1">
      <alignment horizontal="left" vertical="center" wrapText="1"/>
    </xf>
    <xf numFmtId="0" fontId="15" fillId="0" borderId="17" xfId="0" applyFont="1" applyBorder="1" applyAlignment="1">
      <alignment vertical="top"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2" fillId="0" borderId="41" xfId="0" applyFont="1" applyBorder="1" applyAlignment="1">
      <alignment horizontal="center" vertical="center"/>
    </xf>
    <xf numFmtId="0" fontId="12" fillId="0" borderId="46" xfId="0" applyFont="1" applyBorder="1" applyAlignment="1">
      <alignment horizontal="center" vertical="center" wrapText="1"/>
    </xf>
    <xf numFmtId="0" fontId="14"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1" fillId="0" borderId="25" xfId="0" applyFont="1" applyBorder="1"/>
    <xf numFmtId="3" fontId="11" fillId="0" borderId="23" xfId="0" applyNumberFormat="1" applyFont="1" applyBorder="1" applyAlignment="1">
      <alignment horizontal="center"/>
    </xf>
    <xf numFmtId="0" fontId="11" fillId="0" borderId="25" xfId="0" applyFont="1" applyBorder="1" applyAlignment="1">
      <alignment horizontal="center"/>
    </xf>
    <xf numFmtId="0" fontId="15" fillId="0" borderId="23" xfId="0" applyFont="1" applyBorder="1" applyAlignment="1">
      <alignment horizontal="center"/>
    </xf>
    <xf numFmtId="0" fontId="11" fillId="0" borderId="15" xfId="0" applyFont="1" applyBorder="1"/>
    <xf numFmtId="3" fontId="11" fillId="0" borderId="1" xfId="0" applyNumberFormat="1" applyFont="1" applyBorder="1" applyAlignment="1">
      <alignment horizontal="center"/>
    </xf>
    <xf numFmtId="0" fontId="11" fillId="0" borderId="15" xfId="0" applyFont="1" applyBorder="1" applyAlignment="1">
      <alignment horizontal="center"/>
    </xf>
    <xf numFmtId="0" fontId="11" fillId="0" borderId="33" xfId="0" applyFont="1" applyBorder="1"/>
    <xf numFmtId="3" fontId="11" fillId="0" borderId="34" xfId="0" applyNumberFormat="1" applyFont="1" applyBorder="1" applyAlignment="1">
      <alignment horizontal="center"/>
    </xf>
    <xf numFmtId="0" fontId="15" fillId="0" borderId="17" xfId="0" applyFont="1" applyBorder="1"/>
    <xf numFmtId="3" fontId="15" fillId="0" borderId="18" xfId="0" applyNumberFormat="1" applyFont="1" applyBorder="1" applyAlignment="1">
      <alignment horizontal="center"/>
    </xf>
    <xf numFmtId="0" fontId="11" fillId="0" borderId="17" xfId="0" applyFont="1" applyBorder="1" applyAlignment="1">
      <alignment horizontal="center"/>
    </xf>
    <xf numFmtId="0" fontId="13" fillId="0" borderId="5" xfId="3" applyBorder="1"/>
    <xf numFmtId="0" fontId="15" fillId="24" borderId="59" xfId="0" applyFont="1" applyFill="1" applyBorder="1"/>
    <xf numFmtId="0" fontId="37" fillId="30" borderId="25" xfId="0" applyFont="1" applyFill="1" applyBorder="1" applyAlignment="1" applyProtection="1">
      <alignment horizontal="left" vertical="center" wrapText="1"/>
      <protection locked="0"/>
    </xf>
    <xf numFmtId="0" fontId="37" fillId="30" borderId="15" xfId="0" applyFont="1" applyFill="1" applyBorder="1" applyAlignment="1" applyProtection="1">
      <alignment horizontal="left" vertical="center" wrapText="1"/>
      <protection locked="0"/>
    </xf>
    <xf numFmtId="0" fontId="37" fillId="30" borderId="17" xfId="0" applyFont="1" applyFill="1" applyBorder="1" applyAlignment="1" applyProtection="1">
      <alignment horizontal="left" vertical="center" wrapText="1"/>
      <protection locked="0"/>
    </xf>
    <xf numFmtId="0" fontId="15" fillId="24" borderId="18" xfId="0" applyFont="1" applyFill="1" applyBorder="1"/>
    <xf numFmtId="0" fontId="15" fillId="24" borderId="19" xfId="0" applyFont="1" applyFill="1" applyBorder="1"/>
    <xf numFmtId="170" fontId="15" fillId="25" borderId="44" xfId="0" applyNumberFormat="1" applyFont="1" applyFill="1" applyBorder="1" applyAlignment="1">
      <alignment horizontal="center" vertical="center" wrapText="1"/>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40" fillId="13" borderId="0" xfId="0" applyFont="1" applyFill="1" applyAlignment="1">
      <alignment vertical="center"/>
    </xf>
    <xf numFmtId="0" fontId="37" fillId="0" borderId="1" xfId="13" applyFont="1" applyBorder="1" applyAlignment="1">
      <alignment horizontal="left" vertical="center" indent="1"/>
    </xf>
    <xf numFmtId="0" fontId="36" fillId="13" borderId="4" xfId="13" applyFont="1" applyFill="1" applyBorder="1" applyAlignment="1">
      <alignment vertical="center"/>
    </xf>
    <xf numFmtId="0" fontId="37" fillId="0" borderId="51" xfId="13" applyFont="1" applyBorder="1" applyAlignment="1">
      <alignment horizontal="left" vertical="center" indent="1"/>
    </xf>
    <xf numFmtId="0" fontId="38" fillId="20" borderId="7" xfId="13" applyFont="1" applyFill="1" applyBorder="1" applyAlignment="1">
      <alignment horizontal="left" vertical="center" wrapText="1" indent="1"/>
    </xf>
    <xf numFmtId="0" fontId="37" fillId="0" borderId="59" xfId="13" applyFont="1" applyBorder="1" applyAlignment="1">
      <alignment horizontal="left" vertical="center" indent="1"/>
    </xf>
    <xf numFmtId="0" fontId="37" fillId="31" borderId="65" xfId="13" applyFont="1" applyFill="1" applyBorder="1" applyAlignment="1">
      <alignment horizontal="left" vertical="center" wrapText="1" indent="1"/>
    </xf>
    <xf numFmtId="0" fontId="15" fillId="0" borderId="59" xfId="0" applyFont="1" applyBorder="1" applyAlignment="1">
      <alignment horizontal="centerContinuous" vertical="center" wrapText="1"/>
    </xf>
    <xf numFmtId="0" fontId="44" fillId="0" borderId="0" xfId="0" applyFont="1" applyAlignment="1">
      <alignment wrapText="1"/>
    </xf>
    <xf numFmtId="0" fontId="9" fillId="0" borderId="15" xfId="0" applyFont="1" applyBorder="1"/>
    <xf numFmtId="0" fontId="12" fillId="0" borderId="23" xfId="0" applyFont="1" applyBorder="1"/>
    <xf numFmtId="0" fontId="9" fillId="0" borderId="1" xfId="15" applyNumberFormat="1" applyFont="1" applyBorder="1"/>
    <xf numFmtId="170" fontId="9" fillId="3" borderId="1" xfId="15" applyNumberFormat="1" applyFont="1" applyFill="1" applyBorder="1" applyAlignment="1">
      <alignment horizontal="center" vertical="center"/>
    </xf>
    <xf numFmtId="170" fontId="9" fillId="0" borderId="1" xfId="15" applyNumberFormat="1" applyFont="1" applyFill="1" applyBorder="1" applyAlignment="1">
      <alignment horizontal="center" vertical="center"/>
    </xf>
    <xf numFmtId="174" fontId="9" fillId="0" borderId="1" xfId="14" applyNumberFormat="1" applyFont="1" applyFill="1" applyBorder="1" applyAlignment="1" applyProtection="1">
      <alignment horizontal="center" vertical="center"/>
    </xf>
    <xf numFmtId="1" fontId="9" fillId="0" borderId="1" xfId="14" applyNumberFormat="1" applyFont="1" applyFill="1" applyBorder="1" applyAlignment="1" applyProtection="1">
      <alignment horizontal="center" vertical="center"/>
    </xf>
    <xf numFmtId="165" fontId="14" fillId="27" borderId="66" xfId="7" applyNumberFormat="1" applyFont="1" applyFill="1" applyBorder="1" applyAlignment="1" applyProtection="1">
      <alignment horizontal="left" vertical="center"/>
    </xf>
    <xf numFmtId="174" fontId="14" fillId="27" borderId="38" xfId="14" applyNumberFormat="1" applyFont="1" applyFill="1" applyBorder="1" applyAlignment="1" applyProtection="1">
      <alignment horizontal="left" vertical="center"/>
    </xf>
    <xf numFmtId="0" fontId="43" fillId="5" borderId="27" xfId="0" applyFont="1" applyFill="1" applyBorder="1" applyAlignment="1">
      <alignment horizontal="centerContinuous" vertical="center"/>
    </xf>
    <xf numFmtId="0" fontId="43" fillId="5" borderId="38" xfId="0" applyFont="1" applyFill="1" applyBorder="1" applyAlignment="1">
      <alignment horizontal="left" vertical="center" wrapText="1"/>
    </xf>
    <xf numFmtId="0" fontId="43" fillId="5" borderId="59" xfId="0" applyFont="1" applyFill="1" applyBorder="1" applyAlignment="1">
      <alignment horizontal="left" vertical="center" wrapText="1"/>
    </xf>
    <xf numFmtId="0" fontId="12" fillId="2" borderId="34" xfId="0" applyFont="1" applyFill="1" applyBorder="1"/>
    <xf numFmtId="165" fontId="37" fillId="19" borderId="44" xfId="7" applyNumberFormat="1" applyFont="1" applyFill="1" applyBorder="1" applyAlignment="1" applyProtection="1">
      <alignment horizontal="center" vertical="center"/>
    </xf>
    <xf numFmtId="165" fontId="37" fillId="19" borderId="10" xfId="7" applyNumberFormat="1" applyFont="1" applyFill="1" applyBorder="1" applyAlignment="1" applyProtection="1">
      <alignment horizontal="center" vertical="center"/>
    </xf>
    <xf numFmtId="165" fontId="37" fillId="19" borderId="48" xfId="7" applyNumberFormat="1" applyFont="1" applyFill="1" applyBorder="1" applyAlignment="1" applyProtection="1">
      <alignment horizontal="center" vertical="center"/>
    </xf>
    <xf numFmtId="165" fontId="36" fillId="28" borderId="59" xfId="7" applyNumberFormat="1" applyFont="1" applyFill="1" applyBorder="1" applyAlignment="1" applyProtection="1">
      <alignment horizontal="left" vertical="center"/>
    </xf>
    <xf numFmtId="170" fontId="15" fillId="32" borderId="23" xfId="0" applyNumberFormat="1" applyFont="1" applyFill="1" applyBorder="1" applyAlignment="1" applyProtection="1">
      <alignment horizontal="center" vertical="center" wrapText="1"/>
      <protection locked="0"/>
    </xf>
    <xf numFmtId="170" fontId="15" fillId="32" borderId="1" xfId="0" applyNumberFormat="1" applyFont="1" applyFill="1" applyBorder="1" applyAlignment="1" applyProtection="1">
      <alignment horizontal="center" vertical="center" wrapText="1"/>
      <protection locked="0"/>
    </xf>
    <xf numFmtId="170" fontId="15" fillId="32" borderId="34" xfId="0" applyNumberFormat="1" applyFont="1" applyFill="1" applyBorder="1" applyAlignment="1" applyProtection="1">
      <alignment horizontal="center" vertical="center" wrapText="1"/>
      <protection locked="0"/>
    </xf>
    <xf numFmtId="0" fontId="9" fillId="0" borderId="17" xfId="0" applyFont="1" applyBorder="1"/>
    <xf numFmtId="0" fontId="9" fillId="0" borderId="18" xfId="0" applyFont="1" applyBorder="1"/>
    <xf numFmtId="0" fontId="37" fillId="0" borderId="37" xfId="13" applyFont="1" applyBorder="1" applyAlignment="1">
      <alignment horizontal="left" vertical="center" indent="1"/>
    </xf>
    <xf numFmtId="0" fontId="61" fillId="0" borderId="0" xfId="0" applyFont="1" applyAlignment="1">
      <alignment horizontal="center"/>
    </xf>
    <xf numFmtId="4" fontId="11" fillId="32" borderId="23" xfId="0" applyNumberFormat="1" applyFont="1" applyFill="1" applyBorder="1" applyAlignment="1" applyProtection="1">
      <alignment horizontal="center" vertical="center" wrapText="1"/>
      <protection locked="0"/>
    </xf>
    <xf numFmtId="4" fontId="11" fillId="32" borderId="1" xfId="0" applyNumberFormat="1" applyFont="1" applyFill="1" applyBorder="1" applyAlignment="1" applyProtection="1">
      <alignment horizontal="center" vertical="center" wrapText="1"/>
      <protection locked="0"/>
    </xf>
    <xf numFmtId="1" fontId="9" fillId="0" borderId="23" xfId="14" applyNumberFormat="1" applyFont="1" applyBorder="1" applyAlignment="1" applyProtection="1">
      <alignment horizontal="center" vertical="center"/>
    </xf>
    <xf numFmtId="0" fontId="44" fillId="2" borderId="27" xfId="0" applyFont="1" applyFill="1" applyBorder="1" applyAlignment="1">
      <alignment horizontal="centerContinuous"/>
    </xf>
    <xf numFmtId="0" fontId="44" fillId="2" borderId="28" xfId="0" applyFont="1" applyFill="1" applyBorder="1" applyAlignment="1">
      <alignment horizontal="centerContinuous"/>
    </xf>
    <xf numFmtId="0" fontId="44" fillId="2" borderId="29" xfId="0" applyFont="1" applyFill="1" applyBorder="1" applyAlignment="1">
      <alignment horizontal="centerContinuous"/>
    </xf>
    <xf numFmtId="0" fontId="12" fillId="0" borderId="23" xfId="0" applyFont="1" applyBorder="1" applyAlignment="1">
      <alignment horizontal="center" vertical="center"/>
    </xf>
    <xf numFmtId="0" fontId="44" fillId="2" borderId="12" xfId="0" applyFont="1" applyFill="1" applyBorder="1"/>
    <xf numFmtId="0" fontId="44" fillId="2" borderId="13" xfId="0" applyFont="1" applyFill="1" applyBorder="1" applyAlignment="1">
      <alignment horizontal="centerContinuous"/>
    </xf>
    <xf numFmtId="0" fontId="44" fillId="2" borderId="14" xfId="0" applyFont="1" applyFill="1" applyBorder="1" applyAlignment="1">
      <alignment horizontal="centerContinuous"/>
    </xf>
    <xf numFmtId="0" fontId="44" fillId="2" borderId="17" xfId="0" applyFont="1" applyFill="1" applyBorder="1" applyAlignment="1">
      <alignment horizontal="left" vertical="center" wrapText="1"/>
    </xf>
    <xf numFmtId="0" fontId="44" fillId="2" borderId="18" xfId="0" applyFont="1" applyFill="1" applyBorder="1" applyAlignment="1">
      <alignment horizontal="left" vertical="center" wrapText="1"/>
    </xf>
    <xf numFmtId="0" fontId="44" fillId="2" borderId="19" xfId="0" applyFont="1" applyFill="1" applyBorder="1" applyAlignment="1">
      <alignment horizontal="left" vertical="center" wrapText="1"/>
    </xf>
    <xf numFmtId="0" fontId="12" fillId="0" borderId="26" xfId="0" applyFont="1" applyBorder="1" applyAlignment="1">
      <alignment horizontal="center" vertical="center"/>
    </xf>
    <xf numFmtId="170" fontId="9" fillId="3" borderId="16" xfId="15" applyNumberFormat="1" applyFont="1" applyFill="1" applyBorder="1" applyAlignment="1">
      <alignment horizontal="center" vertical="center"/>
    </xf>
    <xf numFmtId="170" fontId="9" fillId="3" borderId="18" xfId="15" applyNumberFormat="1" applyFont="1" applyFill="1" applyBorder="1" applyAlignment="1">
      <alignment horizontal="center" vertical="center"/>
    </xf>
    <xf numFmtId="170" fontId="9" fillId="0" borderId="18" xfId="15" applyNumberFormat="1" applyFont="1" applyFill="1" applyBorder="1" applyAlignment="1">
      <alignment horizontal="center" vertical="center"/>
    </xf>
    <xf numFmtId="0" fontId="9" fillId="0" borderId="18" xfId="15" applyNumberFormat="1" applyFont="1" applyBorder="1"/>
    <xf numFmtId="170" fontId="9" fillId="3" borderId="19" xfId="15" applyNumberFormat="1" applyFont="1" applyFill="1" applyBorder="1" applyAlignment="1">
      <alignment horizontal="center" vertical="center"/>
    </xf>
    <xf numFmtId="0" fontId="46" fillId="2" borderId="31" xfId="0" applyFont="1" applyFill="1" applyBorder="1" applyAlignment="1">
      <alignment horizontal="centerContinuous" vertical="center" wrapText="1"/>
    </xf>
    <xf numFmtId="0" fontId="46" fillId="2" borderId="32" xfId="0" applyFont="1" applyFill="1" applyBorder="1" applyAlignment="1">
      <alignment horizontal="centerContinuous" vertical="center" wrapText="1"/>
    </xf>
    <xf numFmtId="0" fontId="46" fillId="2" borderId="30" xfId="0" applyFont="1" applyFill="1" applyBorder="1" applyAlignment="1">
      <alignment horizontal="centerContinuous" vertical="center" wrapText="1"/>
    </xf>
    <xf numFmtId="0" fontId="46" fillId="2" borderId="17" xfId="0" applyFont="1" applyFill="1" applyBorder="1" applyAlignment="1">
      <alignment vertical="center" wrapText="1"/>
    </xf>
    <xf numFmtId="0" fontId="46" fillId="2" borderId="18" xfId="0" applyFont="1" applyFill="1" applyBorder="1" applyAlignment="1">
      <alignment vertical="center" wrapText="1"/>
    </xf>
    <xf numFmtId="0" fontId="46" fillId="2" borderId="19" xfId="0" applyFont="1" applyFill="1" applyBorder="1" applyAlignment="1">
      <alignment vertical="center" wrapText="1"/>
    </xf>
    <xf numFmtId="0" fontId="47" fillId="2" borderId="23" xfId="0" applyFont="1" applyFill="1" applyBorder="1" applyAlignment="1">
      <alignment horizontal="left" vertical="center" wrapText="1"/>
    </xf>
    <xf numFmtId="0" fontId="47" fillId="2" borderId="44" xfId="0" applyFont="1" applyFill="1" applyBorder="1" applyAlignment="1">
      <alignment horizontal="left" vertical="center" wrapText="1"/>
    </xf>
    <xf numFmtId="0" fontId="46" fillId="2" borderId="12" xfId="0" applyFont="1" applyFill="1" applyBorder="1" applyAlignment="1">
      <alignment horizontal="centerContinuous" wrapText="1"/>
    </xf>
    <xf numFmtId="0" fontId="46" fillId="2" borderId="57" xfId="0" applyFont="1" applyFill="1" applyBorder="1" applyAlignment="1">
      <alignment horizontal="centerContinuous" wrapText="1"/>
    </xf>
    <xf numFmtId="0" fontId="47" fillId="2" borderId="13" xfId="0" applyFont="1" applyFill="1" applyBorder="1" applyAlignment="1">
      <alignment horizontal="centerContinuous" vertical="center" wrapText="1"/>
    </xf>
    <xf numFmtId="0" fontId="46" fillId="2" borderId="17" xfId="0" applyFont="1" applyFill="1" applyBorder="1" applyAlignment="1">
      <alignment wrapText="1"/>
    </xf>
    <xf numFmtId="0" fontId="46" fillId="2" borderId="18" xfId="0" applyFont="1" applyFill="1" applyBorder="1" applyAlignment="1">
      <alignment wrapText="1"/>
    </xf>
    <xf numFmtId="165" fontId="46" fillId="2" borderId="18" xfId="7" applyNumberFormat="1" applyFont="1" applyFill="1" applyBorder="1" applyAlignment="1" applyProtection="1">
      <alignment horizontal="center" vertical="center" wrapText="1"/>
    </xf>
    <xf numFmtId="165" fontId="46" fillId="2" borderId="48" xfId="7" applyNumberFormat="1" applyFont="1" applyFill="1" applyBorder="1" applyAlignment="1" applyProtection="1">
      <alignment horizontal="center" vertical="center" wrapText="1"/>
    </xf>
    <xf numFmtId="0" fontId="46" fillId="2" borderId="25" xfId="0" applyFont="1" applyFill="1" applyBorder="1" applyAlignment="1">
      <alignment wrapText="1"/>
    </xf>
    <xf numFmtId="0" fontId="46" fillId="2" borderId="26" xfId="0" applyFont="1" applyFill="1" applyBorder="1" applyAlignment="1">
      <alignment vertical="center" wrapText="1"/>
    </xf>
    <xf numFmtId="174" fontId="9" fillId="0" borderId="16" xfId="14" applyNumberFormat="1" applyFont="1" applyBorder="1" applyAlignment="1" applyProtection="1">
      <alignment horizontal="center" vertical="center" wrapText="1"/>
    </xf>
    <xf numFmtId="165" fontId="9" fillId="0" borderId="18" xfId="7" applyNumberFormat="1" applyFont="1" applyBorder="1" applyAlignment="1" applyProtection="1">
      <alignment horizontal="center" vertical="center"/>
    </xf>
    <xf numFmtId="174" fontId="9" fillId="0" borderId="18" xfId="14" applyNumberFormat="1" applyFont="1" applyBorder="1" applyAlignment="1" applyProtection="1">
      <alignment horizontal="center" vertical="center" wrapText="1"/>
    </xf>
    <xf numFmtId="174" fontId="9" fillId="0" borderId="19" xfId="14" applyNumberFormat="1" applyFont="1" applyBorder="1" applyAlignment="1" applyProtection="1">
      <alignment horizontal="center" vertical="center" wrapText="1"/>
    </xf>
    <xf numFmtId="174" fontId="9" fillId="0" borderId="10" xfId="14" applyNumberFormat="1" applyFont="1" applyBorder="1" applyAlignment="1" applyProtection="1">
      <alignment horizontal="center" vertical="center" wrapText="1"/>
    </xf>
    <xf numFmtId="174" fontId="9" fillId="0" borderId="48" xfId="14" applyNumberFormat="1" applyFont="1" applyBorder="1" applyAlignment="1" applyProtection="1">
      <alignment horizontal="center" vertical="center" wrapText="1"/>
    </xf>
    <xf numFmtId="0" fontId="46" fillId="2" borderId="25" xfId="0" applyFont="1" applyFill="1" applyBorder="1" applyAlignment="1">
      <alignment vertical="center" wrapText="1"/>
    </xf>
    <xf numFmtId="174" fontId="9" fillId="0" borderId="15" xfId="14" applyNumberFormat="1" applyFont="1" applyBorder="1" applyAlignment="1" applyProtection="1">
      <alignment horizontal="center" vertical="center" wrapText="1"/>
    </xf>
    <xf numFmtId="174" fontId="9" fillId="0" borderId="17" xfId="14" applyNumberFormat="1" applyFont="1" applyBorder="1" applyAlignment="1" applyProtection="1">
      <alignment horizontal="center" vertical="center" wrapText="1"/>
    </xf>
    <xf numFmtId="0" fontId="9" fillId="2" borderId="13" xfId="0" applyFont="1" applyFill="1" applyBorder="1" applyAlignment="1">
      <alignment horizontal="centerContinuous"/>
    </xf>
    <xf numFmtId="0" fontId="46" fillId="2" borderId="13" xfId="0" applyFont="1" applyFill="1" applyBorder="1" applyAlignment="1">
      <alignment horizontal="centerContinuous" vertical="center"/>
    </xf>
    <xf numFmtId="0" fontId="46" fillId="2" borderId="14" xfId="0" applyFont="1" applyFill="1" applyBorder="1" applyAlignment="1">
      <alignment horizontal="centerContinuous" vertical="center"/>
    </xf>
    <xf numFmtId="165" fontId="46" fillId="2" borderId="17" xfId="7" applyNumberFormat="1" applyFont="1" applyFill="1" applyBorder="1" applyAlignment="1" applyProtection="1">
      <alignment vertical="center" wrapText="1"/>
    </xf>
    <xf numFmtId="0" fontId="46" fillId="2" borderId="18" xfId="0" applyFont="1" applyFill="1" applyBorder="1" applyAlignment="1">
      <alignment horizontal="center" vertical="center"/>
    </xf>
    <xf numFmtId="165" fontId="46" fillId="2" borderId="18" xfId="7" applyNumberFormat="1" applyFont="1" applyFill="1" applyBorder="1" applyAlignment="1" applyProtection="1">
      <alignment vertical="center" wrapText="1"/>
    </xf>
    <xf numFmtId="165" fontId="46" fillId="2" borderId="48" xfId="7" applyNumberFormat="1" applyFont="1" applyFill="1" applyBorder="1" applyAlignment="1" applyProtection="1">
      <alignment vertical="center" wrapText="1"/>
    </xf>
    <xf numFmtId="0" fontId="46" fillId="2" borderId="25" xfId="0" applyFont="1" applyFill="1" applyBorder="1" applyAlignment="1">
      <alignment horizontal="centerContinuous" vertical="center"/>
    </xf>
    <xf numFmtId="1" fontId="9" fillId="0" borderId="16" xfId="14" applyNumberFormat="1" applyFont="1" applyFill="1" applyBorder="1" applyAlignment="1" applyProtection="1">
      <alignment horizontal="center" vertical="center"/>
    </xf>
    <xf numFmtId="165" fontId="44" fillId="26" borderId="8" xfId="7" applyNumberFormat="1" applyFont="1" applyFill="1" applyBorder="1" applyAlignment="1" applyProtection="1">
      <alignment horizontal="center" vertical="center"/>
    </xf>
    <xf numFmtId="174" fontId="44" fillId="26" borderId="8" xfId="14" applyNumberFormat="1" applyFont="1" applyFill="1" applyBorder="1" applyAlignment="1" applyProtection="1">
      <alignment horizontal="center" vertical="center"/>
    </xf>
    <xf numFmtId="174" fontId="44" fillId="6" borderId="8" xfId="14" applyNumberFormat="1" applyFont="1" applyFill="1" applyBorder="1" applyAlignment="1" applyProtection="1">
      <alignment horizontal="center" vertical="center"/>
    </xf>
    <xf numFmtId="174" fontId="44" fillId="6" borderId="8" xfId="14" applyNumberFormat="1" applyFont="1" applyFill="1" applyBorder="1" applyProtection="1"/>
    <xf numFmtId="174" fontId="44" fillId="6" borderId="9" xfId="14" applyNumberFormat="1" applyFont="1" applyFill="1" applyBorder="1" applyProtection="1"/>
    <xf numFmtId="174" fontId="44" fillId="26" borderId="7" xfId="14" applyNumberFormat="1" applyFont="1" applyFill="1" applyBorder="1" applyAlignment="1" applyProtection="1">
      <alignment horizontal="centerContinuous"/>
    </xf>
    <xf numFmtId="174" fontId="44" fillId="26" borderId="8" xfId="14" applyNumberFormat="1" applyFont="1" applyFill="1" applyBorder="1" applyAlignment="1" applyProtection="1">
      <alignment horizontal="centerContinuous"/>
    </xf>
    <xf numFmtId="174" fontId="44" fillId="6" borderId="60" xfId="14" applyNumberFormat="1" applyFont="1" applyFill="1" applyBorder="1" applyAlignment="1" applyProtection="1">
      <alignment horizontal="center" vertical="center"/>
    </xf>
    <xf numFmtId="174" fontId="9" fillId="0" borderId="18" xfId="14" applyNumberFormat="1" applyFont="1" applyBorder="1" applyAlignment="1" applyProtection="1">
      <alignment horizontal="center" vertical="center"/>
    </xf>
    <xf numFmtId="174" fontId="9" fillId="0" borderId="48" xfId="14" applyNumberFormat="1" applyFont="1" applyBorder="1" applyAlignment="1" applyProtection="1">
      <alignment horizontal="center" vertical="center"/>
    </xf>
    <xf numFmtId="174" fontId="9" fillId="0" borderId="60" xfId="14" applyNumberFormat="1" applyFont="1" applyBorder="1" applyAlignment="1" applyProtection="1">
      <alignment horizontal="center" vertical="center"/>
    </xf>
    <xf numFmtId="1" fontId="9" fillId="0" borderId="60" xfId="14" applyNumberFormat="1" applyFont="1" applyBorder="1" applyAlignment="1" applyProtection="1">
      <alignment horizontal="center" vertical="center"/>
    </xf>
    <xf numFmtId="174" fontId="9" fillId="0" borderId="18" xfId="14" applyNumberFormat="1" applyFont="1" applyFill="1" applyBorder="1" applyAlignment="1" applyProtection="1">
      <alignment horizontal="center" vertical="center"/>
    </xf>
    <xf numFmtId="1" fontId="9" fillId="0" borderId="18" xfId="14" applyNumberFormat="1" applyFont="1" applyFill="1" applyBorder="1" applyAlignment="1" applyProtection="1">
      <alignment horizontal="center" vertical="center"/>
    </xf>
    <xf numFmtId="1" fontId="9" fillId="0" borderId="19" xfId="14" applyNumberFormat="1" applyFont="1" applyFill="1" applyBorder="1" applyAlignment="1" applyProtection="1">
      <alignment horizontal="center" vertical="center"/>
    </xf>
    <xf numFmtId="0" fontId="47" fillId="2" borderId="40" xfId="0" applyFont="1" applyFill="1" applyBorder="1" applyAlignment="1">
      <alignment horizontal="center" vertical="center" wrapText="1"/>
    </xf>
    <xf numFmtId="174" fontId="9" fillId="0" borderId="11" xfId="14" applyNumberFormat="1" applyFont="1" applyBorder="1" applyAlignment="1" applyProtection="1">
      <alignment horizontal="center" vertical="center"/>
    </xf>
    <xf numFmtId="174" fontId="9" fillId="0" borderId="56" xfId="14" applyNumberFormat="1" applyFont="1" applyBorder="1" applyAlignment="1" applyProtection="1">
      <alignment horizontal="center" vertical="center"/>
    </xf>
    <xf numFmtId="0" fontId="46" fillId="2" borderId="26" xfId="0" applyFont="1" applyFill="1" applyBorder="1" applyAlignment="1">
      <alignment horizontal="center" vertical="center" wrapText="1"/>
    </xf>
    <xf numFmtId="174" fontId="9" fillId="0" borderId="16" xfId="14" applyNumberFormat="1" applyFont="1" applyBorder="1" applyAlignment="1" applyProtection="1">
      <alignment horizontal="center" vertical="center"/>
    </xf>
    <xf numFmtId="174" fontId="9" fillId="0" borderId="19" xfId="14" applyNumberFormat="1" applyFont="1" applyBorder="1" applyAlignment="1" applyProtection="1">
      <alignment horizontal="center" vertical="center"/>
    </xf>
    <xf numFmtId="0" fontId="46" fillId="2" borderId="21" xfId="0" applyFont="1" applyFill="1" applyBorder="1" applyAlignment="1">
      <alignment horizontal="centerContinuous" vertical="center"/>
    </xf>
    <xf numFmtId="174" fontId="9" fillId="0" borderId="40" xfId="14" applyNumberFormat="1" applyFont="1" applyBorder="1" applyAlignment="1" applyProtection="1">
      <alignment horizontal="center" vertical="center"/>
    </xf>
    <xf numFmtId="174" fontId="9" fillId="0" borderId="70" xfId="14" applyNumberFormat="1" applyFont="1" applyBorder="1" applyAlignment="1" applyProtection="1">
      <alignment horizontal="center" vertical="center"/>
    </xf>
    <xf numFmtId="174" fontId="9" fillId="0" borderId="26" xfId="14" applyNumberFormat="1" applyFont="1" applyBorder="1" applyAlignment="1" applyProtection="1">
      <alignment horizontal="center" vertical="center"/>
    </xf>
    <xf numFmtId="174" fontId="9" fillId="0" borderId="61" xfId="14" applyNumberFormat="1" applyFont="1" applyBorder="1" applyAlignment="1" applyProtection="1">
      <alignment horizontal="center" vertical="center"/>
    </xf>
    <xf numFmtId="174" fontId="9" fillId="0" borderId="11" xfId="14" applyNumberFormat="1" applyFont="1" applyFill="1" applyBorder="1" applyAlignment="1" applyProtection="1">
      <alignment horizontal="center" vertical="center"/>
    </xf>
    <xf numFmtId="174" fontId="9" fillId="0" borderId="56" xfId="14" applyNumberFormat="1" applyFont="1" applyFill="1" applyBorder="1" applyAlignment="1" applyProtection="1">
      <alignment horizontal="center" vertical="center"/>
    </xf>
    <xf numFmtId="1" fontId="9" fillId="0" borderId="26" xfId="14" applyNumberFormat="1" applyFont="1" applyBorder="1" applyAlignment="1" applyProtection="1">
      <alignment horizontal="center" vertical="center"/>
    </xf>
    <xf numFmtId="1" fontId="9" fillId="0" borderId="61" xfId="14" applyNumberFormat="1" applyFont="1" applyBorder="1" applyAlignment="1" applyProtection="1">
      <alignment horizontal="center" vertical="center"/>
    </xf>
    <xf numFmtId="0" fontId="46" fillId="2" borderId="31" xfId="0" applyFont="1" applyFill="1" applyBorder="1" applyAlignment="1">
      <alignment horizontal="centerContinuous"/>
    </xf>
    <xf numFmtId="0" fontId="46" fillId="2" borderId="32" xfId="0" applyFont="1" applyFill="1" applyBorder="1" applyAlignment="1">
      <alignment horizontal="centerContinuous"/>
    </xf>
    <xf numFmtId="0" fontId="46" fillId="2" borderId="30" xfId="0" applyFont="1" applyFill="1" applyBorder="1" applyAlignment="1">
      <alignment horizontal="centerContinuous"/>
    </xf>
    <xf numFmtId="0" fontId="46" fillId="2" borderId="31" xfId="0" applyFont="1" applyFill="1" applyBorder="1" applyAlignment="1">
      <alignment horizontal="centerContinuous" vertical="center"/>
    </xf>
    <xf numFmtId="0" fontId="46" fillId="2" borderId="32" xfId="0" applyFont="1" applyFill="1" applyBorder="1" applyAlignment="1">
      <alignment horizontal="centerContinuous" vertical="center"/>
    </xf>
    <xf numFmtId="0" fontId="46" fillId="2" borderId="30" xfId="0" applyFont="1" applyFill="1" applyBorder="1" applyAlignment="1">
      <alignment horizontal="centerContinuous" vertical="center"/>
    </xf>
    <xf numFmtId="0" fontId="15" fillId="0" borderId="33" xfId="0" applyFont="1" applyBorder="1" applyAlignment="1">
      <alignment vertical="center" wrapText="1"/>
    </xf>
    <xf numFmtId="170" fontId="15" fillId="0" borderId="53" xfId="0" applyNumberFormat="1" applyFont="1" applyBorder="1" applyAlignment="1">
      <alignment horizontal="center" vertical="center"/>
    </xf>
    <xf numFmtId="0" fontId="15" fillId="0" borderId="53" xfId="0" applyFont="1" applyBorder="1" applyAlignment="1">
      <alignment horizontal="center" vertical="center"/>
    </xf>
    <xf numFmtId="0" fontId="15" fillId="0" borderId="50" xfId="0" applyFont="1" applyBorder="1" applyAlignment="1">
      <alignment horizontal="centerContinuous" vertical="center" wrapText="1"/>
    </xf>
    <xf numFmtId="0" fontId="15" fillId="0" borderId="51" xfId="0" applyFont="1" applyBorder="1" applyAlignment="1">
      <alignment horizontal="centerContinuous" vertical="center" wrapText="1"/>
    </xf>
    <xf numFmtId="0" fontId="15" fillId="0" borderId="12" xfId="0" applyFont="1" applyBorder="1" applyAlignment="1">
      <alignment vertical="center" wrapText="1"/>
    </xf>
    <xf numFmtId="170"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15" fillId="0" borderId="32" xfId="0" applyFont="1" applyBorder="1" applyAlignment="1">
      <alignment horizontal="centerContinuous" vertical="center" wrapText="1"/>
    </xf>
    <xf numFmtId="0" fontId="15" fillId="0" borderId="30" xfId="0" applyFont="1" applyBorder="1" applyAlignment="1">
      <alignment horizontal="centerContinuous" vertical="center" wrapText="1"/>
    </xf>
    <xf numFmtId="170" fontId="15" fillId="0" borderId="1" xfId="0" applyNumberFormat="1" applyFont="1" applyBorder="1" applyAlignment="1">
      <alignment horizontal="center" vertical="center"/>
    </xf>
    <xf numFmtId="0" fontId="15" fillId="0" borderId="17" xfId="0" applyFont="1" applyBorder="1" applyAlignment="1">
      <alignment vertical="center" wrapText="1"/>
    </xf>
    <xf numFmtId="170" fontId="15" fillId="0" borderId="18" xfId="0" applyNumberFormat="1" applyFont="1" applyBorder="1" applyAlignment="1">
      <alignment horizontal="center" vertical="center"/>
    </xf>
    <xf numFmtId="0" fontId="15" fillId="0" borderId="18" xfId="0" applyFont="1" applyBorder="1" applyAlignment="1">
      <alignment horizontal="center" vertical="center"/>
    </xf>
    <xf numFmtId="0" fontId="15" fillId="0" borderId="62" xfId="0" applyFont="1" applyBorder="1" applyAlignment="1">
      <alignment horizontal="centerContinuous" vertical="center" wrapText="1"/>
    </xf>
    <xf numFmtId="0" fontId="15" fillId="0" borderId="49" xfId="0" applyFont="1" applyBorder="1" applyAlignment="1">
      <alignment horizontal="centerContinuous" vertical="center" wrapText="1"/>
    </xf>
    <xf numFmtId="170" fontId="15" fillId="0" borderId="21" xfId="0" applyNumberFormat="1" applyFont="1" applyBorder="1" applyAlignment="1">
      <alignment horizontal="center" vertical="center"/>
    </xf>
    <xf numFmtId="0" fontId="15" fillId="0" borderId="21" xfId="0" applyFont="1" applyBorder="1" applyAlignment="1">
      <alignment horizontal="center" vertical="center"/>
    </xf>
    <xf numFmtId="0" fontId="11" fillId="0" borderId="38" xfId="0" applyFont="1" applyBorder="1" applyAlignment="1">
      <alignment vertical="center" wrapText="1"/>
    </xf>
    <xf numFmtId="170" fontId="11" fillId="0" borderId="70" xfId="0" applyNumberFormat="1" applyFont="1" applyBorder="1" applyAlignment="1">
      <alignment horizontal="center" vertical="center"/>
    </xf>
    <xf numFmtId="0" fontId="15" fillId="0" borderId="70" xfId="0" applyFont="1" applyBorder="1" applyAlignment="1">
      <alignment horizontal="center" vertical="center"/>
    </xf>
    <xf numFmtId="0" fontId="15" fillId="0" borderId="37" xfId="0" applyFont="1" applyBorder="1" applyAlignment="1">
      <alignment horizontal="centerContinuous" vertical="center" wrapText="1"/>
    </xf>
    <xf numFmtId="0" fontId="15" fillId="0" borderId="18" xfId="0" applyFont="1" applyBorder="1" applyAlignment="1">
      <alignment horizontal="centerContinuous" vertical="center" wrapText="1"/>
    </xf>
    <xf numFmtId="0" fontId="15" fillId="0" borderId="19" xfId="0" applyFont="1" applyBorder="1" applyAlignment="1">
      <alignment horizontal="centerContinuous" vertical="center" wrapText="1"/>
    </xf>
    <xf numFmtId="0" fontId="43" fillId="5" borderId="28" xfId="0" applyFont="1" applyFill="1" applyBorder="1" applyAlignment="1">
      <alignment horizontal="centerContinuous" vertical="center"/>
    </xf>
    <xf numFmtId="0" fontId="43" fillId="5" borderId="60" xfId="0" applyFont="1" applyFill="1" applyBorder="1" applyAlignment="1">
      <alignment horizontal="left" vertical="center" wrapText="1"/>
    </xf>
    <xf numFmtId="0" fontId="43" fillId="5" borderId="61" xfId="0" applyFont="1" applyFill="1" applyBorder="1" applyAlignment="1">
      <alignment horizontal="left" vertical="center" wrapText="1"/>
    </xf>
    <xf numFmtId="0" fontId="43" fillId="5" borderId="41" xfId="0" applyFont="1" applyFill="1" applyBorder="1" applyAlignment="1">
      <alignment horizontal="centerContinuous" vertical="center"/>
    </xf>
    <xf numFmtId="0" fontId="43" fillId="5" borderId="46" xfId="0" applyFont="1" applyFill="1" applyBorder="1" applyAlignment="1">
      <alignment horizontal="centerContinuous" vertical="center"/>
    </xf>
    <xf numFmtId="0" fontId="43" fillId="5" borderId="42" xfId="0" applyFont="1" applyFill="1" applyBorder="1" applyAlignment="1">
      <alignment horizontal="centerContinuous" vertical="center"/>
    </xf>
    <xf numFmtId="176" fontId="62" fillId="0" borderId="1" xfId="0" applyNumberFormat="1"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1" fontId="15" fillId="0" borderId="18" xfId="0" applyNumberFormat="1" applyFont="1" applyBorder="1" applyAlignment="1">
      <alignment horizontal="center" vertical="center"/>
    </xf>
    <xf numFmtId="176" fontId="62" fillId="0" borderId="0" xfId="0" applyNumberFormat="1" applyFont="1" applyAlignment="1">
      <alignment horizontal="center" vertical="center"/>
    </xf>
    <xf numFmtId="9" fontId="15" fillId="0" borderId="11" xfId="0" applyNumberFormat="1" applyFont="1" applyBorder="1" applyAlignment="1">
      <alignment horizontal="center" vertical="center"/>
    </xf>
    <xf numFmtId="3" fontId="15" fillId="25" borderId="26" xfId="0" applyNumberFormat="1" applyFont="1" applyFill="1" applyBorder="1" applyAlignment="1">
      <alignment horizontal="center" vertical="center"/>
    </xf>
    <xf numFmtId="3" fontId="12" fillId="25" borderId="41" xfId="0" applyNumberFormat="1" applyFont="1" applyFill="1" applyBorder="1" applyAlignment="1">
      <alignment horizontal="center" vertical="center"/>
    </xf>
    <xf numFmtId="3" fontId="12" fillId="25" borderId="46" xfId="0" applyNumberFormat="1" applyFont="1" applyFill="1" applyBorder="1" applyAlignment="1">
      <alignment horizontal="center" vertical="center"/>
    </xf>
    <xf numFmtId="3" fontId="12" fillId="25" borderId="42" xfId="0" applyNumberFormat="1" applyFont="1" applyFill="1" applyBorder="1" applyAlignment="1">
      <alignment horizontal="center" vertical="center"/>
    </xf>
    <xf numFmtId="1" fontId="15" fillId="25" borderId="26" xfId="0" applyNumberFormat="1" applyFont="1" applyFill="1" applyBorder="1" applyAlignment="1">
      <alignment horizontal="center" vertical="center" wrapText="1"/>
    </xf>
    <xf numFmtId="3" fontId="15" fillId="32" borderId="26" xfId="0" applyNumberFormat="1" applyFont="1" applyFill="1" applyBorder="1" applyAlignment="1" applyProtection="1">
      <alignment horizontal="center" vertical="center" wrapText="1"/>
      <protection locked="0"/>
    </xf>
    <xf numFmtId="3" fontId="15" fillId="32" borderId="16" xfId="0" applyNumberFormat="1" applyFont="1" applyFill="1" applyBorder="1" applyAlignment="1" applyProtection="1">
      <alignment horizontal="center" vertical="center" wrapText="1"/>
      <protection locked="0"/>
    </xf>
    <xf numFmtId="3" fontId="15" fillId="32" borderId="37" xfId="0" applyNumberFormat="1" applyFont="1" applyFill="1" applyBorder="1" applyAlignment="1" applyProtection="1">
      <alignment horizontal="center" vertical="center" wrapText="1"/>
      <protection locked="0"/>
    </xf>
    <xf numFmtId="3" fontId="15" fillId="24" borderId="42" xfId="0" applyNumberFormat="1" applyFont="1" applyFill="1" applyBorder="1"/>
    <xf numFmtId="3" fontId="15" fillId="4" borderId="44" xfId="0" applyNumberFormat="1" applyFont="1" applyFill="1" applyBorder="1" applyAlignment="1" applyProtection="1">
      <alignment horizontal="center" vertical="center" wrapText="1"/>
      <protection locked="0"/>
    </xf>
    <xf numFmtId="3" fontId="15" fillId="4" borderId="10" xfId="0" applyNumberFormat="1" applyFont="1" applyFill="1" applyBorder="1" applyAlignment="1" applyProtection="1">
      <alignment horizontal="center" vertical="center" wrapText="1"/>
      <protection locked="0"/>
    </xf>
    <xf numFmtId="3" fontId="15" fillId="4" borderId="48" xfId="0" applyNumberFormat="1" applyFont="1" applyFill="1" applyBorder="1" applyAlignment="1" applyProtection="1">
      <alignment horizontal="center" vertical="center" wrapText="1"/>
      <protection locked="0"/>
    </xf>
    <xf numFmtId="3" fontId="15" fillId="24" borderId="46" xfId="0" applyNumberFormat="1" applyFont="1" applyFill="1" applyBorder="1"/>
    <xf numFmtId="3" fontId="11" fillId="32" borderId="26" xfId="0" applyNumberFormat="1" applyFont="1" applyFill="1" applyBorder="1" applyAlignment="1" applyProtection="1">
      <alignment horizontal="center" vertical="center" wrapText="1"/>
      <protection locked="0"/>
    </xf>
    <xf numFmtId="3" fontId="11" fillId="32" borderId="16" xfId="0" applyNumberFormat="1" applyFont="1" applyFill="1" applyBorder="1" applyAlignment="1" applyProtection="1">
      <alignment horizontal="center" vertical="center" wrapText="1"/>
      <protection locked="0"/>
    </xf>
    <xf numFmtId="3" fontId="15" fillId="24" borderId="59" xfId="0" applyNumberFormat="1" applyFont="1" applyFill="1" applyBorder="1"/>
    <xf numFmtId="174" fontId="37" fillId="19" borderId="25" xfId="14" applyNumberFormat="1" applyFont="1" applyFill="1" applyBorder="1" applyAlignment="1">
      <alignment horizontal="center" vertical="center"/>
    </xf>
    <xf numFmtId="174" fontId="37" fillId="19" borderId="23" xfId="14" applyNumberFormat="1" applyFont="1" applyFill="1" applyBorder="1" applyAlignment="1">
      <alignment horizontal="center" vertical="center"/>
    </xf>
    <xf numFmtId="174" fontId="37" fillId="19" borderId="26" xfId="14" applyNumberFormat="1" applyFont="1" applyFill="1" applyBorder="1" applyAlignment="1">
      <alignment horizontal="center" vertical="center"/>
    </xf>
    <xf numFmtId="174" fontId="37" fillId="19" borderId="15" xfId="14" applyNumberFormat="1" applyFont="1" applyFill="1" applyBorder="1" applyAlignment="1">
      <alignment horizontal="center" vertical="center"/>
    </xf>
    <xf numFmtId="174" fontId="37" fillId="19" borderId="1" xfId="14" applyNumberFormat="1" applyFont="1" applyFill="1" applyBorder="1" applyAlignment="1">
      <alignment horizontal="center" vertical="center"/>
    </xf>
    <xf numFmtId="174" fontId="37" fillId="19" borderId="16" xfId="14" applyNumberFormat="1" applyFont="1" applyFill="1" applyBorder="1" applyAlignment="1">
      <alignment horizontal="center" vertical="center"/>
    </xf>
    <xf numFmtId="174" fontId="37" fillId="19" borderId="17" xfId="14" applyNumberFormat="1" applyFont="1" applyFill="1" applyBorder="1" applyAlignment="1">
      <alignment horizontal="center" vertical="center"/>
    </xf>
    <xf numFmtId="165" fontId="43" fillId="19" borderId="74" xfId="7" applyNumberFormat="1" applyFont="1" applyFill="1" applyBorder="1" applyAlignment="1">
      <alignment vertical="center"/>
    </xf>
    <xf numFmtId="165" fontId="43" fillId="19" borderId="44" xfId="7" applyNumberFormat="1" applyFont="1" applyFill="1" applyBorder="1" applyAlignment="1">
      <alignment vertical="center"/>
    </xf>
    <xf numFmtId="0" fontId="44" fillId="2" borderId="46" xfId="0" applyFont="1" applyFill="1" applyBorder="1" applyAlignment="1">
      <alignment horizontal="center" vertical="center" wrapText="1"/>
    </xf>
    <xf numFmtId="0" fontId="44" fillId="2" borderId="42" xfId="0" applyFont="1" applyFill="1" applyBorder="1" applyAlignment="1">
      <alignment horizontal="center" vertical="center" wrapText="1"/>
    </xf>
    <xf numFmtId="0" fontId="9" fillId="0" borderId="1" xfId="0" applyFont="1" applyBorder="1" applyAlignment="1">
      <alignment horizontal="center" vertical="center"/>
    </xf>
    <xf numFmtId="170" fontId="9" fillId="0" borderId="16" xfId="15" applyNumberFormat="1" applyFont="1" applyBorder="1" applyAlignment="1">
      <alignment horizontal="center" vertical="center"/>
    </xf>
    <xf numFmtId="170" fontId="9" fillId="0" borderId="16" xfId="15" applyNumberFormat="1" applyFont="1" applyFill="1" applyBorder="1" applyAlignment="1">
      <alignment horizontal="center" vertical="center"/>
    </xf>
    <xf numFmtId="0" fontId="9" fillId="0" borderId="18" xfId="0" applyFont="1" applyBorder="1" applyAlignment="1">
      <alignment horizontal="center" vertical="center"/>
    </xf>
    <xf numFmtId="170" fontId="9" fillId="0" borderId="19" xfId="15" applyNumberFormat="1" applyFont="1" applyFill="1" applyBorder="1" applyAlignment="1">
      <alignment horizontal="center" vertical="center"/>
    </xf>
    <xf numFmtId="0" fontId="9" fillId="0" borderId="23" xfId="0" applyFont="1" applyBorder="1" applyAlignment="1">
      <alignment horizontal="center" vertical="center"/>
    </xf>
    <xf numFmtId="170" fontId="9" fillId="0" borderId="26" xfId="15" applyNumberFormat="1" applyFont="1" applyFill="1" applyBorder="1" applyAlignment="1">
      <alignment horizontal="center" vertical="center"/>
    </xf>
    <xf numFmtId="0" fontId="9" fillId="0" borderId="34" xfId="0" applyFont="1" applyBorder="1" applyAlignment="1">
      <alignment horizontal="center" vertical="center"/>
    </xf>
    <xf numFmtId="170" fontId="9" fillId="0" borderId="37" xfId="15" applyNumberFormat="1" applyFont="1" applyFill="1" applyBorder="1" applyAlignment="1">
      <alignment horizontal="center" vertical="center"/>
    </xf>
    <xf numFmtId="0" fontId="9" fillId="0" borderId="13" xfId="0" applyFont="1" applyBorder="1" applyAlignment="1">
      <alignment horizontal="center" vertical="center"/>
    </xf>
    <xf numFmtId="170" fontId="9" fillId="0" borderId="14" xfId="15" applyNumberFormat="1" applyFont="1" applyFill="1" applyBorder="1" applyAlignment="1">
      <alignment horizontal="center" vertical="center"/>
    </xf>
    <xf numFmtId="0" fontId="44" fillId="2" borderId="41" xfId="0" applyFont="1" applyFill="1" applyBorder="1" applyAlignment="1">
      <alignment horizontal="left" vertical="center" wrapText="1"/>
    </xf>
    <xf numFmtId="0" fontId="44" fillId="2" borderId="46" xfId="0" applyFont="1" applyFill="1" applyBorder="1" applyAlignment="1">
      <alignment horizontal="left" vertical="center" wrapText="1"/>
    </xf>
    <xf numFmtId="0" fontId="12" fillId="0" borderId="25" xfId="0" applyFont="1" applyBorder="1" applyAlignment="1">
      <alignment horizontal="left" vertical="center"/>
    </xf>
    <xf numFmtId="0" fontId="12" fillId="0" borderId="23" xfId="0" applyFont="1" applyBorder="1" applyAlignment="1">
      <alignment horizontal="left" vertical="center"/>
    </xf>
    <xf numFmtId="0" fontId="9" fillId="0" borderId="15"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25" xfId="0" applyFont="1" applyBorder="1" applyAlignment="1">
      <alignment horizontal="left" vertical="center"/>
    </xf>
    <xf numFmtId="0" fontId="9" fillId="0" borderId="23"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 xfId="15" applyNumberFormat="1" applyFont="1" applyBorder="1" applyAlignment="1">
      <alignment horizontal="center"/>
    </xf>
    <xf numFmtId="0" fontId="9" fillId="0" borderId="18" xfId="15" applyNumberFormat="1" applyFont="1" applyBorder="1" applyAlignment="1">
      <alignment horizontal="center"/>
    </xf>
    <xf numFmtId="174" fontId="9" fillId="0" borderId="44" xfId="14" applyNumberFormat="1" applyFont="1" applyBorder="1" applyAlignment="1" applyProtection="1">
      <alignment horizontal="left" vertical="center"/>
    </xf>
    <xf numFmtId="174" fontId="9" fillId="0" borderId="10" xfId="14" applyNumberFormat="1" applyFont="1" applyBorder="1" applyAlignment="1" applyProtection="1">
      <alignment horizontal="left" vertical="center"/>
    </xf>
    <xf numFmtId="174" fontId="9" fillId="0" borderId="48" xfId="14" applyNumberFormat="1" applyFont="1" applyBorder="1" applyAlignment="1" applyProtection="1">
      <alignment horizontal="left" vertical="center"/>
    </xf>
    <xf numFmtId="0" fontId="46" fillId="2" borderId="17" xfId="0" applyFont="1" applyFill="1" applyBorder="1" applyAlignment="1">
      <alignment horizontal="center" vertical="center"/>
    </xf>
    <xf numFmtId="0" fontId="46" fillId="2" borderId="19" xfId="0" applyFont="1" applyFill="1" applyBorder="1" applyAlignment="1">
      <alignment horizontal="center" vertical="center" wrapText="1"/>
    </xf>
    <xf numFmtId="0" fontId="46" fillId="2" borderId="18" xfId="0" applyFont="1" applyFill="1" applyBorder="1" applyAlignment="1">
      <alignment horizontal="center" vertical="center" wrapText="1"/>
    </xf>
    <xf numFmtId="0" fontId="46" fillId="2" borderId="56" xfId="0" applyFont="1" applyFill="1" applyBorder="1" applyAlignment="1">
      <alignment horizontal="center" vertical="center" wrapText="1"/>
    </xf>
    <xf numFmtId="0" fontId="46" fillId="2" borderId="23" xfId="0" applyFont="1" applyFill="1" applyBorder="1" applyAlignment="1">
      <alignment horizontal="center" vertical="center" wrapText="1"/>
    </xf>
    <xf numFmtId="0" fontId="46" fillId="2" borderId="40" xfId="0" applyFont="1" applyFill="1" applyBorder="1" applyAlignment="1">
      <alignment horizontal="center" vertical="center" wrapText="1"/>
    </xf>
    <xf numFmtId="3" fontId="15" fillId="4" borderId="25" xfId="0" applyNumberFormat="1" applyFont="1" applyFill="1" applyBorder="1" applyAlignment="1" applyProtection="1">
      <alignment horizontal="center" vertical="center" wrapText="1"/>
      <protection locked="0"/>
    </xf>
    <xf numFmtId="3" fontId="15" fillId="4" borderId="15" xfId="0" applyNumberFormat="1" applyFont="1" applyFill="1" applyBorder="1" applyAlignment="1" applyProtection="1">
      <alignment horizontal="center" vertical="center" wrapText="1"/>
      <protection locked="0"/>
    </xf>
    <xf numFmtId="3" fontId="15" fillId="4" borderId="33" xfId="0" applyNumberFormat="1" applyFont="1" applyFill="1" applyBorder="1" applyAlignment="1" applyProtection="1">
      <alignment horizontal="center" vertical="center" wrapText="1"/>
      <protection locked="0"/>
    </xf>
    <xf numFmtId="0" fontId="15" fillId="24" borderId="41" xfId="0" applyFont="1" applyFill="1" applyBorder="1"/>
    <xf numFmtId="170" fontId="15" fillId="25" borderId="25" xfId="0" applyNumberFormat="1" applyFont="1" applyFill="1" applyBorder="1" applyAlignment="1">
      <alignment horizontal="center" vertical="center" wrapText="1"/>
    </xf>
    <xf numFmtId="0" fontId="37" fillId="4" borderId="25" xfId="0" applyFont="1" applyFill="1" applyBorder="1" applyAlignment="1" applyProtection="1">
      <alignment horizontal="left" vertical="center" wrapText="1"/>
      <protection locked="0"/>
    </xf>
    <xf numFmtId="0" fontId="37" fillId="4" borderId="23" xfId="0" applyFont="1" applyFill="1" applyBorder="1" applyAlignment="1" applyProtection="1">
      <alignment horizontal="left" vertical="center" wrapText="1"/>
      <protection locked="0"/>
    </xf>
    <xf numFmtId="165" fontId="37" fillId="4" borderId="23" xfId="7" applyNumberFormat="1" applyFont="1" applyFill="1" applyBorder="1" applyAlignment="1" applyProtection="1">
      <alignment horizontal="left" vertical="center" wrapText="1"/>
      <protection locked="0"/>
    </xf>
    <xf numFmtId="0" fontId="11" fillId="4" borderId="23" xfId="0" applyFont="1" applyFill="1" applyBorder="1" applyAlignment="1" applyProtection="1">
      <alignment horizontal="left" vertical="center"/>
      <protection locked="0"/>
    </xf>
    <xf numFmtId="0" fontId="11" fillId="4" borderId="44" xfId="0" applyFont="1" applyFill="1" applyBorder="1" applyAlignment="1" applyProtection="1">
      <alignment horizontal="center" vertical="center"/>
      <protection locked="0"/>
    </xf>
    <xf numFmtId="0" fontId="37" fillId="4" borderId="26" xfId="0" applyFont="1" applyFill="1" applyBorder="1" applyAlignment="1" applyProtection="1">
      <alignment horizontal="center" vertical="center" wrapText="1"/>
      <protection locked="0"/>
    </xf>
    <xf numFmtId="0" fontId="11" fillId="21" borderId="41" xfId="0" applyFont="1" applyFill="1" applyBorder="1" applyAlignment="1">
      <alignment horizontal="left" vertical="center" wrapText="1"/>
    </xf>
    <xf numFmtId="0" fontId="11" fillId="21" borderId="46" xfId="0" applyFont="1" applyFill="1" applyBorder="1" applyAlignment="1">
      <alignment horizontal="left" vertical="center" wrapText="1"/>
    </xf>
    <xf numFmtId="0" fontId="11" fillId="21" borderId="46" xfId="0" applyFont="1" applyFill="1" applyBorder="1" applyAlignment="1">
      <alignment horizontal="left" vertical="center"/>
    </xf>
    <xf numFmtId="0" fontId="11" fillId="21" borderId="66" xfId="0" applyFont="1" applyFill="1" applyBorder="1" applyAlignment="1">
      <alignment horizontal="left" vertical="center" wrapText="1"/>
    </xf>
    <xf numFmtId="0" fontId="11" fillId="21" borderId="42" xfId="0" applyFont="1" applyFill="1" applyBorder="1" applyAlignment="1">
      <alignment horizontal="left" vertical="center" wrapText="1"/>
    </xf>
    <xf numFmtId="0" fontId="11" fillId="0" borderId="2" xfId="0" applyFont="1" applyBorder="1" applyAlignment="1">
      <alignment vertical="top"/>
    </xf>
    <xf numFmtId="0" fontId="11" fillId="0" borderId="3" xfId="0" applyFont="1" applyBorder="1" applyAlignment="1">
      <alignment vertical="top"/>
    </xf>
    <xf numFmtId="0" fontId="11" fillId="0" borderId="4" xfId="0" applyFont="1" applyBorder="1" applyAlignment="1">
      <alignment vertical="top"/>
    </xf>
    <xf numFmtId="0" fontId="11" fillId="0" borderId="5" xfId="0" applyFont="1" applyBorder="1" applyAlignment="1">
      <alignment vertical="top"/>
    </xf>
    <xf numFmtId="0" fontId="11" fillId="0" borderId="6" xfId="0" applyFont="1" applyBorder="1" applyAlignment="1">
      <alignment vertical="top"/>
    </xf>
    <xf numFmtId="0" fontId="13" fillId="0" borderId="5" xfId="3" applyFill="1" applyBorder="1" applyAlignment="1" applyProtection="1">
      <alignment horizontal="left" vertical="top"/>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5" xfId="3" applyFont="1" applyFill="1" applyBorder="1" applyAlignment="1" applyProtection="1">
      <alignment vertical="top"/>
    </xf>
    <xf numFmtId="0" fontId="11" fillId="0" borderId="6" xfId="3" applyFont="1" applyFill="1" applyBorder="1" applyAlignment="1" applyProtection="1">
      <alignment vertical="top"/>
    </xf>
    <xf numFmtId="0" fontId="11" fillId="0" borderId="5" xfId="8" applyFont="1" applyBorder="1"/>
    <xf numFmtId="0" fontId="11" fillId="0" borderId="0" xfId="8" applyFont="1"/>
    <xf numFmtId="0" fontId="13" fillId="0" borderId="6" xfId="3" applyFill="1" applyBorder="1" applyAlignment="1" applyProtection="1"/>
    <xf numFmtId="0" fontId="11" fillId="0" borderId="7" xfId="3" applyFont="1" applyFill="1" applyBorder="1" applyAlignment="1" applyProtection="1">
      <alignment horizontal="left" vertical="top" wrapText="1"/>
    </xf>
    <xf numFmtId="0" fontId="11" fillId="0" borderId="8" xfId="3" applyFont="1" applyFill="1" applyBorder="1" applyAlignment="1" applyProtection="1">
      <alignment horizontal="left" vertical="top" wrapText="1"/>
    </xf>
    <xf numFmtId="0" fontId="13" fillId="0" borderId="9" xfId="3" applyFill="1" applyBorder="1" applyAlignment="1" applyProtection="1">
      <alignment horizontal="left" vertical="top" wrapText="1"/>
    </xf>
    <xf numFmtId="0" fontId="15" fillId="5" borderId="31" xfId="0" applyFont="1" applyFill="1" applyBorder="1" applyAlignment="1">
      <alignment horizontal="centerContinuous" vertical="center"/>
    </xf>
    <xf numFmtId="0" fontId="15" fillId="5" borderId="32" xfId="0" applyFont="1" applyFill="1" applyBorder="1" applyAlignment="1">
      <alignment horizontal="centerContinuous" vertical="center"/>
    </xf>
    <xf numFmtId="0" fontId="15" fillId="5" borderId="12" xfId="0" applyFont="1" applyFill="1" applyBorder="1" applyAlignment="1">
      <alignment horizontal="centerContinuous" vertical="center" wrapText="1"/>
    </xf>
    <xf numFmtId="0" fontId="15" fillId="5" borderId="3" xfId="0" applyFont="1" applyFill="1" applyBorder="1" applyAlignment="1">
      <alignment horizontal="centerContinuous"/>
    </xf>
    <xf numFmtId="0" fontId="15" fillId="5" borderId="14" xfId="0" applyFont="1" applyFill="1" applyBorder="1" applyAlignment="1">
      <alignment horizontal="centerContinuous" vertical="center"/>
    </xf>
    <xf numFmtId="0" fontId="15" fillId="5" borderId="30" xfId="0" applyFont="1" applyFill="1" applyBorder="1" applyAlignment="1">
      <alignment horizontal="centerContinuous" vertical="center"/>
    </xf>
    <xf numFmtId="0" fontId="15" fillId="5" borderId="31" xfId="0" applyFont="1" applyFill="1" applyBorder="1" applyAlignment="1">
      <alignment horizontal="centerContinuous" vertical="center" wrapText="1"/>
    </xf>
    <xf numFmtId="0" fontId="15" fillId="5" borderId="32" xfId="0" applyFont="1" applyFill="1" applyBorder="1" applyAlignment="1">
      <alignment horizontal="centerContinuous" vertical="center" wrapText="1"/>
    </xf>
    <xf numFmtId="0" fontId="15" fillId="5" borderId="30" xfId="0" applyFont="1" applyFill="1" applyBorder="1" applyAlignment="1">
      <alignment horizontal="centerContinuous" vertical="center" wrapText="1"/>
    </xf>
    <xf numFmtId="0" fontId="11" fillId="2" borderId="3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19" xfId="0" applyFont="1" applyFill="1" applyBorder="1" applyAlignment="1">
      <alignment horizontal="centerContinuous" vertical="center" wrapText="1"/>
    </xf>
    <xf numFmtId="174" fontId="37" fillId="19" borderId="33" xfId="14" applyNumberFormat="1" applyFont="1" applyFill="1" applyBorder="1" applyAlignment="1">
      <alignment horizontal="center" vertical="center"/>
    </xf>
    <xf numFmtId="174" fontId="37" fillId="19" borderId="22" xfId="14" applyNumberFormat="1" applyFont="1" applyFill="1" applyBorder="1" applyAlignment="1">
      <alignment horizontal="center" vertical="center"/>
    </xf>
    <xf numFmtId="174" fontId="37" fillId="19" borderId="34" xfId="14" applyNumberFormat="1" applyFont="1" applyFill="1" applyBorder="1" applyAlignment="1">
      <alignment horizontal="center" vertical="center"/>
    </xf>
    <xf numFmtId="174" fontId="37" fillId="19" borderId="37" xfId="14" applyNumberFormat="1" applyFont="1" applyFill="1" applyBorder="1" applyAlignment="1">
      <alignment horizontal="center" vertical="center"/>
    </xf>
    <xf numFmtId="174" fontId="14" fillId="27" borderId="41" xfId="14" applyNumberFormat="1" applyFont="1" applyFill="1" applyBorder="1" applyAlignment="1" applyProtection="1">
      <alignment horizontal="left" vertical="center"/>
    </xf>
    <xf numFmtId="174" fontId="14" fillId="27" borderId="46" xfId="14" applyNumberFormat="1" applyFont="1" applyFill="1" applyBorder="1" applyAlignment="1" applyProtection="1">
      <alignment horizontal="left" vertical="center"/>
    </xf>
    <xf numFmtId="174" fontId="14" fillId="27" borderId="42" xfId="14" applyNumberFormat="1" applyFont="1" applyFill="1" applyBorder="1" applyAlignment="1" applyProtection="1">
      <alignment horizontal="left" vertical="center"/>
    </xf>
    <xf numFmtId="174" fontId="14" fillId="27" borderId="76" xfId="14" applyNumberFormat="1" applyFont="1" applyFill="1" applyBorder="1" applyAlignment="1" applyProtection="1">
      <alignment horizontal="left" vertical="center"/>
    </xf>
    <xf numFmtId="0" fontId="47" fillId="2" borderId="13" xfId="0" applyFont="1" applyFill="1" applyBorder="1" applyAlignment="1">
      <alignment horizontal="center" wrapText="1"/>
    </xf>
    <xf numFmtId="0" fontId="47" fillId="2" borderId="74" xfId="0" applyFont="1" applyFill="1" applyBorder="1" applyAlignment="1">
      <alignment horizontal="center" wrapText="1"/>
    </xf>
    <xf numFmtId="0" fontId="47" fillId="2" borderId="32" xfId="0" applyFont="1" applyFill="1" applyBorder="1" applyAlignment="1">
      <alignment horizontal="center" wrapText="1"/>
    </xf>
    <xf numFmtId="0" fontId="46" fillId="2" borderId="18" xfId="0" applyFont="1" applyFill="1" applyBorder="1" applyAlignment="1">
      <alignment horizontal="center" wrapText="1"/>
    </xf>
    <xf numFmtId="0" fontId="46" fillId="2" borderId="48" xfId="0" applyFont="1" applyFill="1" applyBorder="1" applyAlignment="1">
      <alignment horizontal="center" wrapText="1"/>
    </xf>
    <xf numFmtId="0" fontId="47" fillId="2" borderId="32" xfId="0" applyFont="1" applyFill="1" applyBorder="1" applyAlignment="1">
      <alignment horizontal="center"/>
    </xf>
    <xf numFmtId="0" fontId="47" fillId="2" borderId="21" xfId="0" applyFont="1" applyFill="1" applyBorder="1" applyAlignment="1">
      <alignment horizontal="center"/>
    </xf>
    <xf numFmtId="0" fontId="46" fillId="2" borderId="56" xfId="0" applyFont="1" applyFill="1" applyBorder="1" applyAlignment="1">
      <alignment horizontal="center"/>
    </xf>
    <xf numFmtId="0" fontId="46" fillId="2" borderId="18" xfId="0" applyFont="1" applyFill="1" applyBorder="1" applyAlignment="1">
      <alignment horizontal="center"/>
    </xf>
    <xf numFmtId="0" fontId="47" fillId="2" borderId="74" xfId="0" applyFont="1" applyFill="1" applyBorder="1" applyAlignment="1">
      <alignment horizontal="center"/>
    </xf>
    <xf numFmtId="0" fontId="12" fillId="12" borderId="27" xfId="0" applyFont="1" applyFill="1" applyBorder="1" applyAlignment="1">
      <alignment horizontal="center"/>
    </xf>
    <xf numFmtId="0" fontId="12" fillId="12" borderId="28" xfId="0" applyFont="1" applyFill="1" applyBorder="1" applyAlignment="1">
      <alignment horizontal="center"/>
    </xf>
    <xf numFmtId="0" fontId="12" fillId="12" borderId="29" xfId="0" applyFont="1" applyFill="1" applyBorder="1" applyAlignment="1">
      <alignment horizontal="center"/>
    </xf>
  </cellXfs>
  <cellStyles count="16">
    <cellStyle name="Comma" xfId="14" builtinId="3"/>
    <cellStyle name="Comma 3" xfId="1" xr:uid="{00000000-0005-0000-0000-000000000000}"/>
    <cellStyle name="Currency" xfId="7" builtinId="4"/>
    <cellStyle name="Hyperlink" xfId="3" builtinId="8" customBuiltin="1"/>
    <cellStyle name="Hyperlink 2" xfId="11" xr:uid="{00000000-0005-0000-0000-000003000000}"/>
    <cellStyle name="Hyperlink 3" xfId="12" xr:uid="{00000000-0005-0000-0000-000004000000}"/>
    <cellStyle name="Normal" xfId="0" builtinId="0"/>
    <cellStyle name="Normal 10" xfId="10" xr:uid="{00000000-0005-0000-0000-000006000000}"/>
    <cellStyle name="Normal 11" xfId="8" xr:uid="{00000000-0005-0000-0000-000007000000}"/>
    <cellStyle name="Normal 13" xfId="4" xr:uid="{00000000-0005-0000-0000-000008000000}"/>
    <cellStyle name="Normal 13 2" xfId="13" xr:uid="{C518881D-CAC2-476C-8B85-2202C91BBCA0}"/>
    <cellStyle name="Normal 14" xfId="6" xr:uid="{00000000-0005-0000-0000-000009000000}"/>
    <cellStyle name="Normal 16" xfId="9" xr:uid="{00000000-0005-0000-0000-00000A000000}"/>
    <cellStyle name="Normal 3" xfId="5" xr:uid="{00000000-0005-0000-0000-00000B000000}"/>
    <cellStyle name="Normal 9" xfId="2" xr:uid="{00000000-0005-0000-0000-00000C000000}"/>
    <cellStyle name="Percent" xfId="15" builtinId="5"/>
  </cellStyles>
  <dxfs count="89">
    <dxf>
      <font>
        <color rgb="FF9C0006"/>
      </font>
      <fill>
        <patternFill>
          <bgColor rgb="FFFFC7CE"/>
        </patternFill>
      </fill>
    </dxf>
    <dxf>
      <font>
        <color rgb="FFFF0000"/>
      </font>
      <fill>
        <patternFill patternType="darkHorizontal">
          <bgColor theme="1" tint="0.24994659260841701"/>
        </patternFill>
      </fill>
    </dxf>
    <dxf>
      <fill>
        <patternFill patternType="darkHorizontal">
          <fgColor theme="1"/>
          <bgColor theme="1" tint="0.24994659260841701"/>
        </patternFill>
      </fill>
    </dxf>
    <dxf>
      <font>
        <color rgb="FFFF0000"/>
      </font>
      <fill>
        <patternFill patternType="darkHorizontal">
          <bgColor theme="1" tint="0.24994659260841701"/>
        </patternFill>
      </fill>
    </dxf>
    <dxf>
      <font>
        <color rgb="FFFF0000"/>
      </font>
      <fill>
        <patternFill patternType="darkHorizontal">
          <bgColor theme="1" tint="0.24994659260841701"/>
        </patternFill>
      </fill>
    </dxf>
    <dxf>
      <font>
        <color rgb="FFFF0000"/>
      </font>
      <fill>
        <patternFill patternType="darkHorizontal">
          <bgColor theme="1" tint="0.24994659260841701"/>
        </patternFill>
      </fill>
    </dxf>
    <dxf>
      <font>
        <color rgb="FFFF0000"/>
      </font>
      <fill>
        <patternFill patternType="darkHorizontal">
          <bgColor theme="1" tint="0.24994659260841701"/>
        </patternFill>
      </fill>
    </dxf>
    <dxf>
      <font>
        <color auto="1"/>
      </font>
      <fill>
        <patternFill patternType="darkHorizontal">
          <bgColor theme="1" tint="0.24994659260841701"/>
        </patternFill>
      </fill>
    </dxf>
    <dxf>
      <font>
        <color auto="1"/>
      </font>
      <fill>
        <patternFill patternType="darkHorizontal">
          <bgColor theme="1" tint="0.24994659260841701"/>
        </patternFill>
      </fill>
    </dxf>
    <dxf>
      <fill>
        <patternFill patternType="darkHorizontal">
          <fgColor auto="1"/>
          <bgColor theme="1" tint="0.24994659260841701"/>
        </patternFill>
      </fill>
    </dxf>
    <dxf>
      <fill>
        <patternFill patternType="darkHorizontal">
          <fgColor auto="1"/>
          <bgColor theme="1" tint="0.24994659260841701"/>
        </patternFill>
      </fill>
    </dxf>
    <dxf>
      <fill>
        <patternFill patternType="solid">
          <fgColor auto="1"/>
          <bgColor theme="9" tint="0.79995117038483843"/>
        </patternFill>
      </fill>
    </dxf>
    <dxf>
      <fill>
        <patternFill patternType="solid">
          <fgColor auto="1"/>
          <bgColor theme="9" tint="0.79995117038483843"/>
        </patternFill>
      </fill>
    </dxf>
    <dxf>
      <font>
        <color auto="1"/>
      </font>
      <fill>
        <patternFill patternType="darkHorizontal">
          <fgColor theme="1"/>
          <bgColor theme="2" tint="-0.749961851863155"/>
        </patternFill>
      </fill>
    </dxf>
    <dxf>
      <font>
        <color auto="1"/>
      </font>
      <fill>
        <patternFill patternType="darkHorizontal">
          <fgColor theme="1"/>
          <bgColor theme="2" tint="-0.749961851863155"/>
        </patternFill>
      </fill>
    </dxf>
    <dxf>
      <font>
        <color auto="1"/>
      </font>
      <fill>
        <patternFill patternType="darkHorizontal">
          <fgColor theme="1"/>
          <bgColor theme="2" tint="-0.749961851863155"/>
        </patternFill>
      </fill>
    </dxf>
    <dxf>
      <font>
        <color auto="1"/>
      </font>
      <fill>
        <patternFill patternType="darkHorizontal">
          <fgColor theme="1"/>
          <bgColor theme="2" tint="-0.749961851863155"/>
        </patternFill>
      </fill>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0"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numFmt numFmtId="0" formatCode="General"/>
      <protection locked="0" hidden="0"/>
    </dxf>
    <dxf>
      <numFmt numFmtId="0" formatCode="General"/>
      <protection locked="0" hidden="0"/>
    </dxf>
    <dxf>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numFmt numFmtId="19" formatCode="m/d/yyyy"/>
      <protection locked="0" hidden="0"/>
    </dxf>
    <dxf>
      <numFmt numFmtId="3" formatCode="#,##0"/>
      <protection locked="0" hidden="0"/>
    </dxf>
    <dxf>
      <numFmt numFmtId="3" formatCode="#,##0"/>
      <protection locked="0" hidden="0"/>
    </dxf>
    <dxf>
      <numFmt numFmtId="19" formatCode="m/d/yyyy"/>
      <protection locked="0" hidden="0"/>
    </dxf>
    <dxf>
      <numFmt numFmtId="0" formatCode="General"/>
      <protection locked="0" hidden="0"/>
    </dxf>
    <dxf>
      <protection locked="0" hidden="0"/>
    </dxf>
    <dxf>
      <numFmt numFmtId="0" formatCode="General"/>
      <protection locked="0" hidden="0"/>
    </dxf>
    <dxf>
      <numFmt numFmtId="0" formatCode="General"/>
      <protection locked="0" hidden="0"/>
    </dxf>
    <dxf>
      <numFmt numFmtId="19" formatCode="m/d/yyyy"/>
      <protection locked="0" hidden="0"/>
    </dxf>
    <dxf>
      <numFmt numFmtId="19" formatCode="m/d/yyyy"/>
      <protection locked="0" hidden="0"/>
    </dxf>
    <dxf>
      <numFmt numFmtId="19" formatCode="m/d/yyyy"/>
      <protection locked="0" hidden="0"/>
    </dxf>
    <dxf>
      <numFmt numFmtId="19" formatCode="m/d/yyyy"/>
      <protection locked="0" hidden="0"/>
    </dxf>
    <dxf>
      <numFmt numFmtId="19" formatCode="m/d/yyyy"/>
      <protection locked="0" hidden="0"/>
    </dxf>
    <dxf>
      <protection locked="0" hidden="0"/>
    </dxf>
    <dxf>
      <numFmt numFmtId="0" formatCode="General"/>
      <protection locked="0" hidden="0"/>
    </dxf>
    <dxf>
      <protection locked="0" hidden="0"/>
    </dxf>
    <dxf>
      <protection locked="0" hidden="0"/>
    </dxf>
    <dxf>
      <numFmt numFmtId="0" formatCode="General"/>
      <protection locked="0" hidden="0"/>
    </dxf>
    <dxf>
      <protection locked="0" hidden="0"/>
    </dxf>
    <dxf>
      <protection locked="0" hidden="0"/>
    </dxf>
    <dxf>
      <protection locked="0" hidden="0"/>
    </dxf>
    <dxf>
      <border outline="0">
        <top style="thin">
          <color auto="1"/>
        </top>
      </border>
    </dxf>
    <dxf>
      <protection locked="0" hidden="0"/>
    </dxf>
    <dxf>
      <border>
        <bottom style="thin">
          <color indexed="64"/>
        </bottom>
      </border>
    </dxf>
    <dxf>
      <font>
        <b/>
        <i val="0"/>
        <strike val="0"/>
        <condense val="0"/>
        <extend val="0"/>
        <outline val="0"/>
        <shadow val="0"/>
        <u val="none"/>
        <vertAlign val="baseline"/>
        <sz val="9"/>
        <color auto="1"/>
        <name val="Arial"/>
        <scheme val="none"/>
      </font>
      <fill>
        <patternFill patternType="solid">
          <fgColor indexed="64"/>
          <bgColor rgb="FFB1A0C7"/>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colors>
    <mruColors>
      <color rgb="FFFFA7A7"/>
      <color rgb="FFBDD7EE"/>
      <color rgb="FFFFFF66"/>
      <color rgb="FF0000FF"/>
      <color rgb="FFFA7D00"/>
      <color rgb="FF009F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265585</xdr:colOff>
      <xdr:row>6</xdr:row>
      <xdr:rowOff>240165</xdr:rowOff>
    </xdr:to>
    <xdr:pic>
      <xdr:nvPicPr>
        <xdr:cNvPr id="5" name="Picture 4" descr="California Climate Investments Logo and Title">
          <a:extLst>
            <a:ext uri="{FF2B5EF4-FFF2-40B4-BE49-F238E27FC236}">
              <a16:creationId xmlns:a16="http://schemas.microsoft.com/office/drawing/2014/main" id="{1F2964AB-F0F3-42C5-8361-B7D6338C1C9D}"/>
            </a:ext>
          </a:extLst>
        </xdr:cNvPr>
        <xdr:cNvPicPr>
          <a:picLocks noChangeAspect="1"/>
        </xdr:cNvPicPr>
      </xdr:nvPicPr>
      <xdr:blipFill>
        <a:blip xmlns:r="http://schemas.openxmlformats.org/officeDocument/2006/relationships" r:embed="rId1"/>
        <a:stretch>
          <a:fillRect/>
        </a:stretch>
      </xdr:blipFill>
      <xdr:spPr>
        <a:xfrm>
          <a:off x="285750" y="0"/>
          <a:ext cx="9114310" cy="1554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28575</xdr:colOff>
      <xdr:row>0</xdr:row>
      <xdr:rowOff>0</xdr:rowOff>
    </xdr:from>
    <xdr:to>
      <xdr:col>15</xdr:col>
      <xdr:colOff>770410</xdr:colOff>
      <xdr:row>6</xdr:row>
      <xdr:rowOff>154440</xdr:rowOff>
    </xdr:to>
    <xdr:pic>
      <xdr:nvPicPr>
        <xdr:cNvPr id="3" name="Picture 2" descr="California Climate Investments Logo and Title">
          <a:extLst>
            <a:ext uri="{FF2B5EF4-FFF2-40B4-BE49-F238E27FC236}">
              <a16:creationId xmlns:a16="http://schemas.microsoft.com/office/drawing/2014/main" id="{A67A3E32-612E-4161-8B2C-C7AA89F843AE}"/>
            </a:ext>
          </a:extLst>
        </xdr:cNvPr>
        <xdr:cNvPicPr>
          <a:picLocks noChangeAspect="1"/>
        </xdr:cNvPicPr>
      </xdr:nvPicPr>
      <xdr:blipFill>
        <a:blip xmlns:r="http://schemas.openxmlformats.org/officeDocument/2006/relationships" r:embed="rId1"/>
        <a:stretch>
          <a:fillRect/>
        </a:stretch>
      </xdr:blipFill>
      <xdr:spPr>
        <a:xfrm>
          <a:off x="314325" y="0"/>
          <a:ext cx="9114310" cy="15546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1600200</xdr:colOff>
      <xdr:row>7</xdr:row>
      <xdr:rowOff>59190</xdr:rowOff>
    </xdr:to>
    <xdr:pic>
      <xdr:nvPicPr>
        <xdr:cNvPr id="3" name="Picture 2" descr="California Climate Investments Logo and Title">
          <a:extLst>
            <a:ext uri="{FF2B5EF4-FFF2-40B4-BE49-F238E27FC236}">
              <a16:creationId xmlns:a16="http://schemas.microsoft.com/office/drawing/2014/main" id="{F0C65788-CD4E-4EE5-9EFC-770A594C150E}"/>
            </a:ext>
          </a:extLst>
        </xdr:cNvPr>
        <xdr:cNvPicPr>
          <a:picLocks noChangeAspect="1"/>
        </xdr:cNvPicPr>
      </xdr:nvPicPr>
      <xdr:blipFill rotWithShape="1">
        <a:blip xmlns:r="http://schemas.openxmlformats.org/officeDocument/2006/relationships" r:embed="rId1"/>
        <a:srcRect r="8035"/>
        <a:stretch/>
      </xdr:blipFill>
      <xdr:spPr>
        <a:xfrm>
          <a:off x="285750" y="0"/>
          <a:ext cx="8352367" cy="15726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1399060</xdr:colOff>
      <xdr:row>7</xdr:row>
      <xdr:rowOff>30615</xdr:rowOff>
    </xdr:to>
    <xdr:pic>
      <xdr:nvPicPr>
        <xdr:cNvPr id="3" name="Picture 2" descr="California Climate Investments Logo and Title">
          <a:extLst>
            <a:ext uri="{FF2B5EF4-FFF2-40B4-BE49-F238E27FC236}">
              <a16:creationId xmlns:a16="http://schemas.microsoft.com/office/drawing/2014/main" id="{6DE41B19-DB8E-4FBD-A15C-AD211C008F3D}"/>
            </a:ext>
          </a:extLst>
        </xdr:cNvPr>
        <xdr:cNvPicPr>
          <a:picLocks noChangeAspect="1"/>
        </xdr:cNvPicPr>
      </xdr:nvPicPr>
      <xdr:blipFill>
        <a:blip xmlns:r="http://schemas.openxmlformats.org/officeDocument/2006/relationships" r:embed="rId1"/>
        <a:stretch>
          <a:fillRect/>
        </a:stretch>
      </xdr:blipFill>
      <xdr:spPr>
        <a:xfrm>
          <a:off x="285750" y="0"/>
          <a:ext cx="9114310" cy="15546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6572250</xdr:colOff>
      <xdr:row>7</xdr:row>
      <xdr:rowOff>11565</xdr:rowOff>
    </xdr:to>
    <xdr:pic>
      <xdr:nvPicPr>
        <xdr:cNvPr id="4" name="Picture 3" descr="California Climate Investments Logo and Title">
          <a:extLst>
            <a:ext uri="{FF2B5EF4-FFF2-40B4-BE49-F238E27FC236}">
              <a16:creationId xmlns:a16="http://schemas.microsoft.com/office/drawing/2014/main" id="{EE489897-8356-4EFC-82A4-7840D05C979D}"/>
            </a:ext>
          </a:extLst>
        </xdr:cNvPr>
        <xdr:cNvPicPr>
          <a:picLocks noChangeAspect="1"/>
        </xdr:cNvPicPr>
      </xdr:nvPicPr>
      <xdr:blipFill rotWithShape="1">
        <a:blip xmlns:r="http://schemas.openxmlformats.org/officeDocument/2006/relationships" r:embed="rId1"/>
        <a:srcRect r="2496"/>
        <a:stretch/>
      </xdr:blipFill>
      <xdr:spPr>
        <a:xfrm>
          <a:off x="285750" y="0"/>
          <a:ext cx="8886825" cy="15546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1722910</xdr:colOff>
      <xdr:row>7</xdr:row>
      <xdr:rowOff>30615</xdr:rowOff>
    </xdr:to>
    <xdr:pic>
      <xdr:nvPicPr>
        <xdr:cNvPr id="3" name="Picture 2" descr="California Climate Investments Logo and Title">
          <a:extLst>
            <a:ext uri="{FF2B5EF4-FFF2-40B4-BE49-F238E27FC236}">
              <a16:creationId xmlns:a16="http://schemas.microsoft.com/office/drawing/2014/main" id="{88A5DBF4-4520-4A36-A3CA-3403D87FD45A}"/>
            </a:ext>
          </a:extLst>
        </xdr:cNvPr>
        <xdr:cNvPicPr>
          <a:picLocks noChangeAspect="1"/>
        </xdr:cNvPicPr>
      </xdr:nvPicPr>
      <xdr:blipFill>
        <a:blip xmlns:r="http://schemas.openxmlformats.org/officeDocument/2006/relationships" r:embed="rId1"/>
        <a:stretch>
          <a:fillRect/>
        </a:stretch>
      </xdr:blipFill>
      <xdr:spPr>
        <a:xfrm>
          <a:off x="0" y="0"/>
          <a:ext cx="9114310" cy="15546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3</xdr:col>
      <xdr:colOff>1819275</xdr:colOff>
      <xdr:row>7</xdr:row>
      <xdr:rowOff>28575</xdr:rowOff>
    </xdr:to>
    <xdr:pic>
      <xdr:nvPicPr>
        <xdr:cNvPr id="7" name="Picture 6" descr="California Climate Investments Logo and Title">
          <a:extLst>
            <a:ext uri="{FF2B5EF4-FFF2-40B4-BE49-F238E27FC236}">
              <a16:creationId xmlns:a16="http://schemas.microsoft.com/office/drawing/2014/main" id="{ADA576C8-215F-4B3B-883B-D7812FEE1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0"/>
          <a:ext cx="9115425" cy="155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75085</xdr:colOff>
      <xdr:row>7</xdr:row>
      <xdr:rowOff>27440</xdr:rowOff>
    </xdr:to>
    <xdr:pic>
      <xdr:nvPicPr>
        <xdr:cNvPr id="3" name="Picture 2" descr="California Climate Investments Logo and Title">
          <a:extLst>
            <a:ext uri="{FF2B5EF4-FFF2-40B4-BE49-F238E27FC236}">
              <a16:creationId xmlns:a16="http://schemas.microsoft.com/office/drawing/2014/main" id="{F4C4FF3B-F9D0-4E19-ADC1-8DDF13E0DA36}"/>
            </a:ext>
          </a:extLst>
        </xdr:cNvPr>
        <xdr:cNvPicPr>
          <a:picLocks noChangeAspect="1"/>
        </xdr:cNvPicPr>
      </xdr:nvPicPr>
      <xdr:blipFill>
        <a:blip xmlns:r="http://schemas.openxmlformats.org/officeDocument/2006/relationships" r:embed="rId1"/>
        <a:stretch>
          <a:fillRect/>
        </a:stretch>
      </xdr:blipFill>
      <xdr:spPr>
        <a:xfrm>
          <a:off x="285750" y="0"/>
          <a:ext cx="9114310" cy="15546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23</xdr:col>
      <xdr:colOff>628651</xdr:colOff>
      <xdr:row>7</xdr:row>
      <xdr:rowOff>30615</xdr:rowOff>
    </xdr:to>
    <xdr:pic>
      <xdr:nvPicPr>
        <xdr:cNvPr id="4" name="Picture 3" descr="California Climate Investments Logo and Title">
          <a:extLst>
            <a:ext uri="{FF2B5EF4-FFF2-40B4-BE49-F238E27FC236}">
              <a16:creationId xmlns:a16="http://schemas.microsoft.com/office/drawing/2014/main" id="{C9E3F6CB-AD67-4077-8205-F4500288CD2F}"/>
            </a:ext>
          </a:extLst>
        </xdr:cNvPr>
        <xdr:cNvPicPr>
          <a:picLocks noChangeAspect="1"/>
        </xdr:cNvPicPr>
      </xdr:nvPicPr>
      <xdr:blipFill rotWithShape="1">
        <a:blip xmlns:r="http://schemas.openxmlformats.org/officeDocument/2006/relationships" r:embed="rId1"/>
        <a:srcRect l="1" r="3645"/>
        <a:stretch/>
      </xdr:blipFill>
      <xdr:spPr>
        <a:xfrm>
          <a:off x="285751" y="0"/>
          <a:ext cx="8782050" cy="15546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1320800</xdr:colOff>
      <xdr:row>7</xdr:row>
      <xdr:rowOff>27440</xdr:rowOff>
    </xdr:to>
    <xdr:pic>
      <xdr:nvPicPr>
        <xdr:cNvPr id="3" name="Picture 2" descr="California Climate Investments Logo and Title">
          <a:extLst>
            <a:ext uri="{FF2B5EF4-FFF2-40B4-BE49-F238E27FC236}">
              <a16:creationId xmlns:a16="http://schemas.microsoft.com/office/drawing/2014/main" id="{8CE81507-AA59-47AC-8A13-70EFC164BBA3}"/>
            </a:ext>
          </a:extLst>
        </xdr:cNvPr>
        <xdr:cNvPicPr>
          <a:picLocks noChangeAspect="1"/>
        </xdr:cNvPicPr>
      </xdr:nvPicPr>
      <xdr:blipFill rotWithShape="1">
        <a:blip xmlns:r="http://schemas.openxmlformats.org/officeDocument/2006/relationships" r:embed="rId1"/>
        <a:srcRect r="9080"/>
        <a:stretch/>
      </xdr:blipFill>
      <xdr:spPr>
        <a:xfrm>
          <a:off x="285750" y="0"/>
          <a:ext cx="8286750" cy="15546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504825</xdr:colOff>
      <xdr:row>7</xdr:row>
      <xdr:rowOff>30615</xdr:rowOff>
    </xdr:to>
    <xdr:pic>
      <xdr:nvPicPr>
        <xdr:cNvPr id="4" name="Picture 3" descr="California Climate Investments Logo and Title">
          <a:extLst>
            <a:ext uri="{FF2B5EF4-FFF2-40B4-BE49-F238E27FC236}">
              <a16:creationId xmlns:a16="http://schemas.microsoft.com/office/drawing/2014/main" id="{187F98FA-3B9D-4746-85A1-7A6C3D2D6C9F}"/>
            </a:ext>
          </a:extLst>
        </xdr:cNvPr>
        <xdr:cNvPicPr>
          <a:picLocks noChangeAspect="1"/>
        </xdr:cNvPicPr>
      </xdr:nvPicPr>
      <xdr:blipFill rotWithShape="1">
        <a:blip xmlns:r="http://schemas.openxmlformats.org/officeDocument/2006/relationships" r:embed="rId1"/>
        <a:srcRect r="20889"/>
        <a:stretch/>
      </xdr:blipFill>
      <xdr:spPr>
        <a:xfrm>
          <a:off x="285750" y="0"/>
          <a:ext cx="7210425" cy="15546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637060</xdr:colOff>
      <xdr:row>7</xdr:row>
      <xdr:rowOff>30615</xdr:rowOff>
    </xdr:to>
    <xdr:pic>
      <xdr:nvPicPr>
        <xdr:cNvPr id="4" name="Picture 3" descr="California Climate Investments Logo and Title">
          <a:extLst>
            <a:ext uri="{FF2B5EF4-FFF2-40B4-BE49-F238E27FC236}">
              <a16:creationId xmlns:a16="http://schemas.microsoft.com/office/drawing/2014/main" id="{3F122135-8DAA-4215-B6DD-902EFCC16E22}"/>
            </a:ext>
          </a:extLst>
        </xdr:cNvPr>
        <xdr:cNvPicPr>
          <a:picLocks noChangeAspect="1"/>
        </xdr:cNvPicPr>
      </xdr:nvPicPr>
      <xdr:blipFill>
        <a:blip xmlns:r="http://schemas.openxmlformats.org/officeDocument/2006/relationships" r:embed="rId1"/>
        <a:stretch>
          <a:fillRect/>
        </a:stretch>
      </xdr:blipFill>
      <xdr:spPr>
        <a:xfrm>
          <a:off x="0" y="0"/>
          <a:ext cx="9114310" cy="15546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IB%20Benefits%20Section\State%20Agency%20Program%20FY%202018-19\CEC%20LCF\QM%20Documents\Comparison%20QMs\cdfa_ddrdp_finalcalculator_1-23-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tipton\AppData\Local\Microsoft\Windows\INetCache\Content.Outlook\W2VXDYV1\agenerg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Project Info"/>
      <sheetName val="Project Data Inputs"/>
      <sheetName val="Boiler Worksheet"/>
      <sheetName val="GHG Summary"/>
      <sheetName val="Co-benefit Summary"/>
      <sheetName val="Documentation"/>
      <sheetName val="Definitions"/>
      <sheetName val="For Technical Reviewers"/>
      <sheetName val="Temperature Data"/>
      <sheetName val="Baseline CH4 Calcs"/>
      <sheetName val="CH4 Other Practices"/>
      <sheetName val="CO2 Other Sources"/>
      <sheetName val="Project CH4 Emissions"/>
      <sheetName val="Co-ben Calcs"/>
      <sheetName val="Co-benefits ERF"/>
      <sheetName val="Other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A2" t="str">
            <v>Alameda</v>
          </cell>
          <cell r="C2" t="str">
            <v>pasture / dirt</v>
          </cell>
          <cell r="F2" t="str">
            <v>Diesel (Distillate No. 1 or 2, gal.)</v>
          </cell>
        </row>
        <row r="3">
          <cell r="A3" t="str">
            <v>Alpine</v>
          </cell>
          <cell r="C3" t="str">
            <v>daily spread</v>
          </cell>
          <cell r="F3" t="str">
            <v>Gasoline (gallons)</v>
          </cell>
        </row>
        <row r="4">
          <cell r="A4" t="str">
            <v>Amador</v>
          </cell>
          <cell r="C4" t="str">
            <v>solid storage</v>
          </cell>
          <cell r="F4" t="str">
            <v>Natural Gas (MMBtu)</v>
          </cell>
        </row>
        <row r="5">
          <cell r="A5" t="str">
            <v>Butte</v>
          </cell>
          <cell r="C5" t="str">
            <v>dry lot</v>
          </cell>
          <cell r="F5" t="str">
            <v>Natural Gas (scf)</v>
          </cell>
        </row>
        <row r="6">
          <cell r="A6" t="str">
            <v>Calaveras</v>
          </cell>
          <cell r="C6" t="str">
            <v>liquid slurry (with natural crust cover)</v>
          </cell>
        </row>
        <row r="7">
          <cell r="A7" t="str">
            <v xml:space="preserve">Colusa </v>
          </cell>
          <cell r="C7" t="str">
            <v>liquid slurry (without natural crust cover)</v>
          </cell>
        </row>
        <row r="8">
          <cell r="A8" t="str">
            <v xml:space="preserve">Contra Costa </v>
          </cell>
          <cell r="C8" t="str">
            <v>pit storage below animal confinements (&lt; 1 month)</v>
          </cell>
        </row>
        <row r="9">
          <cell r="A9" t="str">
            <v xml:space="preserve">Del Norte </v>
          </cell>
          <cell r="C9" t="str">
            <v>pit storage below animal confinements (&gt;1 month)</v>
          </cell>
        </row>
        <row r="10">
          <cell r="A10" t="str">
            <v xml:space="preserve">El Dorado </v>
          </cell>
          <cell r="C10" t="str">
            <v>cattle and swine deep bedding (&lt;1 month)</v>
          </cell>
        </row>
        <row r="11">
          <cell r="A11" t="str">
            <v xml:space="preserve">Fresno </v>
          </cell>
          <cell r="C11" t="str">
            <v>cattle and swine deep bedding (&gt;1 month)</v>
          </cell>
        </row>
        <row r="12">
          <cell r="A12" t="str">
            <v xml:space="preserve">Glenn </v>
          </cell>
          <cell r="C12" t="str">
            <v xml:space="preserve">composting - in vessel </v>
          </cell>
        </row>
        <row r="13">
          <cell r="A13" t="str">
            <v xml:space="preserve">Humboldt </v>
          </cell>
          <cell r="C13" t="str">
            <v>composting - aerated static pile</v>
          </cell>
        </row>
        <row r="14">
          <cell r="A14" t="str">
            <v xml:space="preserve">Imperial </v>
          </cell>
          <cell r="C14" t="str">
            <v>composting - intensive windrow</v>
          </cell>
        </row>
        <row r="15">
          <cell r="A15" t="str">
            <v xml:space="preserve">Inyo </v>
          </cell>
          <cell r="C15" t="str">
            <v>composting - passive windrow</v>
          </cell>
        </row>
        <row r="16">
          <cell r="A16" t="str">
            <v>Kern</v>
          </cell>
        </row>
        <row r="17">
          <cell r="A17" t="str">
            <v>Kings</v>
          </cell>
          <cell r="E17">
            <v>0</v>
          </cell>
          <cell r="J17" t="str">
            <v>Covered Lagoon</v>
          </cell>
        </row>
        <row r="18">
          <cell r="A18" t="str">
            <v xml:space="preserve">Lake </v>
          </cell>
          <cell r="E18">
            <v>0.05</v>
          </cell>
          <cell r="J18" t="str">
            <v>Complete mix, plug flow, or fixed film digester</v>
          </cell>
        </row>
        <row r="19">
          <cell r="A19" t="str">
            <v xml:space="preserve">Lassen </v>
          </cell>
          <cell r="E19">
            <v>0.1</v>
          </cell>
        </row>
        <row r="20">
          <cell r="A20" t="str">
            <v xml:space="preserve">Los Angeles </v>
          </cell>
          <cell r="E20">
            <v>0.15</v>
          </cell>
        </row>
        <row r="21">
          <cell r="A21" t="str">
            <v xml:space="preserve">Madera </v>
          </cell>
          <cell r="E21">
            <v>0.2</v>
          </cell>
        </row>
        <row r="22">
          <cell r="A22" t="str">
            <v xml:space="preserve">Marin </v>
          </cell>
          <cell r="E22">
            <v>0.25</v>
          </cell>
        </row>
        <row r="23">
          <cell r="A23" t="str">
            <v xml:space="preserve">Mariposa </v>
          </cell>
          <cell r="E23">
            <v>0.3</v>
          </cell>
          <cell r="J23" t="str">
            <v>New source</v>
          </cell>
        </row>
        <row r="24">
          <cell r="A24" t="str">
            <v xml:space="preserve">Mendocino </v>
          </cell>
          <cell r="E24">
            <v>0.35</v>
          </cell>
          <cell r="J24" t="str">
            <v>Decrease</v>
          </cell>
        </row>
        <row r="25">
          <cell r="A25" t="str">
            <v xml:space="preserve">Merced </v>
          </cell>
          <cell r="E25">
            <v>0.4</v>
          </cell>
          <cell r="J25" t="str">
            <v>No change</v>
          </cell>
        </row>
        <row r="26">
          <cell r="A26" t="str">
            <v xml:space="preserve">Modoc </v>
          </cell>
          <cell r="E26">
            <v>0.45</v>
          </cell>
          <cell r="J26" t="str">
            <v>Increase</v>
          </cell>
        </row>
        <row r="27">
          <cell r="A27" t="str">
            <v xml:space="preserve">Mono </v>
          </cell>
          <cell r="E27">
            <v>0.5</v>
          </cell>
        </row>
        <row r="28">
          <cell r="A28" t="str">
            <v xml:space="preserve">Monterey </v>
          </cell>
          <cell r="E28">
            <v>0.55000000000000004</v>
          </cell>
          <cell r="J28" t="str">
            <v>Yes</v>
          </cell>
        </row>
        <row r="29">
          <cell r="A29" t="str">
            <v xml:space="preserve">Napa </v>
          </cell>
          <cell r="E29">
            <v>0.6</v>
          </cell>
          <cell r="J29" t="str">
            <v>No</v>
          </cell>
        </row>
        <row r="30">
          <cell r="A30" t="str">
            <v xml:space="preserve">Nevada </v>
          </cell>
          <cell r="E30">
            <v>0.65</v>
          </cell>
        </row>
        <row r="31">
          <cell r="A31" t="str">
            <v xml:space="preserve">Orange </v>
          </cell>
          <cell r="E31">
            <v>0.7</v>
          </cell>
          <cell r="J31" t="str">
            <v>No Solid Separation</v>
          </cell>
        </row>
        <row r="32">
          <cell r="A32" t="str">
            <v>Placer</v>
          </cell>
          <cell r="E32">
            <v>0.75</v>
          </cell>
          <cell r="J32" t="str">
            <v>Weeping Wall</v>
          </cell>
        </row>
        <row r="33">
          <cell r="A33" t="str">
            <v xml:space="preserve">Plumas </v>
          </cell>
          <cell r="E33">
            <v>0.8</v>
          </cell>
          <cell r="J33" t="str">
            <v>Stationary Screen</v>
          </cell>
        </row>
        <row r="34">
          <cell r="A34" t="str">
            <v xml:space="preserve">Riverside </v>
          </cell>
          <cell r="E34">
            <v>0.85</v>
          </cell>
          <cell r="J34" t="str">
            <v>Vibrating Screen</v>
          </cell>
        </row>
        <row r="35">
          <cell r="A35" t="str">
            <v>Sacramento</v>
          </cell>
          <cell r="E35">
            <v>0.9</v>
          </cell>
          <cell r="J35" t="str">
            <v>Screw Press</v>
          </cell>
        </row>
        <row r="36">
          <cell r="A36" t="str">
            <v>San Benito</v>
          </cell>
          <cell r="E36">
            <v>0.95</v>
          </cell>
          <cell r="J36" t="str">
            <v>Centrifuge</v>
          </cell>
        </row>
        <row r="37">
          <cell r="A37" t="str">
            <v>San Bernardino</v>
          </cell>
          <cell r="E37">
            <v>1</v>
          </cell>
          <cell r="J37" t="str">
            <v>Roller Drum</v>
          </cell>
        </row>
        <row r="38">
          <cell r="A38" t="str">
            <v xml:space="preserve">San Diego </v>
          </cell>
          <cell r="J38" t="str">
            <v>Belt Press/Screen</v>
          </cell>
        </row>
        <row r="39">
          <cell r="A39" t="str">
            <v xml:space="preserve">San Francisco </v>
          </cell>
        </row>
        <row r="40">
          <cell r="A40" t="str">
            <v xml:space="preserve">San Joaquin </v>
          </cell>
        </row>
        <row r="41">
          <cell r="A41" t="str">
            <v>San Luis Obispo</v>
          </cell>
        </row>
        <row r="42">
          <cell r="A42" t="str">
            <v xml:space="preserve">San Mateo </v>
          </cell>
        </row>
        <row r="43">
          <cell r="A43" t="str">
            <v xml:space="preserve">Santa Barbara </v>
          </cell>
        </row>
        <row r="44">
          <cell r="A44" t="str">
            <v xml:space="preserve">Santa Clara </v>
          </cell>
        </row>
        <row r="45">
          <cell r="A45" t="str">
            <v>Santa Cruz</v>
          </cell>
        </row>
        <row r="46">
          <cell r="A46" t="str">
            <v xml:space="preserve">Shasta </v>
          </cell>
        </row>
        <row r="47">
          <cell r="A47" t="str">
            <v xml:space="preserve">Sierra </v>
          </cell>
        </row>
        <row r="48">
          <cell r="A48" t="str">
            <v xml:space="preserve">Siskiyou </v>
          </cell>
        </row>
        <row r="49">
          <cell r="A49" t="str">
            <v xml:space="preserve">Solano </v>
          </cell>
        </row>
        <row r="50">
          <cell r="A50" t="str">
            <v xml:space="preserve">Sonoma </v>
          </cell>
        </row>
        <row r="51">
          <cell r="A51" t="str">
            <v xml:space="preserve">Stanislaus </v>
          </cell>
        </row>
        <row r="52">
          <cell r="A52" t="str">
            <v xml:space="preserve">Sutter </v>
          </cell>
        </row>
        <row r="53">
          <cell r="A53" t="str">
            <v>Tehama</v>
          </cell>
        </row>
        <row r="54">
          <cell r="A54" t="str">
            <v>Trinity</v>
          </cell>
        </row>
        <row r="55">
          <cell r="A55" t="str">
            <v>Tulare</v>
          </cell>
        </row>
        <row r="56">
          <cell r="A56" t="str">
            <v>Tuolumne</v>
          </cell>
        </row>
        <row r="57">
          <cell r="A57" t="str">
            <v>Ventura</v>
          </cell>
        </row>
        <row r="58">
          <cell r="A58" t="str">
            <v>Yolo</v>
          </cell>
        </row>
        <row r="59">
          <cell r="A59" t="str">
            <v>Yuba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Validation"/>
      <sheetName val="Dependent Tables"/>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2:BP32" totalsRowShown="0" headerRowDxfId="88" dataDxfId="86" headerRowBorderDxfId="87" tableBorderDxfId="85">
  <autoFilter ref="A2:BP32" xr:uid="{00000000-0009-0000-0100-000002000000}"/>
  <tableColumns count="68">
    <tableColumn id="1" xr3:uid="{00000000-0010-0000-0000-000001000000}" name="Agency" dataDxfId="84"/>
    <tableColumn id="2" xr3:uid="{00000000-0010-0000-0000-000002000000}" name="Subprogram" dataDxfId="83"/>
    <tableColumn id="3" xr3:uid="{00000000-0010-0000-0000-000003000000}" name="Project ID" dataDxfId="82"/>
    <tableColumn id="4" xr3:uid="{00000000-0010-0000-0000-000004000000}" name="Project Name" dataDxfId="81">
      <calculatedColumnFormula>'1. Project Info'!L15</calculatedColumnFormula>
    </tableColumn>
    <tableColumn id="5" xr3:uid="{00000000-0010-0000-0000-000005000000}" name="Project Type" dataDxfId="80"/>
    <tableColumn id="6" xr3:uid="{00000000-0010-0000-0000-000006000000}" name="Project Description" dataDxfId="79"/>
    <tableColumn id="7" xr3:uid="{00000000-0010-0000-0000-000007000000}" name="Project Address" dataDxfId="78">
      <calculatedColumnFormula>'1. Project Info'!M15</calculatedColumnFormula>
    </tableColumn>
    <tableColumn id="8" xr3:uid="{00000000-0010-0000-0000-000008000000}" name="Project Latitude and Longitude (degrees)" dataDxfId="77"/>
    <tableColumn id="9" xr3:uid="{00000000-0010-0000-0000-000009000000}" name="Expenditure Record Date" dataDxfId="76"/>
    <tableColumn id="10" xr3:uid="{00000000-0010-0000-0000-00000A000000}" name="Date Selected" dataDxfId="75"/>
    <tableColumn id="11" xr3:uid="{00000000-0010-0000-0000-00000B000000}" name="Date Awarded" dataDxfId="74"/>
    <tableColumn id="12" xr3:uid="{00000000-0010-0000-0000-00000C000000}" name="Project Completion Date" dataDxfId="73">
      <calculatedColumnFormula>'1. Project Info'!#REF!</calculatedColumnFormula>
    </tableColumn>
    <tableColumn id="13" xr3:uid="{00000000-0010-0000-0000-00000D000000}" name="Date Operational" dataDxfId="72"/>
    <tableColumn id="15" xr3:uid="{00000000-0010-0000-0000-00000F000000}" name="Total Project Cost ($)" dataDxfId="71">
      <calculatedColumnFormula>ROUND('1. Project Info'!#REF!,0)</calculatedColumnFormula>
    </tableColumn>
    <tableColumn id="16" xr3:uid="{00000000-0010-0000-0000-000010000000}" name="Total GGRF Funding Amount from this Program ($)" dataDxfId="70">
      <calculatedColumnFormula>ROUND('1. Project Info'!#REF!,0)</calculatedColumnFormula>
    </tableColumn>
    <tableColumn id="17" xr3:uid="{00000000-0010-0000-0000-000011000000}" name="Fiscal Year(s)" dataDxfId="69"/>
    <tableColumn id="19" xr3:uid="{00000000-0010-0000-0000-000013000000}" name="Total Matching Funds ($)" dataDxfId="68">
      <calculatedColumnFormula>ROUND('1. Project Info'!#REF!,0)</calculatedColumnFormula>
    </tableColumn>
    <tableColumn id="22" xr3:uid="{00000000-0010-0000-0000-000016000000}" name="Quantification Methodology Date" dataDxfId="67">
      <calculatedColumnFormula>'1. Project Info'!#REF!</calculatedColumnFormula>
    </tableColumn>
    <tableColumn id="23" xr3:uid="{00000000-0010-0000-0000-000017000000}" name="Quantification Period (years)" dataDxfId="66">
      <calculatedColumnFormula>MAX('2. Inputs'!U15:U39)</calculatedColumnFormula>
    </tableColumn>
    <tableColumn id="24" xr3:uid="{00000000-0010-0000-0000-000018000000}" name="GHG Emission Reductions (MTCO2E)" dataDxfId="65">
      <calculatedColumnFormula>ROUND('3. Benefits Summary'!#REF!,0)</calculatedColumnFormula>
    </tableColumn>
    <tableColumn id="25" xr3:uid="{00000000-0010-0000-0000-000019000000}" name="Date GHG Emission Reductions Begin" dataDxfId="64">
      <calculatedColumnFormula>'1. Project Info'!#REF!</calculatedColumnFormula>
    </tableColumn>
    <tableColumn id="91" xr3:uid="{00000000-0010-0000-0000-00005B000000}" name="Governor’s Pillars (1;2;3;4;5;6)" dataDxfId="63"/>
    <tableColumn id="92" xr3:uid="{00000000-0010-0000-0000-00005C000000}" name="Other State Policies, Plans, or Initiatives? (Y/N)" dataDxfId="62"/>
    <tableColumn id="93" xr3:uid="{00000000-0010-0000-0000-00005D000000}" name="Describe other State Policies, Plans, or Initiatives" dataDxfId="61"/>
    <tableColumn id="94" xr3:uid="{00000000-0010-0000-0000-00005E000000}" name="Support Scoping Plan? (Y/N)" dataDxfId="60"/>
    <tableColumn id="28" xr3:uid="{00000000-0010-0000-0000-00001C000000}" name="Total Diesel PM Reductions (lbs)" dataDxfId="59"/>
    <tableColumn id="29" xr3:uid="{00000000-0010-0000-0000-00001D000000}" name="Total NOx Reductions (lbs)" dataDxfId="58">
      <calculatedColumnFormula>ROUND('3. Benefits Summary'!#REF!,0)</calculatedColumnFormula>
    </tableColumn>
    <tableColumn id="30" xr3:uid="{00000000-0010-0000-0000-00001E000000}" name="Total PM 2.5 Reductions (lbs)" dataDxfId="57">
      <calculatedColumnFormula>ROUND('3. Benefits Summary'!#REF!,0)</calculatedColumnFormula>
    </tableColumn>
    <tableColumn id="31" xr3:uid="{00000000-0010-0000-0000-00001F000000}" name="Total Reactive Organic Gases Reductions (lbs)" dataDxfId="56">
      <calculatedColumnFormula>ROUND('3. Benefits Summary'!#REF!,0)</calculatedColumnFormula>
    </tableColumn>
    <tableColumn id="141" xr3:uid="{00000000-0010-0000-0000-00008D000000}" name="Remote Nox Reductions (lbs)" dataDxfId="55">
      <calculatedColumnFormula>ROUND('3. Benefits Summary'!#REF!,0)</calculatedColumnFormula>
    </tableColumn>
    <tableColumn id="140" xr3:uid="{00000000-0010-0000-0000-00008C000000}" name="Remote PM 2.5 Reductions (lbs)" dataDxfId="54">
      <calculatedColumnFormula>ROUND('3. Benefits Summary'!#REF!,0)</calculatedColumnFormula>
    </tableColumn>
    <tableColumn id="142" xr3:uid="{00000000-0010-0000-0000-00008E000000}" name="Remote Reactive Organic Gases Reductions (lbs)" dataDxfId="53">
      <calculatedColumnFormula>ROUND('3. Benefits Summary'!#REF!,0)</calculatedColumnFormula>
    </tableColumn>
    <tableColumn id="38" xr3:uid="{00000000-0010-0000-0000-000026000000}" name="Energy and Fuel Cost Savings ($)" dataDxfId="52">
      <calculatedColumnFormula>ROUND('3. Benefits Summary'!#REF!,0)</calculatedColumnFormula>
    </tableColumn>
    <tableColumn id="40" xr3:uid="{00000000-0010-0000-0000-000028000000}" name="Climate Adaptation" dataDxfId="51"/>
    <tableColumn id="81" xr3:uid="{00000000-0010-0000-0000-000051000000}" name="Community Engagement" dataDxfId="50"/>
    <tableColumn id="33" xr3:uid="{00000000-0010-0000-0000-000021000000}" name="Fossil Fuel Based Transportation Fuel Use Reductions (gallons)" dataDxfId="49">
      <calculatedColumnFormula>ROUND('3. Benefits Summary'!#REF!,0)</calculatedColumnFormula>
    </tableColumn>
    <tableColumn id="34" xr3:uid="{00000000-0010-0000-0000-000022000000}" name="Fossil Fuel Based Energy Use Reductions (kWh)" dataDxfId="48">
      <calculatedColumnFormula>ROUND('3. Benefits Summary'!#REF!,0)</calculatedColumnFormula>
    </tableColumn>
    <tableColumn id="35" xr3:uid="{00000000-0010-0000-0000-000023000000}" name="Fossil Fuel Based Energy Use Reductions (therms)" dataDxfId="47">
      <calculatedColumnFormula>ROUND(#REF!,0)</calculatedColumnFormula>
    </tableColumn>
    <tableColumn id="82" xr3:uid="{00000000-0010-0000-0000-000052000000}" name="Water Use Reductions (gallons)" dataDxfId="46">
      <calculatedColumnFormula>ROUND('3. Benefits Summary'!#REF!,0)</calculatedColumnFormula>
    </tableColumn>
    <tableColumn id="100" xr3:uid="{00000000-0010-0000-0000-000064000000}" name="Renewable Energy Generation (kWh)" dataDxfId="45">
      <calculatedColumnFormula>ROUND('3. Benefits Summary'!#REF!,0)</calculatedColumnFormula>
    </tableColumn>
    <tableColumn id="45" xr3:uid="{00000000-0010-0000-0000-00002D000000}" name="Land Conserved (acres)" dataDxfId="44"/>
    <tableColumn id="114" xr3:uid="{00000000-0010-0000-0000-000072000000}" name="Direct Jobs" dataDxfId="43"/>
    <tableColumn id="118" xr3:uid="{00000000-0010-0000-0000-000076000000}" name="Indirect Jobs" dataDxfId="42"/>
    <tableColumn id="119" xr3:uid="{00000000-0010-0000-0000-000077000000}" name="Induced Jobs" dataDxfId="41"/>
    <tableColumn id="96" xr3:uid="{00000000-0010-0000-0000-000060000000}" name="Describe Co-benefits" dataDxfId="40"/>
    <tableColumn id="52" xr3:uid="{00000000-0010-0000-0000-000034000000}" name="CalEnviroScreen Version" dataDxfId="39"/>
    <tableColumn id="60" xr3:uid="{00000000-0010-0000-0000-00003C000000}" name="Benefit Criteria Table" dataDxfId="38"/>
    <tableColumn id="57" xr3:uid="{00000000-0010-0000-0000-000039000000}" name="Benefits Criteria Table_x000a_Step 1: Disadvantaged Community? (Y/N)" dataDxfId="37"/>
    <tableColumn id="58" xr3:uid="{00000000-0010-0000-0000-00003A000000}" name="Benefits Criteria Table_x000a_Step 1: Low-income Community or Low-income Household? (Y/N)" dataDxfId="36"/>
    <tableColumn id="59" xr3:uid="{00000000-0010-0000-0000-00003B000000}" name="Benefits Criteria Table_x000a_Step 1: Low-income 1/2-mile Buffer Region? (Y/N)" dataDxfId="35"/>
    <tableColumn id="61" xr3:uid="{00000000-0010-0000-0000-00003D000000}" name="Benefits Criteria Table_x000a_Step 2: Identifying Community Need" dataDxfId="34"/>
    <tableColumn id="62" xr3:uid="{00000000-0010-0000-0000-00003E000000}" name="Benefits Criteria Table_x000a_Step 2: Description of Community Need" dataDxfId="33"/>
    <tableColumn id="63" xr3:uid="{00000000-0010-0000-0000-00003F000000}" name="Benefits Criteria Table_x000a_Step 3: Benefit Criteria Met" dataDxfId="32"/>
    <tableColumn id="64" xr3:uid="{00000000-0010-0000-0000-000040000000}" name="Benefits Criteria Table_x000a_Step 3: Description of Benefits to Priority Populations" dataDxfId="31"/>
    <tableColumn id="65" xr3:uid="{00000000-0010-0000-0000-000041000000}" name="Qualifying Disadvantaged Community Benefit Count" dataDxfId="30">
      <calculatedColumnFormula>IF(Table13[[#This Row],[Benefits Criteria Table
Step 1: Disadvantaged Community? (Y/N)]]="Yes",Table13[[#This Row],[Count]],0)</calculatedColumnFormula>
    </tableColumn>
    <tableColumn id="66" xr3:uid="{00000000-0010-0000-0000-000042000000}" name="Qualifying Disadvantaged Community Benefit Amount ($)" dataDxfId="29">
      <calculatedColumnFormula>IF(Table13[[#This Row],[Benefits Criteria Table
Step 1: Disadvantaged Community? (Y/N)]]="Yes",Table13[[#This Row],[Total GGRF Funding Amount from this Program ($)]],0)</calculatedColumnFormula>
    </tableColumn>
    <tableColumn id="67" xr3:uid="{00000000-0010-0000-0000-000043000000}" name="Qualifying Low-income Count" dataDxfId="28">
      <calculatedColumnFormula>IF(Table13[[#This Row],[Benefits Criteria Table
Step 1: Low-income Community or Low-income Household? (Y/N)]]="Yes",Table13[[#This Row],[Count]],0)</calculatedColumnFormula>
    </tableColumn>
    <tableColumn id="68" xr3:uid="{00000000-0010-0000-0000-000044000000}" name="Qualifying Low-income Amount ($)" dataDxfId="27">
      <calculatedColumnFormula>IF(Table13[[#This Row],[Benefits Criteria Table
Step 1: Low-income Community or Low-income Household? (Y/N)]]="Yes",Table13[[#This Row],[Total GGRF Funding Amount from this Program ($)]],0)</calculatedColumnFormula>
    </tableColumn>
    <tableColumn id="69" xr3:uid="{00000000-0010-0000-0000-000045000000}" name="Qualifying 1/2-mile Low-income Buffer Count" dataDxfId="26">
      <calculatedColumnFormula>IF(Table13[[#This Row],[Benefits Criteria Table
Step 1: Low-income 1/2-mile Buffer Region? (Y/N)]]="Yes",Table13[[#This Row],[Count]],0)</calculatedColumnFormula>
    </tableColumn>
    <tableColumn id="70" xr3:uid="{00000000-0010-0000-0000-000046000000}" name="Qualifying 1/2-mile Low-income Buffer Amount ($)" dataDxfId="25">
      <calculatedColumnFormula>IF(Table13[[#This Row],[Benefits Criteria Table
Step 1: Low-income 1/2-mile Buffer Region? (Y/N)]]="Yes",Table13[[#This Row],[Total GGRF Funding Amount from this Program ($)]],0)</calculatedColumnFormula>
    </tableColumn>
    <tableColumn id="71" xr3:uid="{00000000-0010-0000-0000-000047000000}" name="Select a Priority Population" dataDxfId="24"/>
    <tableColumn id="26" xr3:uid="{00000000-0010-0000-0000-00001A000000}" name="Claimed Disadvantaged Communities Benefit Count" dataDxfId="23">
      <calculatedColumnFormula>IF(Table13[[#This Row],[Benefits Criteria Table
Step 1: Disadvantaged Community? (Y/N)]]="YES",IF(Table13[[#This Row],[Select a Priority Population]]="Disadvantaged Community",Table13[[#This Row],[Count]],0),"")</calculatedColumnFormula>
    </tableColumn>
    <tableColumn id="27" xr3:uid="{00000000-0010-0000-0000-00001B000000}" name="Claimed Disadvantaged Communities Benefit Amount ($)" dataDxfId="22">
      <calculatedColumnFormula>IF(Table13[[#This Row],[Benefits Criteria Table
Step 1: Disadvantaged Community? (Y/N)]]="YES",IF(Table13[[#This Row],[Select a Priority Population]]="Disadvantaged Community",Table13[[#This Row],[Qualifying Disadvantaged Community Benefit Amount ($)]],0),"")</calculatedColumnFormula>
    </tableColumn>
    <tableColumn id="72" xr3:uid="{00000000-0010-0000-0000-000048000000}" name="Claimed Low-income Count" dataDxfId="21">
      <calculatedColumnFormula>IF(Table13[[#This Row],[Benefits Criteria Table
Step 1: Low-income Community or Low-income Household? (Y/N)]]="Yes",IF(Table13[[#This Row],[Select a Priority Population]]="Low-income Community",Table13[[#This Row],[Count]],0),0)</calculatedColumnFormula>
    </tableColumn>
    <tableColumn id="73" xr3:uid="{00000000-0010-0000-0000-000049000000}" name="Claimed Low-income Amount ($)" dataDxfId="20">
      <calculatedColumnFormula>IF(Table13[[#This Row],[Benefits Criteria Table
Step 1: Low-income Community or Low-income Household? (Y/N)]]="Yes",IF(Table13[[#This Row],[Select a Priority Population]]="Low-income Community",Table13[[#This Row],[Total GGRF Funding Amount from this Program ($)]],0),0)</calculatedColumnFormula>
    </tableColumn>
    <tableColumn id="74" xr3:uid="{00000000-0010-0000-0000-00004A000000}" name="Claimed Low-income 1/2-mile Buffer Count" dataDxfId="19">
      <calculatedColumnFormula>IF(Table13[[#This Row],[Benefits Criteria Table
Step 1: Low-income 1/2-mile Buffer Region? (Y/N)]]="Yes",IF(Table13[[#This Row],[Select a Priority Population]]="1/2 Mile Buffer Zone",Table13[[#This Row],[Count]],0),0)</calculatedColumnFormula>
    </tableColumn>
    <tableColumn id="75" xr3:uid="{00000000-0010-0000-0000-00004B000000}" name="Claimed Low-income 1/2-mile Buffer Amount ($)" dataDxfId="18">
      <calculatedColumnFormula>IF(Table13[[#This Row],[Benefits Criteria Table
Step 1: Low-income 1/2-mile Buffer Region? (Y/N)]]="Yes",IF(Table13[[#This Row],[Select a Priority Population]]="1/2 Mile Buffer Zone",Table13[[#This Row],[Total GGRF Funding Amount from this Program ($)]],0),0)</calculatedColumnFormula>
    </tableColumn>
    <tableColumn id="76" xr3:uid="{00000000-0010-0000-0000-00004C000000}" name="Count" dataDxfId="17">
      <calculatedColumnFormula>IF(ISBLANK(Table13[[#This Row],[Project ID]]), 0, 1)</calculatedColumnFormula>
    </tableColumn>
  </tableColumns>
  <tableStyleInfo name="TableStyleLight6" showFirstColumn="0" showLastColumn="0" showRowStripes="1" showColumnStripes="0"/>
  <extLst>
    <ext xmlns:x14="http://schemas.microsoft.com/office/spreadsheetml/2009/9/main" uri="{504A1905-F514-4f6f-8877-14C23A59335A}">
      <x14:table altText="California Climate Investments Reporting and Tracking System (CCIRTS) Templat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RIP@arb.ca.gov" TargetMode="External"/><Relationship Id="rId2" Type="http://schemas.openxmlformats.org/officeDocument/2006/relationships/hyperlink" Target="http://www.arb.ca.gov/auctionproceeds" TargetMode="External"/><Relationship Id="rId1" Type="http://schemas.openxmlformats.org/officeDocument/2006/relationships/hyperlink" Target="mailto:GGRFProgram@arb.ca.gov"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rb.ca.gov/cci-resourc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arb.ca.gov/cci-resources" TargetMode="External"/><Relationship Id="rId3" Type="http://schemas.openxmlformats.org/officeDocument/2006/relationships/hyperlink" Target="https://www.arb.ca.gov/cc/capandtrade/auctionproceeds/ccidoc/criteriatable/criteria-table-eere.pdf" TargetMode="External"/><Relationship Id="rId7" Type="http://schemas.openxmlformats.org/officeDocument/2006/relationships/hyperlink" Target="https://www.arb.ca.gov/cc/capandtrade/auctionproceeds/communityinvestments.htm" TargetMode="External"/><Relationship Id="rId2" Type="http://schemas.openxmlformats.org/officeDocument/2006/relationships/hyperlink" Target="https://www.arb.ca.gov/cc/capandtrade/auctionproceeds/ccidoc/criteriatable/criteria-table-jobs.pdf" TargetMode="External"/><Relationship Id="rId1" Type="http://schemas.openxmlformats.org/officeDocument/2006/relationships/hyperlink" Target="https://www.arb.ca.gov/cc/capandtrade/auctionproceeds/communityinvestments.htm" TargetMode="External"/><Relationship Id="rId6" Type="http://schemas.openxmlformats.org/officeDocument/2006/relationships/hyperlink" Target="http://www.arb.ca.gov/cci-resources." TargetMode="External"/><Relationship Id="rId11" Type="http://schemas.openxmlformats.org/officeDocument/2006/relationships/vmlDrawing" Target="../drawings/vmlDrawing1.vml"/><Relationship Id="rId5" Type="http://schemas.openxmlformats.org/officeDocument/2006/relationships/hyperlink" Target="https://www.arb.ca.gov/cc/capandtrade/auctionproceeds/2018-funding-guidelines.pdf" TargetMode="External"/><Relationship Id="rId10" Type="http://schemas.openxmlformats.org/officeDocument/2006/relationships/drawing" Target="../drawings/drawing7.xml"/><Relationship Id="rId4" Type="http://schemas.openxmlformats.org/officeDocument/2006/relationships/hyperlink" Target="https://oehha.ca.gov/calenviroscreen/report/calenviroscreen-30"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ipcc.ch/report/ar5/syr/" TargetMode="External"/><Relationship Id="rId7" Type="http://schemas.openxmlformats.org/officeDocument/2006/relationships/hyperlink" Target="https://ww2.arb.ca.gov/sites/default/files/2023-12/ghg_inventory_by_sector_all_00-21.xlsx" TargetMode="External"/><Relationship Id="rId2" Type="http://schemas.openxmlformats.org/officeDocument/2006/relationships/hyperlink" Target="https://www.ipcc.ch/report/ar4/wg1/" TargetMode="External"/><Relationship Id="rId1" Type="http://schemas.openxmlformats.org/officeDocument/2006/relationships/hyperlink" Target="https://ww2.arb.ca.gov/resources/documents/high-gwp-refrigerants" TargetMode="External"/><Relationship Id="rId6" Type="http://schemas.openxmlformats.org/officeDocument/2006/relationships/hyperlink" Target="http://www.energy.ca.gov/almanac/electricity_data/electricity_generation.html" TargetMode="External"/><Relationship Id="rId5" Type="http://schemas.openxmlformats.org/officeDocument/2006/relationships/hyperlink" Target="https://www.arb.ca.gov/app/emsinv/2017/emssumcat_query.php?F_YR=2012&amp;F_DIV=-4&amp;F_SEASON=A&amp;SP=SIP105ADJ&amp;F_AREA=CA" TargetMode="External"/><Relationship Id="rId4" Type="http://schemas.openxmlformats.org/officeDocument/2006/relationships/hyperlink" Target="http://www.energy.ca.gov/almanac/electricity_data/electricity_generation.html"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2.arb.ca.gov/our-work/programs/FRIP/program-materia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A7A7"/>
    <pageSetUpPr fitToPage="1"/>
  </sheetPr>
  <dimension ref="B1:L35"/>
  <sheetViews>
    <sheetView showGridLines="0" tabSelected="1" zoomScaleNormal="100" workbookViewId="0"/>
  </sheetViews>
  <sheetFormatPr defaultColWidth="9.140625" defaultRowHeight="15" customHeight="1" x14ac:dyDescent="0.25"/>
  <cols>
    <col min="1" max="1" width="4.28515625" style="73" customWidth="1"/>
    <col min="2" max="4" width="35.7109375" style="73" customWidth="1"/>
    <col min="5" max="5" width="25.5703125" style="73" customWidth="1"/>
    <col min="6" max="6" width="37.7109375" style="73" customWidth="1"/>
    <col min="7" max="7" width="2.85546875" style="73" customWidth="1"/>
    <col min="8" max="16384" width="9.140625" style="73"/>
  </cols>
  <sheetData>
    <row r="1" spans="2:12" ht="20.100000000000001" customHeight="1" x14ac:dyDescent="0.25">
      <c r="B1" s="72"/>
      <c r="C1" s="72"/>
      <c r="D1" s="72"/>
      <c r="E1" s="72"/>
      <c r="F1" s="72"/>
    </row>
    <row r="3" spans="2:12" ht="20.100000000000001" customHeight="1" x14ac:dyDescent="0.25">
      <c r="B3" s="72"/>
      <c r="C3" s="72"/>
      <c r="D3" s="72"/>
      <c r="E3" s="72"/>
      <c r="F3" s="72"/>
    </row>
    <row r="4" spans="2:12" ht="20.100000000000001" customHeight="1" x14ac:dyDescent="0.25">
      <c r="B4" s="74"/>
      <c r="C4" s="74"/>
      <c r="D4" s="74"/>
      <c r="E4" s="74"/>
      <c r="F4" s="74"/>
    </row>
    <row r="5" spans="2:12" ht="15" customHeight="1" x14ac:dyDescent="0.25">
      <c r="B5" s="75"/>
      <c r="C5" s="75"/>
      <c r="D5" s="75"/>
      <c r="E5" s="75"/>
      <c r="F5" s="75"/>
    </row>
    <row r="6" spans="2:12" ht="15" customHeight="1" x14ac:dyDescent="0.25">
      <c r="B6" s="76"/>
      <c r="C6" s="76"/>
      <c r="D6" s="76"/>
      <c r="E6" s="76"/>
      <c r="F6" s="76"/>
    </row>
    <row r="7" spans="2:12" ht="20.100000000000001" customHeight="1" x14ac:dyDescent="0.25">
      <c r="B7" s="72"/>
      <c r="C7" s="72"/>
      <c r="D7" s="72"/>
      <c r="E7" s="72"/>
      <c r="F7" s="72"/>
    </row>
    <row r="8" spans="2:12" ht="20.100000000000001" customHeight="1" x14ac:dyDescent="0.25">
      <c r="B8" s="77"/>
      <c r="C8" s="77"/>
      <c r="D8" s="77"/>
      <c r="E8" s="77"/>
      <c r="F8" s="77"/>
    </row>
    <row r="9" spans="2:12" ht="15" customHeight="1" thickBot="1" x14ac:dyDescent="0.3">
      <c r="B9" s="78" t="s">
        <v>0</v>
      </c>
    </row>
    <row r="10" spans="2:12" ht="15.75" x14ac:dyDescent="0.25">
      <c r="B10" s="756" t="s">
        <v>688</v>
      </c>
      <c r="C10" s="757"/>
      <c r="D10" s="757"/>
      <c r="E10" s="757"/>
      <c r="F10" s="758"/>
    </row>
    <row r="11" spans="2:12" ht="15.75" x14ac:dyDescent="0.25">
      <c r="B11" s="759" t="s">
        <v>689</v>
      </c>
      <c r="C11" s="79"/>
      <c r="D11" s="79"/>
      <c r="E11" s="79"/>
      <c r="F11" s="760"/>
    </row>
    <row r="12" spans="2:12" ht="15.75" x14ac:dyDescent="0.25">
      <c r="B12" s="759" t="s">
        <v>690</v>
      </c>
      <c r="C12" s="79"/>
      <c r="D12" s="79"/>
      <c r="E12" s="79"/>
      <c r="F12" s="760"/>
    </row>
    <row r="13" spans="2:12" ht="15.75" x14ac:dyDescent="0.25">
      <c r="B13" s="759" t="s">
        <v>691</v>
      </c>
      <c r="C13" s="79"/>
      <c r="D13" s="79"/>
      <c r="E13" s="79"/>
      <c r="F13" s="760"/>
    </row>
    <row r="14" spans="2:12" ht="15" customHeight="1" x14ac:dyDescent="0.25">
      <c r="B14" s="761" t="s">
        <v>1</v>
      </c>
      <c r="C14" s="762"/>
      <c r="D14" s="762"/>
      <c r="E14" s="762"/>
      <c r="F14" s="763"/>
    </row>
    <row r="15" spans="2:12" ht="15" customHeight="1" x14ac:dyDescent="0.25">
      <c r="B15" s="764"/>
      <c r="C15" s="762"/>
      <c r="D15" s="762"/>
      <c r="E15" s="762"/>
      <c r="F15" s="763"/>
    </row>
    <row r="16" spans="2:12" ht="15" customHeight="1" x14ac:dyDescent="0.25">
      <c r="B16" s="765" t="s">
        <v>4</v>
      </c>
      <c r="C16" s="61"/>
      <c r="D16" s="61"/>
      <c r="E16" s="61"/>
      <c r="F16" s="766"/>
      <c r="H16" s="80"/>
      <c r="I16" s="81"/>
      <c r="J16" s="81"/>
      <c r="K16" s="81"/>
      <c r="L16" s="81"/>
    </row>
    <row r="17" spans="2:12" ht="15" customHeight="1" x14ac:dyDescent="0.25">
      <c r="B17" s="767" t="s">
        <v>673</v>
      </c>
      <c r="C17" s="768"/>
      <c r="D17" s="768"/>
      <c r="E17" s="768"/>
      <c r="F17" s="769" t="s">
        <v>6</v>
      </c>
      <c r="H17" s="80"/>
      <c r="I17" s="81"/>
      <c r="J17" s="81"/>
      <c r="K17" s="81"/>
      <c r="L17" s="81"/>
    </row>
    <row r="18" spans="2:12" ht="15" customHeight="1" x14ac:dyDescent="0.25">
      <c r="B18" s="767" t="s">
        <v>7</v>
      </c>
      <c r="C18" s="768"/>
      <c r="D18" s="768"/>
      <c r="E18" s="768"/>
      <c r="F18" s="769" t="s">
        <v>8</v>
      </c>
      <c r="H18" s="80"/>
      <c r="I18" s="81"/>
      <c r="J18" s="81"/>
      <c r="K18" s="81"/>
      <c r="L18" s="81"/>
    </row>
    <row r="19" spans="2:12" ht="15" customHeight="1" x14ac:dyDescent="0.25">
      <c r="B19" s="767" t="s">
        <v>583</v>
      </c>
      <c r="C19" s="768"/>
      <c r="D19" s="768"/>
      <c r="E19" s="768"/>
      <c r="F19" s="769" t="s">
        <v>9</v>
      </c>
      <c r="H19" s="82"/>
    </row>
    <row r="20" spans="2:12" ht="7.5" customHeight="1" thickBot="1" x14ac:dyDescent="0.3">
      <c r="B20" s="770"/>
      <c r="C20" s="771"/>
      <c r="D20" s="771"/>
      <c r="E20" s="771"/>
      <c r="F20" s="772"/>
    </row>
    <row r="21" spans="2:12" ht="15" customHeight="1" x14ac:dyDescent="0.25">
      <c r="B21" s="65"/>
      <c r="C21" s="65"/>
      <c r="D21" s="65"/>
      <c r="E21" s="65"/>
      <c r="F21" s="65"/>
    </row>
    <row r="23" spans="2:12" ht="15" customHeight="1" x14ac:dyDescent="0.25">
      <c r="B23" s="83"/>
      <c r="C23" s="83"/>
      <c r="D23" s="83"/>
      <c r="E23" s="83"/>
      <c r="F23" s="83"/>
    </row>
    <row r="24" spans="2:12" ht="15" customHeight="1" x14ac:dyDescent="0.25">
      <c r="B24" s="83"/>
      <c r="C24" s="83"/>
      <c r="D24" s="83"/>
      <c r="E24" s="83"/>
      <c r="F24" s="83"/>
    </row>
    <row r="25" spans="2:12" ht="15" customHeight="1" x14ac:dyDescent="0.25">
      <c r="B25" s="83"/>
      <c r="C25" s="83"/>
      <c r="D25" s="83"/>
      <c r="E25" s="83"/>
      <c r="F25" s="83"/>
    </row>
    <row r="26" spans="2:12" ht="15" customHeight="1" x14ac:dyDescent="0.25">
      <c r="B26" s="83"/>
      <c r="C26" s="83"/>
      <c r="D26" s="83"/>
      <c r="E26" s="83"/>
      <c r="F26" s="83"/>
    </row>
    <row r="27" spans="2:12" ht="15" customHeight="1" x14ac:dyDescent="0.25">
      <c r="B27" s="83"/>
      <c r="C27" s="83"/>
      <c r="D27" s="83"/>
      <c r="E27" s="83"/>
      <c r="F27" s="83"/>
    </row>
    <row r="28" spans="2:12" ht="15" customHeight="1" x14ac:dyDescent="0.25">
      <c r="B28" s="83"/>
      <c r="C28" s="83"/>
      <c r="D28" s="83"/>
      <c r="E28" s="83"/>
      <c r="F28" s="83"/>
    </row>
    <row r="29" spans="2:12" ht="15" customHeight="1" x14ac:dyDescent="0.25">
      <c r="B29" s="83"/>
      <c r="C29" s="83"/>
      <c r="D29" s="83"/>
      <c r="E29" s="83"/>
      <c r="F29" s="83"/>
    </row>
    <row r="30" spans="2:12" ht="15" customHeight="1" x14ac:dyDescent="0.25">
      <c r="B30" s="83"/>
      <c r="C30" s="83"/>
      <c r="D30" s="83"/>
      <c r="E30" s="83"/>
      <c r="F30" s="83"/>
    </row>
    <row r="31" spans="2:12" ht="15" customHeight="1" x14ac:dyDescent="0.25">
      <c r="B31" s="83"/>
      <c r="C31" s="83"/>
      <c r="D31" s="83"/>
      <c r="E31" s="83"/>
      <c r="F31" s="83"/>
    </row>
    <row r="32" spans="2:12" ht="15" customHeight="1" x14ac:dyDescent="0.25">
      <c r="B32" s="83"/>
      <c r="C32" s="83"/>
      <c r="D32" s="83"/>
      <c r="E32" s="83"/>
      <c r="F32" s="83"/>
    </row>
    <row r="34" spans="2:2" ht="15" customHeight="1" x14ac:dyDescent="0.25">
      <c r="B34" s="81"/>
    </row>
    <row r="35" spans="2:2" ht="15" customHeight="1" x14ac:dyDescent="0.25">
      <c r="B35" s="66"/>
    </row>
  </sheetData>
  <sheetProtection algorithmName="SHA-512" hashValue="MHVq90GUx6q9dtdQJtGi9pLwk5sCubAabASSeaEo5dOQI807le6+ILcD0YgVAuCYGYCPlWA/rv2iVZz/Gwn6Iw==" saltValue="WfA7sgqzqTN79BXaY5xCkg==" spinCount="100000" sheet="1" objects="1" scenarios="1"/>
  <hyperlinks>
    <hyperlink ref="F17" r:id="rId1" tooltip="Email to send questions on this Benefits Calculator Tool " xr:uid="{00000000-0004-0000-0000-000000000000}"/>
    <hyperlink ref="F18" r:id="rId2" tooltip="Link for more information on California Climate Investments" xr:uid="{00000000-0004-0000-0000-000001000000}"/>
    <hyperlink ref="F19" r:id="rId3" tooltip="Email to send questions pertaining to FRIP" xr:uid="{00000000-0004-0000-0000-000002000000}"/>
    <hyperlink ref="B14" r:id="rId4" tooltip="Link to California Climate Investments Resources Page" xr:uid="{00000000-0004-0000-0000-000003000000}"/>
  </hyperlinks>
  <pageMargins left="0.7" right="0.7" top="0.98479166666666662" bottom="0.75" header="0.3" footer="0.3"/>
  <pageSetup scale="70" fitToHeight="0" orientation="landscape" r:id="rId5"/>
  <headerFooter>
    <oddFooter>&amp;L&amp;"Avenir LT Std 55 Roman,Regular"&amp;12&amp;K000000Final November 6, 2024&amp;C&amp;"Avenir LT Std 55 Roman,Regular"&amp;12Page &amp;P of &amp;N&amp;R&amp;"Avenir LT Std 55 Roman,Regular"&amp;12&amp;K000000&amp;A</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AA157"/>
  <sheetViews>
    <sheetView showGridLines="0" zoomScaleNormal="100" workbookViewId="0"/>
  </sheetViews>
  <sheetFormatPr defaultColWidth="9.140625" defaultRowHeight="15" customHeight="1" x14ac:dyDescent="0.25"/>
  <cols>
    <col min="1" max="1" width="4.28515625" style="73" customWidth="1"/>
    <col min="2" max="10" width="9.140625" style="84" hidden="1" customWidth="1"/>
    <col min="11" max="11" width="4.28515625" style="84" hidden="1" customWidth="1"/>
    <col min="12" max="14" width="35.7109375" style="73" customWidth="1"/>
    <col min="15" max="15" width="18.42578125" style="73" customWidth="1"/>
    <col min="16" max="16" width="42.85546875" style="73" customWidth="1"/>
    <col min="17" max="17" width="23" style="73" customWidth="1"/>
    <col min="18" max="18" width="23" style="88" customWidth="1"/>
    <col min="19" max="20" width="13.42578125" style="84" hidden="1" customWidth="1"/>
    <col min="21" max="21" width="5" style="84" hidden="1" customWidth="1"/>
    <col min="22" max="27" width="9.140625" style="84" hidden="1" customWidth="1"/>
    <col min="28" max="16384" width="9.140625" style="73"/>
  </cols>
  <sheetData>
    <row r="1" spans="1:27" ht="20.100000000000001" customHeight="1" thickBot="1" x14ac:dyDescent="0.3">
      <c r="L1" s="72"/>
      <c r="M1" s="72"/>
      <c r="N1" s="72"/>
      <c r="O1" s="72"/>
      <c r="R1" s="77"/>
    </row>
    <row r="2" spans="1:27" ht="15" customHeight="1" x14ac:dyDescent="0.25">
      <c r="O2" s="85" t="s">
        <v>2</v>
      </c>
      <c r="P2" s="86"/>
      <c r="Q2" s="87"/>
    </row>
    <row r="3" spans="1:27" ht="20.100000000000001" customHeight="1" x14ac:dyDescent="0.25">
      <c r="L3" s="72"/>
      <c r="M3" s="72"/>
      <c r="N3" s="72"/>
      <c r="O3" s="89" t="s">
        <v>3</v>
      </c>
      <c r="P3" s="90" t="s">
        <v>10</v>
      </c>
      <c r="Q3" s="91"/>
      <c r="R3" s="77"/>
    </row>
    <row r="4" spans="1:27" ht="20.100000000000001" customHeight="1" x14ac:dyDescent="0.25">
      <c r="L4" s="74"/>
      <c r="M4" s="74"/>
      <c r="N4" s="74"/>
      <c r="O4" s="92" t="s">
        <v>496</v>
      </c>
      <c r="P4" s="90" t="s">
        <v>11</v>
      </c>
      <c r="Q4" s="91"/>
      <c r="R4" s="93"/>
    </row>
    <row r="5" spans="1:27" ht="21.75" customHeight="1" thickBot="1" x14ac:dyDescent="0.3">
      <c r="L5" s="75"/>
      <c r="M5" s="75"/>
      <c r="N5" s="75"/>
      <c r="O5" s="94" t="s">
        <v>12</v>
      </c>
      <c r="P5" s="95" t="s">
        <v>13</v>
      </c>
      <c r="Q5" s="91"/>
      <c r="R5" s="76"/>
    </row>
    <row r="6" spans="1:27" ht="15" customHeight="1" x14ac:dyDescent="0.25">
      <c r="L6" s="76"/>
      <c r="M6" s="76"/>
      <c r="N6" s="76"/>
      <c r="O6" s="72"/>
      <c r="R6" s="76"/>
    </row>
    <row r="7" spans="1:27" ht="20.100000000000001" customHeight="1" x14ac:dyDescent="0.25">
      <c r="L7" s="72"/>
      <c r="M7" s="72"/>
      <c r="N7" s="72"/>
      <c r="O7" s="72"/>
      <c r="R7" s="77"/>
    </row>
    <row r="9" spans="1:27" ht="15" customHeight="1" x14ac:dyDescent="0.25">
      <c r="L9" s="78" t="s">
        <v>508</v>
      </c>
      <c r="M9" s="78"/>
      <c r="N9" s="78"/>
      <c r="O9" s="78"/>
      <c r="R9" s="96"/>
    </row>
    <row r="10" spans="1:27" ht="15" customHeight="1" thickBot="1" x14ac:dyDescent="0.3">
      <c r="L10" s="61"/>
      <c r="M10" s="61"/>
      <c r="N10" s="61"/>
      <c r="O10" s="61"/>
      <c r="R10" s="62"/>
    </row>
    <row r="11" spans="1:27" ht="15" customHeight="1" x14ac:dyDescent="0.25">
      <c r="L11" s="97" t="s">
        <v>497</v>
      </c>
      <c r="M11" s="98"/>
      <c r="N11" s="98"/>
      <c r="O11" s="98"/>
      <c r="R11" s="99"/>
    </row>
    <row r="12" spans="1:27" ht="15" customHeight="1" thickBot="1" x14ac:dyDescent="0.3">
      <c r="L12" s="67"/>
      <c r="M12" s="100"/>
      <c r="N12" s="100"/>
      <c r="O12" s="100"/>
      <c r="R12" s="101"/>
    </row>
    <row r="13" spans="1:27" ht="15" customHeight="1" thickBot="1" x14ac:dyDescent="0.3">
      <c r="C13" s="84" t="s">
        <v>605</v>
      </c>
      <c r="G13" s="84" t="s">
        <v>149</v>
      </c>
      <c r="L13" s="63"/>
      <c r="M13" s="63"/>
      <c r="N13" s="63"/>
      <c r="O13" s="63"/>
      <c r="R13" s="64"/>
    </row>
    <row r="14" spans="1:27" ht="33.75" customHeight="1" thickBot="1" x14ac:dyDescent="0.3">
      <c r="A14" s="102"/>
      <c r="B14" s="103"/>
      <c r="C14" s="104" t="s">
        <v>507</v>
      </c>
      <c r="D14" s="105"/>
      <c r="E14" s="105"/>
      <c r="F14" s="106" t="s">
        <v>505</v>
      </c>
      <c r="G14" s="104" t="s">
        <v>507</v>
      </c>
      <c r="H14" s="105"/>
      <c r="I14" s="105"/>
      <c r="J14" s="106" t="s">
        <v>505</v>
      </c>
      <c r="K14" s="107"/>
      <c r="L14" s="751" t="s">
        <v>435</v>
      </c>
      <c r="M14" s="752" t="s">
        <v>437</v>
      </c>
      <c r="N14" s="752" t="s">
        <v>584</v>
      </c>
      <c r="O14" s="752" t="s">
        <v>532</v>
      </c>
      <c r="P14" s="753" t="s">
        <v>499</v>
      </c>
      <c r="Q14" s="754" t="s">
        <v>601</v>
      </c>
      <c r="R14" s="755" t="s">
        <v>602</v>
      </c>
      <c r="S14" s="108" t="s">
        <v>606</v>
      </c>
      <c r="T14" s="109" t="s">
        <v>607</v>
      </c>
      <c r="V14" s="110" t="s">
        <v>149</v>
      </c>
      <c r="W14" s="111"/>
      <c r="X14" s="112"/>
      <c r="Y14" s="110" t="s">
        <v>605</v>
      </c>
      <c r="Z14" s="111"/>
      <c r="AA14" s="112"/>
    </row>
    <row r="15" spans="1:27" ht="15" customHeight="1" x14ac:dyDescent="0.25">
      <c r="A15" s="113"/>
      <c r="B15" s="114">
        <f>L15</f>
        <v>0</v>
      </c>
      <c r="C15" s="115">
        <f>IF(IF(F15&gt;0,F15,0-1)=-1,0,IF(F15&gt;0,F15,0-1))</f>
        <v>0</v>
      </c>
      <c r="D15" s="116">
        <f>IF(C15=0,1,IF(C15&gt;0,1,0))</f>
        <v>1</v>
      </c>
      <c r="E15" s="116">
        <f t="shared" ref="E15:E39" si="0">IF(S15&lt;&gt;"",IF(D16=1,1,0),"")</f>
        <v>1</v>
      </c>
      <c r="F15" s="117">
        <f>R15</f>
        <v>0</v>
      </c>
      <c r="G15" s="115">
        <f>IF(IF(J15&gt;0,J15,0-1)=-1,0,IF(J15&gt;0,J15,0-1))</f>
        <v>0</v>
      </c>
      <c r="H15" s="116">
        <f>IF(G15=0,1,IF(G15&gt;0,1,0))</f>
        <v>1</v>
      </c>
      <c r="I15" s="116">
        <f>IF(T15&lt;&gt;"",IF(H16=1,1,0),"")</f>
        <v>1</v>
      </c>
      <c r="J15" s="117">
        <f>Q15</f>
        <v>0</v>
      </c>
      <c r="K15" s="116"/>
      <c r="L15" s="745"/>
      <c r="M15" s="746"/>
      <c r="N15" s="746"/>
      <c r="O15" s="747"/>
      <c r="P15" s="748"/>
      <c r="Q15" s="749"/>
      <c r="R15" s="750"/>
      <c r="S15" s="118">
        <f>IF(V15&lt;&gt;0,ABS(V15-(X15+1)),1)</f>
        <v>1</v>
      </c>
      <c r="T15" s="119">
        <f>IF(Y15&lt;&gt;0,ABS(Y15-(AA15+1)),1)</f>
        <v>1</v>
      </c>
      <c r="V15" s="120">
        <f>G15</f>
        <v>0</v>
      </c>
      <c r="W15" s="121">
        <f>H15</f>
        <v>1</v>
      </c>
      <c r="X15" s="122">
        <f>V15</f>
        <v>0</v>
      </c>
      <c r="Y15" s="120">
        <f>C15</f>
        <v>0</v>
      </c>
      <c r="Z15" s="121">
        <f>D15</f>
        <v>1</v>
      </c>
      <c r="AA15" s="122">
        <f>Y15</f>
        <v>0</v>
      </c>
    </row>
    <row r="16" spans="1:27" ht="15" customHeight="1" x14ac:dyDescent="0.25">
      <c r="A16" s="113"/>
      <c r="B16" s="114">
        <f t="shared" ref="B16:B39" si="1">IF(D16=0,B15,L16)</f>
        <v>0</v>
      </c>
      <c r="C16" s="115">
        <f t="shared" ref="C16:C38" si="2">IF(IF(F16&gt;C15,F16,C15-1)=-1,0,IF(F16&gt;C15,F16,C15-1))</f>
        <v>0</v>
      </c>
      <c r="D16" s="116">
        <f>IF(C16=0,1,IF(C16&gt;C15,1,0))</f>
        <v>1</v>
      </c>
      <c r="E16" s="116">
        <f t="shared" si="0"/>
        <v>1</v>
      </c>
      <c r="F16" s="117">
        <f t="shared" ref="F16:F38" si="3">R16</f>
        <v>0</v>
      </c>
      <c r="G16" s="115">
        <f t="shared" ref="G16:G39" si="4">IF(IF(J16&gt;G15,J16,G15-1)=-1,0,IF(J16&gt;G15,J16,G15-1))</f>
        <v>0</v>
      </c>
      <c r="H16" s="116">
        <f>IF(G16=0,1,IF(G16&gt;G15,1,0))</f>
        <v>1</v>
      </c>
      <c r="I16" s="116">
        <f t="shared" ref="I16:I39" si="5">IF(T16&lt;&gt;"",IF(H17=1,1,0),"")</f>
        <v>1</v>
      </c>
      <c r="J16" s="117">
        <f t="shared" ref="J16:J39" si="6">Q16</f>
        <v>0</v>
      </c>
      <c r="K16" s="116"/>
      <c r="L16" s="37"/>
      <c r="M16" s="35"/>
      <c r="N16" s="35"/>
      <c r="O16" s="40"/>
      <c r="P16" s="59"/>
      <c r="Q16" s="70"/>
      <c r="R16" s="68"/>
      <c r="S16" s="118">
        <f t="shared" ref="S16:S39" si="7">IF(V16&lt;&gt;0,ABS(V16-(X16+1)),1)</f>
        <v>1</v>
      </c>
      <c r="T16" s="119">
        <f t="shared" ref="T16:T39" si="8">IF(Y16&lt;&gt;0,ABS(Y16-(AA16+1)),1)</f>
        <v>1</v>
      </c>
      <c r="V16" s="120">
        <f t="shared" ref="V16:V39" si="9">G16</f>
        <v>0</v>
      </c>
      <c r="W16" s="121">
        <f t="shared" ref="W16:W39" si="10">H16</f>
        <v>1</v>
      </c>
      <c r="X16" s="122">
        <f>IF(W16=0,V15,V16)</f>
        <v>0</v>
      </c>
      <c r="Y16" s="120">
        <f t="shared" ref="Y16:Y39" si="11">C16</f>
        <v>0</v>
      </c>
      <c r="Z16" s="121">
        <f t="shared" ref="Z16:Z39" si="12">D16</f>
        <v>1</v>
      </c>
      <c r="AA16" s="122">
        <f>IF(Z16=0,Y15,Y16)</f>
        <v>0</v>
      </c>
    </row>
    <row r="17" spans="1:27" ht="15" customHeight="1" x14ac:dyDescent="0.25">
      <c r="A17" s="113"/>
      <c r="B17" s="114">
        <f t="shared" si="1"/>
        <v>0</v>
      </c>
      <c r="C17" s="115">
        <f t="shared" si="2"/>
        <v>0</v>
      </c>
      <c r="D17" s="116">
        <f t="shared" ref="D17:D38" si="13">IF(C17=0,1,IF(C17&gt;C16,1,0))</f>
        <v>1</v>
      </c>
      <c r="E17" s="116">
        <f t="shared" si="0"/>
        <v>1</v>
      </c>
      <c r="F17" s="117">
        <f t="shared" si="3"/>
        <v>0</v>
      </c>
      <c r="G17" s="115">
        <f t="shared" si="4"/>
        <v>0</v>
      </c>
      <c r="H17" s="116">
        <f t="shared" ref="H17:H39" si="14">IF(G17=0,1,IF(G17&gt;G16,1,0))</f>
        <v>1</v>
      </c>
      <c r="I17" s="116">
        <f t="shared" si="5"/>
        <v>1</v>
      </c>
      <c r="J17" s="117">
        <f t="shared" si="6"/>
        <v>0</v>
      </c>
      <c r="K17" s="116"/>
      <c r="L17" s="37"/>
      <c r="M17" s="35"/>
      <c r="N17" s="35"/>
      <c r="O17" s="40"/>
      <c r="P17" s="59"/>
      <c r="Q17" s="70"/>
      <c r="R17" s="68"/>
      <c r="S17" s="118">
        <f t="shared" si="7"/>
        <v>1</v>
      </c>
      <c r="T17" s="119">
        <f t="shared" si="8"/>
        <v>1</v>
      </c>
      <c r="V17" s="120">
        <f t="shared" si="9"/>
        <v>0</v>
      </c>
      <c r="W17" s="121">
        <f t="shared" si="10"/>
        <v>1</v>
      </c>
      <c r="X17" s="122">
        <f>IF(W17=0,X16,V17)</f>
        <v>0</v>
      </c>
      <c r="Y17" s="120">
        <f t="shared" si="11"/>
        <v>0</v>
      </c>
      <c r="Z17" s="121">
        <f t="shared" si="12"/>
        <v>1</v>
      </c>
      <c r="AA17" s="122">
        <f>IF(Z17=0,AA16,Y17)</f>
        <v>0</v>
      </c>
    </row>
    <row r="18" spans="1:27" ht="15" customHeight="1" x14ac:dyDescent="0.25">
      <c r="A18" s="113"/>
      <c r="B18" s="114">
        <f t="shared" si="1"/>
        <v>0</v>
      </c>
      <c r="C18" s="115">
        <f t="shared" si="2"/>
        <v>0</v>
      </c>
      <c r="D18" s="116">
        <f t="shared" si="13"/>
        <v>1</v>
      </c>
      <c r="E18" s="116">
        <f t="shared" si="0"/>
        <v>1</v>
      </c>
      <c r="F18" s="117">
        <f t="shared" si="3"/>
        <v>0</v>
      </c>
      <c r="G18" s="115">
        <f t="shared" si="4"/>
        <v>0</v>
      </c>
      <c r="H18" s="116">
        <f t="shared" si="14"/>
        <v>1</v>
      </c>
      <c r="I18" s="116">
        <f t="shared" si="5"/>
        <v>1</v>
      </c>
      <c r="J18" s="117">
        <f t="shared" si="6"/>
        <v>0</v>
      </c>
      <c r="K18" s="116"/>
      <c r="L18" s="37"/>
      <c r="M18" s="35"/>
      <c r="N18" s="35"/>
      <c r="O18" s="40"/>
      <c r="P18" s="59"/>
      <c r="Q18" s="70"/>
      <c r="R18" s="68"/>
      <c r="S18" s="118">
        <f t="shared" si="7"/>
        <v>1</v>
      </c>
      <c r="T18" s="119">
        <f t="shared" si="8"/>
        <v>1</v>
      </c>
      <c r="V18" s="120">
        <f t="shared" si="9"/>
        <v>0</v>
      </c>
      <c r="W18" s="121">
        <f t="shared" si="10"/>
        <v>1</v>
      </c>
      <c r="X18" s="122">
        <f t="shared" ref="X18:X39" si="15">IF(W18=0,X17,V18)</f>
        <v>0</v>
      </c>
      <c r="Y18" s="120">
        <f t="shared" si="11"/>
        <v>0</v>
      </c>
      <c r="Z18" s="121">
        <f t="shared" si="12"/>
        <v>1</v>
      </c>
      <c r="AA18" s="122">
        <f t="shared" ref="AA18:AA39" si="16">IF(Z18=0,AA17,Y18)</f>
        <v>0</v>
      </c>
    </row>
    <row r="19" spans="1:27" ht="15" customHeight="1" x14ac:dyDescent="0.25">
      <c r="A19" s="113"/>
      <c r="B19" s="114">
        <f t="shared" si="1"/>
        <v>0</v>
      </c>
      <c r="C19" s="115">
        <f t="shared" si="2"/>
        <v>0</v>
      </c>
      <c r="D19" s="116">
        <f t="shared" si="13"/>
        <v>1</v>
      </c>
      <c r="E19" s="116">
        <f t="shared" si="0"/>
        <v>1</v>
      </c>
      <c r="F19" s="117">
        <f t="shared" si="3"/>
        <v>0</v>
      </c>
      <c r="G19" s="115">
        <f t="shared" si="4"/>
        <v>0</v>
      </c>
      <c r="H19" s="116">
        <f t="shared" si="14"/>
        <v>1</v>
      </c>
      <c r="I19" s="116">
        <f t="shared" si="5"/>
        <v>1</v>
      </c>
      <c r="J19" s="117">
        <f t="shared" si="6"/>
        <v>0</v>
      </c>
      <c r="K19" s="116"/>
      <c r="L19" s="37"/>
      <c r="M19" s="35"/>
      <c r="N19" s="35"/>
      <c r="O19" s="40"/>
      <c r="P19" s="59"/>
      <c r="Q19" s="70"/>
      <c r="R19" s="68"/>
      <c r="S19" s="118">
        <f t="shared" si="7"/>
        <v>1</v>
      </c>
      <c r="T19" s="119">
        <f t="shared" si="8"/>
        <v>1</v>
      </c>
      <c r="V19" s="120">
        <f t="shared" si="9"/>
        <v>0</v>
      </c>
      <c r="W19" s="121">
        <f t="shared" si="10"/>
        <v>1</v>
      </c>
      <c r="X19" s="122">
        <f t="shared" si="15"/>
        <v>0</v>
      </c>
      <c r="Y19" s="120">
        <f t="shared" si="11"/>
        <v>0</v>
      </c>
      <c r="Z19" s="121">
        <f t="shared" si="12"/>
        <v>1</v>
      </c>
      <c r="AA19" s="122">
        <f t="shared" si="16"/>
        <v>0</v>
      </c>
    </row>
    <row r="20" spans="1:27" ht="15" customHeight="1" x14ac:dyDescent="0.25">
      <c r="A20" s="113"/>
      <c r="B20" s="114">
        <f t="shared" si="1"/>
        <v>0</v>
      </c>
      <c r="C20" s="115">
        <f t="shared" si="2"/>
        <v>0</v>
      </c>
      <c r="D20" s="116">
        <f t="shared" si="13"/>
        <v>1</v>
      </c>
      <c r="E20" s="116">
        <f t="shared" si="0"/>
        <v>1</v>
      </c>
      <c r="F20" s="117">
        <f t="shared" si="3"/>
        <v>0</v>
      </c>
      <c r="G20" s="115">
        <f t="shared" si="4"/>
        <v>0</v>
      </c>
      <c r="H20" s="116">
        <f t="shared" si="14"/>
        <v>1</v>
      </c>
      <c r="I20" s="116">
        <f t="shared" si="5"/>
        <v>1</v>
      </c>
      <c r="J20" s="117">
        <f t="shared" si="6"/>
        <v>0</v>
      </c>
      <c r="K20" s="116"/>
      <c r="L20" s="37"/>
      <c r="M20" s="35"/>
      <c r="N20" s="35"/>
      <c r="O20" s="40"/>
      <c r="P20" s="59"/>
      <c r="Q20" s="70"/>
      <c r="R20" s="68"/>
      <c r="S20" s="118">
        <f t="shared" si="7"/>
        <v>1</v>
      </c>
      <c r="T20" s="119">
        <f t="shared" si="8"/>
        <v>1</v>
      </c>
      <c r="V20" s="120">
        <f t="shared" si="9"/>
        <v>0</v>
      </c>
      <c r="W20" s="121">
        <f t="shared" si="10"/>
        <v>1</v>
      </c>
      <c r="X20" s="122">
        <f t="shared" si="15"/>
        <v>0</v>
      </c>
      <c r="Y20" s="120">
        <f t="shared" si="11"/>
        <v>0</v>
      </c>
      <c r="Z20" s="121">
        <f t="shared" si="12"/>
        <v>1</v>
      </c>
      <c r="AA20" s="122">
        <f t="shared" si="16"/>
        <v>0</v>
      </c>
    </row>
    <row r="21" spans="1:27" ht="15" customHeight="1" x14ac:dyDescent="0.25">
      <c r="A21" s="113"/>
      <c r="B21" s="114">
        <f t="shared" si="1"/>
        <v>0</v>
      </c>
      <c r="C21" s="115">
        <f t="shared" si="2"/>
        <v>0</v>
      </c>
      <c r="D21" s="116">
        <f t="shared" si="13"/>
        <v>1</v>
      </c>
      <c r="E21" s="116">
        <f t="shared" si="0"/>
        <v>1</v>
      </c>
      <c r="F21" s="117">
        <f t="shared" si="3"/>
        <v>0</v>
      </c>
      <c r="G21" s="115">
        <f t="shared" si="4"/>
        <v>0</v>
      </c>
      <c r="H21" s="116">
        <f t="shared" si="14"/>
        <v>1</v>
      </c>
      <c r="I21" s="116">
        <f t="shared" si="5"/>
        <v>1</v>
      </c>
      <c r="J21" s="117">
        <f t="shared" si="6"/>
        <v>0</v>
      </c>
      <c r="K21" s="116"/>
      <c r="L21" s="37"/>
      <c r="M21" s="35"/>
      <c r="N21" s="35"/>
      <c r="O21" s="40"/>
      <c r="P21" s="59"/>
      <c r="Q21" s="70"/>
      <c r="R21" s="68"/>
      <c r="S21" s="118">
        <f t="shared" si="7"/>
        <v>1</v>
      </c>
      <c r="T21" s="119">
        <f t="shared" si="8"/>
        <v>1</v>
      </c>
      <c r="V21" s="120">
        <f t="shared" si="9"/>
        <v>0</v>
      </c>
      <c r="W21" s="121">
        <f t="shared" si="10"/>
        <v>1</v>
      </c>
      <c r="X21" s="122">
        <f t="shared" si="15"/>
        <v>0</v>
      </c>
      <c r="Y21" s="120">
        <f t="shared" si="11"/>
        <v>0</v>
      </c>
      <c r="Z21" s="121">
        <f t="shared" si="12"/>
        <v>1</v>
      </c>
      <c r="AA21" s="122">
        <f t="shared" si="16"/>
        <v>0</v>
      </c>
    </row>
    <row r="22" spans="1:27" ht="15" customHeight="1" x14ac:dyDescent="0.25">
      <c r="A22" s="113"/>
      <c r="B22" s="114">
        <f t="shared" si="1"/>
        <v>0</v>
      </c>
      <c r="C22" s="115">
        <f t="shared" si="2"/>
        <v>0</v>
      </c>
      <c r="D22" s="116">
        <f t="shared" si="13"/>
        <v>1</v>
      </c>
      <c r="E22" s="116">
        <f t="shared" si="0"/>
        <v>1</v>
      </c>
      <c r="F22" s="117">
        <f t="shared" si="3"/>
        <v>0</v>
      </c>
      <c r="G22" s="115">
        <f t="shared" si="4"/>
        <v>0</v>
      </c>
      <c r="H22" s="116">
        <f t="shared" si="14"/>
        <v>1</v>
      </c>
      <c r="I22" s="116">
        <f t="shared" si="5"/>
        <v>1</v>
      </c>
      <c r="J22" s="117">
        <f t="shared" si="6"/>
        <v>0</v>
      </c>
      <c r="K22" s="116"/>
      <c r="L22" s="37"/>
      <c r="M22" s="35"/>
      <c r="N22" s="35"/>
      <c r="O22" s="40"/>
      <c r="P22" s="59"/>
      <c r="Q22" s="70"/>
      <c r="R22" s="68"/>
      <c r="S22" s="118">
        <f t="shared" si="7"/>
        <v>1</v>
      </c>
      <c r="T22" s="119">
        <f t="shared" si="8"/>
        <v>1</v>
      </c>
      <c r="V22" s="120">
        <f t="shared" si="9"/>
        <v>0</v>
      </c>
      <c r="W22" s="121">
        <f t="shared" si="10"/>
        <v>1</v>
      </c>
      <c r="X22" s="122">
        <f t="shared" si="15"/>
        <v>0</v>
      </c>
      <c r="Y22" s="120">
        <f t="shared" si="11"/>
        <v>0</v>
      </c>
      <c r="Z22" s="121">
        <f t="shared" si="12"/>
        <v>1</v>
      </c>
      <c r="AA22" s="122">
        <f t="shared" si="16"/>
        <v>0</v>
      </c>
    </row>
    <row r="23" spans="1:27" ht="15" customHeight="1" x14ac:dyDescent="0.25">
      <c r="A23" s="113"/>
      <c r="B23" s="114">
        <f t="shared" si="1"/>
        <v>0</v>
      </c>
      <c r="C23" s="115">
        <f t="shared" si="2"/>
        <v>0</v>
      </c>
      <c r="D23" s="116">
        <f t="shared" si="13"/>
        <v>1</v>
      </c>
      <c r="E23" s="116">
        <f t="shared" si="0"/>
        <v>1</v>
      </c>
      <c r="F23" s="117">
        <f t="shared" si="3"/>
        <v>0</v>
      </c>
      <c r="G23" s="115">
        <f t="shared" si="4"/>
        <v>0</v>
      </c>
      <c r="H23" s="116">
        <f t="shared" si="14"/>
        <v>1</v>
      </c>
      <c r="I23" s="116">
        <f t="shared" si="5"/>
        <v>1</v>
      </c>
      <c r="J23" s="117">
        <f t="shared" si="6"/>
        <v>0</v>
      </c>
      <c r="K23" s="116"/>
      <c r="L23" s="37"/>
      <c r="M23" s="35"/>
      <c r="N23" s="35"/>
      <c r="O23" s="40"/>
      <c r="P23" s="59"/>
      <c r="Q23" s="70"/>
      <c r="R23" s="68"/>
      <c r="S23" s="118">
        <f t="shared" si="7"/>
        <v>1</v>
      </c>
      <c r="T23" s="119">
        <f t="shared" si="8"/>
        <v>1</v>
      </c>
      <c r="V23" s="120">
        <f t="shared" si="9"/>
        <v>0</v>
      </c>
      <c r="W23" s="121">
        <f t="shared" si="10"/>
        <v>1</v>
      </c>
      <c r="X23" s="122">
        <f t="shared" si="15"/>
        <v>0</v>
      </c>
      <c r="Y23" s="120">
        <f t="shared" si="11"/>
        <v>0</v>
      </c>
      <c r="Z23" s="121">
        <f t="shared" si="12"/>
        <v>1</v>
      </c>
      <c r="AA23" s="122">
        <f t="shared" si="16"/>
        <v>0</v>
      </c>
    </row>
    <row r="24" spans="1:27" ht="15" customHeight="1" x14ac:dyDescent="0.25">
      <c r="A24" s="113"/>
      <c r="B24" s="114">
        <f t="shared" si="1"/>
        <v>0</v>
      </c>
      <c r="C24" s="115">
        <f t="shared" si="2"/>
        <v>0</v>
      </c>
      <c r="D24" s="116">
        <f t="shared" si="13"/>
        <v>1</v>
      </c>
      <c r="E24" s="116">
        <f t="shared" si="0"/>
        <v>1</v>
      </c>
      <c r="F24" s="117">
        <f t="shared" si="3"/>
        <v>0</v>
      </c>
      <c r="G24" s="115">
        <f t="shared" si="4"/>
        <v>0</v>
      </c>
      <c r="H24" s="116">
        <f t="shared" si="14"/>
        <v>1</v>
      </c>
      <c r="I24" s="116">
        <f t="shared" si="5"/>
        <v>1</v>
      </c>
      <c r="J24" s="117">
        <f t="shared" si="6"/>
        <v>0</v>
      </c>
      <c r="K24" s="116"/>
      <c r="L24" s="37"/>
      <c r="M24" s="35"/>
      <c r="N24" s="35"/>
      <c r="O24" s="40"/>
      <c r="P24" s="59"/>
      <c r="Q24" s="70"/>
      <c r="R24" s="68"/>
      <c r="S24" s="118">
        <f t="shared" si="7"/>
        <v>1</v>
      </c>
      <c r="T24" s="119">
        <f t="shared" si="8"/>
        <v>1</v>
      </c>
      <c r="V24" s="120">
        <f t="shared" si="9"/>
        <v>0</v>
      </c>
      <c r="W24" s="121">
        <f t="shared" si="10"/>
        <v>1</v>
      </c>
      <c r="X24" s="122">
        <f t="shared" si="15"/>
        <v>0</v>
      </c>
      <c r="Y24" s="120">
        <f t="shared" si="11"/>
        <v>0</v>
      </c>
      <c r="Z24" s="121">
        <f t="shared" si="12"/>
        <v>1</v>
      </c>
      <c r="AA24" s="122">
        <f t="shared" si="16"/>
        <v>0</v>
      </c>
    </row>
    <row r="25" spans="1:27" ht="15" customHeight="1" x14ac:dyDescent="0.25">
      <c r="A25" s="113"/>
      <c r="B25" s="114">
        <f t="shared" si="1"/>
        <v>0</v>
      </c>
      <c r="C25" s="115">
        <f t="shared" si="2"/>
        <v>0</v>
      </c>
      <c r="D25" s="116">
        <f t="shared" si="13"/>
        <v>1</v>
      </c>
      <c r="E25" s="116">
        <f t="shared" si="0"/>
        <v>1</v>
      </c>
      <c r="F25" s="117">
        <f t="shared" si="3"/>
        <v>0</v>
      </c>
      <c r="G25" s="115">
        <f t="shared" si="4"/>
        <v>0</v>
      </c>
      <c r="H25" s="116">
        <f t="shared" si="14"/>
        <v>1</v>
      </c>
      <c r="I25" s="116">
        <f t="shared" si="5"/>
        <v>1</v>
      </c>
      <c r="J25" s="117">
        <f t="shared" si="6"/>
        <v>0</v>
      </c>
      <c r="K25" s="116"/>
      <c r="L25" s="37"/>
      <c r="M25" s="35"/>
      <c r="N25" s="35"/>
      <c r="O25" s="40"/>
      <c r="P25" s="59"/>
      <c r="Q25" s="70"/>
      <c r="R25" s="68"/>
      <c r="S25" s="118">
        <f t="shared" si="7"/>
        <v>1</v>
      </c>
      <c r="T25" s="119">
        <f t="shared" si="8"/>
        <v>1</v>
      </c>
      <c r="V25" s="120">
        <f t="shared" si="9"/>
        <v>0</v>
      </c>
      <c r="W25" s="121">
        <f t="shared" si="10"/>
        <v>1</v>
      </c>
      <c r="X25" s="122">
        <f t="shared" si="15"/>
        <v>0</v>
      </c>
      <c r="Y25" s="120">
        <f t="shared" si="11"/>
        <v>0</v>
      </c>
      <c r="Z25" s="121">
        <f t="shared" si="12"/>
        <v>1</v>
      </c>
      <c r="AA25" s="122">
        <f t="shared" si="16"/>
        <v>0</v>
      </c>
    </row>
    <row r="26" spans="1:27" ht="15" customHeight="1" x14ac:dyDescent="0.25">
      <c r="A26" s="113"/>
      <c r="B26" s="114">
        <f t="shared" si="1"/>
        <v>0</v>
      </c>
      <c r="C26" s="115">
        <f t="shared" si="2"/>
        <v>0</v>
      </c>
      <c r="D26" s="116">
        <f t="shared" si="13"/>
        <v>1</v>
      </c>
      <c r="E26" s="116">
        <f t="shared" si="0"/>
        <v>1</v>
      </c>
      <c r="F26" s="117">
        <f t="shared" si="3"/>
        <v>0</v>
      </c>
      <c r="G26" s="115">
        <f t="shared" si="4"/>
        <v>0</v>
      </c>
      <c r="H26" s="116">
        <f t="shared" si="14"/>
        <v>1</v>
      </c>
      <c r="I26" s="116">
        <f t="shared" si="5"/>
        <v>1</v>
      </c>
      <c r="J26" s="117">
        <f t="shared" si="6"/>
        <v>0</v>
      </c>
      <c r="K26" s="116"/>
      <c r="L26" s="37"/>
      <c r="M26" s="35"/>
      <c r="N26" s="35"/>
      <c r="O26" s="40"/>
      <c r="P26" s="59"/>
      <c r="Q26" s="70"/>
      <c r="R26" s="68"/>
      <c r="S26" s="118">
        <f t="shared" si="7"/>
        <v>1</v>
      </c>
      <c r="T26" s="119">
        <f t="shared" si="8"/>
        <v>1</v>
      </c>
      <c r="V26" s="120">
        <f t="shared" si="9"/>
        <v>0</v>
      </c>
      <c r="W26" s="121">
        <f t="shared" si="10"/>
        <v>1</v>
      </c>
      <c r="X26" s="122">
        <f t="shared" si="15"/>
        <v>0</v>
      </c>
      <c r="Y26" s="120">
        <f t="shared" si="11"/>
        <v>0</v>
      </c>
      <c r="Z26" s="121">
        <f t="shared" si="12"/>
        <v>1</v>
      </c>
      <c r="AA26" s="122">
        <f t="shared" si="16"/>
        <v>0</v>
      </c>
    </row>
    <row r="27" spans="1:27" ht="15" customHeight="1" x14ac:dyDescent="0.25">
      <c r="A27" s="113"/>
      <c r="B27" s="114">
        <f t="shared" si="1"/>
        <v>0</v>
      </c>
      <c r="C27" s="115">
        <f t="shared" si="2"/>
        <v>0</v>
      </c>
      <c r="D27" s="116">
        <f t="shared" si="13"/>
        <v>1</v>
      </c>
      <c r="E27" s="116">
        <f t="shared" si="0"/>
        <v>1</v>
      </c>
      <c r="F27" s="117">
        <f t="shared" si="3"/>
        <v>0</v>
      </c>
      <c r="G27" s="115">
        <f t="shared" si="4"/>
        <v>0</v>
      </c>
      <c r="H27" s="116">
        <f t="shared" si="14"/>
        <v>1</v>
      </c>
      <c r="I27" s="116">
        <f t="shared" si="5"/>
        <v>1</v>
      </c>
      <c r="J27" s="117">
        <f t="shared" si="6"/>
        <v>0</v>
      </c>
      <c r="K27" s="116"/>
      <c r="L27" s="37"/>
      <c r="M27" s="35"/>
      <c r="N27" s="35"/>
      <c r="O27" s="40"/>
      <c r="P27" s="59"/>
      <c r="Q27" s="70"/>
      <c r="R27" s="68"/>
      <c r="S27" s="118">
        <f t="shared" si="7"/>
        <v>1</v>
      </c>
      <c r="T27" s="119">
        <f t="shared" si="8"/>
        <v>1</v>
      </c>
      <c r="V27" s="120">
        <f t="shared" si="9"/>
        <v>0</v>
      </c>
      <c r="W27" s="121">
        <f t="shared" si="10"/>
        <v>1</v>
      </c>
      <c r="X27" s="122">
        <f t="shared" si="15"/>
        <v>0</v>
      </c>
      <c r="Y27" s="120">
        <f t="shared" si="11"/>
        <v>0</v>
      </c>
      <c r="Z27" s="121">
        <f t="shared" si="12"/>
        <v>1</v>
      </c>
      <c r="AA27" s="122">
        <f t="shared" si="16"/>
        <v>0</v>
      </c>
    </row>
    <row r="28" spans="1:27" ht="15" customHeight="1" x14ac:dyDescent="0.25">
      <c r="A28" s="113"/>
      <c r="B28" s="114">
        <f t="shared" si="1"/>
        <v>0</v>
      </c>
      <c r="C28" s="115">
        <f t="shared" si="2"/>
        <v>0</v>
      </c>
      <c r="D28" s="116">
        <f t="shared" si="13"/>
        <v>1</v>
      </c>
      <c r="E28" s="116">
        <f t="shared" si="0"/>
        <v>1</v>
      </c>
      <c r="F28" s="117">
        <f t="shared" si="3"/>
        <v>0</v>
      </c>
      <c r="G28" s="115">
        <f t="shared" si="4"/>
        <v>0</v>
      </c>
      <c r="H28" s="116">
        <f t="shared" si="14"/>
        <v>1</v>
      </c>
      <c r="I28" s="116">
        <f t="shared" si="5"/>
        <v>1</v>
      </c>
      <c r="J28" s="117">
        <f t="shared" si="6"/>
        <v>0</v>
      </c>
      <c r="K28" s="116"/>
      <c r="L28" s="37"/>
      <c r="M28" s="35"/>
      <c r="N28" s="35"/>
      <c r="O28" s="40"/>
      <c r="P28" s="59"/>
      <c r="Q28" s="70"/>
      <c r="R28" s="68"/>
      <c r="S28" s="118">
        <f t="shared" si="7"/>
        <v>1</v>
      </c>
      <c r="T28" s="119">
        <f t="shared" si="8"/>
        <v>1</v>
      </c>
      <c r="V28" s="120">
        <f t="shared" si="9"/>
        <v>0</v>
      </c>
      <c r="W28" s="121">
        <f t="shared" si="10"/>
        <v>1</v>
      </c>
      <c r="X28" s="122">
        <f t="shared" si="15"/>
        <v>0</v>
      </c>
      <c r="Y28" s="120">
        <f t="shared" si="11"/>
        <v>0</v>
      </c>
      <c r="Z28" s="121">
        <f t="shared" si="12"/>
        <v>1</v>
      </c>
      <c r="AA28" s="122">
        <f t="shared" si="16"/>
        <v>0</v>
      </c>
    </row>
    <row r="29" spans="1:27" ht="15" customHeight="1" x14ac:dyDescent="0.25">
      <c r="A29" s="113"/>
      <c r="B29" s="114">
        <f t="shared" si="1"/>
        <v>0</v>
      </c>
      <c r="C29" s="115">
        <f t="shared" si="2"/>
        <v>0</v>
      </c>
      <c r="D29" s="116">
        <f t="shared" si="13"/>
        <v>1</v>
      </c>
      <c r="E29" s="116">
        <f t="shared" si="0"/>
        <v>1</v>
      </c>
      <c r="F29" s="117">
        <f t="shared" si="3"/>
        <v>0</v>
      </c>
      <c r="G29" s="115">
        <f t="shared" si="4"/>
        <v>0</v>
      </c>
      <c r="H29" s="116">
        <f t="shared" si="14"/>
        <v>1</v>
      </c>
      <c r="I29" s="116">
        <f t="shared" si="5"/>
        <v>1</v>
      </c>
      <c r="J29" s="117">
        <f t="shared" si="6"/>
        <v>0</v>
      </c>
      <c r="K29" s="116"/>
      <c r="L29" s="37"/>
      <c r="M29" s="35"/>
      <c r="N29" s="35"/>
      <c r="O29" s="40"/>
      <c r="P29" s="59"/>
      <c r="Q29" s="70"/>
      <c r="R29" s="68"/>
      <c r="S29" s="118">
        <f t="shared" si="7"/>
        <v>1</v>
      </c>
      <c r="T29" s="119">
        <f t="shared" si="8"/>
        <v>1</v>
      </c>
      <c r="V29" s="120">
        <f t="shared" si="9"/>
        <v>0</v>
      </c>
      <c r="W29" s="121">
        <f t="shared" si="10"/>
        <v>1</v>
      </c>
      <c r="X29" s="122">
        <f t="shared" si="15"/>
        <v>0</v>
      </c>
      <c r="Y29" s="120">
        <f t="shared" si="11"/>
        <v>0</v>
      </c>
      <c r="Z29" s="121">
        <f t="shared" si="12"/>
        <v>1</v>
      </c>
      <c r="AA29" s="122">
        <f t="shared" si="16"/>
        <v>0</v>
      </c>
    </row>
    <row r="30" spans="1:27" ht="15" customHeight="1" x14ac:dyDescent="0.25">
      <c r="A30" s="113"/>
      <c r="B30" s="114">
        <f t="shared" si="1"/>
        <v>0</v>
      </c>
      <c r="C30" s="115">
        <f t="shared" si="2"/>
        <v>0</v>
      </c>
      <c r="D30" s="116">
        <f t="shared" si="13"/>
        <v>1</v>
      </c>
      <c r="E30" s="116">
        <f t="shared" si="0"/>
        <v>1</v>
      </c>
      <c r="F30" s="117">
        <f t="shared" si="3"/>
        <v>0</v>
      </c>
      <c r="G30" s="115">
        <f t="shared" si="4"/>
        <v>0</v>
      </c>
      <c r="H30" s="116">
        <f t="shared" si="14"/>
        <v>1</v>
      </c>
      <c r="I30" s="116">
        <f t="shared" si="5"/>
        <v>1</v>
      </c>
      <c r="J30" s="117">
        <f t="shared" si="6"/>
        <v>0</v>
      </c>
      <c r="K30" s="116"/>
      <c r="L30" s="37"/>
      <c r="M30" s="35"/>
      <c r="N30" s="35"/>
      <c r="O30" s="40"/>
      <c r="P30" s="59"/>
      <c r="Q30" s="70"/>
      <c r="R30" s="68"/>
      <c r="S30" s="118">
        <f t="shared" si="7"/>
        <v>1</v>
      </c>
      <c r="T30" s="119">
        <f t="shared" si="8"/>
        <v>1</v>
      </c>
      <c r="V30" s="120">
        <f t="shared" si="9"/>
        <v>0</v>
      </c>
      <c r="W30" s="121">
        <f t="shared" si="10"/>
        <v>1</v>
      </c>
      <c r="X30" s="122">
        <f t="shared" si="15"/>
        <v>0</v>
      </c>
      <c r="Y30" s="120">
        <f t="shared" si="11"/>
        <v>0</v>
      </c>
      <c r="Z30" s="121">
        <f t="shared" si="12"/>
        <v>1</v>
      </c>
      <c r="AA30" s="122">
        <f t="shared" si="16"/>
        <v>0</v>
      </c>
    </row>
    <row r="31" spans="1:27" ht="15" customHeight="1" x14ac:dyDescent="0.25">
      <c r="A31" s="113"/>
      <c r="B31" s="114">
        <f t="shared" si="1"/>
        <v>0</v>
      </c>
      <c r="C31" s="115">
        <f t="shared" si="2"/>
        <v>0</v>
      </c>
      <c r="D31" s="116">
        <f t="shared" si="13"/>
        <v>1</v>
      </c>
      <c r="E31" s="116">
        <f t="shared" si="0"/>
        <v>1</v>
      </c>
      <c r="F31" s="117">
        <f t="shared" si="3"/>
        <v>0</v>
      </c>
      <c r="G31" s="115">
        <f t="shared" si="4"/>
        <v>0</v>
      </c>
      <c r="H31" s="116">
        <f t="shared" si="14"/>
        <v>1</v>
      </c>
      <c r="I31" s="116">
        <f t="shared" si="5"/>
        <v>1</v>
      </c>
      <c r="J31" s="117">
        <f t="shared" si="6"/>
        <v>0</v>
      </c>
      <c r="K31" s="116"/>
      <c r="L31" s="37"/>
      <c r="M31" s="35"/>
      <c r="N31" s="35"/>
      <c r="O31" s="40"/>
      <c r="P31" s="59"/>
      <c r="Q31" s="70"/>
      <c r="R31" s="68"/>
      <c r="S31" s="118">
        <f t="shared" si="7"/>
        <v>1</v>
      </c>
      <c r="T31" s="119">
        <f t="shared" si="8"/>
        <v>1</v>
      </c>
      <c r="V31" s="120">
        <f t="shared" si="9"/>
        <v>0</v>
      </c>
      <c r="W31" s="121">
        <f t="shared" si="10"/>
        <v>1</v>
      </c>
      <c r="X31" s="122">
        <f t="shared" si="15"/>
        <v>0</v>
      </c>
      <c r="Y31" s="120">
        <f t="shared" si="11"/>
        <v>0</v>
      </c>
      <c r="Z31" s="121">
        <f t="shared" si="12"/>
        <v>1</v>
      </c>
      <c r="AA31" s="122">
        <f t="shared" si="16"/>
        <v>0</v>
      </c>
    </row>
    <row r="32" spans="1:27" ht="15" customHeight="1" x14ac:dyDescent="0.25">
      <c r="A32" s="113"/>
      <c r="B32" s="114">
        <f t="shared" si="1"/>
        <v>0</v>
      </c>
      <c r="C32" s="115">
        <f t="shared" si="2"/>
        <v>0</v>
      </c>
      <c r="D32" s="116">
        <f t="shared" si="13"/>
        <v>1</v>
      </c>
      <c r="E32" s="116">
        <f t="shared" si="0"/>
        <v>1</v>
      </c>
      <c r="F32" s="117">
        <f t="shared" si="3"/>
        <v>0</v>
      </c>
      <c r="G32" s="115">
        <f t="shared" si="4"/>
        <v>0</v>
      </c>
      <c r="H32" s="116">
        <f t="shared" si="14"/>
        <v>1</v>
      </c>
      <c r="I32" s="116">
        <f t="shared" si="5"/>
        <v>1</v>
      </c>
      <c r="J32" s="117">
        <f t="shared" si="6"/>
        <v>0</v>
      </c>
      <c r="K32" s="116"/>
      <c r="L32" s="37"/>
      <c r="M32" s="35"/>
      <c r="N32" s="35"/>
      <c r="O32" s="40"/>
      <c r="P32" s="59"/>
      <c r="Q32" s="70"/>
      <c r="R32" s="68"/>
      <c r="S32" s="118">
        <f t="shared" si="7"/>
        <v>1</v>
      </c>
      <c r="T32" s="119">
        <f t="shared" si="8"/>
        <v>1</v>
      </c>
      <c r="V32" s="120">
        <f t="shared" si="9"/>
        <v>0</v>
      </c>
      <c r="W32" s="121">
        <f t="shared" si="10"/>
        <v>1</v>
      </c>
      <c r="X32" s="122">
        <f t="shared" si="15"/>
        <v>0</v>
      </c>
      <c r="Y32" s="120">
        <f t="shared" si="11"/>
        <v>0</v>
      </c>
      <c r="Z32" s="121">
        <f t="shared" si="12"/>
        <v>1</v>
      </c>
      <c r="AA32" s="122">
        <f t="shared" si="16"/>
        <v>0</v>
      </c>
    </row>
    <row r="33" spans="1:27" ht="15" customHeight="1" x14ac:dyDescent="0.25">
      <c r="A33" s="113"/>
      <c r="B33" s="114">
        <f t="shared" si="1"/>
        <v>0</v>
      </c>
      <c r="C33" s="115">
        <f t="shared" si="2"/>
        <v>0</v>
      </c>
      <c r="D33" s="116">
        <f t="shared" si="13"/>
        <v>1</v>
      </c>
      <c r="E33" s="116">
        <f t="shared" si="0"/>
        <v>1</v>
      </c>
      <c r="F33" s="117">
        <f t="shared" si="3"/>
        <v>0</v>
      </c>
      <c r="G33" s="115">
        <f t="shared" si="4"/>
        <v>0</v>
      </c>
      <c r="H33" s="116">
        <f t="shared" si="14"/>
        <v>1</v>
      </c>
      <c r="I33" s="116">
        <f t="shared" si="5"/>
        <v>1</v>
      </c>
      <c r="J33" s="117">
        <f t="shared" si="6"/>
        <v>0</v>
      </c>
      <c r="K33" s="116"/>
      <c r="L33" s="37"/>
      <c r="M33" s="35"/>
      <c r="N33" s="35"/>
      <c r="O33" s="40"/>
      <c r="P33" s="59"/>
      <c r="Q33" s="70"/>
      <c r="R33" s="68"/>
      <c r="S33" s="118">
        <f t="shared" si="7"/>
        <v>1</v>
      </c>
      <c r="T33" s="119">
        <f t="shared" si="8"/>
        <v>1</v>
      </c>
      <c r="V33" s="120">
        <f t="shared" si="9"/>
        <v>0</v>
      </c>
      <c r="W33" s="121">
        <f t="shared" si="10"/>
        <v>1</v>
      </c>
      <c r="X33" s="122">
        <f t="shared" si="15"/>
        <v>0</v>
      </c>
      <c r="Y33" s="120">
        <f t="shared" si="11"/>
        <v>0</v>
      </c>
      <c r="Z33" s="121">
        <f t="shared" si="12"/>
        <v>1</v>
      </c>
      <c r="AA33" s="122">
        <f t="shared" si="16"/>
        <v>0</v>
      </c>
    </row>
    <row r="34" spans="1:27" ht="15" customHeight="1" x14ac:dyDescent="0.25">
      <c r="A34" s="113"/>
      <c r="B34" s="114">
        <f t="shared" si="1"/>
        <v>0</v>
      </c>
      <c r="C34" s="115">
        <f t="shared" si="2"/>
        <v>0</v>
      </c>
      <c r="D34" s="116">
        <f t="shared" si="13"/>
        <v>1</v>
      </c>
      <c r="E34" s="116">
        <f t="shared" si="0"/>
        <v>1</v>
      </c>
      <c r="F34" s="117">
        <f t="shared" si="3"/>
        <v>0</v>
      </c>
      <c r="G34" s="115">
        <f t="shared" si="4"/>
        <v>0</v>
      </c>
      <c r="H34" s="116">
        <f t="shared" si="14"/>
        <v>1</v>
      </c>
      <c r="I34" s="116">
        <f t="shared" si="5"/>
        <v>1</v>
      </c>
      <c r="J34" s="117">
        <f t="shared" si="6"/>
        <v>0</v>
      </c>
      <c r="K34" s="116"/>
      <c r="L34" s="37"/>
      <c r="M34" s="35"/>
      <c r="N34" s="35"/>
      <c r="O34" s="40"/>
      <c r="P34" s="59"/>
      <c r="Q34" s="70"/>
      <c r="R34" s="68"/>
      <c r="S34" s="118">
        <f t="shared" si="7"/>
        <v>1</v>
      </c>
      <c r="T34" s="119">
        <f t="shared" si="8"/>
        <v>1</v>
      </c>
      <c r="V34" s="120">
        <f t="shared" si="9"/>
        <v>0</v>
      </c>
      <c r="W34" s="121">
        <f t="shared" si="10"/>
        <v>1</v>
      </c>
      <c r="X34" s="122">
        <f t="shared" si="15"/>
        <v>0</v>
      </c>
      <c r="Y34" s="120">
        <f t="shared" si="11"/>
        <v>0</v>
      </c>
      <c r="Z34" s="121">
        <f t="shared" si="12"/>
        <v>1</v>
      </c>
      <c r="AA34" s="122">
        <f t="shared" si="16"/>
        <v>0</v>
      </c>
    </row>
    <row r="35" spans="1:27" ht="15" customHeight="1" x14ac:dyDescent="0.25">
      <c r="A35" s="113"/>
      <c r="B35" s="114">
        <f t="shared" si="1"/>
        <v>0</v>
      </c>
      <c r="C35" s="115">
        <f t="shared" si="2"/>
        <v>0</v>
      </c>
      <c r="D35" s="116">
        <f t="shared" si="13"/>
        <v>1</v>
      </c>
      <c r="E35" s="116">
        <f t="shared" si="0"/>
        <v>1</v>
      </c>
      <c r="F35" s="117">
        <f t="shared" si="3"/>
        <v>0</v>
      </c>
      <c r="G35" s="115">
        <f t="shared" si="4"/>
        <v>0</v>
      </c>
      <c r="H35" s="116">
        <f t="shared" si="14"/>
        <v>1</v>
      </c>
      <c r="I35" s="116">
        <f t="shared" si="5"/>
        <v>1</v>
      </c>
      <c r="J35" s="117">
        <f t="shared" si="6"/>
        <v>0</v>
      </c>
      <c r="K35" s="116"/>
      <c r="L35" s="37"/>
      <c r="M35" s="35"/>
      <c r="N35" s="35"/>
      <c r="O35" s="40"/>
      <c r="P35" s="59"/>
      <c r="Q35" s="70"/>
      <c r="R35" s="68"/>
      <c r="S35" s="118">
        <f t="shared" si="7"/>
        <v>1</v>
      </c>
      <c r="T35" s="119">
        <f t="shared" si="8"/>
        <v>1</v>
      </c>
      <c r="V35" s="120">
        <f t="shared" si="9"/>
        <v>0</v>
      </c>
      <c r="W35" s="121">
        <f t="shared" si="10"/>
        <v>1</v>
      </c>
      <c r="X35" s="122">
        <f t="shared" si="15"/>
        <v>0</v>
      </c>
      <c r="Y35" s="120">
        <f t="shared" si="11"/>
        <v>0</v>
      </c>
      <c r="Z35" s="121">
        <f t="shared" si="12"/>
        <v>1</v>
      </c>
      <c r="AA35" s="122">
        <f t="shared" si="16"/>
        <v>0</v>
      </c>
    </row>
    <row r="36" spans="1:27" ht="15" customHeight="1" x14ac:dyDescent="0.25">
      <c r="A36" s="113"/>
      <c r="B36" s="114">
        <f t="shared" si="1"/>
        <v>0</v>
      </c>
      <c r="C36" s="115">
        <f t="shared" si="2"/>
        <v>0</v>
      </c>
      <c r="D36" s="116">
        <f t="shared" si="13"/>
        <v>1</v>
      </c>
      <c r="E36" s="116">
        <f t="shared" si="0"/>
        <v>1</v>
      </c>
      <c r="F36" s="117">
        <f t="shared" si="3"/>
        <v>0</v>
      </c>
      <c r="G36" s="115">
        <f t="shared" si="4"/>
        <v>0</v>
      </c>
      <c r="H36" s="116">
        <f t="shared" si="14"/>
        <v>1</v>
      </c>
      <c r="I36" s="116">
        <f t="shared" si="5"/>
        <v>1</v>
      </c>
      <c r="J36" s="117">
        <f t="shared" si="6"/>
        <v>0</v>
      </c>
      <c r="K36" s="116"/>
      <c r="L36" s="37"/>
      <c r="M36" s="35"/>
      <c r="N36" s="35"/>
      <c r="O36" s="40"/>
      <c r="P36" s="59"/>
      <c r="Q36" s="70"/>
      <c r="R36" s="68"/>
      <c r="S36" s="118">
        <f t="shared" si="7"/>
        <v>1</v>
      </c>
      <c r="T36" s="119">
        <f t="shared" si="8"/>
        <v>1</v>
      </c>
      <c r="V36" s="120">
        <f t="shared" si="9"/>
        <v>0</v>
      </c>
      <c r="W36" s="121">
        <f t="shared" si="10"/>
        <v>1</v>
      </c>
      <c r="X36" s="122">
        <f t="shared" si="15"/>
        <v>0</v>
      </c>
      <c r="Y36" s="120">
        <f t="shared" si="11"/>
        <v>0</v>
      </c>
      <c r="Z36" s="121">
        <f t="shared" si="12"/>
        <v>1</v>
      </c>
      <c r="AA36" s="122">
        <f t="shared" si="16"/>
        <v>0</v>
      </c>
    </row>
    <row r="37" spans="1:27" ht="15" customHeight="1" x14ac:dyDescent="0.25">
      <c r="A37" s="113"/>
      <c r="B37" s="114">
        <f t="shared" si="1"/>
        <v>0</v>
      </c>
      <c r="C37" s="115">
        <f t="shared" si="2"/>
        <v>0</v>
      </c>
      <c r="D37" s="116">
        <f t="shared" si="13"/>
        <v>1</v>
      </c>
      <c r="E37" s="116">
        <f t="shared" si="0"/>
        <v>1</v>
      </c>
      <c r="F37" s="117">
        <f t="shared" si="3"/>
        <v>0</v>
      </c>
      <c r="G37" s="115">
        <f t="shared" si="4"/>
        <v>0</v>
      </c>
      <c r="H37" s="116">
        <f t="shared" si="14"/>
        <v>1</v>
      </c>
      <c r="I37" s="116">
        <f t="shared" si="5"/>
        <v>1</v>
      </c>
      <c r="J37" s="117">
        <f t="shared" si="6"/>
        <v>0</v>
      </c>
      <c r="K37" s="116"/>
      <c r="L37" s="37"/>
      <c r="M37" s="35"/>
      <c r="N37" s="35"/>
      <c r="O37" s="40"/>
      <c r="P37" s="59"/>
      <c r="Q37" s="70"/>
      <c r="R37" s="68"/>
      <c r="S37" s="118">
        <f t="shared" si="7"/>
        <v>1</v>
      </c>
      <c r="T37" s="119">
        <f t="shared" si="8"/>
        <v>1</v>
      </c>
      <c r="V37" s="120">
        <f t="shared" si="9"/>
        <v>0</v>
      </c>
      <c r="W37" s="121">
        <f t="shared" si="10"/>
        <v>1</v>
      </c>
      <c r="X37" s="122">
        <f t="shared" si="15"/>
        <v>0</v>
      </c>
      <c r="Y37" s="120">
        <f t="shared" si="11"/>
        <v>0</v>
      </c>
      <c r="Z37" s="121">
        <f t="shared" si="12"/>
        <v>1</v>
      </c>
      <c r="AA37" s="122">
        <f t="shared" si="16"/>
        <v>0</v>
      </c>
    </row>
    <row r="38" spans="1:27" ht="15" customHeight="1" x14ac:dyDescent="0.25">
      <c r="A38" s="113"/>
      <c r="B38" s="114">
        <f t="shared" si="1"/>
        <v>0</v>
      </c>
      <c r="C38" s="115">
        <f t="shared" si="2"/>
        <v>0</v>
      </c>
      <c r="D38" s="116">
        <f t="shared" si="13"/>
        <v>1</v>
      </c>
      <c r="E38" s="116">
        <f t="shared" si="0"/>
        <v>1</v>
      </c>
      <c r="F38" s="117">
        <f t="shared" si="3"/>
        <v>0</v>
      </c>
      <c r="G38" s="115">
        <f t="shared" si="4"/>
        <v>0</v>
      </c>
      <c r="H38" s="116">
        <f t="shared" si="14"/>
        <v>1</v>
      </c>
      <c r="I38" s="116">
        <f t="shared" si="5"/>
        <v>1</v>
      </c>
      <c r="J38" s="117">
        <f t="shared" si="6"/>
        <v>0</v>
      </c>
      <c r="K38" s="116"/>
      <c r="L38" s="37"/>
      <c r="M38" s="35"/>
      <c r="N38" s="35"/>
      <c r="O38" s="40"/>
      <c r="P38" s="59"/>
      <c r="Q38" s="70"/>
      <c r="R38" s="68"/>
      <c r="S38" s="118">
        <f t="shared" si="7"/>
        <v>1</v>
      </c>
      <c r="T38" s="119">
        <f t="shared" si="8"/>
        <v>1</v>
      </c>
      <c r="V38" s="120">
        <f t="shared" si="9"/>
        <v>0</v>
      </c>
      <c r="W38" s="121">
        <f t="shared" si="10"/>
        <v>1</v>
      </c>
      <c r="X38" s="122">
        <f t="shared" si="15"/>
        <v>0</v>
      </c>
      <c r="Y38" s="120">
        <f t="shared" si="11"/>
        <v>0</v>
      </c>
      <c r="Z38" s="121">
        <f t="shared" si="12"/>
        <v>1</v>
      </c>
      <c r="AA38" s="122">
        <f t="shared" si="16"/>
        <v>0</v>
      </c>
    </row>
    <row r="39" spans="1:27" ht="15" customHeight="1" thickBot="1" x14ac:dyDescent="0.3">
      <c r="A39" s="113"/>
      <c r="B39" s="123">
        <f t="shared" si="1"/>
        <v>0</v>
      </c>
      <c r="C39" s="124">
        <f t="shared" ref="C39" si="17">IF(IF(F39&gt;C38,F39,C38-1)=-1,0,IF(F39&gt;C38,F39,C38-1))</f>
        <v>0</v>
      </c>
      <c r="D39" s="125">
        <f t="shared" ref="D39" si="18">IF(C39=0,1,IF(C39&gt;C38,1,0))</f>
        <v>1</v>
      </c>
      <c r="E39" s="125">
        <f t="shared" si="0"/>
        <v>0</v>
      </c>
      <c r="F39" s="126">
        <f t="shared" ref="F39" si="19">R39</f>
        <v>0</v>
      </c>
      <c r="G39" s="124">
        <f t="shared" si="4"/>
        <v>0</v>
      </c>
      <c r="H39" s="125">
        <f t="shared" si="14"/>
        <v>1</v>
      </c>
      <c r="I39" s="125">
        <f t="shared" si="5"/>
        <v>0</v>
      </c>
      <c r="J39" s="126">
        <f t="shared" si="6"/>
        <v>0</v>
      </c>
      <c r="L39" s="38"/>
      <c r="M39" s="39"/>
      <c r="N39" s="39"/>
      <c r="O39" s="41"/>
      <c r="P39" s="60"/>
      <c r="Q39" s="71"/>
      <c r="R39" s="69"/>
      <c r="S39" s="127">
        <f t="shared" si="7"/>
        <v>1</v>
      </c>
      <c r="T39" s="128">
        <f t="shared" si="8"/>
        <v>1</v>
      </c>
      <c r="V39" s="129">
        <f t="shared" si="9"/>
        <v>0</v>
      </c>
      <c r="W39" s="130">
        <f t="shared" si="10"/>
        <v>1</v>
      </c>
      <c r="X39" s="131">
        <f t="shared" si="15"/>
        <v>0</v>
      </c>
      <c r="Y39" s="129">
        <f t="shared" si="11"/>
        <v>0</v>
      </c>
      <c r="Z39" s="130">
        <f t="shared" si="12"/>
        <v>1</v>
      </c>
      <c r="AA39" s="131">
        <f t="shared" si="16"/>
        <v>0</v>
      </c>
    </row>
    <row r="40" spans="1:27" ht="15" customHeight="1" x14ac:dyDescent="0.25">
      <c r="P40" s="132"/>
      <c r="Q40" s="132"/>
      <c r="S40" s="133"/>
    </row>
    <row r="41" spans="1:27" ht="15" customHeight="1" x14ac:dyDescent="0.25">
      <c r="P41" s="132"/>
      <c r="Q41" s="132"/>
      <c r="S41" s="133"/>
    </row>
    <row r="42" spans="1:27" ht="15" customHeight="1" x14ac:dyDescent="0.25">
      <c r="P42" s="132"/>
      <c r="Q42" s="132"/>
      <c r="S42" s="133"/>
    </row>
    <row r="43" spans="1:27" ht="15" customHeight="1" x14ac:dyDescent="0.25">
      <c r="P43" s="132"/>
      <c r="Q43" s="132"/>
      <c r="S43" s="133"/>
    </row>
    <row r="44" spans="1:27" ht="15" customHeight="1" x14ac:dyDescent="0.25">
      <c r="P44" s="132"/>
      <c r="Q44" s="132"/>
      <c r="S44" s="133"/>
    </row>
    <row r="45" spans="1:27" ht="15" customHeight="1" x14ac:dyDescent="0.25">
      <c r="P45" s="132"/>
      <c r="Q45" s="132"/>
      <c r="S45" s="133"/>
    </row>
    <row r="46" spans="1:27" ht="15" customHeight="1" x14ac:dyDescent="0.25">
      <c r="P46" s="132"/>
      <c r="Q46" s="132"/>
      <c r="S46" s="133"/>
    </row>
    <row r="47" spans="1:27" ht="15" customHeight="1" x14ac:dyDescent="0.25">
      <c r="P47" s="132"/>
      <c r="Q47" s="132"/>
      <c r="S47" s="133"/>
    </row>
    <row r="48" spans="1:27" ht="15" customHeight="1" x14ac:dyDescent="0.25">
      <c r="P48" s="132"/>
      <c r="Q48" s="132"/>
      <c r="S48" s="133"/>
    </row>
    <row r="49" spans="16:19" ht="15" customHeight="1" x14ac:dyDescent="0.25">
      <c r="P49" s="132"/>
      <c r="Q49" s="132"/>
      <c r="S49" s="133"/>
    </row>
    <row r="50" spans="16:19" ht="15" customHeight="1" x14ac:dyDescent="0.25">
      <c r="P50" s="132"/>
      <c r="Q50" s="132"/>
      <c r="S50" s="133"/>
    </row>
    <row r="51" spans="16:19" ht="15" customHeight="1" x14ac:dyDescent="0.25">
      <c r="P51" s="132"/>
      <c r="Q51" s="132"/>
      <c r="S51" s="133"/>
    </row>
    <row r="52" spans="16:19" ht="15" customHeight="1" x14ac:dyDescent="0.25">
      <c r="P52" s="132"/>
      <c r="Q52" s="132"/>
      <c r="S52" s="133"/>
    </row>
    <row r="53" spans="16:19" ht="15" customHeight="1" x14ac:dyDescent="0.25">
      <c r="P53" s="132"/>
      <c r="Q53" s="132"/>
      <c r="S53" s="133"/>
    </row>
    <row r="54" spans="16:19" ht="15" customHeight="1" x14ac:dyDescent="0.25">
      <c r="P54" s="132"/>
      <c r="Q54" s="132"/>
      <c r="S54" s="133"/>
    </row>
    <row r="55" spans="16:19" ht="15" customHeight="1" x14ac:dyDescent="0.25">
      <c r="P55" s="132"/>
      <c r="Q55" s="132"/>
      <c r="S55" s="133"/>
    </row>
    <row r="56" spans="16:19" ht="15" customHeight="1" x14ac:dyDescent="0.25">
      <c r="P56" s="132"/>
      <c r="Q56" s="132"/>
      <c r="S56" s="133"/>
    </row>
    <row r="57" spans="16:19" ht="15" customHeight="1" x14ac:dyDescent="0.25">
      <c r="P57" s="132"/>
      <c r="Q57" s="132"/>
      <c r="S57" s="133"/>
    </row>
    <row r="58" spans="16:19" ht="15" customHeight="1" x14ac:dyDescent="0.25">
      <c r="P58" s="132"/>
      <c r="Q58" s="132"/>
      <c r="S58" s="133"/>
    </row>
    <row r="59" spans="16:19" ht="15" customHeight="1" x14ac:dyDescent="0.25">
      <c r="P59" s="132"/>
      <c r="Q59" s="132"/>
      <c r="S59" s="133"/>
    </row>
    <row r="60" spans="16:19" ht="15" customHeight="1" x14ac:dyDescent="0.25">
      <c r="P60" s="132"/>
      <c r="Q60" s="132"/>
      <c r="S60" s="133"/>
    </row>
    <row r="61" spans="16:19" ht="15" customHeight="1" x14ac:dyDescent="0.25">
      <c r="P61" s="132"/>
      <c r="Q61" s="132"/>
      <c r="S61" s="133"/>
    </row>
    <row r="62" spans="16:19" ht="15" customHeight="1" x14ac:dyDescent="0.25">
      <c r="P62" s="132"/>
      <c r="Q62" s="132"/>
      <c r="S62" s="133"/>
    </row>
    <row r="63" spans="16:19" ht="15" customHeight="1" x14ac:dyDescent="0.25">
      <c r="P63" s="132"/>
      <c r="Q63" s="132"/>
      <c r="S63" s="133"/>
    </row>
    <row r="64" spans="16:19" ht="15" customHeight="1" x14ac:dyDescent="0.25">
      <c r="P64" s="132"/>
      <c r="Q64" s="132"/>
      <c r="S64" s="133"/>
    </row>
    <row r="65" spans="16:19" ht="15" customHeight="1" x14ac:dyDescent="0.25">
      <c r="P65" s="132"/>
      <c r="Q65" s="132"/>
      <c r="S65" s="133"/>
    </row>
    <row r="66" spans="16:19" ht="15" customHeight="1" x14ac:dyDescent="0.25">
      <c r="P66" s="132"/>
      <c r="Q66" s="132"/>
      <c r="S66" s="133"/>
    </row>
    <row r="67" spans="16:19" ht="15" customHeight="1" x14ac:dyDescent="0.25">
      <c r="P67" s="132"/>
      <c r="Q67" s="132"/>
      <c r="S67" s="133"/>
    </row>
    <row r="68" spans="16:19" ht="15" customHeight="1" x14ac:dyDescent="0.25">
      <c r="P68" s="132"/>
      <c r="Q68" s="132"/>
      <c r="S68" s="133"/>
    </row>
    <row r="69" spans="16:19" ht="15" customHeight="1" x14ac:dyDescent="0.25">
      <c r="P69" s="132"/>
      <c r="Q69" s="132"/>
      <c r="S69" s="133"/>
    </row>
    <row r="70" spans="16:19" ht="15" customHeight="1" x14ac:dyDescent="0.25">
      <c r="P70" s="132"/>
      <c r="Q70" s="132"/>
      <c r="S70" s="133"/>
    </row>
    <row r="71" spans="16:19" ht="15" customHeight="1" x14ac:dyDescent="0.25">
      <c r="P71" s="132"/>
      <c r="Q71" s="132"/>
      <c r="S71" s="133"/>
    </row>
    <row r="72" spans="16:19" ht="15" customHeight="1" x14ac:dyDescent="0.25">
      <c r="P72" s="132"/>
      <c r="Q72" s="132"/>
      <c r="S72" s="133"/>
    </row>
    <row r="73" spans="16:19" ht="15" customHeight="1" x14ac:dyDescent="0.25">
      <c r="P73" s="132"/>
      <c r="Q73" s="132"/>
      <c r="S73" s="133"/>
    </row>
    <row r="74" spans="16:19" ht="15" customHeight="1" x14ac:dyDescent="0.25">
      <c r="P74" s="132"/>
      <c r="Q74" s="132"/>
      <c r="S74" s="133"/>
    </row>
    <row r="75" spans="16:19" ht="15" customHeight="1" x14ac:dyDescent="0.25">
      <c r="P75" s="132"/>
      <c r="Q75" s="132"/>
      <c r="S75" s="133"/>
    </row>
    <row r="76" spans="16:19" ht="15" customHeight="1" x14ac:dyDescent="0.25">
      <c r="P76" s="132"/>
      <c r="Q76" s="132"/>
      <c r="S76" s="133"/>
    </row>
    <row r="77" spans="16:19" ht="15" customHeight="1" x14ac:dyDescent="0.25">
      <c r="P77" s="132"/>
      <c r="Q77" s="132"/>
      <c r="S77" s="133"/>
    </row>
    <row r="78" spans="16:19" ht="15" customHeight="1" x14ac:dyDescent="0.25">
      <c r="P78" s="132"/>
      <c r="Q78" s="132"/>
      <c r="S78" s="133"/>
    </row>
    <row r="79" spans="16:19" ht="15" customHeight="1" x14ac:dyDescent="0.25">
      <c r="P79" s="132"/>
      <c r="Q79" s="132"/>
      <c r="S79" s="133"/>
    </row>
    <row r="80" spans="16:19" ht="15" customHeight="1" x14ac:dyDescent="0.25">
      <c r="P80" s="132"/>
      <c r="Q80" s="132"/>
      <c r="S80" s="133"/>
    </row>
    <row r="81" spans="16:19" ht="15" customHeight="1" x14ac:dyDescent="0.25">
      <c r="P81" s="132"/>
      <c r="Q81" s="132"/>
      <c r="S81" s="133"/>
    </row>
    <row r="82" spans="16:19" ht="15" customHeight="1" x14ac:dyDescent="0.25">
      <c r="P82" s="132"/>
      <c r="Q82" s="132"/>
      <c r="S82" s="133"/>
    </row>
    <row r="83" spans="16:19" ht="15" customHeight="1" x14ac:dyDescent="0.25">
      <c r="P83" s="132"/>
      <c r="Q83" s="132"/>
      <c r="S83" s="133"/>
    </row>
    <row r="84" spans="16:19" ht="15" customHeight="1" x14ac:dyDescent="0.25">
      <c r="P84" s="132"/>
      <c r="Q84" s="132"/>
      <c r="S84" s="133"/>
    </row>
    <row r="85" spans="16:19" ht="15" customHeight="1" x14ac:dyDescent="0.25">
      <c r="P85" s="132"/>
      <c r="Q85" s="132"/>
      <c r="S85" s="133"/>
    </row>
    <row r="86" spans="16:19" ht="15" customHeight="1" x14ac:dyDescent="0.25">
      <c r="P86" s="132"/>
      <c r="Q86" s="132"/>
      <c r="S86" s="133"/>
    </row>
    <row r="87" spans="16:19" ht="15" customHeight="1" x14ac:dyDescent="0.25">
      <c r="P87" s="132"/>
      <c r="Q87" s="132"/>
      <c r="S87" s="133"/>
    </row>
    <row r="88" spans="16:19" ht="15" customHeight="1" x14ac:dyDescent="0.25">
      <c r="P88" s="132"/>
      <c r="Q88" s="132"/>
      <c r="S88" s="133"/>
    </row>
    <row r="89" spans="16:19" ht="15" customHeight="1" x14ac:dyDescent="0.25">
      <c r="P89" s="132"/>
      <c r="Q89" s="132"/>
      <c r="S89" s="133"/>
    </row>
    <row r="90" spans="16:19" ht="15" customHeight="1" x14ac:dyDescent="0.25">
      <c r="P90" s="132"/>
      <c r="Q90" s="132"/>
      <c r="S90" s="133"/>
    </row>
    <row r="91" spans="16:19" ht="15" customHeight="1" x14ac:dyDescent="0.25">
      <c r="P91" s="132"/>
      <c r="Q91" s="132"/>
      <c r="S91" s="133"/>
    </row>
    <row r="92" spans="16:19" ht="15" customHeight="1" x14ac:dyDescent="0.25">
      <c r="P92" s="132"/>
      <c r="Q92" s="132"/>
      <c r="S92" s="133"/>
    </row>
    <row r="93" spans="16:19" ht="15" customHeight="1" x14ac:dyDescent="0.25">
      <c r="P93" s="132"/>
      <c r="Q93" s="132"/>
      <c r="S93" s="133"/>
    </row>
    <row r="94" spans="16:19" ht="15" customHeight="1" x14ac:dyDescent="0.25">
      <c r="P94" s="132"/>
      <c r="Q94" s="132"/>
      <c r="S94" s="133"/>
    </row>
    <row r="95" spans="16:19" ht="15" customHeight="1" x14ac:dyDescent="0.25">
      <c r="P95" s="132"/>
      <c r="Q95" s="132"/>
      <c r="S95" s="133"/>
    </row>
    <row r="96" spans="16:19" ht="15" customHeight="1" x14ac:dyDescent="0.25">
      <c r="P96" s="132"/>
      <c r="Q96" s="132"/>
      <c r="S96" s="133"/>
    </row>
    <row r="97" spans="16:19" ht="15" customHeight="1" x14ac:dyDescent="0.25">
      <c r="P97" s="132"/>
      <c r="Q97" s="132"/>
      <c r="S97" s="133"/>
    </row>
    <row r="98" spans="16:19" ht="15" customHeight="1" x14ac:dyDescent="0.25">
      <c r="P98" s="132"/>
      <c r="Q98" s="132"/>
      <c r="S98" s="133"/>
    </row>
    <row r="99" spans="16:19" ht="15" customHeight="1" x14ac:dyDescent="0.25">
      <c r="P99" s="132"/>
      <c r="Q99" s="132"/>
      <c r="S99" s="133"/>
    </row>
    <row r="100" spans="16:19" ht="15" customHeight="1" x14ac:dyDescent="0.25">
      <c r="P100" s="132"/>
      <c r="Q100" s="132"/>
      <c r="S100" s="133"/>
    </row>
    <row r="101" spans="16:19" ht="15" customHeight="1" x14ac:dyDescent="0.25">
      <c r="P101" s="132"/>
      <c r="Q101" s="132"/>
      <c r="S101" s="133"/>
    </row>
    <row r="102" spans="16:19" ht="15" customHeight="1" x14ac:dyDescent="0.25">
      <c r="P102" s="132"/>
      <c r="Q102" s="132"/>
      <c r="S102" s="133"/>
    </row>
    <row r="103" spans="16:19" ht="15" customHeight="1" x14ac:dyDescent="0.25">
      <c r="P103" s="132"/>
      <c r="Q103" s="132"/>
      <c r="S103" s="133"/>
    </row>
    <row r="104" spans="16:19" ht="15" customHeight="1" x14ac:dyDescent="0.25">
      <c r="P104" s="132"/>
      <c r="Q104" s="132"/>
      <c r="S104" s="133"/>
    </row>
    <row r="105" spans="16:19" ht="15" customHeight="1" x14ac:dyDescent="0.25">
      <c r="P105" s="132"/>
      <c r="Q105" s="132"/>
      <c r="S105" s="133"/>
    </row>
    <row r="106" spans="16:19" ht="15" customHeight="1" x14ac:dyDescent="0.25">
      <c r="P106" s="132"/>
      <c r="Q106" s="132"/>
      <c r="S106" s="133"/>
    </row>
    <row r="107" spans="16:19" ht="15" customHeight="1" x14ac:dyDescent="0.25">
      <c r="P107" s="132"/>
      <c r="Q107" s="132"/>
      <c r="S107" s="133"/>
    </row>
    <row r="108" spans="16:19" ht="15" customHeight="1" x14ac:dyDescent="0.25">
      <c r="P108" s="132"/>
      <c r="Q108" s="132"/>
      <c r="S108" s="133"/>
    </row>
    <row r="109" spans="16:19" ht="15" customHeight="1" x14ac:dyDescent="0.25">
      <c r="P109" s="132"/>
      <c r="Q109" s="132"/>
      <c r="S109" s="133"/>
    </row>
    <row r="110" spans="16:19" ht="15" customHeight="1" x14ac:dyDescent="0.25">
      <c r="P110" s="132"/>
      <c r="Q110" s="132"/>
      <c r="S110" s="133"/>
    </row>
    <row r="111" spans="16:19" ht="15" customHeight="1" x14ac:dyDescent="0.25">
      <c r="P111" s="132"/>
      <c r="Q111" s="132"/>
      <c r="S111" s="133"/>
    </row>
    <row r="112" spans="16:19" ht="15" customHeight="1" x14ac:dyDescent="0.25">
      <c r="P112" s="132"/>
      <c r="Q112" s="132"/>
      <c r="S112" s="133"/>
    </row>
    <row r="113" spans="16:19" ht="15" customHeight="1" x14ac:dyDescent="0.25">
      <c r="P113" s="132"/>
      <c r="Q113" s="132"/>
      <c r="S113" s="133"/>
    </row>
    <row r="114" spans="16:19" ht="15" customHeight="1" x14ac:dyDescent="0.25">
      <c r="P114" s="132"/>
      <c r="Q114" s="132"/>
      <c r="S114" s="133"/>
    </row>
    <row r="115" spans="16:19" ht="15" customHeight="1" x14ac:dyDescent="0.25">
      <c r="P115" s="132"/>
      <c r="Q115" s="132"/>
      <c r="S115" s="133"/>
    </row>
    <row r="116" spans="16:19" ht="15" customHeight="1" x14ac:dyDescent="0.25">
      <c r="P116" s="132"/>
      <c r="Q116" s="132"/>
      <c r="S116" s="133"/>
    </row>
    <row r="117" spans="16:19" ht="15" customHeight="1" x14ac:dyDescent="0.25">
      <c r="P117" s="132"/>
      <c r="Q117" s="132"/>
      <c r="S117" s="133"/>
    </row>
    <row r="118" spans="16:19" ht="15" customHeight="1" x14ac:dyDescent="0.25">
      <c r="P118" s="132"/>
      <c r="Q118" s="132"/>
      <c r="S118" s="133"/>
    </row>
    <row r="119" spans="16:19" ht="15" customHeight="1" x14ac:dyDescent="0.25">
      <c r="P119" s="132"/>
      <c r="Q119" s="132"/>
      <c r="S119" s="133"/>
    </row>
    <row r="120" spans="16:19" ht="15" customHeight="1" x14ac:dyDescent="0.25">
      <c r="P120" s="132"/>
      <c r="Q120" s="132"/>
      <c r="S120" s="133"/>
    </row>
    <row r="121" spans="16:19" ht="15" customHeight="1" x14ac:dyDescent="0.25">
      <c r="P121" s="132"/>
      <c r="Q121" s="132"/>
      <c r="S121" s="133"/>
    </row>
    <row r="122" spans="16:19" ht="15" customHeight="1" x14ac:dyDescent="0.25">
      <c r="P122" s="132"/>
      <c r="Q122" s="132"/>
      <c r="S122" s="133"/>
    </row>
    <row r="123" spans="16:19" ht="15" customHeight="1" x14ac:dyDescent="0.25">
      <c r="P123" s="132"/>
      <c r="Q123" s="132"/>
      <c r="S123" s="133"/>
    </row>
    <row r="124" spans="16:19" ht="15" customHeight="1" x14ac:dyDescent="0.25">
      <c r="P124" s="132"/>
      <c r="Q124" s="132"/>
      <c r="S124" s="133"/>
    </row>
    <row r="125" spans="16:19" ht="15" customHeight="1" x14ac:dyDescent="0.25">
      <c r="P125" s="132"/>
      <c r="Q125" s="132"/>
      <c r="S125" s="133"/>
    </row>
    <row r="126" spans="16:19" ht="15" customHeight="1" x14ac:dyDescent="0.25">
      <c r="P126" s="132"/>
      <c r="Q126" s="132"/>
      <c r="S126" s="133"/>
    </row>
    <row r="127" spans="16:19" ht="15" customHeight="1" x14ac:dyDescent="0.25">
      <c r="P127" s="132"/>
      <c r="Q127" s="132"/>
      <c r="S127" s="133"/>
    </row>
    <row r="128" spans="16:19" ht="15" customHeight="1" x14ac:dyDescent="0.25">
      <c r="P128" s="132"/>
      <c r="Q128" s="132"/>
      <c r="S128" s="133"/>
    </row>
    <row r="129" spans="16:19" ht="15" customHeight="1" x14ac:dyDescent="0.25">
      <c r="P129" s="132"/>
      <c r="Q129" s="132"/>
      <c r="S129" s="133"/>
    </row>
    <row r="130" spans="16:19" ht="15" customHeight="1" x14ac:dyDescent="0.25">
      <c r="P130" s="132"/>
      <c r="Q130" s="132"/>
      <c r="S130" s="133"/>
    </row>
    <row r="131" spans="16:19" ht="15" customHeight="1" x14ac:dyDescent="0.25">
      <c r="P131" s="132"/>
      <c r="Q131" s="132"/>
      <c r="S131" s="133"/>
    </row>
    <row r="132" spans="16:19" ht="15" customHeight="1" x14ac:dyDescent="0.25">
      <c r="P132" s="132"/>
      <c r="Q132" s="132"/>
      <c r="S132" s="133"/>
    </row>
    <row r="133" spans="16:19" ht="15" customHeight="1" x14ac:dyDescent="0.25">
      <c r="P133" s="132"/>
      <c r="Q133" s="132"/>
      <c r="S133" s="133"/>
    </row>
    <row r="134" spans="16:19" ht="15" customHeight="1" x14ac:dyDescent="0.25">
      <c r="P134" s="132"/>
      <c r="Q134" s="132"/>
      <c r="S134" s="133"/>
    </row>
    <row r="135" spans="16:19" ht="15" customHeight="1" x14ac:dyDescent="0.25">
      <c r="P135" s="132"/>
      <c r="Q135" s="132"/>
      <c r="S135" s="133"/>
    </row>
    <row r="136" spans="16:19" ht="15" customHeight="1" x14ac:dyDescent="0.25">
      <c r="P136" s="132"/>
      <c r="Q136" s="132"/>
      <c r="S136" s="133"/>
    </row>
    <row r="137" spans="16:19" ht="15" customHeight="1" x14ac:dyDescent="0.25">
      <c r="P137" s="132"/>
      <c r="Q137" s="132"/>
      <c r="S137" s="133"/>
    </row>
    <row r="138" spans="16:19" ht="15" customHeight="1" x14ac:dyDescent="0.25">
      <c r="P138" s="132"/>
      <c r="Q138" s="132"/>
      <c r="S138" s="133"/>
    </row>
    <row r="139" spans="16:19" ht="15" customHeight="1" x14ac:dyDescent="0.25">
      <c r="P139" s="132"/>
      <c r="Q139" s="132"/>
      <c r="S139" s="133"/>
    </row>
    <row r="140" spans="16:19" ht="15" customHeight="1" x14ac:dyDescent="0.25">
      <c r="P140" s="132"/>
      <c r="Q140" s="132"/>
      <c r="S140" s="133"/>
    </row>
    <row r="141" spans="16:19" ht="15" customHeight="1" x14ac:dyDescent="0.25">
      <c r="P141" s="132"/>
      <c r="Q141" s="132"/>
      <c r="S141" s="133"/>
    </row>
    <row r="142" spans="16:19" ht="15" customHeight="1" x14ac:dyDescent="0.25">
      <c r="P142" s="132"/>
      <c r="Q142" s="132"/>
      <c r="S142" s="133"/>
    </row>
    <row r="143" spans="16:19" ht="15" customHeight="1" x14ac:dyDescent="0.25">
      <c r="P143" s="132"/>
      <c r="Q143" s="132"/>
      <c r="S143" s="133"/>
    </row>
    <row r="144" spans="16:19" ht="15" customHeight="1" x14ac:dyDescent="0.25">
      <c r="P144" s="132"/>
      <c r="Q144" s="132"/>
      <c r="S144" s="133"/>
    </row>
    <row r="145" spans="16:19" ht="15" customHeight="1" x14ac:dyDescent="0.25">
      <c r="P145" s="132"/>
      <c r="Q145" s="132"/>
      <c r="S145" s="133"/>
    </row>
    <row r="146" spans="16:19" ht="15" customHeight="1" x14ac:dyDescent="0.25">
      <c r="P146" s="132"/>
      <c r="Q146" s="132"/>
      <c r="S146" s="133"/>
    </row>
    <row r="147" spans="16:19" ht="15" customHeight="1" x14ac:dyDescent="0.25">
      <c r="P147" s="132"/>
      <c r="Q147" s="132"/>
      <c r="S147" s="133"/>
    </row>
    <row r="148" spans="16:19" ht="15" customHeight="1" x14ac:dyDescent="0.25">
      <c r="P148" s="132"/>
      <c r="Q148" s="132"/>
      <c r="S148" s="133"/>
    </row>
    <row r="149" spans="16:19" ht="15" customHeight="1" x14ac:dyDescent="0.25">
      <c r="P149" s="132"/>
      <c r="Q149" s="132"/>
      <c r="S149" s="133"/>
    </row>
    <row r="150" spans="16:19" ht="15" customHeight="1" x14ac:dyDescent="0.25">
      <c r="P150" s="132"/>
      <c r="Q150" s="132"/>
      <c r="S150" s="133"/>
    </row>
    <row r="151" spans="16:19" ht="15" customHeight="1" x14ac:dyDescent="0.25">
      <c r="P151" s="132"/>
      <c r="Q151" s="132"/>
      <c r="S151" s="133"/>
    </row>
    <row r="152" spans="16:19" ht="15" customHeight="1" x14ac:dyDescent="0.25">
      <c r="P152" s="132"/>
      <c r="Q152" s="132"/>
      <c r="S152" s="133"/>
    </row>
    <row r="153" spans="16:19" ht="15" customHeight="1" x14ac:dyDescent="0.25">
      <c r="P153" s="132"/>
      <c r="Q153" s="132"/>
      <c r="S153" s="133"/>
    </row>
    <row r="154" spans="16:19" ht="15" customHeight="1" x14ac:dyDescent="0.25">
      <c r="P154" s="132"/>
      <c r="Q154" s="132"/>
      <c r="S154" s="133"/>
    </row>
    <row r="155" spans="16:19" ht="15" customHeight="1" x14ac:dyDescent="0.25">
      <c r="P155" s="132"/>
      <c r="Q155" s="132"/>
      <c r="S155" s="133"/>
    </row>
    <row r="156" spans="16:19" ht="15" customHeight="1" x14ac:dyDescent="0.25">
      <c r="P156" s="132"/>
      <c r="Q156" s="132"/>
      <c r="S156" s="133"/>
    </row>
    <row r="157" spans="16:19" ht="15" customHeight="1" x14ac:dyDescent="0.25">
      <c r="P157" s="132"/>
      <c r="Q157" s="132"/>
      <c r="S157" s="133"/>
    </row>
  </sheetData>
  <sheetProtection algorithmName="SHA-512" hashValue="hGYXx+DVIJ4xwh2mpgO2KJl3wdIkI1uXNGRr8s9wx0OzO4VkMn7hRyYlNHRFZ9kd4hC1rdZkHBgFHiS5D189eA==" saltValue="b1Q7TM1BsnJSjgHUCuOPXA==" spinCount="100000" sheet="1" objects="1" scenarios="1"/>
  <conditionalFormatting sqref="L15:R39">
    <cfRule type="expression" dxfId="16" priority="1" stopIfTrue="1">
      <formula>$D15=0</formula>
    </cfRule>
    <cfRule type="expression" dxfId="15" priority="2" stopIfTrue="1">
      <formula>$H15=0</formula>
    </cfRule>
  </conditionalFormatting>
  <pageMargins left="0.7" right="0.7" top="0.98479166666666662" bottom="0.75" header="0.3" footer="0.3"/>
  <pageSetup scale="71" fitToHeight="0" orientation="landscape" r:id="rId1"/>
  <headerFooter>
    <oddFooter>&amp;L&amp;"Avenir LT Std 55 Roman,Regular"&amp;12&amp;K000000Final November 6, 2024&amp;C&amp;"Avenir LT Std 55 Roman,Regular"&amp;12Page &amp;P of &amp;N&amp;R&amp;"Avenir LT Std 55 Roman,Regular"&amp;12&amp;K000000&amp;A</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C6FD378-1BBC-4620-8057-9FB95EA08594}">
          <x14:formula1>
            <xm:f>'Defaults &lt;HIDE&gt;'!$B$11:$B$16</xm:f>
          </x14:formula1>
          <xm:sqref>P15:P39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AH45"/>
  <sheetViews>
    <sheetView showGridLines="0" zoomScale="90" zoomScaleNormal="90" workbookViewId="0"/>
  </sheetViews>
  <sheetFormatPr defaultColWidth="9.140625" defaultRowHeight="15.75" x14ac:dyDescent="0.25"/>
  <cols>
    <col min="1" max="1" width="4.28515625" style="81" customWidth="1"/>
    <col min="2" max="3" width="36.5703125" style="81" customWidth="1"/>
    <col min="4" max="4" width="36.5703125" style="81" hidden="1" customWidth="1"/>
    <col min="5" max="6" width="14.140625" style="81" customWidth="1"/>
    <col min="7" max="7" width="32.85546875" style="81" customWidth="1"/>
    <col min="8" max="11" width="20" style="81" customWidth="1"/>
    <col min="12" max="12" width="32.85546875" style="81" customWidth="1"/>
    <col min="13" max="16" width="20" style="81" customWidth="1"/>
    <col min="17" max="26" width="21.42578125" style="81" customWidth="1"/>
    <col min="27" max="27" width="25" style="81" customWidth="1"/>
    <col min="28" max="28" width="26.85546875" style="81" customWidth="1"/>
    <col min="29" max="30" width="25" style="81" customWidth="1"/>
    <col min="31" max="31" width="9.140625" style="81"/>
    <col min="32" max="33" width="12.85546875" style="81" bestFit="1" customWidth="1"/>
    <col min="34" max="16384" width="9.140625" style="81"/>
  </cols>
  <sheetData>
    <row r="1" spans="1:30" ht="18.75" customHeight="1" thickBot="1" x14ac:dyDescent="0.3"/>
    <row r="2" spans="1:30" ht="16.5" customHeight="1" x14ac:dyDescent="0.25">
      <c r="H2" s="134" t="s">
        <v>2</v>
      </c>
      <c r="I2" s="135"/>
      <c r="J2" s="520"/>
      <c r="K2" s="87"/>
      <c r="L2" s="515"/>
    </row>
    <row r="3" spans="1:30" ht="16.5" customHeight="1" x14ac:dyDescent="0.25">
      <c r="H3" s="136" t="s">
        <v>3</v>
      </c>
      <c r="I3" s="137" t="s">
        <v>10</v>
      </c>
      <c r="J3" s="521"/>
      <c r="K3" s="91"/>
      <c r="L3" s="516"/>
    </row>
    <row r="4" spans="1:30" ht="16.5" customHeight="1" x14ac:dyDescent="0.25">
      <c r="H4" s="524" t="s">
        <v>5</v>
      </c>
      <c r="I4" s="138" t="s">
        <v>504</v>
      </c>
      <c r="J4" s="521"/>
      <c r="K4" s="91"/>
      <c r="L4" s="515"/>
    </row>
    <row r="5" spans="1:30" ht="16.5" customHeight="1" x14ac:dyDescent="0.25">
      <c r="H5" s="92" t="s">
        <v>496</v>
      </c>
      <c r="I5" s="519" t="s">
        <v>11</v>
      </c>
      <c r="J5" s="90"/>
      <c r="K5" s="91"/>
      <c r="L5" s="517"/>
    </row>
    <row r="6" spans="1:30" ht="16.5" customHeight="1" thickBot="1" x14ac:dyDescent="0.3">
      <c r="H6" s="522" t="s">
        <v>12</v>
      </c>
      <c r="I6" s="523" t="s">
        <v>13</v>
      </c>
      <c r="J6" s="334"/>
      <c r="K6" s="91"/>
      <c r="L6" s="518"/>
    </row>
    <row r="7" spans="1:30" ht="16.5" customHeight="1" x14ac:dyDescent="0.25">
      <c r="I7" s="79"/>
      <c r="J7" s="91"/>
      <c r="K7" s="79"/>
    </row>
    <row r="8" spans="1:30" ht="15" customHeight="1" x14ac:dyDescent="0.25">
      <c r="I8" s="79"/>
      <c r="J8" s="79"/>
      <c r="K8" s="79"/>
    </row>
    <row r="9" spans="1:30" ht="15" customHeight="1" x14ac:dyDescent="0.25">
      <c r="I9" s="79"/>
      <c r="J9" s="79"/>
      <c r="K9" s="79"/>
    </row>
    <row r="10" spans="1:30" ht="15" customHeight="1" x14ac:dyDescent="0.25">
      <c r="I10" s="79"/>
      <c r="J10" s="79"/>
      <c r="K10" s="79"/>
    </row>
    <row r="11" spans="1:30" ht="15" customHeight="1" x14ac:dyDescent="0.25">
      <c r="B11" s="78" t="s">
        <v>578</v>
      </c>
      <c r="C11" s="78"/>
      <c r="D11" s="78"/>
      <c r="E11" s="78"/>
      <c r="F11" s="78"/>
      <c r="G11" s="78"/>
      <c r="H11" s="78"/>
      <c r="I11" s="78"/>
      <c r="J11" s="78"/>
      <c r="K11" s="78"/>
      <c r="Q11" s="78"/>
      <c r="R11" s="78"/>
      <c r="S11" s="78"/>
      <c r="T11" s="78"/>
    </row>
    <row r="12" spans="1:30" s="132" customFormat="1" ht="15" customHeight="1" thickBot="1" x14ac:dyDescent="0.3">
      <c r="L12" s="58"/>
      <c r="M12" s="58"/>
      <c r="N12" s="58"/>
      <c r="O12" s="58"/>
      <c r="P12" s="58"/>
      <c r="V12" s="58"/>
      <c r="W12" s="58"/>
      <c r="X12" s="58"/>
      <c r="Y12" s="58"/>
      <c r="AB12" s="550"/>
    </row>
    <row r="13" spans="1:30" s="78" customFormat="1" ht="39.950000000000003" customHeight="1" x14ac:dyDescent="0.25">
      <c r="B13" s="773" t="s">
        <v>544</v>
      </c>
      <c r="C13" s="774"/>
      <c r="D13" s="774"/>
      <c r="E13" s="774"/>
      <c r="F13" s="774"/>
      <c r="G13" s="775" t="s">
        <v>14</v>
      </c>
      <c r="H13" s="776"/>
      <c r="I13" s="777"/>
      <c r="J13" s="774"/>
      <c r="K13" s="778"/>
      <c r="L13" s="779" t="s">
        <v>579</v>
      </c>
      <c r="M13" s="780"/>
      <c r="N13" s="780"/>
      <c r="O13" s="780"/>
      <c r="P13" s="781"/>
      <c r="Q13" s="779" t="s">
        <v>15</v>
      </c>
      <c r="R13" s="774"/>
      <c r="S13" s="774"/>
      <c r="T13" s="774"/>
      <c r="U13" s="778"/>
      <c r="V13" s="779" t="s">
        <v>580</v>
      </c>
      <c r="W13" s="780"/>
      <c r="X13" s="780"/>
      <c r="Y13" s="780"/>
      <c r="Z13" s="778"/>
      <c r="AA13" s="780" t="s">
        <v>16</v>
      </c>
      <c r="AB13" s="780"/>
      <c r="AC13" s="780"/>
      <c r="AD13" s="781"/>
    </row>
    <row r="14" spans="1:30" s="140" customFormat="1" ht="84.75" customHeight="1" thickBot="1" x14ac:dyDescent="0.3">
      <c r="B14" s="782" t="s">
        <v>435</v>
      </c>
      <c r="C14" s="783" t="s">
        <v>499</v>
      </c>
      <c r="D14" s="784" t="s">
        <v>506</v>
      </c>
      <c r="E14" s="784" t="s">
        <v>603</v>
      </c>
      <c r="F14" s="785" t="s">
        <v>604</v>
      </c>
      <c r="G14" s="786" t="s">
        <v>596</v>
      </c>
      <c r="H14" s="787" t="s">
        <v>526</v>
      </c>
      <c r="I14" s="785" t="s">
        <v>527</v>
      </c>
      <c r="J14" s="788" t="s">
        <v>616</v>
      </c>
      <c r="K14" s="789" t="s">
        <v>617</v>
      </c>
      <c r="L14" s="790" t="s">
        <v>581</v>
      </c>
      <c r="M14" s="788" t="s">
        <v>530</v>
      </c>
      <c r="N14" s="788" t="s">
        <v>531</v>
      </c>
      <c r="O14" s="788" t="s">
        <v>528</v>
      </c>
      <c r="P14" s="789" t="s">
        <v>529</v>
      </c>
      <c r="Q14" s="790" t="s">
        <v>18</v>
      </c>
      <c r="R14" s="784" t="s">
        <v>19</v>
      </c>
      <c r="S14" s="784" t="s">
        <v>618</v>
      </c>
      <c r="T14" s="784" t="s">
        <v>619</v>
      </c>
      <c r="U14" s="789" t="s">
        <v>658</v>
      </c>
      <c r="V14" s="790" t="s">
        <v>534</v>
      </c>
      <c r="W14" s="784" t="s">
        <v>535</v>
      </c>
      <c r="X14" s="784" t="s">
        <v>536</v>
      </c>
      <c r="Y14" s="784" t="s">
        <v>537</v>
      </c>
      <c r="Z14" s="789" t="s">
        <v>657</v>
      </c>
      <c r="AA14" s="791" t="s">
        <v>685</v>
      </c>
      <c r="AB14" s="791" t="s">
        <v>659</v>
      </c>
      <c r="AC14" s="787" t="s">
        <v>686</v>
      </c>
      <c r="AD14" s="792" t="s">
        <v>687</v>
      </c>
    </row>
    <row r="15" spans="1:30" ht="45" customHeight="1" x14ac:dyDescent="0.25">
      <c r="A15" s="143"/>
      <c r="B15" s="144" t="str">
        <f>IF('1. Project Info'!L15="","",'1. Project Info'!L15)</f>
        <v/>
      </c>
      <c r="C15" s="145" t="str">
        <f>IF('1. Project Info'!P15="","",'1. Project Info'!P15)</f>
        <v/>
      </c>
      <c r="D15" s="146" t="str">
        <f>IF('1. Project Info'!R15="","",'1. Project Info'!R15)</f>
        <v/>
      </c>
      <c r="E15" s="147" t="str" cm="1">
        <f t="array" ref="E15">_xlfn.IFS('1. Project Info'!Q15&lt;&gt;"",'1. Project Info'!S15,AND('1. Project Info'!Q15="",'1. Project Info'!W15=0),'1. Project Info'!S15,'1. Project Info'!V15=0,"")</f>
        <v/>
      </c>
      <c r="F15" s="147" t="str" cm="1">
        <f t="array" ref="F15">_xlfn.IFS('1. Project Info'!R15&lt;&gt;"",'1. Project Info'!T15,AND('1. Project Info'!R15="",'1. Project Info'!Z15=0),'1. Project Info'!T15,'1. Project Info'!Y15=0,"")</f>
        <v/>
      </c>
      <c r="G15" s="509"/>
      <c r="H15" s="36"/>
      <c r="I15" s="686"/>
      <c r="J15" s="551"/>
      <c r="K15" s="690"/>
      <c r="L15" s="740"/>
      <c r="M15" s="36"/>
      <c r="N15" s="686"/>
      <c r="O15" s="544"/>
      <c r="P15" s="682"/>
      <c r="Q15" s="744" t="str">
        <f>IFERROR('Calculations &lt;HIDE&gt;'!CA15,"")</f>
        <v/>
      </c>
      <c r="R15" s="148" t="str">
        <f>IF(I15+K15&gt;50,'Emission Factors &lt;HIDE&gt;'!$C$204,IF(I15+K15&gt;0,'Emission Factors &lt;HIDE&gt;'!$C$203,""))</f>
        <v/>
      </c>
      <c r="S15" s="514" t="str">
        <f>IFERROR('Calculations &lt;HIDE&gt;'!CC15,"")</f>
        <v/>
      </c>
      <c r="T15" s="514" t="str">
        <f>IF(J15="","",IF(I15+K15&gt;50,'Emission Factors &lt;HIDE&gt;'!$C$204,IF(I15+K15&gt;0,'Emission Factors &lt;HIDE&gt;'!$C$203,"")))</f>
        <v/>
      </c>
      <c r="U15" s="681" t="str" cm="1">
        <f t="array" ref="U15">IF(G15="","",IFERROR(_xlfn.XLOOKUP(1,('Emission Factors &lt;HIDE&gt;'!$B$211:$B$219=C15)*('Emission Factors &lt;HIDE&gt;'!$C$211:$C$219&lt;=I15)*('Emission Factors &lt;HIDE&gt;'!$D$211:$D$219&gt;=I15),'Emission Factors &lt;HIDE&gt;'!$E$211:$E$219),""))</f>
        <v/>
      </c>
      <c r="V15" s="744" t="str">
        <f>IFERROR('Calculations &lt;HIDE&gt;'!CF15,"")</f>
        <v/>
      </c>
      <c r="W15" s="148" t="str">
        <f>IF(L15="","",IF(L15='Defaults &lt;HIDE&gt;'!$D$15,'Emission Factors &lt;HIDE&gt;'!$C$205,IF(N15+P15&gt;50,'Emission Factors &lt;HIDE&gt;'!$C$204,IF(N15+P15&gt;0,'Emission Factors &lt;HIDE&gt;'!$C$203))))</f>
        <v/>
      </c>
      <c r="X15" s="148" t="str">
        <f>IFERROR('Calculations &lt;HIDE&gt;'!CH15,"")</f>
        <v/>
      </c>
      <c r="Y15" s="148" t="str">
        <f>IF(O15="","",IF(L15='Defaults &lt;HIDE&gt;'!$D$15,'Emission Factors &lt;HIDE&gt;'!$C$205,IF(N15+P15&gt;50,'Emission Factors &lt;HIDE&gt;'!$C$204,IF(N15+P15&gt;0,'Emission Factors &lt;HIDE&gt;'!$C$203))))</f>
        <v/>
      </c>
      <c r="Z15" s="681" t="str" cm="1">
        <f t="array" ref="Z15">IF(L15="","",IFERROR(_xlfn.XLOOKUP(1,('Emission Factors &lt;HIDE&gt;'!$B$211:$B$219=C15)*('Emission Factors &lt;HIDE&gt;'!$C$211:$C$219&lt;=N15)*('Emission Factors &lt;HIDE&gt;'!$D$211:$D$219&gt;=N15),'Emission Factors &lt;HIDE&gt;'!$E$211:$E$219),""))</f>
        <v/>
      </c>
      <c r="AA15" s="149" t="str">
        <f>IF(AND(E15="",F15&lt;&gt;""),0,IF(AND(ISBLANK(H15),ISBLANK(J15)),"",(IFERROR(VLOOKUP(H15,'Emission Factors &lt;HIDE&gt;'!$B$46:$C$168,2,0)*I15*Q15*U15,0) + IFERROR(VLOOKUP(J15,'Emission Factors &lt;HIDE&gt;'!$B$46:$C$168,2,0)*K15*S15*U15*0.67,0) + IFERROR(VLOOKUP(H15,'Emission Factors &lt;HIDE&gt;'!$B$46:$C$168,2,0)*I15*R15,0) + IFERROR(VLOOKUP(J15,'Emission Factors &lt;HIDE&gt;'!$B$46:$C$168,2,0)*K15*T15,0))/'Definitions and Conversions'!$C$42))</f>
        <v/>
      </c>
      <c r="AB15" s="149" t="str">
        <f>IF(AND(ISBLANK(H15)),"",IF(G15='Defaults &lt;HIDE&gt;'!$D$21,(AA15-(IFERROR('Calculations &lt;HIDE&gt;'!X15*K15*S15*U15*0.67,0)+IFERROR('Calculations &lt;HIDE&gt;'!X15*K15*T15,0))/'Definitions and Conversions'!$C$42),(AA15-(IFERROR('Calculations &lt;HIDE&gt;'!X15*I15*Q15*U15,0)+IFERROR('Calculations &lt;HIDE&gt;'!X15*I15*R15,0)+IFERROR('Calculations &lt;HIDE&gt;'!X15*K15*S15*U15*0.67,0)+IFERROR('Calculations &lt;HIDE&gt;'!X15*K15*T15,0))/'Definitions and Conversions'!$C$42)))</f>
        <v/>
      </c>
      <c r="AC15" s="150" t="str">
        <f>IF(AND(F15="",E15&lt;&gt;""),0,IF(AND(ISBLANK(M15),ISBLANK(O15)),"",(IFERROR(VLOOKUP(M15,'Emission Factors &lt;HIDE&gt;'!$B$46:$C$168,2,0)*N15*V15*Z15,0) + IFERROR(VLOOKUP(O15,'Emission Factors &lt;HIDE&gt;'!$B$46:$C$168,2,0)*P15*X15*Z15*0.67,0) + IFERROR(VLOOKUP(M15,'Emission Factors &lt;HIDE&gt;'!$B$46:$C$168,2,0)*N15*W15,0) + IFERROR(VLOOKUP(O15,'Emission Factors &lt;HIDE&gt;'!$B$46:$C$168,2,0)*P15*Y15,0))/'Definitions and Conversions'!$C$42))</f>
        <v/>
      </c>
      <c r="AD15" s="677" t="str">
        <f t="shared" ref="AD15:AD39" si="0">IFERROR(IF(AA15="","",AA15-AC15),"")</f>
        <v/>
      </c>
    </row>
    <row r="16" spans="1:30" ht="45" customHeight="1" x14ac:dyDescent="0.25">
      <c r="A16" s="143"/>
      <c r="B16" s="144" t="str">
        <f>IF('1. Project Info'!L16="","",'1. Project Info'!L16)</f>
        <v/>
      </c>
      <c r="C16" s="151">
        <f>IF(AND(OR('1. Project Info'!V16&gt;0,'1. Project Info'!Y16&gt;0),'1. Project Info'!P16=""),C15,'1. Project Info'!P16)</f>
        <v>0</v>
      </c>
      <c r="D16" s="146" t="str">
        <f>IF('1. Project Info'!R16="","",'1. Project Info'!R16)</f>
        <v/>
      </c>
      <c r="E16" s="147" t="str" cm="1">
        <f t="array" ref="E16">_xlfn.IFS('1. Project Info'!Q16&lt;&gt;"",'1. Project Info'!S16,AND('1. Project Info'!Q16="",'1. Project Info'!W16=0),'1. Project Info'!S16,'1. Project Info'!V16=0,"")</f>
        <v/>
      </c>
      <c r="F16" s="147" t="str" cm="1">
        <f t="array" ref="F16">_xlfn.IFS('1. Project Info'!R16&lt;&gt;"",'1. Project Info'!T16,AND('1. Project Info'!R16="",'1. Project Info'!Z16=0),'1. Project Info'!T16,'1. Project Info'!Y16=0,"")</f>
        <v/>
      </c>
      <c r="G16" s="509"/>
      <c r="H16" s="36"/>
      <c r="I16" s="687"/>
      <c r="J16" s="552"/>
      <c r="K16" s="691"/>
      <c r="L16" s="740"/>
      <c r="M16" s="36"/>
      <c r="N16" s="687"/>
      <c r="O16" s="545"/>
      <c r="P16" s="683"/>
      <c r="Q16" s="744" t="str">
        <f>IFERROR('Calculations &lt;HIDE&gt;'!CA16,"")</f>
        <v/>
      </c>
      <c r="R16" s="148" t="str">
        <f>IF(I16+K16&gt;50,'Emission Factors &lt;HIDE&gt;'!$C$204,IF(I16+K16&gt;0,'Emission Factors &lt;HIDE&gt;'!$C$203,""))</f>
        <v/>
      </c>
      <c r="S16" s="514" t="str">
        <f>IFERROR('Calculations &lt;HIDE&gt;'!CC16,"")</f>
        <v/>
      </c>
      <c r="T16" s="514" t="str">
        <f>IF(J16="","",IF(I16+K16&gt;50,'Emission Factors &lt;HIDE&gt;'!$C$204,IF(I16+K16&gt;0,'Emission Factors &lt;HIDE&gt;'!$C$203,"")))</f>
        <v/>
      </c>
      <c r="U16" s="681" t="str" cm="1">
        <f t="array" ref="U16">IF(G16="","",IFERROR(_xlfn.XLOOKUP(1,('Emission Factors &lt;HIDE&gt;'!$B$211:$B$219=C16)*('Emission Factors &lt;HIDE&gt;'!$C$211:$C$219&lt;=I16)*('Emission Factors &lt;HIDE&gt;'!$D$211:$D$219&gt;=I16),'Emission Factors &lt;HIDE&gt;'!$E$211:$E$219),""))</f>
        <v/>
      </c>
      <c r="V16" s="744" t="str">
        <f>IFERROR('Calculations &lt;HIDE&gt;'!CF16,"")</f>
        <v/>
      </c>
      <c r="W16" s="148" t="str">
        <f>IF(L16="","",IF(L16='Defaults &lt;HIDE&gt;'!$D$15,'Emission Factors &lt;HIDE&gt;'!$C$205,IF(N16+P16&gt;50,'Emission Factors &lt;HIDE&gt;'!$C$204,IF(N16+P16&gt;0,'Emission Factors &lt;HIDE&gt;'!$C$203))))</f>
        <v/>
      </c>
      <c r="X16" s="148" t="str">
        <f>IFERROR('Calculations &lt;HIDE&gt;'!CH16,"")</f>
        <v/>
      </c>
      <c r="Y16" s="148" t="str">
        <f>IF(O16="","",IF(L16='Defaults &lt;HIDE&gt;'!$D$15,'Emission Factors &lt;HIDE&gt;'!$C$205,IF(N16+P16&gt;50,'Emission Factors &lt;HIDE&gt;'!$C$204,IF(N16+P16&gt;0,'Emission Factors &lt;HIDE&gt;'!$C$203))))</f>
        <v/>
      </c>
      <c r="Z16" s="681" t="str" cm="1">
        <f t="array" ref="Z16">IF(L16="","",IFERROR(_xlfn.XLOOKUP(1,('Emission Factors &lt;HIDE&gt;'!$B$211:$B$219=C16)*('Emission Factors &lt;HIDE&gt;'!$C$211:$C$219&lt;=N16)*('Emission Factors &lt;HIDE&gt;'!$D$211:$D$219&gt;=N16),'Emission Factors &lt;HIDE&gt;'!$E$211:$E$219),""))</f>
        <v/>
      </c>
      <c r="AA16" s="149" t="str">
        <f>IF(AND(E16="",F16&lt;&gt;""),0,IF(AND(ISBLANK(H16),ISBLANK(J16)),"",(IFERROR(VLOOKUP(H16,'Emission Factors &lt;HIDE&gt;'!$B$46:$C$168,2,0)*I16*Q16*U16,0) + IFERROR(VLOOKUP(J16,'Emission Factors &lt;HIDE&gt;'!$B$46:$C$168,2,0)*K16*S16*U16*0.67,0) + IFERROR(VLOOKUP(H16,'Emission Factors &lt;HIDE&gt;'!$B$46:$C$168,2,0)*I16*R16,0) + IFERROR(VLOOKUP(J16,'Emission Factors &lt;HIDE&gt;'!$B$46:$C$168,2,0)*K16*T16,0))/'Definitions and Conversions'!$C$42))</f>
        <v/>
      </c>
      <c r="AB16" s="149" t="str">
        <f>IF(AND(ISBLANK(H16)),"",IF(G16='Defaults &lt;HIDE&gt;'!$D$21,(AA16-(IFERROR('Calculations &lt;HIDE&gt;'!X16*K16*S16*U16*0.67,0)+IFERROR('Calculations &lt;HIDE&gt;'!X16*K16*T16,0))/'Definitions and Conversions'!$C$42),(AA16-(IFERROR('Calculations &lt;HIDE&gt;'!X16*I16*Q16*U16,0)+IFERROR('Calculations &lt;HIDE&gt;'!X16*I16*R16,0)+IFERROR('Calculations &lt;HIDE&gt;'!X16*K16*S16*U16*0.67,0)+IFERROR('Calculations &lt;HIDE&gt;'!X16*K16*T16,0))/'Definitions and Conversions'!$C$42)))</f>
        <v/>
      </c>
      <c r="AC16" s="150" t="str">
        <f>IF(AND(F16="",E16&lt;&gt;""),0,IF(AND(ISBLANK(M16),ISBLANK(O16)),"",(IFERROR(VLOOKUP(M16,'Emission Factors &lt;HIDE&gt;'!$B$46:$C$168,2,0)*N16*V16*Z16,0) + IFERROR(VLOOKUP(O16,'Emission Factors &lt;HIDE&gt;'!$B$46:$C$168,2,0)*P16*X16*Z16*0.67,0) + IFERROR(VLOOKUP(M16,'Emission Factors &lt;HIDE&gt;'!$B$46:$C$168,2,0)*N16*W16,0) + IFERROR(VLOOKUP(O16,'Emission Factors &lt;HIDE&gt;'!$B$46:$C$168,2,0)*P16*Y16,0))/'Definitions and Conversions'!$C$42))</f>
        <v/>
      </c>
      <c r="AD16" s="677" t="str">
        <f t="shared" si="0"/>
        <v/>
      </c>
    </row>
    <row r="17" spans="1:34" ht="45" customHeight="1" x14ac:dyDescent="0.25">
      <c r="A17" s="143"/>
      <c r="B17" s="144" t="str">
        <f>IF('1. Project Info'!L17="","",'1. Project Info'!L17)</f>
        <v/>
      </c>
      <c r="C17" s="151">
        <f>IF(AND(OR('1. Project Info'!V17&gt;0,'1. Project Info'!Y17&gt;0),'1. Project Info'!P17=""),C16,'1. Project Info'!P17)</f>
        <v>0</v>
      </c>
      <c r="D17" s="146" t="str">
        <f>IF('1. Project Info'!R17="","",'1. Project Info'!R17)</f>
        <v/>
      </c>
      <c r="E17" s="147" t="str" cm="1">
        <f t="array" ref="E17">_xlfn.IFS('1. Project Info'!Q17&lt;&gt;"",'1. Project Info'!S17,AND('1. Project Info'!Q17="",'1. Project Info'!W17=0),'1. Project Info'!S17,'1. Project Info'!V17=0,"")</f>
        <v/>
      </c>
      <c r="F17" s="147" t="str" cm="1">
        <f t="array" ref="F17">_xlfn.IFS('1. Project Info'!R17&lt;&gt;"",'1. Project Info'!T17,AND('1. Project Info'!R17="",'1. Project Info'!Z17=0),'1. Project Info'!T17,'1. Project Info'!Y17=0,"")</f>
        <v/>
      </c>
      <c r="G17" s="509"/>
      <c r="H17" s="36"/>
      <c r="I17" s="687"/>
      <c r="J17" s="552"/>
      <c r="K17" s="691"/>
      <c r="L17" s="740"/>
      <c r="M17" s="36"/>
      <c r="N17" s="687"/>
      <c r="O17" s="545"/>
      <c r="P17" s="683"/>
      <c r="Q17" s="744" t="str">
        <f>IFERROR('Calculations &lt;HIDE&gt;'!CA17,"")</f>
        <v/>
      </c>
      <c r="R17" s="148" t="str">
        <f>IF(I17+K17&gt;50,'Emission Factors &lt;HIDE&gt;'!$C$204,IF(I17+K17&gt;0,'Emission Factors &lt;HIDE&gt;'!$C$203,""))</f>
        <v/>
      </c>
      <c r="S17" s="514" t="str">
        <f>IFERROR('Calculations &lt;HIDE&gt;'!CC17,"")</f>
        <v/>
      </c>
      <c r="T17" s="514" t="str">
        <f>IF(J17="","",IF(I17+K17&gt;50,'Emission Factors &lt;HIDE&gt;'!$C$204,IF(I17+K17&gt;0,'Emission Factors &lt;HIDE&gt;'!$C$203,"")))</f>
        <v/>
      </c>
      <c r="U17" s="681" t="str" cm="1">
        <f t="array" ref="U17">IF(G17="","",IFERROR(_xlfn.XLOOKUP(1,('Emission Factors &lt;HIDE&gt;'!$B$211:$B$219=C17)*('Emission Factors &lt;HIDE&gt;'!$C$211:$C$219&lt;=I17)*('Emission Factors &lt;HIDE&gt;'!$D$211:$D$219&gt;=I17),'Emission Factors &lt;HIDE&gt;'!$E$211:$E$219),""))</f>
        <v/>
      </c>
      <c r="V17" s="744" t="str">
        <f>IFERROR('Calculations &lt;HIDE&gt;'!CF17,"")</f>
        <v/>
      </c>
      <c r="W17" s="148" t="str">
        <f>IF(L17="","",IF(L17='Defaults &lt;HIDE&gt;'!$D$15,'Emission Factors &lt;HIDE&gt;'!$C$205,IF(N17+P17&gt;50,'Emission Factors &lt;HIDE&gt;'!$C$204,IF(N17+P17&gt;0,'Emission Factors &lt;HIDE&gt;'!$C$203))))</f>
        <v/>
      </c>
      <c r="X17" s="148" t="str">
        <f>IFERROR('Calculations &lt;HIDE&gt;'!CH17,"")</f>
        <v/>
      </c>
      <c r="Y17" s="148" t="str">
        <f>IF(O17="","",IF(L17='Defaults &lt;HIDE&gt;'!$D$15,'Emission Factors &lt;HIDE&gt;'!$C$205,IF(N17+P17&gt;50,'Emission Factors &lt;HIDE&gt;'!$C$204,IF(N17+P17&gt;0,'Emission Factors &lt;HIDE&gt;'!$C$203))))</f>
        <v/>
      </c>
      <c r="Z17" s="681" t="str" cm="1">
        <f t="array" ref="Z17">IF(L17="","",IFERROR(_xlfn.XLOOKUP(1,('Emission Factors &lt;HIDE&gt;'!$B$211:$B$219=C17)*('Emission Factors &lt;HIDE&gt;'!$C$211:$C$219&lt;=N17)*('Emission Factors &lt;HIDE&gt;'!$D$211:$D$219&gt;=N17),'Emission Factors &lt;HIDE&gt;'!$E$211:$E$219),""))</f>
        <v/>
      </c>
      <c r="AA17" s="149" t="str">
        <f>IF(AND(E17="",F17&lt;&gt;""),0,IF(AND(ISBLANK(H17),ISBLANK(J17)),"",(IFERROR(VLOOKUP(H17,'Emission Factors &lt;HIDE&gt;'!$B$46:$C$168,2,0)*I17*Q17*U17,0) + IFERROR(VLOOKUP(J17,'Emission Factors &lt;HIDE&gt;'!$B$46:$C$168,2,0)*K17*S17*U17*0.67,0) + IFERROR(VLOOKUP(H17,'Emission Factors &lt;HIDE&gt;'!$B$46:$C$168,2,0)*I17*R17,0) + IFERROR(VLOOKUP(J17,'Emission Factors &lt;HIDE&gt;'!$B$46:$C$168,2,0)*K17*T17,0))/'Definitions and Conversions'!$C$42))</f>
        <v/>
      </c>
      <c r="AB17" s="149" t="str">
        <f>IF(AND(ISBLANK(H17)),"",IF(G17='Defaults &lt;HIDE&gt;'!$D$21,(AA17-(IFERROR('Calculations &lt;HIDE&gt;'!X17*K17*S17*U17*0.67,0)+IFERROR('Calculations &lt;HIDE&gt;'!X17*K17*T17,0))/'Definitions and Conversions'!$C$42),(AA17-(IFERROR('Calculations &lt;HIDE&gt;'!X17*I17*Q17*U17,0)+IFERROR('Calculations &lt;HIDE&gt;'!X17*I17*R17,0)+IFERROR('Calculations &lt;HIDE&gt;'!X17*K17*S17*U17*0.67,0)+IFERROR('Calculations &lt;HIDE&gt;'!X17*K17*T17,0))/'Definitions and Conversions'!$C$42)))</f>
        <v/>
      </c>
      <c r="AC17" s="150" t="str">
        <f>IF(AND(F17="",E17&lt;&gt;""),0,IF(AND(ISBLANK(M17),ISBLANK(O17)),"",(IFERROR(VLOOKUP(M17,'Emission Factors &lt;HIDE&gt;'!$B$46:$C$168,2,0)*N17*V17*Z17,0) + IFERROR(VLOOKUP(O17,'Emission Factors &lt;HIDE&gt;'!$B$46:$C$168,2,0)*P17*X17*Z17*0.67,0) + IFERROR(VLOOKUP(M17,'Emission Factors &lt;HIDE&gt;'!$B$46:$C$168,2,0)*N17*W17,0) + IFERROR(VLOOKUP(O17,'Emission Factors &lt;HIDE&gt;'!$B$46:$C$168,2,0)*P17*Y17,0))/'Definitions and Conversions'!$C$42))</f>
        <v/>
      </c>
      <c r="AD17" s="677" t="str">
        <f t="shared" si="0"/>
        <v/>
      </c>
    </row>
    <row r="18" spans="1:34" ht="45" customHeight="1" x14ac:dyDescent="0.25">
      <c r="A18" s="143"/>
      <c r="B18" s="144" t="str">
        <f>IF('1. Project Info'!L18="","",'1. Project Info'!L18)</f>
        <v/>
      </c>
      <c r="C18" s="151">
        <f>IF(AND(OR('1. Project Info'!V18&gt;0,'1. Project Info'!Y18&gt;0),'1. Project Info'!P18=""),C17,'1. Project Info'!P18)</f>
        <v>0</v>
      </c>
      <c r="D18" s="146" t="str">
        <f>IF('1. Project Info'!R18="","",'1. Project Info'!R18)</f>
        <v/>
      </c>
      <c r="E18" s="147" t="str" cm="1">
        <f t="array" ref="E18">_xlfn.IFS('1. Project Info'!Q18&lt;&gt;"",'1. Project Info'!S18,AND('1. Project Info'!Q18="",'1. Project Info'!W18=0),'1. Project Info'!S18,'1. Project Info'!V18=0,"")</f>
        <v/>
      </c>
      <c r="F18" s="147" t="str" cm="1">
        <f t="array" ref="F18">_xlfn.IFS('1. Project Info'!R18&lt;&gt;"",'1. Project Info'!T18,AND('1. Project Info'!R18="",'1. Project Info'!Z18=0),'1. Project Info'!T18,'1. Project Info'!Y18=0,"")</f>
        <v/>
      </c>
      <c r="G18" s="509"/>
      <c r="H18" s="36"/>
      <c r="I18" s="687"/>
      <c r="J18" s="552"/>
      <c r="K18" s="691"/>
      <c r="L18" s="740"/>
      <c r="M18" s="36"/>
      <c r="N18" s="687"/>
      <c r="O18" s="545"/>
      <c r="P18" s="683"/>
      <c r="Q18" s="744" t="str">
        <f>IFERROR('Calculations &lt;HIDE&gt;'!CA18,"")</f>
        <v/>
      </c>
      <c r="R18" s="148" t="str">
        <f>IF(I18+K18&gt;50,'Emission Factors &lt;HIDE&gt;'!$C$204,IF(I18+K18&gt;0,'Emission Factors &lt;HIDE&gt;'!$C$203,""))</f>
        <v/>
      </c>
      <c r="S18" s="514" t="str">
        <f>IFERROR('Calculations &lt;HIDE&gt;'!CC18,"")</f>
        <v/>
      </c>
      <c r="T18" s="514" t="str">
        <f>IF(J18="","",IF(I18+K18&gt;50,'Emission Factors &lt;HIDE&gt;'!$C$204,IF(I18+K18&gt;0,'Emission Factors &lt;HIDE&gt;'!$C$203,"")))</f>
        <v/>
      </c>
      <c r="U18" s="681" t="str" cm="1">
        <f t="array" ref="U18">IF(G18="","",IFERROR(_xlfn.XLOOKUP(1,('Emission Factors &lt;HIDE&gt;'!$B$211:$B$219=C18)*('Emission Factors &lt;HIDE&gt;'!$C$211:$C$219&lt;=I18)*('Emission Factors &lt;HIDE&gt;'!$D$211:$D$219&gt;=I18),'Emission Factors &lt;HIDE&gt;'!$E$211:$E$219),""))</f>
        <v/>
      </c>
      <c r="V18" s="744" t="str">
        <f>IFERROR('Calculations &lt;HIDE&gt;'!CF18,"")</f>
        <v/>
      </c>
      <c r="W18" s="148" t="str">
        <f>IF(L18="","",IF(L18='Defaults &lt;HIDE&gt;'!$D$15,'Emission Factors &lt;HIDE&gt;'!$C$205,IF(N18+P18&gt;50,'Emission Factors &lt;HIDE&gt;'!$C$204,IF(N18+P18&gt;0,'Emission Factors &lt;HIDE&gt;'!$C$203))))</f>
        <v/>
      </c>
      <c r="X18" s="148" t="str">
        <f>IFERROR('Calculations &lt;HIDE&gt;'!CH18,"")</f>
        <v/>
      </c>
      <c r="Y18" s="148" t="str">
        <f>IF(O18="","",IF(L18='Defaults &lt;HIDE&gt;'!$D$15,'Emission Factors &lt;HIDE&gt;'!$C$205,IF(N18+P18&gt;50,'Emission Factors &lt;HIDE&gt;'!$C$204,IF(N18+P18&gt;0,'Emission Factors &lt;HIDE&gt;'!$C$203))))</f>
        <v/>
      </c>
      <c r="Z18" s="681" t="str" cm="1">
        <f t="array" ref="Z18">IF(L18="","",IFERROR(_xlfn.XLOOKUP(1,('Emission Factors &lt;HIDE&gt;'!$B$211:$B$219=C18)*('Emission Factors &lt;HIDE&gt;'!$C$211:$C$219&lt;=N18)*('Emission Factors &lt;HIDE&gt;'!$D$211:$D$219&gt;=N18),'Emission Factors &lt;HIDE&gt;'!$E$211:$E$219),""))</f>
        <v/>
      </c>
      <c r="AA18" s="149" t="str">
        <f>IF(AND(E18="",F18&lt;&gt;""),0,IF(AND(ISBLANK(H18),ISBLANK(J18)),"",(IFERROR(VLOOKUP(H18,'Emission Factors &lt;HIDE&gt;'!$B$46:$C$168,2,0)*I18*Q18*U18,0) + IFERROR(VLOOKUP(J18,'Emission Factors &lt;HIDE&gt;'!$B$46:$C$168,2,0)*K18*S18*U18*0.67,0) + IFERROR(VLOOKUP(H18,'Emission Factors &lt;HIDE&gt;'!$B$46:$C$168,2,0)*I18*R18,0) + IFERROR(VLOOKUP(J18,'Emission Factors &lt;HIDE&gt;'!$B$46:$C$168,2,0)*K18*T18,0))/'Definitions and Conversions'!$C$42))</f>
        <v/>
      </c>
      <c r="AB18" s="149" t="str">
        <f>IF(AND(ISBLANK(H18)),"",IF(G18='Defaults &lt;HIDE&gt;'!$D$21,(AA18-(IFERROR('Calculations &lt;HIDE&gt;'!X18*K18*S18*U18*0.67,0)+IFERROR('Calculations &lt;HIDE&gt;'!X18*K18*T18,0))/'Definitions and Conversions'!$C$42),(AA18-(IFERROR('Calculations &lt;HIDE&gt;'!X18*I18*Q18*U18,0)+IFERROR('Calculations &lt;HIDE&gt;'!X18*I18*R18,0)+IFERROR('Calculations &lt;HIDE&gt;'!X18*K18*S18*U18*0.67,0)+IFERROR('Calculations &lt;HIDE&gt;'!X18*K18*T18,0))/'Definitions and Conversions'!$C$42)))</f>
        <v/>
      </c>
      <c r="AC18" s="150" t="str">
        <f>IF(AND(F18="",E18&lt;&gt;""),0,IF(AND(ISBLANK(M18),ISBLANK(O18)),"",(IFERROR(VLOOKUP(M18,'Emission Factors &lt;HIDE&gt;'!$B$46:$C$168,2,0)*N18*V18*Z18,0) + IFERROR(VLOOKUP(O18,'Emission Factors &lt;HIDE&gt;'!$B$46:$C$168,2,0)*P18*X18*Z18*0.67,0) + IFERROR(VLOOKUP(M18,'Emission Factors &lt;HIDE&gt;'!$B$46:$C$168,2,0)*N18*W18,0) + IFERROR(VLOOKUP(O18,'Emission Factors &lt;HIDE&gt;'!$B$46:$C$168,2,0)*P18*Y18,0))/'Definitions and Conversions'!$C$42))</f>
        <v/>
      </c>
      <c r="AD18" s="677" t="str">
        <f t="shared" si="0"/>
        <v/>
      </c>
    </row>
    <row r="19" spans="1:34" ht="45" customHeight="1" x14ac:dyDescent="0.25">
      <c r="A19" s="143"/>
      <c r="B19" s="144" t="str">
        <f>IF('1. Project Info'!L19="","",'1. Project Info'!L19)</f>
        <v/>
      </c>
      <c r="C19" s="151">
        <f>IF(AND(OR('1. Project Info'!V19&gt;0,'1. Project Info'!Y19&gt;0),'1. Project Info'!P19=""),C18,'1. Project Info'!P19)</f>
        <v>0</v>
      </c>
      <c r="D19" s="146" t="str">
        <f>IF('1. Project Info'!R19="","",'1. Project Info'!R19)</f>
        <v/>
      </c>
      <c r="E19" s="147" t="str" cm="1">
        <f t="array" ref="E19">_xlfn.IFS('1. Project Info'!Q19&lt;&gt;"",'1. Project Info'!S19,AND('1. Project Info'!Q19="",'1. Project Info'!W19=0),'1. Project Info'!S19,'1. Project Info'!V19=0,"")</f>
        <v/>
      </c>
      <c r="F19" s="147" t="str" cm="1">
        <f t="array" ref="F19">_xlfn.IFS('1. Project Info'!R19&lt;&gt;"",'1. Project Info'!T19,AND('1. Project Info'!R19="",'1. Project Info'!Z19=0),'1. Project Info'!T19,'1. Project Info'!Y19=0,"")</f>
        <v/>
      </c>
      <c r="G19" s="509"/>
      <c r="H19" s="36"/>
      <c r="I19" s="687"/>
      <c r="J19" s="552"/>
      <c r="K19" s="691"/>
      <c r="L19" s="741"/>
      <c r="M19" s="28"/>
      <c r="N19" s="687"/>
      <c r="O19" s="545"/>
      <c r="P19" s="683"/>
      <c r="Q19" s="744" t="str">
        <f>IFERROR('Calculations &lt;HIDE&gt;'!CA19,"")</f>
        <v/>
      </c>
      <c r="R19" s="148" t="str">
        <f>IF(I19+K19&gt;50,'Emission Factors &lt;HIDE&gt;'!$C$204,IF(I19+K19&gt;0,'Emission Factors &lt;HIDE&gt;'!$C$203,""))</f>
        <v/>
      </c>
      <c r="S19" s="514" t="str">
        <f>IFERROR('Calculations &lt;HIDE&gt;'!CC19,"")</f>
        <v/>
      </c>
      <c r="T19" s="514" t="str">
        <f>IF(J19="","",IF(I19+K19&gt;50,'Emission Factors &lt;HIDE&gt;'!$C$204,IF(I19+K19&gt;0,'Emission Factors &lt;HIDE&gt;'!$C$203,"")))</f>
        <v/>
      </c>
      <c r="U19" s="681" t="str" cm="1">
        <f t="array" ref="U19">IF(G19="","",IFERROR(_xlfn.XLOOKUP(1,('Emission Factors &lt;HIDE&gt;'!$B$211:$B$219=C19)*('Emission Factors &lt;HIDE&gt;'!$C$211:$C$219&lt;=I19)*('Emission Factors &lt;HIDE&gt;'!$D$211:$D$219&gt;=I19),'Emission Factors &lt;HIDE&gt;'!$E$211:$E$219),""))</f>
        <v/>
      </c>
      <c r="V19" s="744" t="str">
        <f>IFERROR('Calculations &lt;HIDE&gt;'!CF19,"")</f>
        <v/>
      </c>
      <c r="W19" s="148" t="str">
        <f>IF(L19="","",IF(L19='Defaults &lt;HIDE&gt;'!$D$15,'Emission Factors &lt;HIDE&gt;'!$C$205,IF(N19+P19&gt;50,'Emission Factors &lt;HIDE&gt;'!$C$204,IF(N19+P19&gt;0,'Emission Factors &lt;HIDE&gt;'!$C$203))))</f>
        <v/>
      </c>
      <c r="X19" s="148" t="str">
        <f>IFERROR('Calculations &lt;HIDE&gt;'!CH19,"")</f>
        <v/>
      </c>
      <c r="Y19" s="148" t="str">
        <f>IF(O19="","",IF(L19='Defaults &lt;HIDE&gt;'!$D$15,'Emission Factors &lt;HIDE&gt;'!$C$205,IF(N19+P19&gt;50,'Emission Factors &lt;HIDE&gt;'!$C$204,IF(N19+P19&gt;0,'Emission Factors &lt;HIDE&gt;'!$C$203))))</f>
        <v/>
      </c>
      <c r="Z19" s="681" t="str" cm="1">
        <f t="array" ref="Z19">IF(L19="","",IFERROR(_xlfn.XLOOKUP(1,('Emission Factors &lt;HIDE&gt;'!$B$211:$B$219=C19)*('Emission Factors &lt;HIDE&gt;'!$C$211:$C$219&lt;=N19)*('Emission Factors &lt;HIDE&gt;'!$D$211:$D$219&gt;=N19),'Emission Factors &lt;HIDE&gt;'!$E$211:$E$219),""))</f>
        <v/>
      </c>
      <c r="AA19" s="149" t="str">
        <f>IF(AND(E19="",F19&lt;&gt;""),0,IF(AND(ISBLANK(H19),ISBLANK(J19)),"",(IFERROR(VLOOKUP(H19,'Emission Factors &lt;HIDE&gt;'!$B$46:$C$168,2,0)*I19*Q19*U19,0) + IFERROR(VLOOKUP(J19,'Emission Factors &lt;HIDE&gt;'!$B$46:$C$168,2,0)*K19*S19*U19*0.67,0) + IFERROR(VLOOKUP(H19,'Emission Factors &lt;HIDE&gt;'!$B$46:$C$168,2,0)*I19*R19,0) + IFERROR(VLOOKUP(J19,'Emission Factors &lt;HIDE&gt;'!$B$46:$C$168,2,0)*K19*T19,0))/'Definitions and Conversions'!$C$42))</f>
        <v/>
      </c>
      <c r="AB19" s="149" t="str">
        <f>IF(AND(ISBLANK(H19)),"",IF(G19='Defaults &lt;HIDE&gt;'!$D$21,(AA19-(IFERROR('Calculations &lt;HIDE&gt;'!X19*K19*S19*U19*0.67,0)+IFERROR('Calculations &lt;HIDE&gt;'!X19*K19*T19,0))/'Definitions and Conversions'!$C$42),(AA19-(IFERROR('Calculations &lt;HIDE&gt;'!X19*I19*Q19*U19,0)+IFERROR('Calculations &lt;HIDE&gt;'!X19*I19*R19,0)+IFERROR('Calculations &lt;HIDE&gt;'!X19*K19*S19*U19*0.67,0)+IFERROR('Calculations &lt;HIDE&gt;'!X19*K19*T19,0))/'Definitions and Conversions'!$C$42)))</f>
        <v/>
      </c>
      <c r="AC19" s="150" t="str">
        <f>IF(AND(F19="",E19&lt;&gt;""),0,IF(AND(ISBLANK(M19),ISBLANK(O19)),"",(IFERROR(VLOOKUP(M19,'Emission Factors &lt;HIDE&gt;'!$B$46:$C$168,2,0)*N19*V19*Z19,0) + IFERROR(VLOOKUP(O19,'Emission Factors &lt;HIDE&gt;'!$B$46:$C$168,2,0)*P19*X19*Z19*0.67,0) + IFERROR(VLOOKUP(M19,'Emission Factors &lt;HIDE&gt;'!$B$46:$C$168,2,0)*N19*W19,0) + IFERROR(VLOOKUP(O19,'Emission Factors &lt;HIDE&gt;'!$B$46:$C$168,2,0)*P19*Y19,0))/'Definitions and Conversions'!$C$42))</f>
        <v/>
      </c>
      <c r="AD19" s="677" t="str">
        <f t="shared" si="0"/>
        <v/>
      </c>
    </row>
    <row r="20" spans="1:34" ht="45" customHeight="1" x14ac:dyDescent="0.25">
      <c r="A20" s="143"/>
      <c r="B20" s="144" t="str">
        <f>IF('1. Project Info'!L20="","",'1. Project Info'!L20)</f>
        <v/>
      </c>
      <c r="C20" s="151">
        <f>IF(AND(OR('1. Project Info'!V20&gt;0,'1. Project Info'!Y20&gt;0),'1. Project Info'!P20=""),C19,'1. Project Info'!P20)</f>
        <v>0</v>
      </c>
      <c r="D20" s="146" t="str">
        <f>IF('1. Project Info'!R20="","",'1. Project Info'!R20)</f>
        <v/>
      </c>
      <c r="E20" s="147" t="str" cm="1">
        <f t="array" ref="E20">_xlfn.IFS('1. Project Info'!Q20&lt;&gt;"",'1. Project Info'!S20,AND('1. Project Info'!Q20="",'1. Project Info'!W20=0),'1. Project Info'!S20,'1. Project Info'!V20=0,"")</f>
        <v/>
      </c>
      <c r="F20" s="147" t="str" cm="1">
        <f t="array" ref="F20">_xlfn.IFS('1. Project Info'!R20&lt;&gt;"",'1. Project Info'!T20,AND('1. Project Info'!R20="",'1. Project Info'!Z20=0),'1. Project Info'!T20,'1. Project Info'!Y20=0,"")</f>
        <v/>
      </c>
      <c r="G20" s="509"/>
      <c r="H20" s="36"/>
      <c r="I20" s="687"/>
      <c r="J20" s="552"/>
      <c r="K20" s="691"/>
      <c r="L20" s="741"/>
      <c r="M20" s="28"/>
      <c r="N20" s="687"/>
      <c r="O20" s="545"/>
      <c r="P20" s="683"/>
      <c r="Q20" s="744" t="str">
        <f>IFERROR('Calculations &lt;HIDE&gt;'!CA20,"")</f>
        <v/>
      </c>
      <c r="R20" s="148" t="str">
        <f>IF(I20+K20&gt;50,'Emission Factors &lt;HIDE&gt;'!$C$204,IF(I20+K20&gt;0,'Emission Factors &lt;HIDE&gt;'!$C$203,""))</f>
        <v/>
      </c>
      <c r="S20" s="514" t="str">
        <f>IFERROR('Calculations &lt;HIDE&gt;'!CC20,"")</f>
        <v/>
      </c>
      <c r="T20" s="514" t="str">
        <f>IF(J20="","",IF(I20+K20&gt;50,'Emission Factors &lt;HIDE&gt;'!$C$204,IF(I20+K20&gt;0,'Emission Factors &lt;HIDE&gt;'!$C$203,"")))</f>
        <v/>
      </c>
      <c r="U20" s="681" t="str" cm="1">
        <f t="array" ref="U20">IF(G20="","",IFERROR(_xlfn.XLOOKUP(1,('Emission Factors &lt;HIDE&gt;'!$B$211:$B$219=C20)*('Emission Factors &lt;HIDE&gt;'!$C$211:$C$219&lt;=I20)*('Emission Factors &lt;HIDE&gt;'!$D$211:$D$219&gt;=I20),'Emission Factors &lt;HIDE&gt;'!$E$211:$E$219),""))</f>
        <v/>
      </c>
      <c r="V20" s="744" t="str">
        <f>IFERROR('Calculations &lt;HIDE&gt;'!CF20,"")</f>
        <v/>
      </c>
      <c r="W20" s="148" t="str">
        <f>IF(L20="","",IF(L20='Defaults &lt;HIDE&gt;'!$D$15,'Emission Factors &lt;HIDE&gt;'!$C$205,IF(N20+P20&gt;50,'Emission Factors &lt;HIDE&gt;'!$C$204,IF(N20+P20&gt;0,'Emission Factors &lt;HIDE&gt;'!$C$203))))</f>
        <v/>
      </c>
      <c r="X20" s="148" t="str">
        <f>IFERROR('Calculations &lt;HIDE&gt;'!CH20,"")</f>
        <v/>
      </c>
      <c r="Y20" s="148" t="str">
        <f>IF(O20="","",IF(L20='Defaults &lt;HIDE&gt;'!$D$15,'Emission Factors &lt;HIDE&gt;'!$C$205,IF(N20+P20&gt;50,'Emission Factors &lt;HIDE&gt;'!$C$204,IF(N20+P20&gt;0,'Emission Factors &lt;HIDE&gt;'!$C$203))))</f>
        <v/>
      </c>
      <c r="Z20" s="681" t="str" cm="1">
        <f t="array" ref="Z20">IF(L20="","",IFERROR(_xlfn.XLOOKUP(1,('Emission Factors &lt;HIDE&gt;'!$B$211:$B$219=C20)*('Emission Factors &lt;HIDE&gt;'!$C$211:$C$219&lt;=N20)*('Emission Factors &lt;HIDE&gt;'!$D$211:$D$219&gt;=N20),'Emission Factors &lt;HIDE&gt;'!$E$211:$E$219),""))</f>
        <v/>
      </c>
      <c r="AA20" s="149" t="str">
        <f>IF(AND(E20="",F20&lt;&gt;""),0,IF(AND(ISBLANK(H20),ISBLANK(J20)),"",(IFERROR(VLOOKUP(H20,'Emission Factors &lt;HIDE&gt;'!$B$46:$C$168,2,0)*I20*Q20*U20,0) + IFERROR(VLOOKUP(J20,'Emission Factors &lt;HIDE&gt;'!$B$46:$C$168,2,0)*K20*S20*U20*0.67,0) + IFERROR(VLOOKUP(H20,'Emission Factors &lt;HIDE&gt;'!$B$46:$C$168,2,0)*I20*R20,0) + IFERROR(VLOOKUP(J20,'Emission Factors &lt;HIDE&gt;'!$B$46:$C$168,2,0)*K20*T20,0))/'Definitions and Conversions'!$C$42))</f>
        <v/>
      </c>
      <c r="AB20" s="149" t="str">
        <f>IF(AND(ISBLANK(H20)),"",IF(G20='Defaults &lt;HIDE&gt;'!$D$21,(AA20-(IFERROR('Calculations &lt;HIDE&gt;'!X20*K20*S20*U20*0.67,0)+IFERROR('Calculations &lt;HIDE&gt;'!X20*K20*T20,0))/'Definitions and Conversions'!$C$42),(AA20-(IFERROR('Calculations &lt;HIDE&gt;'!X20*I20*Q20*U20,0)+IFERROR('Calculations &lt;HIDE&gt;'!X20*I20*R20,0)+IFERROR('Calculations &lt;HIDE&gt;'!X20*K20*S20*U20*0.67,0)+IFERROR('Calculations &lt;HIDE&gt;'!X20*K20*T20,0))/'Definitions and Conversions'!$C$42)))</f>
        <v/>
      </c>
      <c r="AC20" s="150" t="str">
        <f>IF(AND(F20="",E20&lt;&gt;""),0,IF(AND(ISBLANK(M20),ISBLANK(O20)),"",(IFERROR(VLOOKUP(M20,'Emission Factors &lt;HIDE&gt;'!$B$46:$C$168,2,0)*N20*V20*Z20,0) + IFERROR(VLOOKUP(O20,'Emission Factors &lt;HIDE&gt;'!$B$46:$C$168,2,0)*P20*X20*Z20*0.67,0) + IFERROR(VLOOKUP(M20,'Emission Factors &lt;HIDE&gt;'!$B$46:$C$168,2,0)*N20*W20,0) + IFERROR(VLOOKUP(O20,'Emission Factors &lt;HIDE&gt;'!$B$46:$C$168,2,0)*P20*Y20,0))/'Definitions and Conversions'!$C$42))</f>
        <v/>
      </c>
      <c r="AD20" s="677" t="str">
        <f t="shared" si="0"/>
        <v/>
      </c>
    </row>
    <row r="21" spans="1:34" ht="45" customHeight="1" x14ac:dyDescent="0.25">
      <c r="A21" s="143"/>
      <c r="B21" s="144" t="str">
        <f>IF('1. Project Info'!L21="","",'1. Project Info'!L21)</f>
        <v/>
      </c>
      <c r="C21" s="151">
        <f>IF(AND(OR('1. Project Info'!V21&gt;0,'1. Project Info'!Y21&gt;0),'1. Project Info'!P21=""),C20,'1. Project Info'!P21)</f>
        <v>0</v>
      </c>
      <c r="D21" s="146" t="str">
        <f>IF('1. Project Info'!R21="","",'1. Project Info'!R21)</f>
        <v/>
      </c>
      <c r="E21" s="147" t="str" cm="1">
        <f t="array" ref="E21">_xlfn.IFS('1. Project Info'!Q21&lt;&gt;"",'1. Project Info'!S21,AND('1. Project Info'!Q21="",'1. Project Info'!W21=0),'1. Project Info'!S21,'1. Project Info'!V21=0,"")</f>
        <v/>
      </c>
      <c r="F21" s="147" t="str" cm="1">
        <f t="array" ref="F21">_xlfn.IFS('1. Project Info'!R21&lt;&gt;"",'1. Project Info'!T21,AND('1. Project Info'!R21="",'1. Project Info'!Z21=0),'1. Project Info'!T21,'1. Project Info'!Y21=0,"")</f>
        <v/>
      </c>
      <c r="G21" s="509"/>
      <c r="H21" s="36"/>
      <c r="I21" s="686"/>
      <c r="J21" s="552"/>
      <c r="K21" s="691"/>
      <c r="L21" s="740"/>
      <c r="M21" s="28"/>
      <c r="N21" s="686"/>
      <c r="O21" s="545"/>
      <c r="P21" s="683"/>
      <c r="Q21" s="744" t="str">
        <f>IFERROR('Calculations &lt;HIDE&gt;'!CA21,"")</f>
        <v/>
      </c>
      <c r="R21" s="148" t="str">
        <f>IF(I21+K21&gt;50,'Emission Factors &lt;HIDE&gt;'!$C$204,IF(I21+K21&gt;0,'Emission Factors &lt;HIDE&gt;'!$C$203,""))</f>
        <v/>
      </c>
      <c r="S21" s="514" t="str">
        <f>IFERROR('Calculations &lt;HIDE&gt;'!CC21,"")</f>
        <v/>
      </c>
      <c r="T21" s="514" t="str">
        <f>IF(J21="","",IF(I21+K21&gt;50,'Emission Factors &lt;HIDE&gt;'!$C$204,IF(I21+K21&gt;0,'Emission Factors &lt;HIDE&gt;'!$C$203,"")))</f>
        <v/>
      </c>
      <c r="U21" s="681" t="str" cm="1">
        <f t="array" ref="U21">IF(G21="","",IFERROR(_xlfn.XLOOKUP(1,('Emission Factors &lt;HIDE&gt;'!$B$211:$B$219=C21)*('Emission Factors &lt;HIDE&gt;'!$C$211:$C$219&lt;=I21)*('Emission Factors &lt;HIDE&gt;'!$D$211:$D$219&gt;=I21),'Emission Factors &lt;HIDE&gt;'!$E$211:$E$219),""))</f>
        <v/>
      </c>
      <c r="V21" s="744" t="str">
        <f>IFERROR('Calculations &lt;HIDE&gt;'!CF21,"")</f>
        <v/>
      </c>
      <c r="W21" s="148" t="str">
        <f>IF(L21="","",IF(L21='Defaults &lt;HIDE&gt;'!$D$15,'Emission Factors &lt;HIDE&gt;'!$C$205,IF(N21+P21&gt;50,'Emission Factors &lt;HIDE&gt;'!$C$204,IF(N21+P21&gt;0,'Emission Factors &lt;HIDE&gt;'!$C$203))))</f>
        <v/>
      </c>
      <c r="X21" s="148" t="str">
        <f>IFERROR('Calculations &lt;HIDE&gt;'!CH21,"")</f>
        <v/>
      </c>
      <c r="Y21" s="148" t="str">
        <f>IF(O21="","",IF(L21='Defaults &lt;HIDE&gt;'!$D$15,'Emission Factors &lt;HIDE&gt;'!$C$205,IF(N21+P21&gt;50,'Emission Factors &lt;HIDE&gt;'!$C$204,IF(N21+P21&gt;0,'Emission Factors &lt;HIDE&gt;'!$C$203))))</f>
        <v/>
      </c>
      <c r="Z21" s="681" t="str" cm="1">
        <f t="array" ref="Z21">IF(L21="","",IFERROR(_xlfn.XLOOKUP(1,('Emission Factors &lt;HIDE&gt;'!$B$211:$B$219=C21)*('Emission Factors &lt;HIDE&gt;'!$C$211:$C$219&lt;=N21)*('Emission Factors &lt;HIDE&gt;'!$D$211:$D$219&gt;=N21),'Emission Factors &lt;HIDE&gt;'!$E$211:$E$219),""))</f>
        <v/>
      </c>
      <c r="AA21" s="149" t="str">
        <f>IF(AND(E21="",F21&lt;&gt;""),0,IF(AND(ISBLANK(H21),ISBLANK(J21)),"",(IFERROR(VLOOKUP(H21,'Emission Factors &lt;HIDE&gt;'!$B$46:$C$168,2,0)*I21*Q21*U21,0) + IFERROR(VLOOKUP(J21,'Emission Factors &lt;HIDE&gt;'!$B$46:$C$168,2,0)*K21*S21*U21*0.67,0) + IFERROR(VLOOKUP(H21,'Emission Factors &lt;HIDE&gt;'!$B$46:$C$168,2,0)*I21*R21,0) + IFERROR(VLOOKUP(J21,'Emission Factors &lt;HIDE&gt;'!$B$46:$C$168,2,0)*K21*T21,0))/'Definitions and Conversions'!$C$42))</f>
        <v/>
      </c>
      <c r="AB21" s="149" t="str">
        <f>IF(AND(ISBLANK(H21)),"",IF(G21='Defaults &lt;HIDE&gt;'!$D$21,(AA21-(IFERROR('Calculations &lt;HIDE&gt;'!X21*K21*S21*U21*0.67,0)+IFERROR('Calculations &lt;HIDE&gt;'!X21*K21*T21,0))/'Definitions and Conversions'!$C$42),(AA21-(IFERROR('Calculations &lt;HIDE&gt;'!X21*I21*Q21*U21,0)+IFERROR('Calculations &lt;HIDE&gt;'!X21*I21*R21,0)+IFERROR('Calculations &lt;HIDE&gt;'!X21*K21*S21*U21*0.67,0)+IFERROR('Calculations &lt;HIDE&gt;'!X21*K21*T21,0))/'Definitions and Conversions'!$C$42)))</f>
        <v/>
      </c>
      <c r="AC21" s="150" t="str">
        <f>IF(AND(F21="",E21&lt;&gt;""),0,IF(AND(ISBLANK(M21),ISBLANK(O21)),"",(IFERROR(VLOOKUP(M21,'Emission Factors &lt;HIDE&gt;'!$B$46:$C$168,2,0)*N21*V21*Z21,0) + IFERROR(VLOOKUP(O21,'Emission Factors &lt;HIDE&gt;'!$B$46:$C$168,2,0)*P21*X21*Z21*0.67,0) + IFERROR(VLOOKUP(M21,'Emission Factors &lt;HIDE&gt;'!$B$46:$C$168,2,0)*N21*W21,0) + IFERROR(VLOOKUP(O21,'Emission Factors &lt;HIDE&gt;'!$B$46:$C$168,2,0)*P21*Y21,0))/'Definitions and Conversions'!$C$42))</f>
        <v/>
      </c>
      <c r="AD21" s="677" t="str">
        <f t="shared" si="0"/>
        <v/>
      </c>
    </row>
    <row r="22" spans="1:34" ht="45" customHeight="1" x14ac:dyDescent="0.25">
      <c r="A22" s="143"/>
      <c r="B22" s="144" t="str">
        <f>IF('1. Project Info'!L22="","",'1. Project Info'!L22)</f>
        <v/>
      </c>
      <c r="C22" s="151">
        <f>IF(AND(OR('1. Project Info'!V22&gt;0,'1. Project Info'!Y22&gt;0),'1. Project Info'!P22=""),C21,'1. Project Info'!P22)</f>
        <v>0</v>
      </c>
      <c r="D22" s="146" t="str">
        <f>IF('1. Project Info'!R22="","",'1. Project Info'!R22)</f>
        <v/>
      </c>
      <c r="E22" s="147" t="str" cm="1">
        <f t="array" ref="E22">_xlfn.IFS('1. Project Info'!Q22&lt;&gt;"",'1. Project Info'!S22,AND('1. Project Info'!Q22="",'1. Project Info'!W22=0),'1. Project Info'!S22,'1. Project Info'!V22=0,"")</f>
        <v/>
      </c>
      <c r="F22" s="147" t="str" cm="1">
        <f t="array" ref="F22">_xlfn.IFS('1. Project Info'!R22&lt;&gt;"",'1. Project Info'!T22,AND('1. Project Info'!R22="",'1. Project Info'!Z22=0),'1. Project Info'!T22,'1. Project Info'!Y22=0,"")</f>
        <v/>
      </c>
      <c r="G22" s="510"/>
      <c r="H22" s="36"/>
      <c r="I22" s="687"/>
      <c r="J22" s="552"/>
      <c r="K22" s="691"/>
      <c r="L22" s="741"/>
      <c r="M22" s="28"/>
      <c r="N22" s="687"/>
      <c r="O22" s="545"/>
      <c r="P22" s="683"/>
      <c r="Q22" s="744" t="str">
        <f>IFERROR('Calculations &lt;HIDE&gt;'!CA22,"")</f>
        <v/>
      </c>
      <c r="R22" s="148" t="str">
        <f>IF(I22+K22&gt;50,'Emission Factors &lt;HIDE&gt;'!$C$204,IF(I22+K22&gt;0,'Emission Factors &lt;HIDE&gt;'!$C$203,""))</f>
        <v/>
      </c>
      <c r="S22" s="514" t="str">
        <f>IFERROR('Calculations &lt;HIDE&gt;'!CC22,"")</f>
        <v/>
      </c>
      <c r="T22" s="514" t="str">
        <f>IF(J22="","",IF(I22+K22&gt;50,'Emission Factors &lt;HIDE&gt;'!$C$204,IF(I22+K22&gt;0,'Emission Factors &lt;HIDE&gt;'!$C$203,"")))</f>
        <v/>
      </c>
      <c r="U22" s="681" t="str" cm="1">
        <f t="array" ref="U22">IF(G22="","",IFERROR(_xlfn.XLOOKUP(1,('Emission Factors &lt;HIDE&gt;'!$B$211:$B$219=C22)*('Emission Factors &lt;HIDE&gt;'!$C$211:$C$219&lt;=I22)*('Emission Factors &lt;HIDE&gt;'!$D$211:$D$219&gt;=I22),'Emission Factors &lt;HIDE&gt;'!$E$211:$E$219),""))</f>
        <v/>
      </c>
      <c r="V22" s="744" t="str">
        <f>IFERROR('Calculations &lt;HIDE&gt;'!CF22,"")</f>
        <v/>
      </c>
      <c r="W22" s="148" t="str">
        <f>IF(L22="","",IF(L22='Defaults &lt;HIDE&gt;'!$D$15,'Emission Factors &lt;HIDE&gt;'!$C$205,IF(N22+P22&gt;50,'Emission Factors &lt;HIDE&gt;'!$C$204,IF(N22+P22&gt;0,'Emission Factors &lt;HIDE&gt;'!$C$203))))</f>
        <v/>
      </c>
      <c r="X22" s="148" t="str">
        <f>IFERROR('Calculations &lt;HIDE&gt;'!CH22,"")</f>
        <v/>
      </c>
      <c r="Y22" s="148" t="str">
        <f>IF(O22="","",IF(L22='Defaults &lt;HIDE&gt;'!$D$15,'Emission Factors &lt;HIDE&gt;'!$C$205,IF(N22+P22&gt;50,'Emission Factors &lt;HIDE&gt;'!$C$204,IF(N22+P22&gt;0,'Emission Factors &lt;HIDE&gt;'!$C$203))))</f>
        <v/>
      </c>
      <c r="Z22" s="681" t="str" cm="1">
        <f t="array" ref="Z22">IF(L22="","",IFERROR(_xlfn.XLOOKUP(1,('Emission Factors &lt;HIDE&gt;'!$B$211:$B$219=C22)*('Emission Factors &lt;HIDE&gt;'!$C$211:$C$219&lt;=N22)*('Emission Factors &lt;HIDE&gt;'!$D$211:$D$219&gt;=N22),'Emission Factors &lt;HIDE&gt;'!$E$211:$E$219),""))</f>
        <v/>
      </c>
      <c r="AA22" s="149" t="str">
        <f>IF(AND(E22="",F22&lt;&gt;""),0,IF(AND(ISBLANK(H22),ISBLANK(J22)),"",(IFERROR(VLOOKUP(H22,'Emission Factors &lt;HIDE&gt;'!$B$46:$C$168,2,0)*I22*Q22*U22,0) + IFERROR(VLOOKUP(J22,'Emission Factors &lt;HIDE&gt;'!$B$46:$C$168,2,0)*K22*S22*U22*0.67,0) + IFERROR(VLOOKUP(H22,'Emission Factors &lt;HIDE&gt;'!$B$46:$C$168,2,0)*I22*R22,0) + IFERROR(VLOOKUP(J22,'Emission Factors &lt;HIDE&gt;'!$B$46:$C$168,2,0)*K22*T22,0))/'Definitions and Conversions'!$C$42))</f>
        <v/>
      </c>
      <c r="AB22" s="149" t="str">
        <f>IF(AND(ISBLANK(H22)),"",IF(G22='Defaults &lt;HIDE&gt;'!$D$21,(AA22-(IFERROR('Calculations &lt;HIDE&gt;'!X22*K22*S22*U22*0.67,0)+IFERROR('Calculations &lt;HIDE&gt;'!X22*K22*T22,0))/'Definitions and Conversions'!$C$42),(AA22-(IFERROR('Calculations &lt;HIDE&gt;'!X22*I22*Q22*U22,0)+IFERROR('Calculations &lt;HIDE&gt;'!X22*I22*R22,0)+IFERROR('Calculations &lt;HIDE&gt;'!X22*K22*S22*U22*0.67,0)+IFERROR('Calculations &lt;HIDE&gt;'!X22*K22*T22,0))/'Definitions and Conversions'!$C$42)))</f>
        <v/>
      </c>
      <c r="AC22" s="150" t="str">
        <f>IF(AND(F22="",E22&lt;&gt;""),0,IF(AND(ISBLANK(M22),ISBLANK(O22)),"",(IFERROR(VLOOKUP(M22,'Emission Factors &lt;HIDE&gt;'!$B$46:$C$168,2,0)*N22*V22*Z22,0) + IFERROR(VLOOKUP(O22,'Emission Factors &lt;HIDE&gt;'!$B$46:$C$168,2,0)*P22*X22*Z22*0.67,0) + IFERROR(VLOOKUP(M22,'Emission Factors &lt;HIDE&gt;'!$B$46:$C$168,2,0)*N22*W22,0) + IFERROR(VLOOKUP(O22,'Emission Factors &lt;HIDE&gt;'!$B$46:$C$168,2,0)*P22*Y22,0))/'Definitions and Conversions'!$C$42))</f>
        <v/>
      </c>
      <c r="AD22" s="677" t="str">
        <f t="shared" si="0"/>
        <v/>
      </c>
    </row>
    <row r="23" spans="1:34" ht="45" customHeight="1" x14ac:dyDescent="0.25">
      <c r="A23" s="143"/>
      <c r="B23" s="144" t="str">
        <f>IF('1. Project Info'!L23="","",'1. Project Info'!L23)</f>
        <v/>
      </c>
      <c r="C23" s="151">
        <f>IF(AND(OR('1. Project Info'!V23&gt;0,'1. Project Info'!Y23&gt;0),'1. Project Info'!P23=""),C22,'1. Project Info'!P23)</f>
        <v>0</v>
      </c>
      <c r="D23" s="146" t="str">
        <f>IF('1. Project Info'!R23="","",'1. Project Info'!R23)</f>
        <v/>
      </c>
      <c r="E23" s="147" t="str" cm="1">
        <f t="array" ref="E23">_xlfn.IFS('1. Project Info'!Q23&lt;&gt;"",'1. Project Info'!S23,AND('1. Project Info'!Q23="",'1. Project Info'!W23=0),'1. Project Info'!S23,'1. Project Info'!V23=0,"")</f>
        <v/>
      </c>
      <c r="F23" s="147" t="str" cm="1">
        <f t="array" ref="F23">_xlfn.IFS('1. Project Info'!R23&lt;&gt;"",'1. Project Info'!T23,AND('1. Project Info'!R23="",'1. Project Info'!Z23=0),'1. Project Info'!T23,'1. Project Info'!Y23=0,"")</f>
        <v/>
      </c>
      <c r="G23" s="510"/>
      <c r="H23" s="36"/>
      <c r="I23" s="687"/>
      <c r="J23" s="552"/>
      <c r="K23" s="691"/>
      <c r="L23" s="741"/>
      <c r="M23" s="28"/>
      <c r="N23" s="687"/>
      <c r="O23" s="545"/>
      <c r="P23" s="683"/>
      <c r="Q23" s="744" t="str">
        <f>IFERROR('Calculations &lt;HIDE&gt;'!CA23,"")</f>
        <v/>
      </c>
      <c r="R23" s="148" t="str">
        <f>IF(I23+K23&gt;50,'Emission Factors &lt;HIDE&gt;'!$C$204,IF(I23+K23&gt;0,'Emission Factors &lt;HIDE&gt;'!$C$203,""))</f>
        <v/>
      </c>
      <c r="S23" s="514" t="str">
        <f>IFERROR('Calculations &lt;HIDE&gt;'!CC23,"")</f>
        <v/>
      </c>
      <c r="T23" s="514" t="str">
        <f>IF(J23="","",IF(I23+K23&gt;50,'Emission Factors &lt;HIDE&gt;'!$C$204,IF(I23+K23&gt;0,'Emission Factors &lt;HIDE&gt;'!$C$203,"")))</f>
        <v/>
      </c>
      <c r="U23" s="681" t="str" cm="1">
        <f t="array" ref="U23">IF(G23="","",IFERROR(_xlfn.XLOOKUP(1,('Emission Factors &lt;HIDE&gt;'!$B$211:$B$219=C23)*('Emission Factors &lt;HIDE&gt;'!$C$211:$C$219&lt;=I23)*('Emission Factors &lt;HIDE&gt;'!$D$211:$D$219&gt;=I23),'Emission Factors &lt;HIDE&gt;'!$E$211:$E$219),""))</f>
        <v/>
      </c>
      <c r="V23" s="744" t="str">
        <f>IFERROR('Calculations &lt;HIDE&gt;'!CF23,"")</f>
        <v/>
      </c>
      <c r="W23" s="148" t="str">
        <f>IF(L23="","",IF(L23='Defaults &lt;HIDE&gt;'!$D$15,'Emission Factors &lt;HIDE&gt;'!$C$205,IF(N23+P23&gt;50,'Emission Factors &lt;HIDE&gt;'!$C$204,IF(N23+P23&gt;0,'Emission Factors &lt;HIDE&gt;'!$C$203))))</f>
        <v/>
      </c>
      <c r="X23" s="148" t="str">
        <f>IFERROR('Calculations &lt;HIDE&gt;'!CH23,"")</f>
        <v/>
      </c>
      <c r="Y23" s="148" t="str">
        <f>IF(O23="","",IF(L23='Defaults &lt;HIDE&gt;'!$D$15,'Emission Factors &lt;HIDE&gt;'!$C$205,IF(N23+P23&gt;50,'Emission Factors &lt;HIDE&gt;'!$C$204,IF(N23+P23&gt;0,'Emission Factors &lt;HIDE&gt;'!$C$203))))</f>
        <v/>
      </c>
      <c r="Z23" s="681" t="str" cm="1">
        <f t="array" ref="Z23">IF(L23="","",IFERROR(_xlfn.XLOOKUP(1,('Emission Factors &lt;HIDE&gt;'!$B$211:$B$219=C23)*('Emission Factors &lt;HIDE&gt;'!$C$211:$C$219&lt;=N23)*('Emission Factors &lt;HIDE&gt;'!$D$211:$D$219&gt;=N23),'Emission Factors &lt;HIDE&gt;'!$E$211:$E$219),""))</f>
        <v/>
      </c>
      <c r="AA23" s="149" t="str">
        <f>IF(AND(E23="",F23&lt;&gt;""),0,IF(AND(ISBLANK(H23),ISBLANK(J23)),"",(IFERROR(VLOOKUP(H23,'Emission Factors &lt;HIDE&gt;'!$B$46:$C$168,2,0)*I23*Q23*U23,0) + IFERROR(VLOOKUP(J23,'Emission Factors &lt;HIDE&gt;'!$B$46:$C$168,2,0)*K23*S23*U23*0.67,0) + IFERROR(VLOOKUP(H23,'Emission Factors &lt;HIDE&gt;'!$B$46:$C$168,2,0)*I23*R23,0) + IFERROR(VLOOKUP(J23,'Emission Factors &lt;HIDE&gt;'!$B$46:$C$168,2,0)*K23*T23,0))/'Definitions and Conversions'!$C$42))</f>
        <v/>
      </c>
      <c r="AB23" s="149" t="str">
        <f>IF(AND(ISBLANK(H23)),"",IF(G23='Defaults &lt;HIDE&gt;'!$D$21,(AA23-(IFERROR('Calculations &lt;HIDE&gt;'!X23*K23*S23*U23*0.67,0)+IFERROR('Calculations &lt;HIDE&gt;'!X23*K23*T23,0))/'Definitions and Conversions'!$C$42),(AA23-(IFERROR('Calculations &lt;HIDE&gt;'!X23*I23*Q23*U23,0)+IFERROR('Calculations &lt;HIDE&gt;'!X23*I23*R23,0)+IFERROR('Calculations &lt;HIDE&gt;'!X23*K23*S23*U23*0.67,0)+IFERROR('Calculations &lt;HIDE&gt;'!X23*K23*T23,0))/'Definitions and Conversions'!$C$42)))</f>
        <v/>
      </c>
      <c r="AC23" s="150" t="str">
        <f>IF(AND(F23="",E23&lt;&gt;""),0,IF(AND(ISBLANK(M23),ISBLANK(O23)),"",(IFERROR(VLOOKUP(M23,'Emission Factors &lt;HIDE&gt;'!$B$46:$C$168,2,0)*N23*V23*Z23,0) + IFERROR(VLOOKUP(O23,'Emission Factors &lt;HIDE&gt;'!$B$46:$C$168,2,0)*P23*X23*Z23*0.67,0) + IFERROR(VLOOKUP(M23,'Emission Factors &lt;HIDE&gt;'!$B$46:$C$168,2,0)*N23*W23,0) + IFERROR(VLOOKUP(O23,'Emission Factors &lt;HIDE&gt;'!$B$46:$C$168,2,0)*P23*Y23,0))/'Definitions and Conversions'!$C$42))</f>
        <v/>
      </c>
      <c r="AD23" s="677" t="str">
        <f t="shared" si="0"/>
        <v/>
      </c>
    </row>
    <row r="24" spans="1:34" ht="45" customHeight="1" x14ac:dyDescent="0.25">
      <c r="A24" s="143"/>
      <c r="B24" s="144" t="str">
        <f>IF('1. Project Info'!L24="","",'1. Project Info'!L24)</f>
        <v/>
      </c>
      <c r="C24" s="151">
        <f>IF(AND(OR('1. Project Info'!V24&gt;0,'1. Project Info'!Y24&gt;0),'1. Project Info'!P24=""),C23,'1. Project Info'!P24)</f>
        <v>0</v>
      </c>
      <c r="D24" s="146" t="str">
        <f>IF('1. Project Info'!R24="","",'1. Project Info'!R24)</f>
        <v/>
      </c>
      <c r="E24" s="147" t="str" cm="1">
        <f t="array" ref="E24">_xlfn.IFS('1. Project Info'!Q24&lt;&gt;"",'1. Project Info'!S24,AND('1. Project Info'!Q24="",'1. Project Info'!W24=0),'1. Project Info'!S24,'1. Project Info'!V24=0,"")</f>
        <v/>
      </c>
      <c r="F24" s="147" t="str" cm="1">
        <f t="array" ref="F24">_xlfn.IFS('1. Project Info'!R24&lt;&gt;"",'1. Project Info'!T24,AND('1. Project Info'!R24="",'1. Project Info'!Z24=0),'1. Project Info'!T24,'1. Project Info'!Y24=0,"")</f>
        <v/>
      </c>
      <c r="G24" s="510"/>
      <c r="H24" s="36"/>
      <c r="I24" s="687"/>
      <c r="J24" s="552"/>
      <c r="K24" s="691"/>
      <c r="L24" s="741"/>
      <c r="M24" s="28"/>
      <c r="N24" s="687"/>
      <c r="O24" s="545"/>
      <c r="P24" s="683"/>
      <c r="Q24" s="744" t="str">
        <f>IFERROR('Calculations &lt;HIDE&gt;'!CA24,"")</f>
        <v/>
      </c>
      <c r="R24" s="148" t="str">
        <f>IF(I24+K24&gt;50,'Emission Factors &lt;HIDE&gt;'!$C$204,IF(I24+K24&gt;0,'Emission Factors &lt;HIDE&gt;'!$C$203,""))</f>
        <v/>
      </c>
      <c r="S24" s="514" t="str">
        <f>IFERROR('Calculations &lt;HIDE&gt;'!CC24,"")</f>
        <v/>
      </c>
      <c r="T24" s="514" t="str">
        <f>IF(J24="","",IF(I24+K24&gt;50,'Emission Factors &lt;HIDE&gt;'!$C$204,IF(I24+K24&gt;0,'Emission Factors &lt;HIDE&gt;'!$C$203,"")))</f>
        <v/>
      </c>
      <c r="U24" s="681" t="str" cm="1">
        <f t="array" ref="U24">IF(G24="","",IFERROR(_xlfn.XLOOKUP(1,('Emission Factors &lt;HIDE&gt;'!$B$211:$B$219=C24)*('Emission Factors &lt;HIDE&gt;'!$C$211:$C$219&lt;=I24)*('Emission Factors &lt;HIDE&gt;'!$D$211:$D$219&gt;=I24),'Emission Factors &lt;HIDE&gt;'!$E$211:$E$219),""))</f>
        <v/>
      </c>
      <c r="V24" s="744" t="str">
        <f>IFERROR('Calculations &lt;HIDE&gt;'!CF24,"")</f>
        <v/>
      </c>
      <c r="W24" s="148" t="str">
        <f>IF(L24="","",IF(L24='Defaults &lt;HIDE&gt;'!$D$15,'Emission Factors &lt;HIDE&gt;'!$C$205,IF(N24+P24&gt;50,'Emission Factors &lt;HIDE&gt;'!$C$204,IF(N24+P24&gt;0,'Emission Factors &lt;HIDE&gt;'!$C$203))))</f>
        <v/>
      </c>
      <c r="X24" s="148" t="str">
        <f>IFERROR('Calculations &lt;HIDE&gt;'!CH24,"")</f>
        <v/>
      </c>
      <c r="Y24" s="148" t="str">
        <f>IF(O24="","",IF(L24='Defaults &lt;HIDE&gt;'!$D$15,'Emission Factors &lt;HIDE&gt;'!$C$205,IF(N24+P24&gt;50,'Emission Factors &lt;HIDE&gt;'!$C$204,IF(N24+P24&gt;0,'Emission Factors &lt;HIDE&gt;'!$C$203))))</f>
        <v/>
      </c>
      <c r="Z24" s="681" t="str" cm="1">
        <f t="array" ref="Z24">IF(L24="","",IFERROR(_xlfn.XLOOKUP(1,('Emission Factors &lt;HIDE&gt;'!$B$211:$B$219=C24)*('Emission Factors &lt;HIDE&gt;'!$C$211:$C$219&lt;=N24)*('Emission Factors &lt;HIDE&gt;'!$D$211:$D$219&gt;=N24),'Emission Factors &lt;HIDE&gt;'!$E$211:$E$219),""))</f>
        <v/>
      </c>
      <c r="AA24" s="149" t="str">
        <f>IF(AND(E24="",F24&lt;&gt;""),0,IF(AND(ISBLANK(H24),ISBLANK(J24)),"",(IFERROR(VLOOKUP(H24,'Emission Factors &lt;HIDE&gt;'!$B$46:$C$168,2,0)*I24*Q24*U24,0) + IFERROR(VLOOKUP(J24,'Emission Factors &lt;HIDE&gt;'!$B$46:$C$168,2,0)*K24*S24*U24*0.67,0) + IFERROR(VLOOKUP(H24,'Emission Factors &lt;HIDE&gt;'!$B$46:$C$168,2,0)*I24*R24,0) + IFERROR(VLOOKUP(J24,'Emission Factors &lt;HIDE&gt;'!$B$46:$C$168,2,0)*K24*T24,0))/'Definitions and Conversions'!$C$42))</f>
        <v/>
      </c>
      <c r="AB24" s="149" t="str">
        <f>IF(AND(ISBLANK(H24)),"",IF(G24='Defaults &lt;HIDE&gt;'!$D$21,(AA24-(IFERROR('Calculations &lt;HIDE&gt;'!X24*K24*S24*U24*0.67,0)+IFERROR('Calculations &lt;HIDE&gt;'!X24*K24*T24,0))/'Definitions and Conversions'!$C$42),(AA24-(IFERROR('Calculations &lt;HIDE&gt;'!X24*I24*Q24*U24,0)+IFERROR('Calculations &lt;HIDE&gt;'!X24*I24*R24,0)+IFERROR('Calculations &lt;HIDE&gt;'!X24*K24*S24*U24*0.67,0)+IFERROR('Calculations &lt;HIDE&gt;'!X24*K24*T24,0))/'Definitions and Conversions'!$C$42)))</f>
        <v/>
      </c>
      <c r="AC24" s="150" t="str">
        <f>IF(AND(F24="",E24&lt;&gt;""),0,IF(AND(ISBLANK(M24),ISBLANK(O24)),"",(IFERROR(VLOOKUP(M24,'Emission Factors &lt;HIDE&gt;'!$B$46:$C$168,2,0)*N24*V24*Z24,0) + IFERROR(VLOOKUP(O24,'Emission Factors &lt;HIDE&gt;'!$B$46:$C$168,2,0)*P24*X24*Z24*0.67,0) + IFERROR(VLOOKUP(M24,'Emission Factors &lt;HIDE&gt;'!$B$46:$C$168,2,0)*N24*W24,0) + IFERROR(VLOOKUP(O24,'Emission Factors &lt;HIDE&gt;'!$B$46:$C$168,2,0)*P24*Y24,0))/'Definitions and Conversions'!$C$42))</f>
        <v/>
      </c>
      <c r="AD24" s="677" t="str">
        <f t="shared" si="0"/>
        <v/>
      </c>
    </row>
    <row r="25" spans="1:34" ht="45" customHeight="1" x14ac:dyDescent="0.25">
      <c r="A25" s="143"/>
      <c r="B25" s="144" t="str">
        <f>IF('1. Project Info'!L25="","",'1. Project Info'!L25)</f>
        <v/>
      </c>
      <c r="C25" s="151">
        <f>IF(AND(OR('1. Project Info'!V25&gt;0,'1. Project Info'!Y25&gt;0),'1. Project Info'!P25=""),C24,'1. Project Info'!P25)</f>
        <v>0</v>
      </c>
      <c r="D25" s="146" t="str">
        <f>IF('1. Project Info'!R25="","",'1. Project Info'!R25)</f>
        <v/>
      </c>
      <c r="E25" s="147" t="str" cm="1">
        <f t="array" ref="E25">_xlfn.IFS('1. Project Info'!Q25&lt;&gt;"",'1. Project Info'!S25,AND('1. Project Info'!Q25="",'1. Project Info'!W25=0),'1. Project Info'!S25,'1. Project Info'!V25=0,"")</f>
        <v/>
      </c>
      <c r="F25" s="147" t="str" cm="1">
        <f t="array" ref="F25">_xlfn.IFS('1. Project Info'!R25&lt;&gt;"",'1. Project Info'!T25,AND('1. Project Info'!R25="",'1. Project Info'!Z25=0),'1. Project Info'!T25,'1. Project Info'!Y25=0,"")</f>
        <v/>
      </c>
      <c r="G25" s="510"/>
      <c r="H25" s="36"/>
      <c r="I25" s="687"/>
      <c r="J25" s="552"/>
      <c r="K25" s="691"/>
      <c r="L25" s="741"/>
      <c r="M25" s="28"/>
      <c r="N25" s="687"/>
      <c r="O25" s="545"/>
      <c r="P25" s="683"/>
      <c r="Q25" s="744" t="str">
        <f>IFERROR('Calculations &lt;HIDE&gt;'!CA25,"")</f>
        <v/>
      </c>
      <c r="R25" s="148" t="str">
        <f>IF(I25+K25&gt;50,'Emission Factors &lt;HIDE&gt;'!$C$204,IF(I25+K25&gt;0,'Emission Factors &lt;HIDE&gt;'!$C$203,""))</f>
        <v/>
      </c>
      <c r="S25" s="514" t="str">
        <f>IFERROR('Calculations &lt;HIDE&gt;'!CC25,"")</f>
        <v/>
      </c>
      <c r="T25" s="514" t="str">
        <f>IF(J25="","",IF(I25+K25&gt;50,'Emission Factors &lt;HIDE&gt;'!$C$204,IF(I25+K25&gt;0,'Emission Factors &lt;HIDE&gt;'!$C$203,"")))</f>
        <v/>
      </c>
      <c r="U25" s="681" t="str" cm="1">
        <f t="array" ref="U25">IF(G25="","",IFERROR(_xlfn.XLOOKUP(1,('Emission Factors &lt;HIDE&gt;'!$B$211:$B$219=C25)*('Emission Factors &lt;HIDE&gt;'!$C$211:$C$219&lt;=I25)*('Emission Factors &lt;HIDE&gt;'!$D$211:$D$219&gt;=I25),'Emission Factors &lt;HIDE&gt;'!$E$211:$E$219),""))</f>
        <v/>
      </c>
      <c r="V25" s="744" t="str">
        <f>IFERROR('Calculations &lt;HIDE&gt;'!CF25,"")</f>
        <v/>
      </c>
      <c r="W25" s="148" t="str">
        <f>IF(L25="","",IF(L25='Defaults &lt;HIDE&gt;'!$D$15,'Emission Factors &lt;HIDE&gt;'!$C$205,IF(N25+P25&gt;50,'Emission Factors &lt;HIDE&gt;'!$C$204,IF(N25+P25&gt;0,'Emission Factors &lt;HIDE&gt;'!$C$203))))</f>
        <v/>
      </c>
      <c r="X25" s="148" t="str">
        <f>IFERROR('Calculations &lt;HIDE&gt;'!CH25,"")</f>
        <v/>
      </c>
      <c r="Y25" s="148" t="str">
        <f>IF(O25="","",IF(L25='Defaults &lt;HIDE&gt;'!$D$15,'Emission Factors &lt;HIDE&gt;'!$C$205,IF(N25+P25&gt;50,'Emission Factors &lt;HIDE&gt;'!$C$204,IF(N25+P25&gt;0,'Emission Factors &lt;HIDE&gt;'!$C$203))))</f>
        <v/>
      </c>
      <c r="Z25" s="681" t="str" cm="1">
        <f t="array" ref="Z25">IF(L25="","",IFERROR(_xlfn.XLOOKUP(1,('Emission Factors &lt;HIDE&gt;'!$B$211:$B$219=C25)*('Emission Factors &lt;HIDE&gt;'!$C$211:$C$219&lt;=N25)*('Emission Factors &lt;HIDE&gt;'!$D$211:$D$219&gt;=N25),'Emission Factors &lt;HIDE&gt;'!$E$211:$E$219),""))</f>
        <v/>
      </c>
      <c r="AA25" s="149" t="str">
        <f>IF(AND(E25="",F25&lt;&gt;""),0,IF(AND(ISBLANK(H25),ISBLANK(J25)),"",(IFERROR(VLOOKUP(H25,'Emission Factors &lt;HIDE&gt;'!$B$46:$C$168,2,0)*I25*Q25*U25,0) + IFERROR(VLOOKUP(J25,'Emission Factors &lt;HIDE&gt;'!$B$46:$C$168,2,0)*K25*S25*U25*0.67,0) + IFERROR(VLOOKUP(H25,'Emission Factors &lt;HIDE&gt;'!$B$46:$C$168,2,0)*I25*R25,0) + IFERROR(VLOOKUP(J25,'Emission Factors &lt;HIDE&gt;'!$B$46:$C$168,2,0)*K25*T25,0))/'Definitions and Conversions'!$C$42))</f>
        <v/>
      </c>
      <c r="AB25" s="149" t="str">
        <f>IF(AND(ISBLANK(H25)),"",IF(G25='Defaults &lt;HIDE&gt;'!$D$21,(AA25-(IFERROR('Calculations &lt;HIDE&gt;'!X25*K25*S25*U25*0.67,0)+IFERROR('Calculations &lt;HIDE&gt;'!X25*K25*T25,0))/'Definitions and Conversions'!$C$42),(AA25-(IFERROR('Calculations &lt;HIDE&gt;'!X25*I25*Q25*U25,0)+IFERROR('Calculations &lt;HIDE&gt;'!X25*I25*R25,0)+IFERROR('Calculations &lt;HIDE&gt;'!X25*K25*S25*U25*0.67,0)+IFERROR('Calculations &lt;HIDE&gt;'!X25*K25*T25,0))/'Definitions and Conversions'!$C$42)))</f>
        <v/>
      </c>
      <c r="AC25" s="150" t="str">
        <f>IF(AND(F25="",E25&lt;&gt;""),0,IF(AND(ISBLANK(M25),ISBLANK(O25)),"",(IFERROR(VLOOKUP(M25,'Emission Factors &lt;HIDE&gt;'!$B$46:$C$168,2,0)*N25*V25*Z25,0) + IFERROR(VLOOKUP(O25,'Emission Factors &lt;HIDE&gt;'!$B$46:$C$168,2,0)*P25*X25*Z25*0.67,0) + IFERROR(VLOOKUP(M25,'Emission Factors &lt;HIDE&gt;'!$B$46:$C$168,2,0)*N25*W25,0) + IFERROR(VLOOKUP(O25,'Emission Factors &lt;HIDE&gt;'!$B$46:$C$168,2,0)*P25*Y25,0))/'Definitions and Conversions'!$C$42))</f>
        <v/>
      </c>
      <c r="AD25" s="677" t="str">
        <f t="shared" si="0"/>
        <v/>
      </c>
    </row>
    <row r="26" spans="1:34" ht="45" customHeight="1" x14ac:dyDescent="0.25">
      <c r="A26" s="143"/>
      <c r="B26" s="144" t="str">
        <f>IF('1. Project Info'!L26="","",'1. Project Info'!L26)</f>
        <v/>
      </c>
      <c r="C26" s="151">
        <f>IF(AND(OR('1. Project Info'!V26&gt;0,'1. Project Info'!Y26&gt;0),'1. Project Info'!P26=""),C25,'1. Project Info'!P26)</f>
        <v>0</v>
      </c>
      <c r="D26" s="146" t="str">
        <f>IF('1. Project Info'!R26="","",'1. Project Info'!R26)</f>
        <v/>
      </c>
      <c r="E26" s="147" t="str" cm="1">
        <f t="array" ref="E26">_xlfn.IFS('1. Project Info'!Q26&lt;&gt;"",'1. Project Info'!S26,AND('1. Project Info'!Q26="",'1. Project Info'!W26=0),'1. Project Info'!S26,'1. Project Info'!V26=0,"")</f>
        <v/>
      </c>
      <c r="F26" s="147" t="str" cm="1">
        <f t="array" ref="F26">_xlfn.IFS('1. Project Info'!R26&lt;&gt;"",'1. Project Info'!T26,AND('1. Project Info'!R26="",'1. Project Info'!Z26=0),'1. Project Info'!T26,'1. Project Info'!Y26=0,"")</f>
        <v/>
      </c>
      <c r="G26" s="510"/>
      <c r="H26" s="36"/>
      <c r="I26" s="687"/>
      <c r="J26" s="552"/>
      <c r="K26" s="691"/>
      <c r="L26" s="741"/>
      <c r="M26" s="28"/>
      <c r="N26" s="687"/>
      <c r="O26" s="545"/>
      <c r="P26" s="683"/>
      <c r="Q26" s="744" t="str">
        <f>IFERROR('Calculations &lt;HIDE&gt;'!CA26,"")</f>
        <v/>
      </c>
      <c r="R26" s="148" t="str">
        <f>IF(I26+K26&gt;50,'Emission Factors &lt;HIDE&gt;'!$C$204,IF(I26+K26&gt;0,'Emission Factors &lt;HIDE&gt;'!$C$203,""))</f>
        <v/>
      </c>
      <c r="S26" s="514" t="str">
        <f>IFERROR('Calculations &lt;HIDE&gt;'!CC26,"")</f>
        <v/>
      </c>
      <c r="T26" s="514" t="str">
        <f>IF(J26="","",IF(I26+K26&gt;50,'Emission Factors &lt;HIDE&gt;'!$C$204,IF(I26+K26&gt;0,'Emission Factors &lt;HIDE&gt;'!$C$203,"")))</f>
        <v/>
      </c>
      <c r="U26" s="681" t="str" cm="1">
        <f t="array" ref="U26">IF(G26="","",IFERROR(_xlfn.XLOOKUP(1,('Emission Factors &lt;HIDE&gt;'!$B$211:$B$219=C26)*('Emission Factors &lt;HIDE&gt;'!$C$211:$C$219&lt;=I26)*('Emission Factors &lt;HIDE&gt;'!$D$211:$D$219&gt;=I26),'Emission Factors &lt;HIDE&gt;'!$E$211:$E$219),""))</f>
        <v/>
      </c>
      <c r="V26" s="744" t="str">
        <f>IFERROR('Calculations &lt;HIDE&gt;'!CF26,"")</f>
        <v/>
      </c>
      <c r="W26" s="148" t="str">
        <f>IF(L26="","",IF(L26='Defaults &lt;HIDE&gt;'!$D$15,'Emission Factors &lt;HIDE&gt;'!$C$205,IF(N26+P26&gt;50,'Emission Factors &lt;HIDE&gt;'!$C$204,IF(N26+P26&gt;0,'Emission Factors &lt;HIDE&gt;'!$C$203))))</f>
        <v/>
      </c>
      <c r="X26" s="148" t="str">
        <f>IFERROR('Calculations &lt;HIDE&gt;'!CH26,"")</f>
        <v/>
      </c>
      <c r="Y26" s="148" t="str">
        <f>IF(O26="","",IF(L26='Defaults &lt;HIDE&gt;'!$D$15,'Emission Factors &lt;HIDE&gt;'!$C$205,IF(N26+P26&gt;50,'Emission Factors &lt;HIDE&gt;'!$C$204,IF(N26+P26&gt;0,'Emission Factors &lt;HIDE&gt;'!$C$203))))</f>
        <v/>
      </c>
      <c r="Z26" s="681" t="str" cm="1">
        <f t="array" ref="Z26">IF(L26="","",IFERROR(_xlfn.XLOOKUP(1,('Emission Factors &lt;HIDE&gt;'!$B$211:$B$219=C26)*('Emission Factors &lt;HIDE&gt;'!$C$211:$C$219&lt;=N26)*('Emission Factors &lt;HIDE&gt;'!$D$211:$D$219&gt;=N26),'Emission Factors &lt;HIDE&gt;'!$E$211:$E$219),""))</f>
        <v/>
      </c>
      <c r="AA26" s="149" t="str">
        <f>IF(AND(E26="",F26&lt;&gt;""),0,IF(AND(ISBLANK(H26),ISBLANK(J26)),"",(IFERROR(VLOOKUP(H26,'Emission Factors &lt;HIDE&gt;'!$B$46:$C$168,2,0)*I26*Q26*U26,0) + IFERROR(VLOOKUP(J26,'Emission Factors &lt;HIDE&gt;'!$B$46:$C$168,2,0)*K26*S26*U26*0.67,0) + IFERROR(VLOOKUP(H26,'Emission Factors &lt;HIDE&gt;'!$B$46:$C$168,2,0)*I26*R26,0) + IFERROR(VLOOKUP(J26,'Emission Factors &lt;HIDE&gt;'!$B$46:$C$168,2,0)*K26*T26,0))/'Definitions and Conversions'!$C$42))</f>
        <v/>
      </c>
      <c r="AB26" s="149" t="str">
        <f>IF(AND(ISBLANK(H26)),"",IF(G26='Defaults &lt;HIDE&gt;'!$D$21,(AA26-(IFERROR('Calculations &lt;HIDE&gt;'!X26*K26*S26*U26*0.67,0)+IFERROR('Calculations &lt;HIDE&gt;'!X26*K26*T26,0))/'Definitions and Conversions'!$C$42),(AA26-(IFERROR('Calculations &lt;HIDE&gt;'!X26*I26*Q26*U26,0)+IFERROR('Calculations &lt;HIDE&gt;'!X26*I26*R26,0)+IFERROR('Calculations &lt;HIDE&gt;'!X26*K26*S26*U26*0.67,0)+IFERROR('Calculations &lt;HIDE&gt;'!X26*K26*T26,0))/'Definitions and Conversions'!$C$42)))</f>
        <v/>
      </c>
      <c r="AC26" s="150" t="str">
        <f>IF(AND(F26="",E26&lt;&gt;""),0,IF(AND(ISBLANK(M26),ISBLANK(O26)),"",(IFERROR(VLOOKUP(M26,'Emission Factors &lt;HIDE&gt;'!$B$46:$C$168,2,0)*N26*V26*Z26,0) + IFERROR(VLOOKUP(O26,'Emission Factors &lt;HIDE&gt;'!$B$46:$C$168,2,0)*P26*X26*Z26*0.67,0) + IFERROR(VLOOKUP(M26,'Emission Factors &lt;HIDE&gt;'!$B$46:$C$168,2,0)*N26*W26,0) + IFERROR(VLOOKUP(O26,'Emission Factors &lt;HIDE&gt;'!$B$46:$C$168,2,0)*P26*Y26,0))/'Definitions and Conversions'!$C$42))</f>
        <v/>
      </c>
      <c r="AD26" s="677" t="str">
        <f t="shared" si="0"/>
        <v/>
      </c>
    </row>
    <row r="27" spans="1:34" ht="45" customHeight="1" x14ac:dyDescent="0.25">
      <c r="A27" s="143"/>
      <c r="B27" s="144" t="str">
        <f>IF('1. Project Info'!L27="","",'1. Project Info'!L27)</f>
        <v/>
      </c>
      <c r="C27" s="151">
        <f>IF(AND(OR('1. Project Info'!V27&gt;0,'1. Project Info'!Y27&gt;0),'1. Project Info'!P27=""),C26,'1. Project Info'!P27)</f>
        <v>0</v>
      </c>
      <c r="D27" s="146" t="str">
        <f>IF('1. Project Info'!R27="","",'1. Project Info'!R27)</f>
        <v/>
      </c>
      <c r="E27" s="147" t="str" cm="1">
        <f t="array" ref="E27">_xlfn.IFS('1. Project Info'!Q27&lt;&gt;"",'1. Project Info'!S27,AND('1. Project Info'!Q27="",'1. Project Info'!W27=0),'1. Project Info'!S27,'1. Project Info'!V27=0,"")</f>
        <v/>
      </c>
      <c r="F27" s="147" t="str" cm="1">
        <f t="array" ref="F27">_xlfn.IFS('1. Project Info'!R27&lt;&gt;"",'1. Project Info'!T27,AND('1. Project Info'!R27="",'1. Project Info'!Z27=0),'1. Project Info'!T27,'1. Project Info'!Y27=0,"")</f>
        <v/>
      </c>
      <c r="G27" s="510"/>
      <c r="H27" s="36"/>
      <c r="I27" s="686"/>
      <c r="J27" s="552"/>
      <c r="K27" s="691"/>
      <c r="L27" s="740"/>
      <c r="M27" s="28"/>
      <c r="N27" s="686"/>
      <c r="O27" s="545"/>
      <c r="P27" s="683"/>
      <c r="Q27" s="744" t="str">
        <f>IFERROR('Calculations &lt;HIDE&gt;'!CA27,"")</f>
        <v/>
      </c>
      <c r="R27" s="148" t="str">
        <f>IF(I27+K27&gt;50,'Emission Factors &lt;HIDE&gt;'!$C$204,IF(I27+K27&gt;0,'Emission Factors &lt;HIDE&gt;'!$C$203,""))</f>
        <v/>
      </c>
      <c r="S27" s="514" t="str">
        <f>IFERROR('Calculations &lt;HIDE&gt;'!CC27,"")</f>
        <v/>
      </c>
      <c r="T27" s="514" t="str">
        <f>IF(J27="","",IF(I27+K27&gt;50,'Emission Factors &lt;HIDE&gt;'!$C$204,IF(I27+K27&gt;0,'Emission Factors &lt;HIDE&gt;'!$C$203,"")))</f>
        <v/>
      </c>
      <c r="U27" s="681" t="str" cm="1">
        <f t="array" ref="U27">IF(G27="","",IFERROR(_xlfn.XLOOKUP(1,('Emission Factors &lt;HIDE&gt;'!$B$211:$B$219=C27)*('Emission Factors &lt;HIDE&gt;'!$C$211:$C$219&lt;=I27)*('Emission Factors &lt;HIDE&gt;'!$D$211:$D$219&gt;=I27),'Emission Factors &lt;HIDE&gt;'!$E$211:$E$219),""))</f>
        <v/>
      </c>
      <c r="V27" s="744" t="str">
        <f>IFERROR('Calculations &lt;HIDE&gt;'!CF27,"")</f>
        <v/>
      </c>
      <c r="W27" s="148" t="str">
        <f>IF(L27="","",IF(L27='Defaults &lt;HIDE&gt;'!$D$15,'Emission Factors &lt;HIDE&gt;'!$C$205,IF(N27+P27&gt;50,'Emission Factors &lt;HIDE&gt;'!$C$204,IF(N27+P27&gt;0,'Emission Factors &lt;HIDE&gt;'!$C$203))))</f>
        <v/>
      </c>
      <c r="X27" s="148" t="str">
        <f>IFERROR('Calculations &lt;HIDE&gt;'!CH27,"")</f>
        <v/>
      </c>
      <c r="Y27" s="148" t="str">
        <f>IF(O27="","",IF(L27='Defaults &lt;HIDE&gt;'!$D$15,'Emission Factors &lt;HIDE&gt;'!$C$205,IF(N27+P27&gt;50,'Emission Factors &lt;HIDE&gt;'!$C$204,IF(N27+P27&gt;0,'Emission Factors &lt;HIDE&gt;'!$C$203))))</f>
        <v/>
      </c>
      <c r="Z27" s="681" t="str" cm="1">
        <f t="array" ref="Z27">IF(L27="","",IFERROR(_xlfn.XLOOKUP(1,('Emission Factors &lt;HIDE&gt;'!$B$211:$B$219=C27)*('Emission Factors &lt;HIDE&gt;'!$C$211:$C$219&lt;=N27)*('Emission Factors &lt;HIDE&gt;'!$D$211:$D$219&gt;=N27),'Emission Factors &lt;HIDE&gt;'!$E$211:$E$219),""))</f>
        <v/>
      </c>
      <c r="AA27" s="149" t="str">
        <f>IF(AND(E27="",F27&lt;&gt;""),0,IF(AND(ISBLANK(H27),ISBLANK(J27)),"",(IFERROR(VLOOKUP(H27,'Emission Factors &lt;HIDE&gt;'!$B$46:$C$168,2,0)*I27*Q27*U27,0) + IFERROR(VLOOKUP(J27,'Emission Factors &lt;HIDE&gt;'!$B$46:$C$168,2,0)*K27*S27*U27*0.67,0) + IFERROR(VLOOKUP(H27,'Emission Factors &lt;HIDE&gt;'!$B$46:$C$168,2,0)*I27*R27,0) + IFERROR(VLOOKUP(J27,'Emission Factors &lt;HIDE&gt;'!$B$46:$C$168,2,0)*K27*T27,0))/'Definitions and Conversions'!$C$42))</f>
        <v/>
      </c>
      <c r="AB27" s="149" t="str">
        <f>IF(AND(ISBLANK(H27)),"",IF(G27='Defaults &lt;HIDE&gt;'!$D$21,(AA27-(IFERROR('Calculations &lt;HIDE&gt;'!X27*K27*S27*U27*0.67,0)+IFERROR('Calculations &lt;HIDE&gt;'!X27*K27*T27,0))/'Definitions and Conversions'!$C$42),(AA27-(IFERROR('Calculations &lt;HIDE&gt;'!X27*I27*Q27*U27,0)+IFERROR('Calculations &lt;HIDE&gt;'!X27*I27*R27,0)+IFERROR('Calculations &lt;HIDE&gt;'!X27*K27*S27*U27*0.67,0)+IFERROR('Calculations &lt;HIDE&gt;'!X27*K27*T27,0))/'Definitions and Conversions'!$C$42)))</f>
        <v/>
      </c>
      <c r="AC27" s="150" t="str">
        <f>IF(AND(F27="",E27&lt;&gt;""),0,IF(AND(ISBLANK(M27),ISBLANK(O27)),"",(IFERROR(VLOOKUP(M27,'Emission Factors &lt;HIDE&gt;'!$B$46:$C$168,2,0)*N27*V27*Z27,0) + IFERROR(VLOOKUP(O27,'Emission Factors &lt;HIDE&gt;'!$B$46:$C$168,2,0)*P27*X27*Z27*0.67,0) + IFERROR(VLOOKUP(M27,'Emission Factors &lt;HIDE&gt;'!$B$46:$C$168,2,0)*N27*W27,0) + IFERROR(VLOOKUP(O27,'Emission Factors &lt;HIDE&gt;'!$B$46:$C$168,2,0)*P27*Y27,0))/'Definitions and Conversions'!$C$42))</f>
        <v/>
      </c>
      <c r="AD27" s="677" t="str">
        <f t="shared" si="0"/>
        <v/>
      </c>
      <c r="AH27" s="78"/>
    </row>
    <row r="28" spans="1:34" ht="45" customHeight="1" x14ac:dyDescent="0.25">
      <c r="A28" s="143"/>
      <c r="B28" s="144" t="str">
        <f>IF('1. Project Info'!L28="","",'1. Project Info'!L28)</f>
        <v/>
      </c>
      <c r="C28" s="151">
        <f>IF(AND(OR('1. Project Info'!V28&gt;0,'1. Project Info'!Y28&gt;0),'1. Project Info'!P28=""),C27,'1. Project Info'!P28)</f>
        <v>0</v>
      </c>
      <c r="D28" s="146" t="str">
        <f>IF('1. Project Info'!R28="","",'1. Project Info'!R28)</f>
        <v/>
      </c>
      <c r="E28" s="147" t="str" cm="1">
        <f t="array" ref="E28">_xlfn.IFS('1. Project Info'!Q28&lt;&gt;"",'1. Project Info'!S28,AND('1. Project Info'!Q28="",'1. Project Info'!W28=0),'1. Project Info'!S28,'1. Project Info'!V28=0,"")</f>
        <v/>
      </c>
      <c r="F28" s="147" t="str" cm="1">
        <f t="array" ref="F28">_xlfn.IFS('1. Project Info'!R28&lt;&gt;"",'1. Project Info'!T28,AND('1. Project Info'!R28="",'1. Project Info'!Z28=0),'1. Project Info'!T28,'1. Project Info'!Y28=0,"")</f>
        <v/>
      </c>
      <c r="G28" s="510"/>
      <c r="H28" s="36"/>
      <c r="I28" s="687"/>
      <c r="J28" s="552"/>
      <c r="K28" s="691"/>
      <c r="L28" s="741"/>
      <c r="M28" s="28"/>
      <c r="N28" s="687"/>
      <c r="O28" s="545"/>
      <c r="P28" s="683"/>
      <c r="Q28" s="744" t="str">
        <f>IFERROR('Calculations &lt;HIDE&gt;'!CA28,"")</f>
        <v/>
      </c>
      <c r="R28" s="148" t="str">
        <f>IF(I28+K28&gt;50,'Emission Factors &lt;HIDE&gt;'!$C$204,IF(I28+K28&gt;0,'Emission Factors &lt;HIDE&gt;'!$C$203,""))</f>
        <v/>
      </c>
      <c r="S28" s="514" t="str">
        <f>IFERROR('Calculations &lt;HIDE&gt;'!CC28,"")</f>
        <v/>
      </c>
      <c r="T28" s="514" t="str">
        <f>IF(J28="","",IF(I28+K28&gt;50,'Emission Factors &lt;HIDE&gt;'!$C$204,IF(I28+K28&gt;0,'Emission Factors &lt;HIDE&gt;'!$C$203,"")))</f>
        <v/>
      </c>
      <c r="U28" s="681" t="str" cm="1">
        <f t="array" ref="U28">IF(G28="","",IFERROR(_xlfn.XLOOKUP(1,('Emission Factors &lt;HIDE&gt;'!$B$211:$B$219=C28)*('Emission Factors &lt;HIDE&gt;'!$C$211:$C$219&lt;=I28)*('Emission Factors &lt;HIDE&gt;'!$D$211:$D$219&gt;=I28),'Emission Factors &lt;HIDE&gt;'!$E$211:$E$219),""))</f>
        <v/>
      </c>
      <c r="V28" s="744" t="str">
        <f>IFERROR('Calculations &lt;HIDE&gt;'!CF28,"")</f>
        <v/>
      </c>
      <c r="W28" s="148" t="str">
        <f>IF(L28="","",IF(L28='Defaults &lt;HIDE&gt;'!$D$15,'Emission Factors &lt;HIDE&gt;'!$C$205,IF(N28+P28&gt;50,'Emission Factors &lt;HIDE&gt;'!$C$204,IF(N28+P28&gt;0,'Emission Factors &lt;HIDE&gt;'!$C$203))))</f>
        <v/>
      </c>
      <c r="X28" s="148" t="str">
        <f>IFERROR('Calculations &lt;HIDE&gt;'!CH28,"")</f>
        <v/>
      </c>
      <c r="Y28" s="148" t="str">
        <f>IF(O28="","",IF(L28='Defaults &lt;HIDE&gt;'!$D$15,'Emission Factors &lt;HIDE&gt;'!$C$205,IF(N28+P28&gt;50,'Emission Factors &lt;HIDE&gt;'!$C$204,IF(N28+P28&gt;0,'Emission Factors &lt;HIDE&gt;'!$C$203))))</f>
        <v/>
      </c>
      <c r="Z28" s="681" t="str" cm="1">
        <f t="array" ref="Z28">IF(L28="","",IFERROR(_xlfn.XLOOKUP(1,('Emission Factors &lt;HIDE&gt;'!$B$211:$B$219=C28)*('Emission Factors &lt;HIDE&gt;'!$C$211:$C$219&lt;=N28)*('Emission Factors &lt;HIDE&gt;'!$D$211:$D$219&gt;=N28),'Emission Factors &lt;HIDE&gt;'!$E$211:$E$219),""))</f>
        <v/>
      </c>
      <c r="AA28" s="149" t="str">
        <f>IF(AND(E28="",F28&lt;&gt;""),0,IF(AND(ISBLANK(H28),ISBLANK(J28)),"",(IFERROR(VLOOKUP(H28,'Emission Factors &lt;HIDE&gt;'!$B$46:$C$168,2,0)*I28*Q28*U28,0) + IFERROR(VLOOKUP(J28,'Emission Factors &lt;HIDE&gt;'!$B$46:$C$168,2,0)*K28*S28*U28*0.67,0) + IFERROR(VLOOKUP(H28,'Emission Factors &lt;HIDE&gt;'!$B$46:$C$168,2,0)*I28*R28,0) + IFERROR(VLOOKUP(J28,'Emission Factors &lt;HIDE&gt;'!$B$46:$C$168,2,0)*K28*T28,0))/'Definitions and Conversions'!$C$42))</f>
        <v/>
      </c>
      <c r="AB28" s="149" t="str">
        <f>IF(AND(ISBLANK(H28)),"",IF(G28='Defaults &lt;HIDE&gt;'!$D$21,(AA28-(IFERROR('Calculations &lt;HIDE&gt;'!X28*K28*S28*U28*0.67,0)+IFERROR('Calculations &lt;HIDE&gt;'!X28*K28*T28,0))/'Definitions and Conversions'!$C$42),(AA28-(IFERROR('Calculations &lt;HIDE&gt;'!X28*I28*Q28*U28,0)+IFERROR('Calculations &lt;HIDE&gt;'!X28*I28*R28,0)+IFERROR('Calculations &lt;HIDE&gt;'!X28*K28*S28*U28*0.67,0)+IFERROR('Calculations &lt;HIDE&gt;'!X28*K28*T28,0))/'Definitions and Conversions'!$C$42)))</f>
        <v/>
      </c>
      <c r="AC28" s="150" t="str">
        <f>IF(AND(F28="",E28&lt;&gt;""),0,IF(AND(ISBLANK(M28),ISBLANK(O28)),"",(IFERROR(VLOOKUP(M28,'Emission Factors &lt;HIDE&gt;'!$B$46:$C$168,2,0)*N28*V28*Z28,0) + IFERROR(VLOOKUP(O28,'Emission Factors &lt;HIDE&gt;'!$B$46:$C$168,2,0)*P28*X28*Z28*0.67,0) + IFERROR(VLOOKUP(M28,'Emission Factors &lt;HIDE&gt;'!$B$46:$C$168,2,0)*N28*W28,0) + IFERROR(VLOOKUP(O28,'Emission Factors &lt;HIDE&gt;'!$B$46:$C$168,2,0)*P28*Y28,0))/'Definitions and Conversions'!$C$42))</f>
        <v/>
      </c>
      <c r="AD28" s="677" t="str">
        <f t="shared" si="0"/>
        <v/>
      </c>
    </row>
    <row r="29" spans="1:34" ht="45" customHeight="1" x14ac:dyDescent="0.25">
      <c r="A29" s="143"/>
      <c r="B29" s="144" t="str">
        <f>IF('1. Project Info'!L29="","",'1. Project Info'!L29)</f>
        <v/>
      </c>
      <c r="C29" s="151">
        <f>IF(AND(OR('1. Project Info'!V29&gt;0,'1. Project Info'!Y29&gt;0),'1. Project Info'!P29=""),C28,'1. Project Info'!P29)</f>
        <v>0</v>
      </c>
      <c r="D29" s="146" t="str">
        <f>IF('1. Project Info'!R29="","",'1. Project Info'!R29)</f>
        <v/>
      </c>
      <c r="E29" s="147" t="str" cm="1">
        <f t="array" ref="E29">_xlfn.IFS('1. Project Info'!Q29&lt;&gt;"",'1. Project Info'!S29,AND('1. Project Info'!Q29="",'1. Project Info'!W29=0),'1. Project Info'!S29,'1. Project Info'!V29=0,"")</f>
        <v/>
      </c>
      <c r="F29" s="147" t="str" cm="1">
        <f t="array" ref="F29">_xlfn.IFS('1. Project Info'!R29&lt;&gt;"",'1. Project Info'!T29,AND('1. Project Info'!R29="",'1. Project Info'!Z29=0),'1. Project Info'!T29,'1. Project Info'!Y29=0,"")</f>
        <v/>
      </c>
      <c r="G29" s="510"/>
      <c r="H29" s="36"/>
      <c r="I29" s="687"/>
      <c r="J29" s="552"/>
      <c r="K29" s="691"/>
      <c r="L29" s="741"/>
      <c r="M29" s="28"/>
      <c r="N29" s="687"/>
      <c r="O29" s="545"/>
      <c r="P29" s="683"/>
      <c r="Q29" s="744" t="str">
        <f>IFERROR('Calculations &lt;HIDE&gt;'!CA29,"")</f>
        <v/>
      </c>
      <c r="R29" s="148" t="str">
        <f>IF(I29+K29&gt;50,'Emission Factors &lt;HIDE&gt;'!$C$204,IF(I29+K29&gt;0,'Emission Factors &lt;HIDE&gt;'!$C$203,""))</f>
        <v/>
      </c>
      <c r="S29" s="514" t="str">
        <f>IFERROR('Calculations &lt;HIDE&gt;'!CC29,"")</f>
        <v/>
      </c>
      <c r="T29" s="514" t="str">
        <f>IF(J29="","",IF(I29+K29&gt;50,'Emission Factors &lt;HIDE&gt;'!$C$204,IF(I29+K29&gt;0,'Emission Factors &lt;HIDE&gt;'!$C$203,"")))</f>
        <v/>
      </c>
      <c r="U29" s="681" t="str" cm="1">
        <f t="array" ref="U29">IF(G29="","",IFERROR(_xlfn.XLOOKUP(1,('Emission Factors &lt;HIDE&gt;'!$B$211:$B$219=C29)*('Emission Factors &lt;HIDE&gt;'!$C$211:$C$219&lt;=I29)*('Emission Factors &lt;HIDE&gt;'!$D$211:$D$219&gt;=I29),'Emission Factors &lt;HIDE&gt;'!$E$211:$E$219),""))</f>
        <v/>
      </c>
      <c r="V29" s="744" t="str">
        <f>IFERROR('Calculations &lt;HIDE&gt;'!CF29,"")</f>
        <v/>
      </c>
      <c r="W29" s="148" t="str">
        <f>IF(L29="","",IF(L29='Defaults &lt;HIDE&gt;'!$D$15,'Emission Factors &lt;HIDE&gt;'!$C$205,IF(N29+P29&gt;50,'Emission Factors &lt;HIDE&gt;'!$C$204,IF(N29+P29&gt;0,'Emission Factors &lt;HIDE&gt;'!$C$203))))</f>
        <v/>
      </c>
      <c r="X29" s="148" t="str">
        <f>IFERROR('Calculations &lt;HIDE&gt;'!CH29,"")</f>
        <v/>
      </c>
      <c r="Y29" s="148" t="str">
        <f>IF(O29="","",IF(L29='Defaults &lt;HIDE&gt;'!$D$15,'Emission Factors &lt;HIDE&gt;'!$C$205,IF(N29+P29&gt;50,'Emission Factors &lt;HIDE&gt;'!$C$204,IF(N29+P29&gt;0,'Emission Factors &lt;HIDE&gt;'!$C$203))))</f>
        <v/>
      </c>
      <c r="Z29" s="681" t="str" cm="1">
        <f t="array" ref="Z29">IF(L29="","",IFERROR(_xlfn.XLOOKUP(1,('Emission Factors &lt;HIDE&gt;'!$B$211:$B$219=C29)*('Emission Factors &lt;HIDE&gt;'!$C$211:$C$219&lt;=N29)*('Emission Factors &lt;HIDE&gt;'!$D$211:$D$219&gt;=N29),'Emission Factors &lt;HIDE&gt;'!$E$211:$E$219),""))</f>
        <v/>
      </c>
      <c r="AA29" s="149" t="str">
        <f>IF(AND(E29="",F29&lt;&gt;""),0,IF(AND(ISBLANK(H29),ISBLANK(J29)),"",(IFERROR(VLOOKUP(H29,'Emission Factors &lt;HIDE&gt;'!$B$46:$C$168,2,0)*I29*Q29*U29,0) + IFERROR(VLOOKUP(J29,'Emission Factors &lt;HIDE&gt;'!$B$46:$C$168,2,0)*K29*S29*U29*0.67,0) + IFERROR(VLOOKUP(H29,'Emission Factors &lt;HIDE&gt;'!$B$46:$C$168,2,0)*I29*R29,0) + IFERROR(VLOOKUP(J29,'Emission Factors &lt;HIDE&gt;'!$B$46:$C$168,2,0)*K29*T29,0))/'Definitions and Conversions'!$C$42))</f>
        <v/>
      </c>
      <c r="AB29" s="149" t="str">
        <f>IF(AND(ISBLANK(H29)),"",IF(G29='Defaults &lt;HIDE&gt;'!$D$21,(AA29-(IFERROR('Calculations &lt;HIDE&gt;'!X29*K29*S29*U29*0.67,0)+IFERROR('Calculations &lt;HIDE&gt;'!X29*K29*T29,0))/'Definitions and Conversions'!$C$42),(AA29-(IFERROR('Calculations &lt;HIDE&gt;'!X29*I29*Q29*U29,0)+IFERROR('Calculations &lt;HIDE&gt;'!X29*I29*R29,0)+IFERROR('Calculations &lt;HIDE&gt;'!X29*K29*S29*U29*0.67,0)+IFERROR('Calculations &lt;HIDE&gt;'!X29*K29*T29,0))/'Definitions and Conversions'!$C$42)))</f>
        <v/>
      </c>
      <c r="AC29" s="150" t="str">
        <f>IF(AND(F29="",E29&lt;&gt;""),0,IF(AND(ISBLANK(M29),ISBLANK(O29)),"",(IFERROR(VLOOKUP(M29,'Emission Factors &lt;HIDE&gt;'!$B$46:$C$168,2,0)*N29*V29*Z29,0) + IFERROR(VLOOKUP(O29,'Emission Factors &lt;HIDE&gt;'!$B$46:$C$168,2,0)*P29*X29*Z29*0.67,0) + IFERROR(VLOOKUP(M29,'Emission Factors &lt;HIDE&gt;'!$B$46:$C$168,2,0)*N29*W29,0) + IFERROR(VLOOKUP(O29,'Emission Factors &lt;HIDE&gt;'!$B$46:$C$168,2,0)*P29*Y29,0))/'Definitions and Conversions'!$C$42))</f>
        <v/>
      </c>
      <c r="AD29" s="677" t="str">
        <f t="shared" si="0"/>
        <v/>
      </c>
    </row>
    <row r="30" spans="1:34" ht="45" customHeight="1" x14ac:dyDescent="0.25">
      <c r="A30" s="143"/>
      <c r="B30" s="144" t="str">
        <f>IF('1. Project Info'!L30="","",'1. Project Info'!L30)</f>
        <v/>
      </c>
      <c r="C30" s="151">
        <f>IF(AND(OR('1. Project Info'!V30&gt;0,'1. Project Info'!Y30&gt;0),'1. Project Info'!P30=""),C29,'1. Project Info'!P30)</f>
        <v>0</v>
      </c>
      <c r="D30" s="146" t="str">
        <f>IF('1. Project Info'!R30="","",'1. Project Info'!R30)</f>
        <v/>
      </c>
      <c r="E30" s="147" t="str" cm="1">
        <f t="array" ref="E30">_xlfn.IFS('1. Project Info'!Q30&lt;&gt;"",'1. Project Info'!S30,AND('1. Project Info'!Q30="",'1. Project Info'!W30=0),'1. Project Info'!S30,'1. Project Info'!V30=0,"")</f>
        <v/>
      </c>
      <c r="F30" s="147" t="str" cm="1">
        <f t="array" ref="F30">_xlfn.IFS('1. Project Info'!R30&lt;&gt;"",'1. Project Info'!T30,AND('1. Project Info'!R30="",'1. Project Info'!Z30=0),'1. Project Info'!T30,'1. Project Info'!Y30=0,"")</f>
        <v/>
      </c>
      <c r="G30" s="510"/>
      <c r="H30" s="36"/>
      <c r="I30" s="687"/>
      <c r="J30" s="552"/>
      <c r="K30" s="691"/>
      <c r="L30" s="741"/>
      <c r="M30" s="28"/>
      <c r="N30" s="687"/>
      <c r="O30" s="545"/>
      <c r="P30" s="683"/>
      <c r="Q30" s="744" t="str">
        <f>IFERROR('Calculations &lt;HIDE&gt;'!CA30,"")</f>
        <v/>
      </c>
      <c r="R30" s="148" t="str">
        <f>IF(I30+K30&gt;50,'Emission Factors &lt;HIDE&gt;'!$C$204,IF(I30+K30&gt;0,'Emission Factors &lt;HIDE&gt;'!$C$203,""))</f>
        <v/>
      </c>
      <c r="S30" s="514" t="str">
        <f>IFERROR('Calculations &lt;HIDE&gt;'!CC30,"")</f>
        <v/>
      </c>
      <c r="T30" s="514" t="str">
        <f>IF(J30="","",IF(I30+K30&gt;50,'Emission Factors &lt;HIDE&gt;'!$C$204,IF(I30+K30&gt;0,'Emission Factors &lt;HIDE&gt;'!$C$203,"")))</f>
        <v/>
      </c>
      <c r="U30" s="681" t="str" cm="1">
        <f t="array" ref="U30">IF(G30="","",IFERROR(_xlfn.XLOOKUP(1,('Emission Factors &lt;HIDE&gt;'!$B$211:$B$219=C30)*('Emission Factors &lt;HIDE&gt;'!$C$211:$C$219&lt;=I30)*('Emission Factors &lt;HIDE&gt;'!$D$211:$D$219&gt;=I30),'Emission Factors &lt;HIDE&gt;'!$E$211:$E$219),""))</f>
        <v/>
      </c>
      <c r="V30" s="744" t="str">
        <f>IFERROR('Calculations &lt;HIDE&gt;'!CF30,"")</f>
        <v/>
      </c>
      <c r="W30" s="148" t="str">
        <f>IF(L30="","",IF(L30='Defaults &lt;HIDE&gt;'!$D$15,'Emission Factors &lt;HIDE&gt;'!$C$205,IF(N30+P30&gt;50,'Emission Factors &lt;HIDE&gt;'!$C$204,IF(N30+P30&gt;0,'Emission Factors &lt;HIDE&gt;'!$C$203))))</f>
        <v/>
      </c>
      <c r="X30" s="148" t="str">
        <f>IFERROR('Calculations &lt;HIDE&gt;'!CH30,"")</f>
        <v/>
      </c>
      <c r="Y30" s="148" t="str">
        <f>IF(O30="","",IF(L30='Defaults &lt;HIDE&gt;'!$D$15,'Emission Factors &lt;HIDE&gt;'!$C$205,IF(N30+P30&gt;50,'Emission Factors &lt;HIDE&gt;'!$C$204,IF(N30+P30&gt;0,'Emission Factors &lt;HIDE&gt;'!$C$203))))</f>
        <v/>
      </c>
      <c r="Z30" s="681" t="str" cm="1">
        <f t="array" ref="Z30">IF(L30="","",IFERROR(_xlfn.XLOOKUP(1,('Emission Factors &lt;HIDE&gt;'!$B$211:$B$219=C30)*('Emission Factors &lt;HIDE&gt;'!$C$211:$C$219&lt;=N30)*('Emission Factors &lt;HIDE&gt;'!$D$211:$D$219&gt;=N30),'Emission Factors &lt;HIDE&gt;'!$E$211:$E$219),""))</f>
        <v/>
      </c>
      <c r="AA30" s="149" t="str">
        <f>IF(AND(E30="",F30&lt;&gt;""),0,IF(AND(ISBLANK(H30),ISBLANK(J30)),"",(IFERROR(VLOOKUP(H30,'Emission Factors &lt;HIDE&gt;'!$B$46:$C$168,2,0)*I30*Q30*U30,0) + IFERROR(VLOOKUP(J30,'Emission Factors &lt;HIDE&gt;'!$B$46:$C$168,2,0)*K30*S30*U30*0.67,0) + IFERROR(VLOOKUP(H30,'Emission Factors &lt;HIDE&gt;'!$B$46:$C$168,2,0)*I30*R30,0) + IFERROR(VLOOKUP(J30,'Emission Factors &lt;HIDE&gt;'!$B$46:$C$168,2,0)*K30*T30,0))/'Definitions and Conversions'!$C$42))</f>
        <v/>
      </c>
      <c r="AB30" s="149" t="str">
        <f>IF(AND(ISBLANK(H30)),"",IF(G30='Defaults &lt;HIDE&gt;'!$D$21,(AA30-(IFERROR('Calculations &lt;HIDE&gt;'!X30*K30*S30*U30*0.67,0)+IFERROR('Calculations &lt;HIDE&gt;'!X30*K30*T30,0))/'Definitions and Conversions'!$C$42),(AA30-(IFERROR('Calculations &lt;HIDE&gt;'!X30*I30*Q30*U30,0)+IFERROR('Calculations &lt;HIDE&gt;'!X30*I30*R30,0)+IFERROR('Calculations &lt;HIDE&gt;'!X30*K30*S30*U30*0.67,0)+IFERROR('Calculations &lt;HIDE&gt;'!X30*K30*T30,0))/'Definitions and Conversions'!$C$42)))</f>
        <v/>
      </c>
      <c r="AC30" s="150" t="str">
        <f>IF(AND(F30="",E30&lt;&gt;""),0,IF(AND(ISBLANK(M30),ISBLANK(O30)),"",(IFERROR(VLOOKUP(M30,'Emission Factors &lt;HIDE&gt;'!$B$46:$C$168,2,0)*N30*V30*Z30,0) + IFERROR(VLOOKUP(O30,'Emission Factors &lt;HIDE&gt;'!$B$46:$C$168,2,0)*P30*X30*Z30*0.67,0) + IFERROR(VLOOKUP(M30,'Emission Factors &lt;HIDE&gt;'!$B$46:$C$168,2,0)*N30*W30,0) + IFERROR(VLOOKUP(O30,'Emission Factors &lt;HIDE&gt;'!$B$46:$C$168,2,0)*P30*Y30,0))/'Definitions and Conversions'!$C$42))</f>
        <v/>
      </c>
      <c r="AD30" s="677" t="str">
        <f t="shared" si="0"/>
        <v/>
      </c>
    </row>
    <row r="31" spans="1:34" ht="45" customHeight="1" x14ac:dyDescent="0.25">
      <c r="A31" s="143"/>
      <c r="B31" s="144" t="str">
        <f>IF('1. Project Info'!L31="","",'1. Project Info'!L31)</f>
        <v/>
      </c>
      <c r="C31" s="151">
        <f>IF(AND(OR('1. Project Info'!V31&gt;0,'1. Project Info'!Y31&gt;0),'1. Project Info'!P31=""),C30,'1. Project Info'!P31)</f>
        <v>0</v>
      </c>
      <c r="D31" s="146" t="str">
        <f>IF('1. Project Info'!R31="","",'1. Project Info'!R31)</f>
        <v/>
      </c>
      <c r="E31" s="147" t="str" cm="1">
        <f t="array" ref="E31">_xlfn.IFS('1. Project Info'!Q31&lt;&gt;"",'1. Project Info'!S31,AND('1. Project Info'!Q31="",'1. Project Info'!W31=0),'1. Project Info'!S31,'1. Project Info'!V31=0,"")</f>
        <v/>
      </c>
      <c r="F31" s="147" t="str" cm="1">
        <f t="array" ref="F31">_xlfn.IFS('1. Project Info'!R31&lt;&gt;"",'1. Project Info'!T31,AND('1. Project Info'!R31="",'1. Project Info'!Z31=0),'1. Project Info'!T31,'1. Project Info'!Y31=0,"")</f>
        <v/>
      </c>
      <c r="G31" s="510"/>
      <c r="H31" s="36"/>
      <c r="I31" s="687"/>
      <c r="J31" s="552"/>
      <c r="K31" s="691"/>
      <c r="L31" s="741"/>
      <c r="M31" s="28"/>
      <c r="N31" s="687"/>
      <c r="O31" s="545"/>
      <c r="P31" s="683"/>
      <c r="Q31" s="744" t="str">
        <f>IFERROR('Calculations &lt;HIDE&gt;'!CA31,"")</f>
        <v/>
      </c>
      <c r="R31" s="148" t="str">
        <f>IF(I31+K31&gt;50,'Emission Factors &lt;HIDE&gt;'!$C$204,IF(I31+K31&gt;0,'Emission Factors &lt;HIDE&gt;'!$C$203,""))</f>
        <v/>
      </c>
      <c r="S31" s="514" t="str">
        <f>IFERROR('Calculations &lt;HIDE&gt;'!CC31,"")</f>
        <v/>
      </c>
      <c r="T31" s="514" t="str">
        <f>IF(J31="","",IF(I31+K31&gt;50,'Emission Factors &lt;HIDE&gt;'!$C$204,IF(I31+K31&gt;0,'Emission Factors &lt;HIDE&gt;'!$C$203,"")))</f>
        <v/>
      </c>
      <c r="U31" s="681" t="str" cm="1">
        <f t="array" ref="U31">IF(G31="","",IFERROR(_xlfn.XLOOKUP(1,('Emission Factors &lt;HIDE&gt;'!$B$211:$B$219=C31)*('Emission Factors &lt;HIDE&gt;'!$C$211:$C$219&lt;=I31)*('Emission Factors &lt;HIDE&gt;'!$D$211:$D$219&gt;=I31),'Emission Factors &lt;HIDE&gt;'!$E$211:$E$219),""))</f>
        <v/>
      </c>
      <c r="V31" s="744" t="str">
        <f>IFERROR('Calculations &lt;HIDE&gt;'!CF31,"")</f>
        <v/>
      </c>
      <c r="W31" s="148" t="str">
        <f>IF(L31="","",IF(L31='Defaults &lt;HIDE&gt;'!$D$15,'Emission Factors &lt;HIDE&gt;'!$C$205,IF(N31+P31&gt;50,'Emission Factors &lt;HIDE&gt;'!$C$204,IF(N31+P31&gt;0,'Emission Factors &lt;HIDE&gt;'!$C$203))))</f>
        <v/>
      </c>
      <c r="X31" s="148" t="str">
        <f>IFERROR('Calculations &lt;HIDE&gt;'!CH31,"")</f>
        <v/>
      </c>
      <c r="Y31" s="148" t="str">
        <f>IF(O31="","",IF(L31='Defaults &lt;HIDE&gt;'!$D$15,'Emission Factors &lt;HIDE&gt;'!$C$205,IF(N31+P31&gt;50,'Emission Factors &lt;HIDE&gt;'!$C$204,IF(N31+P31&gt;0,'Emission Factors &lt;HIDE&gt;'!$C$203))))</f>
        <v/>
      </c>
      <c r="Z31" s="681" t="str" cm="1">
        <f t="array" ref="Z31">IF(L31="","",IFERROR(_xlfn.XLOOKUP(1,('Emission Factors &lt;HIDE&gt;'!$B$211:$B$219=C31)*('Emission Factors &lt;HIDE&gt;'!$C$211:$C$219&lt;=N31)*('Emission Factors &lt;HIDE&gt;'!$D$211:$D$219&gt;=N31),'Emission Factors &lt;HIDE&gt;'!$E$211:$E$219),""))</f>
        <v/>
      </c>
      <c r="AA31" s="149" t="str">
        <f>IF(AND(E31="",F31&lt;&gt;""),0,IF(AND(ISBLANK(H31),ISBLANK(J31)),"",(IFERROR(VLOOKUP(H31,'Emission Factors &lt;HIDE&gt;'!$B$46:$C$168,2,0)*I31*Q31*U31,0) + IFERROR(VLOOKUP(J31,'Emission Factors &lt;HIDE&gt;'!$B$46:$C$168,2,0)*K31*S31*U31*0.67,0) + IFERROR(VLOOKUP(H31,'Emission Factors &lt;HIDE&gt;'!$B$46:$C$168,2,0)*I31*R31,0) + IFERROR(VLOOKUP(J31,'Emission Factors &lt;HIDE&gt;'!$B$46:$C$168,2,0)*K31*T31,0))/'Definitions and Conversions'!$C$42))</f>
        <v/>
      </c>
      <c r="AB31" s="149" t="str">
        <f>IF(AND(ISBLANK(H31)),"",IF(G31='Defaults &lt;HIDE&gt;'!$D$21,(AA31-(IFERROR('Calculations &lt;HIDE&gt;'!X31*K31*S31*U31*0.67,0)+IFERROR('Calculations &lt;HIDE&gt;'!X31*K31*T31,0))/'Definitions and Conversions'!$C$42),(AA31-(IFERROR('Calculations &lt;HIDE&gt;'!X31*I31*Q31*U31,0)+IFERROR('Calculations &lt;HIDE&gt;'!X31*I31*R31,0)+IFERROR('Calculations &lt;HIDE&gt;'!X31*K31*S31*U31*0.67,0)+IFERROR('Calculations &lt;HIDE&gt;'!X31*K31*T31,0))/'Definitions and Conversions'!$C$42)))</f>
        <v/>
      </c>
      <c r="AC31" s="150" t="str">
        <f>IF(AND(F31="",E31&lt;&gt;""),0,IF(AND(ISBLANK(M31),ISBLANK(O31)),"",(IFERROR(VLOOKUP(M31,'Emission Factors &lt;HIDE&gt;'!$B$46:$C$168,2,0)*N31*V31*Z31,0) + IFERROR(VLOOKUP(O31,'Emission Factors &lt;HIDE&gt;'!$B$46:$C$168,2,0)*P31*X31*Z31*0.67,0) + IFERROR(VLOOKUP(M31,'Emission Factors &lt;HIDE&gt;'!$B$46:$C$168,2,0)*N31*W31,0) + IFERROR(VLOOKUP(O31,'Emission Factors &lt;HIDE&gt;'!$B$46:$C$168,2,0)*P31*Y31,0))/'Definitions and Conversions'!$C$42))</f>
        <v/>
      </c>
      <c r="AD31" s="677" t="str">
        <f t="shared" si="0"/>
        <v/>
      </c>
    </row>
    <row r="32" spans="1:34" ht="45" customHeight="1" x14ac:dyDescent="0.25">
      <c r="A32" s="143"/>
      <c r="B32" s="144" t="str">
        <f>IF('1. Project Info'!L32="","",'1. Project Info'!L32)</f>
        <v/>
      </c>
      <c r="C32" s="151">
        <f>IF(AND(OR('1. Project Info'!V32&gt;0,'1. Project Info'!Y32&gt;0),'1. Project Info'!P32=""),C31,'1. Project Info'!P32)</f>
        <v>0</v>
      </c>
      <c r="D32" s="146" t="str">
        <f>IF('1. Project Info'!R32="","",'1. Project Info'!R32)</f>
        <v/>
      </c>
      <c r="E32" s="147" t="str" cm="1">
        <f t="array" ref="E32">_xlfn.IFS('1. Project Info'!Q32&lt;&gt;"",'1. Project Info'!S32,AND('1. Project Info'!Q32="",'1. Project Info'!W32=0),'1. Project Info'!S32,'1. Project Info'!V32=0,"")</f>
        <v/>
      </c>
      <c r="F32" s="147" t="str" cm="1">
        <f t="array" ref="F32">_xlfn.IFS('1. Project Info'!R32&lt;&gt;"",'1. Project Info'!T32,AND('1. Project Info'!R32="",'1. Project Info'!Z32=0),'1. Project Info'!T32,'1. Project Info'!Y32=0,"")</f>
        <v/>
      </c>
      <c r="G32" s="510"/>
      <c r="H32" s="36"/>
      <c r="I32" s="687"/>
      <c r="J32" s="552"/>
      <c r="K32" s="691"/>
      <c r="L32" s="741"/>
      <c r="M32" s="28"/>
      <c r="N32" s="687"/>
      <c r="O32" s="545"/>
      <c r="P32" s="683"/>
      <c r="Q32" s="744" t="str">
        <f>IFERROR('Calculations &lt;HIDE&gt;'!CA32,"")</f>
        <v/>
      </c>
      <c r="R32" s="148" t="str">
        <f>IF(I32+K32&gt;50,'Emission Factors &lt;HIDE&gt;'!$C$204,IF(I32+K32&gt;0,'Emission Factors &lt;HIDE&gt;'!$C$203,""))</f>
        <v/>
      </c>
      <c r="S32" s="514" t="str">
        <f>IFERROR('Calculations &lt;HIDE&gt;'!CC32,"")</f>
        <v/>
      </c>
      <c r="T32" s="514" t="str">
        <f>IF(J32="","",IF(I32+K32&gt;50,'Emission Factors &lt;HIDE&gt;'!$C$204,IF(I32+K32&gt;0,'Emission Factors &lt;HIDE&gt;'!$C$203,"")))</f>
        <v/>
      </c>
      <c r="U32" s="681" t="str" cm="1">
        <f t="array" ref="U32">IF(G32="","",IFERROR(_xlfn.XLOOKUP(1,('Emission Factors &lt;HIDE&gt;'!$B$211:$B$219=C32)*('Emission Factors &lt;HIDE&gt;'!$C$211:$C$219&lt;=I32)*('Emission Factors &lt;HIDE&gt;'!$D$211:$D$219&gt;=I32),'Emission Factors &lt;HIDE&gt;'!$E$211:$E$219),""))</f>
        <v/>
      </c>
      <c r="V32" s="744" t="str">
        <f>IFERROR('Calculations &lt;HIDE&gt;'!CF32,"")</f>
        <v/>
      </c>
      <c r="W32" s="148" t="str">
        <f>IF(L32="","",IF(L32='Defaults &lt;HIDE&gt;'!$D$15,'Emission Factors &lt;HIDE&gt;'!$C$205,IF(N32+P32&gt;50,'Emission Factors &lt;HIDE&gt;'!$C$204,IF(N32+P32&gt;0,'Emission Factors &lt;HIDE&gt;'!$C$203))))</f>
        <v/>
      </c>
      <c r="X32" s="148" t="str">
        <f>IFERROR('Calculations &lt;HIDE&gt;'!CH32,"")</f>
        <v/>
      </c>
      <c r="Y32" s="148" t="str">
        <f>IF(O32="","",IF(L32='Defaults &lt;HIDE&gt;'!$D$15,'Emission Factors &lt;HIDE&gt;'!$C$205,IF(N32+P32&gt;50,'Emission Factors &lt;HIDE&gt;'!$C$204,IF(N32+P32&gt;0,'Emission Factors &lt;HIDE&gt;'!$C$203))))</f>
        <v/>
      </c>
      <c r="Z32" s="681" t="str" cm="1">
        <f t="array" ref="Z32">IF(L32="","",IFERROR(_xlfn.XLOOKUP(1,('Emission Factors &lt;HIDE&gt;'!$B$211:$B$219=C32)*('Emission Factors &lt;HIDE&gt;'!$C$211:$C$219&lt;=N32)*('Emission Factors &lt;HIDE&gt;'!$D$211:$D$219&gt;=N32),'Emission Factors &lt;HIDE&gt;'!$E$211:$E$219),""))</f>
        <v/>
      </c>
      <c r="AA32" s="149" t="str">
        <f>IF(AND(E32="",F32&lt;&gt;""),0,IF(AND(ISBLANK(H32),ISBLANK(J32)),"",(IFERROR(VLOOKUP(H32,'Emission Factors &lt;HIDE&gt;'!$B$46:$C$168,2,0)*I32*Q32*U32,0) + IFERROR(VLOOKUP(J32,'Emission Factors &lt;HIDE&gt;'!$B$46:$C$168,2,0)*K32*S32*U32*0.67,0) + IFERROR(VLOOKUP(H32,'Emission Factors &lt;HIDE&gt;'!$B$46:$C$168,2,0)*I32*R32,0) + IFERROR(VLOOKUP(J32,'Emission Factors &lt;HIDE&gt;'!$B$46:$C$168,2,0)*K32*T32,0))/'Definitions and Conversions'!$C$42))</f>
        <v/>
      </c>
      <c r="AB32" s="149" t="str">
        <f>IF(AND(ISBLANK(H32)),"",IF(G32='Defaults &lt;HIDE&gt;'!$D$21,(AA32-(IFERROR('Calculations &lt;HIDE&gt;'!X32*K32*S32*U32*0.67,0)+IFERROR('Calculations &lt;HIDE&gt;'!X32*K32*T32,0))/'Definitions and Conversions'!$C$42),(AA32-(IFERROR('Calculations &lt;HIDE&gt;'!X32*I32*Q32*U32,0)+IFERROR('Calculations &lt;HIDE&gt;'!X32*I32*R32,0)+IFERROR('Calculations &lt;HIDE&gt;'!X32*K32*S32*U32*0.67,0)+IFERROR('Calculations &lt;HIDE&gt;'!X32*K32*T32,0))/'Definitions and Conversions'!$C$42)))</f>
        <v/>
      </c>
      <c r="AC32" s="150" t="str">
        <f>IF(AND(F32="",E32&lt;&gt;""),0,IF(AND(ISBLANK(M32),ISBLANK(O32)),"",(IFERROR(VLOOKUP(M32,'Emission Factors &lt;HIDE&gt;'!$B$46:$C$168,2,0)*N32*V32*Z32,0) + IFERROR(VLOOKUP(O32,'Emission Factors &lt;HIDE&gt;'!$B$46:$C$168,2,0)*P32*X32*Z32*0.67,0) + IFERROR(VLOOKUP(M32,'Emission Factors &lt;HIDE&gt;'!$B$46:$C$168,2,0)*N32*W32,0) + IFERROR(VLOOKUP(O32,'Emission Factors &lt;HIDE&gt;'!$B$46:$C$168,2,0)*P32*Y32,0))/'Definitions and Conversions'!$C$42))</f>
        <v/>
      </c>
      <c r="AD32" s="677" t="str">
        <f t="shared" si="0"/>
        <v/>
      </c>
    </row>
    <row r="33" spans="1:30" ht="45" customHeight="1" x14ac:dyDescent="0.25">
      <c r="A33" s="143"/>
      <c r="B33" s="144" t="str">
        <f>IF('1. Project Info'!L33="","",'1. Project Info'!L33)</f>
        <v/>
      </c>
      <c r="C33" s="151">
        <f>IF(AND(OR('1. Project Info'!V33&gt;0,'1. Project Info'!Y33&gt;0),'1. Project Info'!P33=""),C32,'1. Project Info'!P33)</f>
        <v>0</v>
      </c>
      <c r="D33" s="146" t="str">
        <f>IF('1. Project Info'!R33="","",'1. Project Info'!R33)</f>
        <v/>
      </c>
      <c r="E33" s="147" t="str" cm="1">
        <f t="array" ref="E33">_xlfn.IFS('1. Project Info'!Q33&lt;&gt;"",'1. Project Info'!S33,AND('1. Project Info'!Q33="",'1. Project Info'!W33=0),'1. Project Info'!S33,'1. Project Info'!V33=0,"")</f>
        <v/>
      </c>
      <c r="F33" s="147" t="str" cm="1">
        <f t="array" ref="F33">_xlfn.IFS('1. Project Info'!R33&lt;&gt;"",'1. Project Info'!T33,AND('1. Project Info'!R33="",'1. Project Info'!Z33=0),'1. Project Info'!T33,'1. Project Info'!Y33=0,"")</f>
        <v/>
      </c>
      <c r="G33" s="509"/>
      <c r="H33" s="36"/>
      <c r="I33" s="686"/>
      <c r="J33" s="552"/>
      <c r="K33" s="691"/>
      <c r="L33" s="740"/>
      <c r="M33" s="28"/>
      <c r="N33" s="686"/>
      <c r="O33" s="545"/>
      <c r="P33" s="683"/>
      <c r="Q33" s="744" t="str">
        <f>IFERROR('Calculations &lt;HIDE&gt;'!CA33,"")</f>
        <v/>
      </c>
      <c r="R33" s="148" t="str">
        <f>IF(I33+K33&gt;50,'Emission Factors &lt;HIDE&gt;'!$C$204,IF(I33+K33&gt;0,'Emission Factors &lt;HIDE&gt;'!$C$203,""))</f>
        <v/>
      </c>
      <c r="S33" s="514" t="str">
        <f>IFERROR('Calculations &lt;HIDE&gt;'!CC33,"")</f>
        <v/>
      </c>
      <c r="T33" s="514" t="str">
        <f>IF(J33="","",IF(I33+K33&gt;50,'Emission Factors &lt;HIDE&gt;'!$C$204,IF(I33+K33&gt;0,'Emission Factors &lt;HIDE&gt;'!$C$203,"")))</f>
        <v/>
      </c>
      <c r="U33" s="681" t="str" cm="1">
        <f t="array" ref="U33">IF(G33="","",IFERROR(_xlfn.XLOOKUP(1,('Emission Factors &lt;HIDE&gt;'!$B$211:$B$219=C33)*('Emission Factors &lt;HIDE&gt;'!$C$211:$C$219&lt;=I33)*('Emission Factors &lt;HIDE&gt;'!$D$211:$D$219&gt;=I33),'Emission Factors &lt;HIDE&gt;'!$E$211:$E$219),""))</f>
        <v/>
      </c>
      <c r="V33" s="744" t="str">
        <f>IFERROR('Calculations &lt;HIDE&gt;'!CF33,"")</f>
        <v/>
      </c>
      <c r="W33" s="148" t="str">
        <f>IF(L33="","",IF(L33='Defaults &lt;HIDE&gt;'!$D$15,'Emission Factors &lt;HIDE&gt;'!$C$205,IF(N33+P33&gt;50,'Emission Factors &lt;HIDE&gt;'!$C$204,IF(N33+P33&gt;0,'Emission Factors &lt;HIDE&gt;'!$C$203))))</f>
        <v/>
      </c>
      <c r="X33" s="148" t="str">
        <f>IFERROR('Calculations &lt;HIDE&gt;'!CH33,"")</f>
        <v/>
      </c>
      <c r="Y33" s="148" t="str">
        <f>IF(O33="","",IF(L33='Defaults &lt;HIDE&gt;'!$D$15,'Emission Factors &lt;HIDE&gt;'!$C$205,IF(N33+P33&gt;50,'Emission Factors &lt;HIDE&gt;'!$C$204,IF(N33+P33&gt;0,'Emission Factors &lt;HIDE&gt;'!$C$203))))</f>
        <v/>
      </c>
      <c r="Z33" s="681" t="str" cm="1">
        <f t="array" ref="Z33">IF(L33="","",IFERROR(_xlfn.XLOOKUP(1,('Emission Factors &lt;HIDE&gt;'!$B$211:$B$219=C33)*('Emission Factors &lt;HIDE&gt;'!$C$211:$C$219&lt;=N33)*('Emission Factors &lt;HIDE&gt;'!$D$211:$D$219&gt;=N33),'Emission Factors &lt;HIDE&gt;'!$E$211:$E$219),""))</f>
        <v/>
      </c>
      <c r="AA33" s="149" t="str">
        <f>IF(AND(E33="",F33&lt;&gt;""),0,IF(AND(ISBLANK(H33),ISBLANK(J33)),"",(IFERROR(VLOOKUP(H33,'Emission Factors &lt;HIDE&gt;'!$B$46:$C$168,2,0)*I33*Q33*U33,0) + IFERROR(VLOOKUP(J33,'Emission Factors &lt;HIDE&gt;'!$B$46:$C$168,2,0)*K33*S33*U33*0.67,0) + IFERROR(VLOOKUP(H33,'Emission Factors &lt;HIDE&gt;'!$B$46:$C$168,2,0)*I33*R33,0) + IFERROR(VLOOKUP(J33,'Emission Factors &lt;HIDE&gt;'!$B$46:$C$168,2,0)*K33*T33,0))/'Definitions and Conversions'!$C$42))</f>
        <v/>
      </c>
      <c r="AB33" s="149" t="str">
        <f>IF(AND(ISBLANK(H33)),"",IF(G33='Defaults &lt;HIDE&gt;'!$D$21,(AA33-(IFERROR('Calculations &lt;HIDE&gt;'!X33*K33*S33*U33*0.67,0)+IFERROR('Calculations &lt;HIDE&gt;'!X33*K33*T33,0))/'Definitions and Conversions'!$C$42),(AA33-(IFERROR('Calculations &lt;HIDE&gt;'!X33*I33*Q33*U33,0)+IFERROR('Calculations &lt;HIDE&gt;'!X33*I33*R33,0)+IFERROR('Calculations &lt;HIDE&gt;'!X33*K33*S33*U33*0.67,0)+IFERROR('Calculations &lt;HIDE&gt;'!X33*K33*T33,0))/'Definitions and Conversions'!$C$42)))</f>
        <v/>
      </c>
      <c r="AC33" s="150" t="str">
        <f>IF(AND(F33="",E33&lt;&gt;""),0,IF(AND(ISBLANK(M33),ISBLANK(O33)),"",(IFERROR(VLOOKUP(M33,'Emission Factors &lt;HIDE&gt;'!$B$46:$C$168,2,0)*N33*V33*Z33,0) + IFERROR(VLOOKUP(O33,'Emission Factors &lt;HIDE&gt;'!$B$46:$C$168,2,0)*P33*X33*Z33*0.67,0) + IFERROR(VLOOKUP(M33,'Emission Factors &lt;HIDE&gt;'!$B$46:$C$168,2,0)*N33*W33,0) + IFERROR(VLOOKUP(O33,'Emission Factors &lt;HIDE&gt;'!$B$46:$C$168,2,0)*P33*Y33,0))/'Definitions and Conversions'!$C$42))</f>
        <v/>
      </c>
      <c r="AD33" s="677" t="str">
        <f t="shared" si="0"/>
        <v/>
      </c>
    </row>
    <row r="34" spans="1:30" ht="45" customHeight="1" x14ac:dyDescent="0.25">
      <c r="A34" s="143"/>
      <c r="B34" s="144" t="str">
        <f>IF('1. Project Info'!L34="","",'1. Project Info'!L34)</f>
        <v/>
      </c>
      <c r="C34" s="151">
        <f>IF(AND(OR('1. Project Info'!V34&gt;0,'1. Project Info'!Y34&gt;0),'1. Project Info'!P34=""),C33,'1. Project Info'!P34)</f>
        <v>0</v>
      </c>
      <c r="D34" s="146" t="str">
        <f>IF('1. Project Info'!R34="","",'1. Project Info'!R34)</f>
        <v/>
      </c>
      <c r="E34" s="147" t="str" cm="1">
        <f t="array" ref="E34">_xlfn.IFS('1. Project Info'!Q34&lt;&gt;"",'1. Project Info'!S34,AND('1. Project Info'!Q34="",'1. Project Info'!W34=0),'1. Project Info'!S34,'1. Project Info'!V34=0,"")</f>
        <v/>
      </c>
      <c r="F34" s="147" t="str" cm="1">
        <f t="array" ref="F34">_xlfn.IFS('1. Project Info'!R34&lt;&gt;"",'1. Project Info'!T34,AND('1. Project Info'!R34="",'1. Project Info'!Z34=0),'1. Project Info'!T34,'1. Project Info'!Y34=0,"")</f>
        <v/>
      </c>
      <c r="G34" s="510"/>
      <c r="H34" s="36"/>
      <c r="I34" s="687"/>
      <c r="J34" s="552"/>
      <c r="K34" s="691"/>
      <c r="L34" s="741"/>
      <c r="M34" s="28"/>
      <c r="N34" s="687"/>
      <c r="O34" s="545"/>
      <c r="P34" s="683"/>
      <c r="Q34" s="744" t="str">
        <f>IFERROR('Calculations &lt;HIDE&gt;'!CA34,"")</f>
        <v/>
      </c>
      <c r="R34" s="148" t="str">
        <f>IF(I34+K34&gt;50,'Emission Factors &lt;HIDE&gt;'!$C$204,IF(I34+K34&gt;0,'Emission Factors &lt;HIDE&gt;'!$C$203,""))</f>
        <v/>
      </c>
      <c r="S34" s="514" t="str">
        <f>IFERROR('Calculations &lt;HIDE&gt;'!CC34,"")</f>
        <v/>
      </c>
      <c r="T34" s="514" t="str">
        <f>IF(J34="","",IF(I34+K34&gt;50,'Emission Factors &lt;HIDE&gt;'!$C$204,IF(I34+K34&gt;0,'Emission Factors &lt;HIDE&gt;'!$C$203,"")))</f>
        <v/>
      </c>
      <c r="U34" s="681" t="str" cm="1">
        <f t="array" ref="U34">IF(G34="","",IFERROR(_xlfn.XLOOKUP(1,('Emission Factors &lt;HIDE&gt;'!$B$211:$B$219=C34)*('Emission Factors &lt;HIDE&gt;'!$C$211:$C$219&lt;=I34)*('Emission Factors &lt;HIDE&gt;'!$D$211:$D$219&gt;=I34),'Emission Factors &lt;HIDE&gt;'!$E$211:$E$219),""))</f>
        <v/>
      </c>
      <c r="V34" s="744" t="str">
        <f>IFERROR('Calculations &lt;HIDE&gt;'!CF34,"")</f>
        <v/>
      </c>
      <c r="W34" s="148" t="str">
        <f>IF(L34="","",IF(L34='Defaults &lt;HIDE&gt;'!$D$15,'Emission Factors &lt;HIDE&gt;'!$C$205,IF(N34+P34&gt;50,'Emission Factors &lt;HIDE&gt;'!$C$204,IF(N34+P34&gt;0,'Emission Factors &lt;HIDE&gt;'!$C$203))))</f>
        <v/>
      </c>
      <c r="X34" s="148" t="str">
        <f>IFERROR('Calculations &lt;HIDE&gt;'!CH34,"")</f>
        <v/>
      </c>
      <c r="Y34" s="148" t="str">
        <f>IF(O34="","",IF(L34='Defaults &lt;HIDE&gt;'!$D$15,'Emission Factors &lt;HIDE&gt;'!$C$205,IF(N34+P34&gt;50,'Emission Factors &lt;HIDE&gt;'!$C$204,IF(N34+P34&gt;0,'Emission Factors &lt;HIDE&gt;'!$C$203))))</f>
        <v/>
      </c>
      <c r="Z34" s="681" t="str" cm="1">
        <f t="array" ref="Z34">IF(L34="","",IFERROR(_xlfn.XLOOKUP(1,('Emission Factors &lt;HIDE&gt;'!$B$211:$B$219=C34)*('Emission Factors &lt;HIDE&gt;'!$C$211:$C$219&lt;=N34)*('Emission Factors &lt;HIDE&gt;'!$D$211:$D$219&gt;=N34),'Emission Factors &lt;HIDE&gt;'!$E$211:$E$219),""))</f>
        <v/>
      </c>
      <c r="AA34" s="149" t="str">
        <f>IF(AND(E34="",F34&lt;&gt;""),0,IF(AND(ISBLANK(H34),ISBLANK(J34)),"",(IFERROR(VLOOKUP(H34,'Emission Factors &lt;HIDE&gt;'!$B$46:$C$168,2,0)*I34*Q34*U34,0) + IFERROR(VLOOKUP(J34,'Emission Factors &lt;HIDE&gt;'!$B$46:$C$168,2,0)*K34*S34*U34*0.67,0) + IFERROR(VLOOKUP(H34,'Emission Factors &lt;HIDE&gt;'!$B$46:$C$168,2,0)*I34*R34,0) + IFERROR(VLOOKUP(J34,'Emission Factors &lt;HIDE&gt;'!$B$46:$C$168,2,0)*K34*T34,0))/'Definitions and Conversions'!$C$42))</f>
        <v/>
      </c>
      <c r="AB34" s="149" t="str">
        <f>IF(AND(ISBLANK(H34)),"",IF(G34='Defaults &lt;HIDE&gt;'!$D$21,(AA34-(IFERROR('Calculations &lt;HIDE&gt;'!X34*K34*S34*U34*0.67,0)+IFERROR('Calculations &lt;HIDE&gt;'!X34*K34*T34,0))/'Definitions and Conversions'!$C$42),(AA34-(IFERROR('Calculations &lt;HIDE&gt;'!X34*I34*Q34*U34,0)+IFERROR('Calculations &lt;HIDE&gt;'!X34*I34*R34,0)+IFERROR('Calculations &lt;HIDE&gt;'!X34*K34*S34*U34*0.67,0)+IFERROR('Calculations &lt;HIDE&gt;'!X34*K34*T34,0))/'Definitions and Conversions'!$C$42)))</f>
        <v/>
      </c>
      <c r="AC34" s="150" t="str">
        <f>IF(AND(F34="",E34&lt;&gt;""),0,IF(AND(ISBLANK(M34),ISBLANK(O34)),"",(IFERROR(VLOOKUP(M34,'Emission Factors &lt;HIDE&gt;'!$B$46:$C$168,2,0)*N34*V34*Z34,0) + IFERROR(VLOOKUP(O34,'Emission Factors &lt;HIDE&gt;'!$B$46:$C$168,2,0)*P34*X34*Z34*0.67,0) + IFERROR(VLOOKUP(M34,'Emission Factors &lt;HIDE&gt;'!$B$46:$C$168,2,0)*N34*W34,0) + IFERROR(VLOOKUP(O34,'Emission Factors &lt;HIDE&gt;'!$B$46:$C$168,2,0)*P34*Y34,0))/'Definitions and Conversions'!$C$42))</f>
        <v/>
      </c>
      <c r="AD34" s="677" t="str">
        <f t="shared" si="0"/>
        <v/>
      </c>
    </row>
    <row r="35" spans="1:30" ht="45" customHeight="1" x14ac:dyDescent="0.25">
      <c r="A35" s="143"/>
      <c r="B35" s="144" t="str">
        <f>IF('1. Project Info'!L35="","",'1. Project Info'!L35)</f>
        <v/>
      </c>
      <c r="C35" s="151">
        <f>IF(AND(OR('1. Project Info'!V35&gt;0,'1. Project Info'!Y35&gt;0),'1. Project Info'!P35=""),C34,'1. Project Info'!P35)</f>
        <v>0</v>
      </c>
      <c r="D35" s="146" t="str">
        <f>IF('1. Project Info'!R35="","",'1. Project Info'!R35)</f>
        <v/>
      </c>
      <c r="E35" s="147" t="str" cm="1">
        <f t="array" ref="E35">_xlfn.IFS('1. Project Info'!Q35&lt;&gt;"",'1. Project Info'!S35,AND('1. Project Info'!Q35="",'1. Project Info'!W35=0),'1. Project Info'!S35,'1. Project Info'!V35=0,"")</f>
        <v/>
      </c>
      <c r="F35" s="147" t="str" cm="1">
        <f t="array" ref="F35">_xlfn.IFS('1. Project Info'!R35&lt;&gt;"",'1. Project Info'!T35,AND('1. Project Info'!R35="",'1. Project Info'!Z35=0),'1. Project Info'!T35,'1. Project Info'!Y35=0,"")</f>
        <v/>
      </c>
      <c r="G35" s="510"/>
      <c r="H35" s="36"/>
      <c r="I35" s="687"/>
      <c r="J35" s="552"/>
      <c r="K35" s="691"/>
      <c r="L35" s="741"/>
      <c r="M35" s="28"/>
      <c r="N35" s="687"/>
      <c r="O35" s="545"/>
      <c r="P35" s="683"/>
      <c r="Q35" s="744" t="str">
        <f>IFERROR('Calculations &lt;HIDE&gt;'!CA35,"")</f>
        <v/>
      </c>
      <c r="R35" s="148" t="str">
        <f>IF(I35+K35&gt;50,'Emission Factors &lt;HIDE&gt;'!$C$204,IF(I35+K35&gt;0,'Emission Factors &lt;HIDE&gt;'!$C$203,""))</f>
        <v/>
      </c>
      <c r="S35" s="514" t="str">
        <f>IFERROR('Calculations &lt;HIDE&gt;'!CC35,"")</f>
        <v/>
      </c>
      <c r="T35" s="514" t="str">
        <f>IF(J35="","",IF(I35+K35&gt;50,'Emission Factors &lt;HIDE&gt;'!$C$204,IF(I35+K35&gt;0,'Emission Factors &lt;HIDE&gt;'!$C$203,"")))</f>
        <v/>
      </c>
      <c r="U35" s="681" t="str" cm="1">
        <f t="array" ref="U35">IF(G35="","",IFERROR(_xlfn.XLOOKUP(1,('Emission Factors &lt;HIDE&gt;'!$B$211:$B$219=C35)*('Emission Factors &lt;HIDE&gt;'!$C$211:$C$219&lt;=I35)*('Emission Factors &lt;HIDE&gt;'!$D$211:$D$219&gt;=I35),'Emission Factors &lt;HIDE&gt;'!$E$211:$E$219),""))</f>
        <v/>
      </c>
      <c r="V35" s="744" t="str">
        <f>IFERROR('Calculations &lt;HIDE&gt;'!CF35,"")</f>
        <v/>
      </c>
      <c r="W35" s="148" t="str">
        <f>IF(L35="","",IF(L35='Defaults &lt;HIDE&gt;'!$D$15,'Emission Factors &lt;HIDE&gt;'!$C$205,IF(N35+P35&gt;50,'Emission Factors &lt;HIDE&gt;'!$C$204,IF(N35+P35&gt;0,'Emission Factors &lt;HIDE&gt;'!$C$203))))</f>
        <v/>
      </c>
      <c r="X35" s="148" t="str">
        <f>IFERROR('Calculations &lt;HIDE&gt;'!CH35,"")</f>
        <v/>
      </c>
      <c r="Y35" s="148" t="str">
        <f>IF(O35="","",IF(L35='Defaults &lt;HIDE&gt;'!$D$15,'Emission Factors &lt;HIDE&gt;'!$C$205,IF(N35+P35&gt;50,'Emission Factors &lt;HIDE&gt;'!$C$204,IF(N35+P35&gt;0,'Emission Factors &lt;HIDE&gt;'!$C$203))))</f>
        <v/>
      </c>
      <c r="Z35" s="681" t="str" cm="1">
        <f t="array" ref="Z35">IF(L35="","",IFERROR(_xlfn.XLOOKUP(1,('Emission Factors &lt;HIDE&gt;'!$B$211:$B$219=C35)*('Emission Factors &lt;HIDE&gt;'!$C$211:$C$219&lt;=N35)*('Emission Factors &lt;HIDE&gt;'!$D$211:$D$219&gt;=N35),'Emission Factors &lt;HIDE&gt;'!$E$211:$E$219),""))</f>
        <v/>
      </c>
      <c r="AA35" s="149" t="str">
        <f>IF(AND(E35="",F35&lt;&gt;""),0,IF(AND(ISBLANK(H35),ISBLANK(J35)),"",(IFERROR(VLOOKUP(H35,'Emission Factors &lt;HIDE&gt;'!$B$46:$C$168,2,0)*I35*Q35*U35,0) + IFERROR(VLOOKUP(J35,'Emission Factors &lt;HIDE&gt;'!$B$46:$C$168,2,0)*K35*S35*U35*0.67,0) + IFERROR(VLOOKUP(H35,'Emission Factors &lt;HIDE&gt;'!$B$46:$C$168,2,0)*I35*R35,0) + IFERROR(VLOOKUP(J35,'Emission Factors &lt;HIDE&gt;'!$B$46:$C$168,2,0)*K35*T35,0))/'Definitions and Conversions'!$C$42))</f>
        <v/>
      </c>
      <c r="AB35" s="149" t="str">
        <f>IF(AND(ISBLANK(H35)),"",IF(G35='Defaults &lt;HIDE&gt;'!$D$21,(AA35-(IFERROR('Calculations &lt;HIDE&gt;'!X35*K35*S35*U35*0.67,0)+IFERROR('Calculations &lt;HIDE&gt;'!X35*K35*T35,0))/'Definitions and Conversions'!$C$42),(AA35-(IFERROR('Calculations &lt;HIDE&gt;'!X35*I35*Q35*U35,0)+IFERROR('Calculations &lt;HIDE&gt;'!X35*I35*R35,0)+IFERROR('Calculations &lt;HIDE&gt;'!X35*K35*S35*U35*0.67,0)+IFERROR('Calculations &lt;HIDE&gt;'!X35*K35*T35,0))/'Definitions and Conversions'!$C$42)))</f>
        <v/>
      </c>
      <c r="AC35" s="150" t="str">
        <f>IF(AND(F35="",E35&lt;&gt;""),0,IF(AND(ISBLANK(M35),ISBLANK(O35)),"",(IFERROR(VLOOKUP(M35,'Emission Factors &lt;HIDE&gt;'!$B$46:$C$168,2,0)*N35*V35*Z35,0) + IFERROR(VLOOKUP(O35,'Emission Factors &lt;HIDE&gt;'!$B$46:$C$168,2,0)*P35*X35*Z35*0.67,0) + IFERROR(VLOOKUP(M35,'Emission Factors &lt;HIDE&gt;'!$B$46:$C$168,2,0)*N35*W35,0) + IFERROR(VLOOKUP(O35,'Emission Factors &lt;HIDE&gt;'!$B$46:$C$168,2,0)*P35*Y35,0))/'Definitions and Conversions'!$C$42))</f>
        <v/>
      </c>
      <c r="AD35" s="677" t="str">
        <f t="shared" si="0"/>
        <v/>
      </c>
    </row>
    <row r="36" spans="1:30" ht="45" customHeight="1" x14ac:dyDescent="0.25">
      <c r="A36" s="143"/>
      <c r="B36" s="144" t="str">
        <f>IF('1. Project Info'!L36="","",'1. Project Info'!L36)</f>
        <v/>
      </c>
      <c r="C36" s="151">
        <f>IF(AND(OR('1. Project Info'!V36&gt;0,'1. Project Info'!Y36&gt;0),'1. Project Info'!P36=""),C35,'1. Project Info'!P36)</f>
        <v>0</v>
      </c>
      <c r="D36" s="146" t="str">
        <f>IF('1. Project Info'!R36="","",'1. Project Info'!R36)</f>
        <v/>
      </c>
      <c r="E36" s="147" t="str" cm="1">
        <f t="array" ref="E36">_xlfn.IFS('1. Project Info'!Q36&lt;&gt;"",'1. Project Info'!S36,AND('1. Project Info'!Q36="",'1. Project Info'!W36=0),'1. Project Info'!S36,'1. Project Info'!V36=0,"")</f>
        <v/>
      </c>
      <c r="F36" s="147" t="str" cm="1">
        <f t="array" ref="F36">_xlfn.IFS('1. Project Info'!R36&lt;&gt;"",'1. Project Info'!T36,AND('1. Project Info'!R36="",'1. Project Info'!Z36=0),'1. Project Info'!T36,'1. Project Info'!Y36=0,"")</f>
        <v/>
      </c>
      <c r="G36" s="510"/>
      <c r="H36" s="36"/>
      <c r="I36" s="687"/>
      <c r="J36" s="552"/>
      <c r="K36" s="691"/>
      <c r="L36" s="741"/>
      <c r="M36" s="28"/>
      <c r="N36" s="687"/>
      <c r="O36" s="545"/>
      <c r="P36" s="683"/>
      <c r="Q36" s="744" t="str">
        <f>IFERROR('Calculations &lt;HIDE&gt;'!CA36,"")</f>
        <v/>
      </c>
      <c r="R36" s="148" t="str">
        <f>IF(I36+K36&gt;50,'Emission Factors &lt;HIDE&gt;'!$C$204,IF(I36+K36&gt;0,'Emission Factors &lt;HIDE&gt;'!$C$203,""))</f>
        <v/>
      </c>
      <c r="S36" s="514" t="str">
        <f>IFERROR('Calculations &lt;HIDE&gt;'!CC36,"")</f>
        <v/>
      </c>
      <c r="T36" s="514" t="str">
        <f>IF(J36="","",IF(I36+K36&gt;50,'Emission Factors &lt;HIDE&gt;'!$C$204,IF(I36+K36&gt;0,'Emission Factors &lt;HIDE&gt;'!$C$203,"")))</f>
        <v/>
      </c>
      <c r="U36" s="681" t="str" cm="1">
        <f t="array" ref="U36">IF(G36="","",IFERROR(_xlfn.XLOOKUP(1,('Emission Factors &lt;HIDE&gt;'!$B$211:$B$219=C36)*('Emission Factors &lt;HIDE&gt;'!$C$211:$C$219&lt;=I36)*('Emission Factors &lt;HIDE&gt;'!$D$211:$D$219&gt;=I36),'Emission Factors &lt;HIDE&gt;'!$E$211:$E$219),""))</f>
        <v/>
      </c>
      <c r="V36" s="744" t="str">
        <f>IFERROR('Calculations &lt;HIDE&gt;'!CF36,"")</f>
        <v/>
      </c>
      <c r="W36" s="148" t="str">
        <f>IF(L36="","",IF(L36='Defaults &lt;HIDE&gt;'!$D$15,'Emission Factors &lt;HIDE&gt;'!$C$205,IF(N36+P36&gt;50,'Emission Factors &lt;HIDE&gt;'!$C$204,IF(N36+P36&gt;0,'Emission Factors &lt;HIDE&gt;'!$C$203))))</f>
        <v/>
      </c>
      <c r="X36" s="148" t="str">
        <f>IFERROR('Calculations &lt;HIDE&gt;'!CH36,"")</f>
        <v/>
      </c>
      <c r="Y36" s="148" t="str">
        <f>IF(O36="","",IF(L36='Defaults &lt;HIDE&gt;'!$D$15,'Emission Factors &lt;HIDE&gt;'!$C$205,IF(N36+P36&gt;50,'Emission Factors &lt;HIDE&gt;'!$C$204,IF(N36+P36&gt;0,'Emission Factors &lt;HIDE&gt;'!$C$203))))</f>
        <v/>
      </c>
      <c r="Z36" s="681" t="str" cm="1">
        <f t="array" ref="Z36">IF(L36="","",IFERROR(_xlfn.XLOOKUP(1,('Emission Factors &lt;HIDE&gt;'!$B$211:$B$219=C36)*('Emission Factors &lt;HIDE&gt;'!$C$211:$C$219&lt;=N36)*('Emission Factors &lt;HIDE&gt;'!$D$211:$D$219&gt;=N36),'Emission Factors &lt;HIDE&gt;'!$E$211:$E$219),""))</f>
        <v/>
      </c>
      <c r="AA36" s="149" t="str">
        <f>IF(AND(E36="",F36&lt;&gt;""),0,IF(AND(ISBLANK(H36),ISBLANK(J36)),"",(IFERROR(VLOOKUP(H36,'Emission Factors &lt;HIDE&gt;'!$B$46:$C$168,2,0)*I36*Q36*U36,0) + IFERROR(VLOOKUP(J36,'Emission Factors &lt;HIDE&gt;'!$B$46:$C$168,2,0)*K36*S36*U36*0.67,0) + IFERROR(VLOOKUP(H36,'Emission Factors &lt;HIDE&gt;'!$B$46:$C$168,2,0)*I36*R36,0) + IFERROR(VLOOKUP(J36,'Emission Factors &lt;HIDE&gt;'!$B$46:$C$168,2,0)*K36*T36,0))/'Definitions and Conversions'!$C$42))</f>
        <v/>
      </c>
      <c r="AB36" s="149" t="str">
        <f>IF(AND(ISBLANK(H36)),"",IF(G36='Defaults &lt;HIDE&gt;'!$D$21,(AA36-(IFERROR('Calculations &lt;HIDE&gt;'!X36*K36*S36*U36*0.67,0)+IFERROR('Calculations &lt;HIDE&gt;'!X36*K36*T36,0))/'Definitions and Conversions'!$C$42),(AA36-(IFERROR('Calculations &lt;HIDE&gt;'!X36*I36*Q36*U36,0)+IFERROR('Calculations &lt;HIDE&gt;'!X36*I36*R36,0)+IFERROR('Calculations &lt;HIDE&gt;'!X36*K36*S36*U36*0.67,0)+IFERROR('Calculations &lt;HIDE&gt;'!X36*K36*T36,0))/'Definitions and Conversions'!$C$42)))</f>
        <v/>
      </c>
      <c r="AC36" s="150" t="str">
        <f>IF(AND(F36="",E36&lt;&gt;""),0,IF(AND(ISBLANK(M36),ISBLANK(O36)),"",(IFERROR(VLOOKUP(M36,'Emission Factors &lt;HIDE&gt;'!$B$46:$C$168,2,0)*N36*V36*Z36,0) + IFERROR(VLOOKUP(O36,'Emission Factors &lt;HIDE&gt;'!$B$46:$C$168,2,0)*P36*X36*Z36*0.67,0) + IFERROR(VLOOKUP(M36,'Emission Factors &lt;HIDE&gt;'!$B$46:$C$168,2,0)*N36*W36,0) + IFERROR(VLOOKUP(O36,'Emission Factors &lt;HIDE&gt;'!$B$46:$C$168,2,0)*P36*Y36,0))/'Definitions and Conversions'!$C$42))</f>
        <v/>
      </c>
      <c r="AD36" s="677" t="str">
        <f t="shared" si="0"/>
        <v/>
      </c>
    </row>
    <row r="37" spans="1:30" ht="45" customHeight="1" x14ac:dyDescent="0.25">
      <c r="A37" s="143"/>
      <c r="B37" s="144" t="str">
        <f>IF('1. Project Info'!L37="","",'1. Project Info'!L37)</f>
        <v/>
      </c>
      <c r="C37" s="151">
        <f>IF(AND(OR('1. Project Info'!V37&gt;0,'1. Project Info'!Y37&gt;0),'1. Project Info'!P37=""),C36,'1. Project Info'!P37)</f>
        <v>0</v>
      </c>
      <c r="D37" s="146" t="str">
        <f>IF('1. Project Info'!R37="","",'1. Project Info'!R37)</f>
        <v/>
      </c>
      <c r="E37" s="147" t="str" cm="1">
        <f t="array" ref="E37">_xlfn.IFS('1. Project Info'!Q37&lt;&gt;"",'1. Project Info'!S37,AND('1. Project Info'!Q37="",'1. Project Info'!W37=0),'1. Project Info'!S37,'1. Project Info'!V37=0,"")</f>
        <v/>
      </c>
      <c r="F37" s="147" t="str" cm="1">
        <f t="array" ref="F37">_xlfn.IFS('1. Project Info'!R37&lt;&gt;"",'1. Project Info'!T37,AND('1. Project Info'!R37="",'1. Project Info'!Z37=0),'1. Project Info'!T37,'1. Project Info'!Y37=0,"")</f>
        <v/>
      </c>
      <c r="G37" s="510"/>
      <c r="H37" s="36"/>
      <c r="I37" s="687"/>
      <c r="J37" s="552"/>
      <c r="K37" s="691"/>
      <c r="L37" s="741"/>
      <c r="M37" s="28"/>
      <c r="N37" s="687"/>
      <c r="O37" s="545"/>
      <c r="P37" s="683"/>
      <c r="Q37" s="744" t="str">
        <f>IFERROR('Calculations &lt;HIDE&gt;'!CA37,"")</f>
        <v/>
      </c>
      <c r="R37" s="148" t="str">
        <f>IF(I37+K37&gt;50,'Emission Factors &lt;HIDE&gt;'!$C$204,IF(I37+K37&gt;0,'Emission Factors &lt;HIDE&gt;'!$C$203,""))</f>
        <v/>
      </c>
      <c r="S37" s="514" t="str">
        <f>IFERROR('Calculations &lt;HIDE&gt;'!CC37,"")</f>
        <v/>
      </c>
      <c r="T37" s="514" t="str">
        <f>IF(J37="","",IF(I37+K37&gt;50,'Emission Factors &lt;HIDE&gt;'!$C$204,IF(I37+K37&gt;0,'Emission Factors &lt;HIDE&gt;'!$C$203,"")))</f>
        <v/>
      </c>
      <c r="U37" s="681" t="str" cm="1">
        <f t="array" ref="U37">IF(G37="","",IFERROR(_xlfn.XLOOKUP(1,('Emission Factors &lt;HIDE&gt;'!$B$211:$B$219=C37)*('Emission Factors &lt;HIDE&gt;'!$C$211:$C$219&lt;=I37)*('Emission Factors &lt;HIDE&gt;'!$D$211:$D$219&gt;=I37),'Emission Factors &lt;HIDE&gt;'!$E$211:$E$219),""))</f>
        <v/>
      </c>
      <c r="V37" s="744" t="str">
        <f>IFERROR('Calculations &lt;HIDE&gt;'!CF37,"")</f>
        <v/>
      </c>
      <c r="W37" s="148" t="str">
        <f>IF(L37="","",IF(L37='Defaults &lt;HIDE&gt;'!$D$15,'Emission Factors &lt;HIDE&gt;'!$C$205,IF(N37+P37&gt;50,'Emission Factors &lt;HIDE&gt;'!$C$204,IF(N37+P37&gt;0,'Emission Factors &lt;HIDE&gt;'!$C$203))))</f>
        <v/>
      </c>
      <c r="X37" s="148" t="str">
        <f>IFERROR('Calculations &lt;HIDE&gt;'!CH37,"")</f>
        <v/>
      </c>
      <c r="Y37" s="148" t="str">
        <f>IF(O37="","",IF(L37='Defaults &lt;HIDE&gt;'!$D$15,'Emission Factors &lt;HIDE&gt;'!$C$205,IF(N37+P37&gt;50,'Emission Factors &lt;HIDE&gt;'!$C$204,IF(N37+P37&gt;0,'Emission Factors &lt;HIDE&gt;'!$C$203))))</f>
        <v/>
      </c>
      <c r="Z37" s="681" t="str" cm="1">
        <f t="array" ref="Z37">IF(L37="","",IFERROR(_xlfn.XLOOKUP(1,('Emission Factors &lt;HIDE&gt;'!$B$211:$B$219=C37)*('Emission Factors &lt;HIDE&gt;'!$C$211:$C$219&lt;=N37)*('Emission Factors &lt;HIDE&gt;'!$D$211:$D$219&gt;=N37),'Emission Factors &lt;HIDE&gt;'!$E$211:$E$219),""))</f>
        <v/>
      </c>
      <c r="AA37" s="149" t="str">
        <f>IF(AND(E37="",F37&lt;&gt;""),0,IF(AND(ISBLANK(H37),ISBLANK(J37)),"",(IFERROR(VLOOKUP(H37,'Emission Factors &lt;HIDE&gt;'!$B$46:$C$168,2,0)*I37*Q37*U37,0) + IFERROR(VLOOKUP(J37,'Emission Factors &lt;HIDE&gt;'!$B$46:$C$168,2,0)*K37*S37*U37*0.67,0) + IFERROR(VLOOKUP(H37,'Emission Factors &lt;HIDE&gt;'!$B$46:$C$168,2,0)*I37*R37,0) + IFERROR(VLOOKUP(J37,'Emission Factors &lt;HIDE&gt;'!$B$46:$C$168,2,0)*K37*T37,0))/'Definitions and Conversions'!$C$42))</f>
        <v/>
      </c>
      <c r="AB37" s="149" t="str">
        <f>IF(AND(ISBLANK(H37)),"",IF(G37='Defaults &lt;HIDE&gt;'!$D$21,(AA37-(IFERROR('Calculations &lt;HIDE&gt;'!X37*K37*S37*U37*0.67,0)+IFERROR('Calculations &lt;HIDE&gt;'!X37*K37*T37,0))/'Definitions and Conversions'!$C$42),(AA37-(IFERROR('Calculations &lt;HIDE&gt;'!X37*I37*Q37*U37,0)+IFERROR('Calculations &lt;HIDE&gt;'!X37*I37*R37,0)+IFERROR('Calculations &lt;HIDE&gt;'!X37*K37*S37*U37*0.67,0)+IFERROR('Calculations &lt;HIDE&gt;'!X37*K37*T37,0))/'Definitions and Conversions'!$C$42)))</f>
        <v/>
      </c>
      <c r="AC37" s="150" t="str">
        <f>IF(AND(F37="",E37&lt;&gt;""),0,IF(AND(ISBLANK(M37),ISBLANK(O37)),"",(IFERROR(VLOOKUP(M37,'Emission Factors &lt;HIDE&gt;'!$B$46:$C$168,2,0)*N37*V37*Z37,0) + IFERROR(VLOOKUP(O37,'Emission Factors &lt;HIDE&gt;'!$B$46:$C$168,2,0)*P37*X37*Z37*0.67,0) + IFERROR(VLOOKUP(M37,'Emission Factors &lt;HIDE&gt;'!$B$46:$C$168,2,0)*N37*W37,0) + IFERROR(VLOOKUP(O37,'Emission Factors &lt;HIDE&gt;'!$B$46:$C$168,2,0)*P37*Y37,0))/'Definitions and Conversions'!$C$42))</f>
        <v/>
      </c>
      <c r="AD37" s="677" t="str">
        <f t="shared" si="0"/>
        <v/>
      </c>
    </row>
    <row r="38" spans="1:30" ht="45" customHeight="1" x14ac:dyDescent="0.25">
      <c r="A38" s="143"/>
      <c r="B38" s="144" t="str">
        <f>IF('1. Project Info'!L38="","",'1. Project Info'!L38)</f>
        <v/>
      </c>
      <c r="C38" s="151">
        <f>IF(AND(OR('1. Project Info'!V38&gt;0,'1. Project Info'!Y38&gt;0),'1. Project Info'!P38=""),C37,'1. Project Info'!P38)</f>
        <v>0</v>
      </c>
      <c r="D38" s="146" t="str">
        <f>IF('1. Project Info'!R38="","",'1. Project Info'!R38)</f>
        <v/>
      </c>
      <c r="E38" s="147" t="str" cm="1">
        <f t="array" ref="E38">_xlfn.IFS('1. Project Info'!Q38&lt;&gt;"",'1. Project Info'!S38,AND('1. Project Info'!Q38="",'1. Project Info'!W38=0),'1. Project Info'!S38,'1. Project Info'!V38=0,"")</f>
        <v/>
      </c>
      <c r="F38" s="147" t="str" cm="1">
        <f t="array" ref="F38">_xlfn.IFS('1. Project Info'!R38&lt;&gt;"",'1. Project Info'!T38,AND('1. Project Info'!R38="",'1. Project Info'!Z38=0),'1. Project Info'!T38,'1. Project Info'!Y38=0,"")</f>
        <v/>
      </c>
      <c r="G38" s="510"/>
      <c r="H38" s="36"/>
      <c r="I38" s="687"/>
      <c r="J38" s="552"/>
      <c r="K38" s="691"/>
      <c r="L38" s="741"/>
      <c r="M38" s="28"/>
      <c r="N38" s="687"/>
      <c r="O38" s="545"/>
      <c r="P38" s="683"/>
      <c r="Q38" s="744" t="str">
        <f>IFERROR('Calculations &lt;HIDE&gt;'!CA38,"")</f>
        <v/>
      </c>
      <c r="R38" s="148" t="str">
        <f>IF(I38+K38&gt;50,'Emission Factors &lt;HIDE&gt;'!$C$204,IF(I38+K38&gt;0,'Emission Factors &lt;HIDE&gt;'!$C$203,""))</f>
        <v/>
      </c>
      <c r="S38" s="514" t="str">
        <f>IFERROR('Calculations &lt;HIDE&gt;'!CC38,"")</f>
        <v/>
      </c>
      <c r="T38" s="514" t="str">
        <f>IF(J38="","",IF(I38+K38&gt;50,'Emission Factors &lt;HIDE&gt;'!$C$204,IF(I38+K38&gt;0,'Emission Factors &lt;HIDE&gt;'!$C$203,"")))</f>
        <v/>
      </c>
      <c r="U38" s="681" t="str" cm="1">
        <f t="array" ref="U38">IF(G38="","",IFERROR(_xlfn.XLOOKUP(1,('Emission Factors &lt;HIDE&gt;'!$B$211:$B$219=C38)*('Emission Factors &lt;HIDE&gt;'!$C$211:$C$219&lt;=I38)*('Emission Factors &lt;HIDE&gt;'!$D$211:$D$219&gt;=I38),'Emission Factors &lt;HIDE&gt;'!$E$211:$E$219),""))</f>
        <v/>
      </c>
      <c r="V38" s="744" t="str">
        <f>IFERROR('Calculations &lt;HIDE&gt;'!CF38,"")</f>
        <v/>
      </c>
      <c r="W38" s="148" t="str">
        <f>IF(L38="","",IF(L38='Defaults &lt;HIDE&gt;'!$D$15,'Emission Factors &lt;HIDE&gt;'!$C$205,IF(N38+P38&gt;50,'Emission Factors &lt;HIDE&gt;'!$C$204,IF(N38+P38&gt;0,'Emission Factors &lt;HIDE&gt;'!$C$203))))</f>
        <v/>
      </c>
      <c r="X38" s="148" t="str">
        <f>IFERROR('Calculations &lt;HIDE&gt;'!CH38,"")</f>
        <v/>
      </c>
      <c r="Y38" s="148" t="str">
        <f>IF(O38="","",IF(L38='Defaults &lt;HIDE&gt;'!$D$15,'Emission Factors &lt;HIDE&gt;'!$C$205,IF(N38+P38&gt;50,'Emission Factors &lt;HIDE&gt;'!$C$204,IF(N38+P38&gt;0,'Emission Factors &lt;HIDE&gt;'!$C$203))))</f>
        <v/>
      </c>
      <c r="Z38" s="681" t="str" cm="1">
        <f t="array" ref="Z38">IF(L38="","",IFERROR(_xlfn.XLOOKUP(1,('Emission Factors &lt;HIDE&gt;'!$B$211:$B$219=C38)*('Emission Factors &lt;HIDE&gt;'!$C$211:$C$219&lt;=N38)*('Emission Factors &lt;HIDE&gt;'!$D$211:$D$219&gt;=N38),'Emission Factors &lt;HIDE&gt;'!$E$211:$E$219),""))</f>
        <v/>
      </c>
      <c r="AA38" s="149" t="str">
        <f>IF(AND(E38="",F38&lt;&gt;""),0,IF(AND(ISBLANK(H38),ISBLANK(J38)),"",(IFERROR(VLOOKUP(H38,'Emission Factors &lt;HIDE&gt;'!$B$46:$C$168,2,0)*I38*Q38*U38,0) + IFERROR(VLOOKUP(J38,'Emission Factors &lt;HIDE&gt;'!$B$46:$C$168,2,0)*K38*S38*U38*0.67,0) + IFERROR(VLOOKUP(H38,'Emission Factors &lt;HIDE&gt;'!$B$46:$C$168,2,0)*I38*R38,0) + IFERROR(VLOOKUP(J38,'Emission Factors &lt;HIDE&gt;'!$B$46:$C$168,2,0)*K38*T38,0))/'Definitions and Conversions'!$C$42))</f>
        <v/>
      </c>
      <c r="AB38" s="149" t="str">
        <f>IF(AND(ISBLANK(H38)),"",IF(G38='Defaults &lt;HIDE&gt;'!$D$21,(AA38-(IFERROR('Calculations &lt;HIDE&gt;'!X38*K38*S38*U38*0.67,0)+IFERROR('Calculations &lt;HIDE&gt;'!X38*K38*T38,0))/'Definitions and Conversions'!$C$42),(AA38-(IFERROR('Calculations &lt;HIDE&gt;'!X38*I38*Q38*U38,0)+IFERROR('Calculations &lt;HIDE&gt;'!X38*I38*R38,0)+IFERROR('Calculations &lt;HIDE&gt;'!X38*K38*S38*U38*0.67,0)+IFERROR('Calculations &lt;HIDE&gt;'!X38*K38*T38,0))/'Definitions and Conversions'!$C$42)))</f>
        <v/>
      </c>
      <c r="AC38" s="150" t="str">
        <f>IF(AND(F38="",E38&lt;&gt;""),0,IF(AND(ISBLANK(M38),ISBLANK(O38)),"",(IFERROR(VLOOKUP(M38,'Emission Factors &lt;HIDE&gt;'!$B$46:$C$168,2,0)*N38*V38*Z38,0) + IFERROR(VLOOKUP(O38,'Emission Factors &lt;HIDE&gt;'!$B$46:$C$168,2,0)*P38*X38*Z38*0.67,0) + IFERROR(VLOOKUP(M38,'Emission Factors &lt;HIDE&gt;'!$B$46:$C$168,2,0)*N38*W38,0) + IFERROR(VLOOKUP(O38,'Emission Factors &lt;HIDE&gt;'!$B$46:$C$168,2,0)*P38*Y38,0))/'Definitions and Conversions'!$C$42))</f>
        <v/>
      </c>
      <c r="AD38" s="677" t="str">
        <f t="shared" si="0"/>
        <v/>
      </c>
    </row>
    <row r="39" spans="1:30" ht="45" customHeight="1" thickBot="1" x14ac:dyDescent="0.3">
      <c r="A39" s="143"/>
      <c r="B39" s="152" t="str">
        <f>IF('1. Project Info'!L39="","",'1. Project Info'!L39)</f>
        <v/>
      </c>
      <c r="C39" s="151">
        <f>IF(AND(OR('1. Project Info'!V39&gt;0,'1. Project Info'!Y39&gt;0),'1. Project Info'!P39=""),C38,'1. Project Info'!P39)</f>
        <v>0</v>
      </c>
      <c r="D39" s="153" t="str">
        <f>IF('1. Project Info'!R39="","",'1. Project Info'!R39)</f>
        <v/>
      </c>
      <c r="E39" s="147" t="str" cm="1">
        <f t="array" ref="E39">_xlfn.IFS('1. Project Info'!Q39&lt;&gt;"",'1. Project Info'!S39,AND('1. Project Info'!Q39="",'1. Project Info'!W39=0),'1. Project Info'!S39,'1. Project Info'!V39=0,"")</f>
        <v/>
      </c>
      <c r="F39" s="147" t="str" cm="1">
        <f t="array" ref="F39">_xlfn.IFS('1. Project Info'!R39&lt;&gt;"",'1. Project Info'!T39,AND('1. Project Info'!R39="",'1. Project Info'!Z39=0),'1. Project Info'!T39,'1. Project Info'!Y39=0,"")</f>
        <v/>
      </c>
      <c r="G39" s="511"/>
      <c r="H39" s="36"/>
      <c r="I39" s="688"/>
      <c r="J39" s="552"/>
      <c r="K39" s="691"/>
      <c r="L39" s="742"/>
      <c r="M39" s="47"/>
      <c r="N39" s="688"/>
      <c r="O39" s="546"/>
      <c r="P39" s="684"/>
      <c r="Q39" s="744" t="str">
        <f>IFERROR('Calculations &lt;HIDE&gt;'!CA39,"")</f>
        <v/>
      </c>
      <c r="R39" s="148" t="str">
        <f>IF(I39+K39&gt;50,'Emission Factors &lt;HIDE&gt;'!$C$204,IF(I39+K39&gt;0,'Emission Factors &lt;HIDE&gt;'!$C$203,""))</f>
        <v/>
      </c>
      <c r="S39" s="514" t="str">
        <f>IFERROR('Calculations &lt;HIDE&gt;'!CC39,"")</f>
        <v/>
      </c>
      <c r="T39" s="514" t="str">
        <f>IF(J39="","",IF(I39+K39&gt;50,'Emission Factors &lt;HIDE&gt;'!$C$204,IF(I39+K39&gt;0,'Emission Factors &lt;HIDE&gt;'!$C$203,"")))</f>
        <v/>
      </c>
      <c r="U39" s="681" t="str" cm="1">
        <f t="array" ref="U39">IF(G39="","",IFERROR(_xlfn.XLOOKUP(1,('Emission Factors &lt;HIDE&gt;'!$B$211:$B$219=C39)*('Emission Factors &lt;HIDE&gt;'!$C$211:$C$219&lt;=I39)*('Emission Factors &lt;HIDE&gt;'!$D$211:$D$219&gt;=I39),'Emission Factors &lt;HIDE&gt;'!$E$211:$E$219),""))</f>
        <v/>
      </c>
      <c r="V39" s="744" t="str">
        <f>IFERROR('Calculations &lt;HIDE&gt;'!CF39,"")</f>
        <v/>
      </c>
      <c r="W39" s="148" t="str">
        <f>IF(L39="","",IF(L39='Defaults &lt;HIDE&gt;'!$D$15,'Emission Factors &lt;HIDE&gt;'!$C$205,IF(N39+P39&gt;50,'Emission Factors &lt;HIDE&gt;'!$C$204,IF(N39+P39&gt;0,'Emission Factors &lt;HIDE&gt;'!$C$203))))</f>
        <v/>
      </c>
      <c r="X39" s="148" t="str">
        <f>IFERROR('Calculations &lt;HIDE&gt;'!CH39,"")</f>
        <v/>
      </c>
      <c r="Y39" s="148" t="str">
        <f>IF(O39="","",IF(L39='Defaults &lt;HIDE&gt;'!$D$15,'Emission Factors &lt;HIDE&gt;'!$C$205,IF(N39+P39&gt;50,'Emission Factors &lt;HIDE&gt;'!$C$204,IF(N39+P39&gt;0,'Emission Factors &lt;HIDE&gt;'!$C$203))))</f>
        <v/>
      </c>
      <c r="Z39" s="681" t="str" cm="1">
        <f t="array" ref="Z39">IF(L39="","",IFERROR(_xlfn.XLOOKUP(1,('Emission Factors &lt;HIDE&gt;'!$B$211:$B$219=C39)*('Emission Factors &lt;HIDE&gt;'!$C$211:$C$219&lt;=N39)*('Emission Factors &lt;HIDE&gt;'!$D$211:$D$219&gt;=N39),'Emission Factors &lt;HIDE&gt;'!$E$211:$E$219),""))</f>
        <v/>
      </c>
      <c r="AA39" s="149" t="str">
        <f>IF(AND(E39="",F39&lt;&gt;""),0,IF(AND(ISBLANK(H39),ISBLANK(J39)),"",(IFERROR(VLOOKUP(H39,'Emission Factors &lt;HIDE&gt;'!$B$46:$C$168,2,0)*I39*Q39*U39,0) + IFERROR(VLOOKUP(J39,'Emission Factors &lt;HIDE&gt;'!$B$46:$C$168,2,0)*K39*S39*U39*0.67,0) + IFERROR(VLOOKUP(H39,'Emission Factors &lt;HIDE&gt;'!$B$46:$C$168,2,0)*I39*R39,0) + IFERROR(VLOOKUP(J39,'Emission Factors &lt;HIDE&gt;'!$B$46:$C$168,2,0)*K39*T39,0))/'Definitions and Conversions'!$C$42))</f>
        <v/>
      </c>
      <c r="AB39" s="149" t="str">
        <f>IF(AND(ISBLANK(H39)),"",IF(G39='Defaults &lt;HIDE&gt;'!$D$21,(AA39-(IFERROR('Calculations &lt;HIDE&gt;'!X39*K39*S39*U39*0.67,0)+IFERROR('Calculations &lt;HIDE&gt;'!X39*K39*T39,0))/'Definitions and Conversions'!$C$42),(AA39-(IFERROR('Calculations &lt;HIDE&gt;'!X39*I39*Q39*U39,0)+IFERROR('Calculations &lt;HIDE&gt;'!X39*I39*R39,0)+IFERROR('Calculations &lt;HIDE&gt;'!X39*K39*S39*U39*0.67,0)+IFERROR('Calculations &lt;HIDE&gt;'!X39*K39*T39,0))/'Definitions and Conversions'!$C$42)))</f>
        <v/>
      </c>
      <c r="AC39" s="150" t="str">
        <f>IF(AND(F39="",E39&lt;&gt;""),0,IF(AND(ISBLANK(M39),ISBLANK(O39)),"",(IFERROR(VLOOKUP(M39,'Emission Factors &lt;HIDE&gt;'!$B$46:$C$168,2,0)*N39*V39*Z39,0) + IFERROR(VLOOKUP(O39,'Emission Factors &lt;HIDE&gt;'!$B$46:$C$168,2,0)*P39*X39*Z39*0.67,0) + IFERROR(VLOOKUP(M39,'Emission Factors &lt;HIDE&gt;'!$B$46:$C$168,2,0)*N39*W39,0) + IFERROR(VLOOKUP(O39,'Emission Factors &lt;HIDE&gt;'!$B$46:$C$168,2,0)*P39*Y39,0))/'Definitions and Conversions'!$C$42))</f>
        <v/>
      </c>
      <c r="AD39" s="677" t="str">
        <f t="shared" si="0"/>
        <v/>
      </c>
    </row>
    <row r="40" spans="1:30" ht="45" customHeight="1" thickBot="1" x14ac:dyDescent="0.3">
      <c r="B40" s="154"/>
      <c r="C40" s="155"/>
      <c r="D40" s="156"/>
      <c r="E40" s="156"/>
      <c r="F40" s="508"/>
      <c r="G40" s="154"/>
      <c r="H40" s="156"/>
      <c r="I40" s="692"/>
      <c r="J40" s="512"/>
      <c r="K40" s="513"/>
      <c r="L40" s="743"/>
      <c r="M40" s="157"/>
      <c r="N40" s="689"/>
      <c r="O40" s="157"/>
      <c r="P40" s="685"/>
      <c r="Q40" s="743"/>
      <c r="R40" s="157"/>
      <c r="S40" s="159"/>
      <c r="T40" s="159"/>
      <c r="U40" s="158"/>
      <c r="V40" s="743"/>
      <c r="W40" s="157"/>
      <c r="X40" s="157"/>
      <c r="Y40" s="159"/>
      <c r="Z40" s="160" t="s">
        <v>517</v>
      </c>
      <c r="AA40" s="678">
        <f>IFERROR(SUM(AA15:AA39),"")</f>
        <v>0</v>
      </c>
      <c r="AB40" s="679">
        <f t="shared" ref="AB40:AD40" si="1">IFERROR(SUM(AB15:AB39),"")</f>
        <v>0</v>
      </c>
      <c r="AC40" s="679">
        <f t="shared" si="1"/>
        <v>0</v>
      </c>
      <c r="AD40" s="680">
        <f t="shared" si="1"/>
        <v>0</v>
      </c>
    </row>
    <row r="41" spans="1:30" ht="15" customHeight="1" x14ac:dyDescent="0.25"/>
    <row r="42" spans="1:30" ht="15" customHeight="1" x14ac:dyDescent="0.25"/>
    <row r="43" spans="1:30" ht="15" customHeight="1" x14ac:dyDescent="0.25"/>
    <row r="44" spans="1:30" ht="15" customHeight="1" x14ac:dyDescent="0.25"/>
    <row r="45" spans="1:30" ht="15" customHeight="1" x14ac:dyDescent="0.25"/>
  </sheetData>
  <sheetProtection algorithmName="SHA-512" hashValue="TsFaNEA1RJWPjYW2EtkiVi8Z/U1ydHmD5u/cPBMn3F93e/2oIBwCbTXdboniUQca2WAYwfTFZg5a6ZiTBLhJ1g==" saltValue="0oeKPxJET59hyn90lqR/jw==" spinCount="100000" sheet="1" objects="1" scenarios="1"/>
  <dataValidations disablePrompts="1" count="6">
    <dataValidation operator="greaterThan" allowBlank="1" showInputMessage="1" errorTitle="Invalid Input" error="Refrigerant charge must be greater than 50 lb to be eligible for funding." sqref="N15:N39 I15:I39 K15:K39" xr:uid="{00000000-0002-0000-0200-000000000000}"/>
    <dataValidation type="decimal" operator="greaterThan" showErrorMessage="1" errorTitle="Invalid Input" error="Value must be greater than 0." promptTitle="Note:" prompt="For New Facility project, use default value._x000a__x000a_For Existing Facility project, assume same as baseline." sqref="P15:P39" xr:uid="{00000000-0002-0000-0200-000003000000}">
      <formula1>0</formula1>
    </dataValidation>
    <dataValidation showErrorMessage="1" promptTitle="Note:" prompt="Tier I at Existing: The remaining lifetime must be 15 years less than the age of the system._x000a__x000a_Tier I at New: Assume 15 year life._x000a__x000a_Tier II: Assume 10 year life." sqref="U15:U39 Z15:AC39" xr:uid="{00000000-0002-0000-0200-000004000000}"/>
    <dataValidation showErrorMessage="1" promptTitle="Note:" prompt="For New Facility project, use default value._x000a__x000a_For Existing Facility project, use existing system 3-year (2017-2019) average leak rate as reported to the RMP." sqref="Q15:T39" xr:uid="{00000000-0002-0000-0200-000005000000}"/>
    <dataValidation showErrorMessage="1" promptTitle="Note:" prompt="For New Facility project, use default value._x000a__x000a_For Existing Facility project, assume same as baseline." sqref="V15:Y39" xr:uid="{00000000-0002-0000-0200-000006000000}"/>
    <dataValidation type="decimal" operator="greaterThanOrEqual" allowBlank="1" showInputMessage="1" showErrorMessage="1" errorTitle="Invalid Input" error="Input must be a number greater than 0." sqref="Q15:U39" xr:uid="{00000000-0002-0000-0200-000008000000}">
      <formula1>0</formula1>
    </dataValidation>
  </dataValidations>
  <pageMargins left="0.7" right="0.7" top="0.98479166666666662" bottom="0.75" header="0.3" footer="0.3"/>
  <pageSetup scale="44" fitToHeight="0" orientation="landscape" r:id="rId1"/>
  <headerFooter>
    <oddFooter>&amp;L&amp;"Avenir LT Std 55 Roman,Regular"&amp;12&amp;K000000Final November 6, 2024&amp;C&amp;"Avenir LT Std 55 Roman,Regular"&amp;12Page &amp;P of &amp;N&amp;R&amp;"Avenir LT Std 55 Roman,Regular"&amp;12&amp;K000000&amp;A</oddFooter>
  </headerFooter>
  <colBreaks count="2" manualBreakCount="2">
    <brk id="11" max="1048575" man="1"/>
    <brk id="2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7A355D15-2D00-4B47-8DCA-887A6836F4A2}">
            <xm:f>'1. Project Info'!$D15=0</xm:f>
            <x14:dxf>
              <font>
                <color auto="1"/>
              </font>
              <fill>
                <patternFill patternType="darkHorizontal">
                  <fgColor theme="1"/>
                  <bgColor theme="2" tint="-0.749961851863155"/>
                </patternFill>
              </fill>
            </x14:dxf>
          </x14:cfRule>
          <x14:cfRule type="expression" priority="5" stopIfTrue="1" id="{00407043-DEFB-42C5-8F59-9817AA17D1A2}">
            <xm:f>'1. Project Info'!$H15=0</xm:f>
            <x14:dxf>
              <font>
                <color auto="1"/>
              </font>
              <fill>
                <patternFill patternType="darkHorizontal">
                  <fgColor theme="1"/>
                  <bgColor theme="2" tint="-0.749961851863155"/>
                </patternFill>
              </fill>
            </x14:dxf>
          </x14:cfRule>
          <xm:sqref>B15:D39</xm:sqref>
        </x14:conditionalFormatting>
        <x14:conditionalFormatting xmlns:xm="http://schemas.microsoft.com/office/excel/2006/main">
          <x14:cfRule type="expression" priority="44" id="{B8206A05-8DC5-4BFA-8900-FEF1AE62432F}">
            <xm:f>$G15='Defaults &lt;HIDE&gt;'!$D$21</xm:f>
            <x14:dxf>
              <fill>
                <patternFill patternType="solid">
                  <fgColor auto="1"/>
                  <bgColor theme="9" tint="0.79995117038483843"/>
                </patternFill>
              </fill>
            </x14:dxf>
          </x14:cfRule>
          <xm:sqref>J15:K39</xm:sqref>
        </x14:conditionalFormatting>
        <x14:conditionalFormatting xmlns:xm="http://schemas.microsoft.com/office/excel/2006/main">
          <x14:cfRule type="expression" priority="1" id="{5EBD052E-F4F6-459D-A3A3-732C468B1252}">
            <xm:f>$L15='Defaults &lt;HIDE&gt;'!$D$14</xm:f>
            <x14:dxf>
              <fill>
                <patternFill patternType="solid">
                  <fgColor auto="1"/>
                  <bgColor theme="9" tint="0.79995117038483843"/>
                </patternFill>
              </fill>
            </x14:dxf>
          </x14:cfRule>
          <xm:sqref>O15:P39</xm:sqref>
        </x14:conditionalFormatting>
      </x14:conditionalFormattings>
    </ext>
    <ext xmlns:x14="http://schemas.microsoft.com/office/spreadsheetml/2009/9/main" uri="{CCE6A557-97BC-4b89-ADB6-D9C93CAAB3DF}">
      <x14:dataValidations xmlns:xm="http://schemas.microsoft.com/office/excel/2006/main" disablePrompts="1" count="7">
        <x14:dataValidation type="list" operator="greaterThan" showErrorMessage="1" promptTitle="Note:" prompt="Selection locks after Annual Leakage Rate is identified." xr:uid="{00000000-0002-0000-0200-000010000000}">
          <x14:formula1>
            <xm:f>'Defaults &lt;HIDE&gt;'!$D$11:$D$17</xm:f>
          </x14:formula1>
          <xm:sqref>L15:L39</xm:sqref>
        </x14:dataValidation>
        <x14:dataValidation type="list" showInputMessage="1" showErrorMessage="1" xr:uid="{00000000-0002-0000-0200-000011000000}">
          <x14:formula1>
            <xm:f>'Defaults &lt;HIDE&gt;'!$D$11:$D$17</xm:f>
          </x14:formula1>
          <xm:sqref>L15:L39</xm:sqref>
        </x14:dataValidation>
        <x14:dataValidation type="list" showErrorMessage="1" xr:uid="{E6A88434-3E32-412F-A1E9-926D668E76FD}">
          <x14:formula1>
            <xm:f>'Defaults &lt;HIDE&gt;'!$F$11:$F$116</xm:f>
          </x14:formula1>
          <xm:sqref>H15:H39</xm:sqref>
        </x14:dataValidation>
        <x14:dataValidation type="list" allowBlank="1" showInputMessage="1" showErrorMessage="1" xr:uid="{6D35B224-67A7-48AE-81D9-AF05D6E68D88}">
          <x14:formula1>
            <xm:f>'Defaults &lt;HIDE&gt;'!$E$11:$E$33</xm:f>
          </x14:formula1>
          <xm:sqref>M15:M39</xm:sqref>
        </x14:dataValidation>
        <x14:dataValidation type="list" allowBlank="1" showInputMessage="1" showErrorMessage="1" xr:uid="{A249DF2D-8CF0-44A1-947F-48CEFE35460F}">
          <x14:formula1>
            <xm:f>'Defaults &lt;HIDE&gt;'!$E$37:$E$113</xm:f>
          </x14:formula1>
          <xm:sqref>O15:O39</xm:sqref>
        </x14:dataValidation>
        <x14:dataValidation type="list" allowBlank="1" showInputMessage="1" showErrorMessage="1" xr:uid="{FFE568B5-895C-484F-99B1-2D27CA9D5884}">
          <x14:formula1>
            <xm:f>'Defaults &lt;HIDE&gt;'!$D$20:$D$26</xm:f>
          </x14:formula1>
          <xm:sqref>G15:G39</xm:sqref>
        </x14:dataValidation>
        <x14:dataValidation type="list" operator="greaterThan" allowBlank="1" showInputMessage="1" errorTitle="Invalid Input" error="Refrigerant charge must be greater than 50 lb to be eligible for funding." xr:uid="{EFB8F1E1-66F5-429D-A00A-4CAC22912569}">
          <x14:formula1>
            <xm:f>'Defaults &lt;HIDE&gt;'!$F$11:$F$116</xm:f>
          </x14:formula1>
          <xm:sqref>J15:J39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B1:K128"/>
  <sheetViews>
    <sheetView showGridLines="0" zoomScaleNormal="100" workbookViewId="0"/>
  </sheetViews>
  <sheetFormatPr defaultColWidth="9.140625" defaultRowHeight="15" x14ac:dyDescent="0.25"/>
  <cols>
    <col min="1" max="1" width="4.28515625" style="73" customWidth="1"/>
    <col min="2" max="2" width="31.42578125" style="73" customWidth="1"/>
    <col min="3" max="3" width="21.42578125" style="73" customWidth="1"/>
    <col min="4" max="6" width="31.42578125" style="73" customWidth="1"/>
    <col min="7" max="7" width="32.85546875" style="73" customWidth="1"/>
    <col min="8" max="11" width="28.42578125" style="73" customWidth="1"/>
    <col min="12" max="16384" width="9.140625" style="73"/>
  </cols>
  <sheetData>
    <row r="1" spans="2:11" ht="18.75" customHeight="1" thickBot="1" x14ac:dyDescent="0.3">
      <c r="B1" s="72"/>
    </row>
    <row r="2" spans="2:11" ht="15" customHeight="1" x14ac:dyDescent="0.25">
      <c r="F2" s="134" t="s">
        <v>2</v>
      </c>
      <c r="G2" s="520"/>
      <c r="J2" s="515"/>
    </row>
    <row r="3" spans="2:11" ht="18.75" customHeight="1" x14ac:dyDescent="0.25">
      <c r="B3" s="72"/>
      <c r="F3" s="92" t="s">
        <v>496</v>
      </c>
      <c r="G3" s="549" t="s">
        <v>11</v>
      </c>
      <c r="J3" s="517"/>
    </row>
    <row r="4" spans="2:11" ht="18.75" customHeight="1" thickBot="1" x14ac:dyDescent="0.3">
      <c r="B4" s="74"/>
      <c r="F4" s="139" t="s">
        <v>12</v>
      </c>
      <c r="G4" s="95" t="s">
        <v>13</v>
      </c>
      <c r="J4" s="518"/>
    </row>
    <row r="5" spans="2:11" ht="15" customHeight="1" x14ac:dyDescent="0.25">
      <c r="B5" s="75"/>
    </row>
    <row r="6" spans="2:11" ht="15" customHeight="1" x14ac:dyDescent="0.25">
      <c r="B6" s="76"/>
      <c r="F6" s="161"/>
      <c r="G6" s="161"/>
      <c r="H6" s="161"/>
      <c r="I6" s="161"/>
    </row>
    <row r="7" spans="2:11" ht="18.75" customHeight="1" x14ac:dyDescent="0.25">
      <c r="B7" s="72"/>
    </row>
    <row r="8" spans="2:11" ht="18.75" customHeight="1" x14ac:dyDescent="0.25">
      <c r="B8" s="162" t="s">
        <v>509</v>
      </c>
    </row>
    <row r="9" spans="2:11" ht="15" hidden="1" customHeight="1" x14ac:dyDescent="0.25"/>
    <row r="10" spans="2:11" ht="15" hidden="1" customHeight="1" x14ac:dyDescent="0.25">
      <c r="B10" s="163"/>
      <c r="C10" s="163"/>
      <c r="D10" s="163"/>
    </row>
    <row r="11" spans="2:11" ht="15" hidden="1" customHeight="1" x14ac:dyDescent="0.25">
      <c r="B11" s="163"/>
      <c r="C11" s="163"/>
      <c r="D11" s="163"/>
    </row>
    <row r="12" spans="2:11" ht="15" customHeight="1" thickBot="1" x14ac:dyDescent="0.3">
      <c r="C12" s="132"/>
      <c r="D12" s="132"/>
    </row>
    <row r="13" spans="2:11" ht="22.5" customHeight="1" thickBot="1" x14ac:dyDescent="0.3">
      <c r="B13" s="164"/>
      <c r="C13" s="164"/>
      <c r="D13" s="536" t="s">
        <v>521</v>
      </c>
      <c r="E13" s="665"/>
      <c r="F13" s="668" t="s">
        <v>684</v>
      </c>
      <c r="G13" s="669"/>
      <c r="H13" s="669"/>
      <c r="I13" s="669"/>
      <c r="J13" s="669"/>
      <c r="K13" s="670"/>
    </row>
    <row r="14" spans="2:11" ht="82.5" customHeight="1" thickBot="1" x14ac:dyDescent="0.3">
      <c r="B14" s="165" t="s">
        <v>435</v>
      </c>
      <c r="C14" s="166" t="s">
        <v>532</v>
      </c>
      <c r="D14" s="537" t="s">
        <v>678</v>
      </c>
      <c r="E14" s="538" t="s">
        <v>679</v>
      </c>
      <c r="F14" s="537" t="s">
        <v>680</v>
      </c>
      <c r="G14" s="666" t="s">
        <v>681</v>
      </c>
      <c r="H14" s="666" t="s">
        <v>661</v>
      </c>
      <c r="I14" s="666" t="s">
        <v>682</v>
      </c>
      <c r="J14" s="666" t="s">
        <v>660</v>
      </c>
      <c r="K14" s="667" t="s">
        <v>683</v>
      </c>
    </row>
    <row r="15" spans="2:11" ht="21.75" customHeight="1" x14ac:dyDescent="0.25">
      <c r="B15" s="167" t="str">
        <f>IF(ISBLANK('Calculations &lt;HIDE&gt;'!B15),"",'Calculations &lt;HIDE&gt;'!B15)</f>
        <v/>
      </c>
      <c r="C15" s="700" t="str">
        <f>IFERROR(IF('1. Project Info'!L15="","",'Calculations &lt;HIDE&gt;'!AW15),"")</f>
        <v/>
      </c>
      <c r="D15" s="693" t="str">
        <f>IFERROR(IF('1. Project Info'!L15="","",'Calculations &lt;HIDE&gt;'!AX15),"")</f>
        <v/>
      </c>
      <c r="E15" s="540" t="str">
        <f t="shared" ref="E15:E39" si="0">IFERROR(C15/D15,"")</f>
        <v/>
      </c>
      <c r="F15" s="693" t="str" cm="1">
        <f t="array" ref="F15">IFERROR(_xlfn.IFS(OR('1. Project Info'!L15="",AND('1. Project Info'!L15&lt;&gt;"",'Calculations &lt;HIDE&gt;'!BQ15=0),'Calculations &lt;HIDE&gt;'!BQ15&lt;0),"",'1. Project Info'!L15&lt;&gt;"",'Calculations &lt;HIDE&gt;'!BQ15),"-")</f>
        <v/>
      </c>
      <c r="G15" s="694" t="str" cm="1">
        <f t="array" ref="G15">IFERROR(_xlfn.IFS(OR('1. Project Info'!L15="",AND('1. Project Info'!L15&lt;&gt;"",'Calculations &lt;HIDE&gt;'!BR15=0)),"",'Calculations &lt;HIDE&gt;'!BQ15&lt;0,'Calculations &lt;HIDE&gt;'!BR15+'Calculations &lt;HIDE&gt;'!BQ15,'1. Project Info'!L15&lt;&gt;"",'Calculations &lt;HIDE&gt;'!BR15),"-")</f>
        <v/>
      </c>
      <c r="H15" s="694" t="str">
        <f>IFERROR(IF('1. Project Info'!L15="","",IF('Calculations &lt;HIDE&gt;'!BU15=0,"",'Calculations &lt;HIDE&gt;'!BU15)),"")</f>
        <v/>
      </c>
      <c r="I15" s="694" t="str">
        <f>IFERROR(IF('1. Project Info'!L15="","",IF('Calculations &lt;HIDE&gt;'!BV15=0,"",'Calculations &lt;HIDE&gt;'!BV15)),"")</f>
        <v/>
      </c>
      <c r="J15" s="694" t="str">
        <f>IFERROR(IF('1. Project Info'!L15="","",IF('Calculations &lt;HIDE&gt;'!BS15=0,"",'Calculations &lt;HIDE&gt;'!BS15)),"")</f>
        <v/>
      </c>
      <c r="K15" s="695" t="str">
        <f>IFERROR(IF('1. Project Info'!L15="","",IF('Calculations &lt;HIDE&gt;'!BT15=0,"",'Calculations &lt;HIDE&gt;'!BT15)),"")</f>
        <v/>
      </c>
    </row>
    <row r="16" spans="2:11" ht="21.75" customHeight="1" x14ac:dyDescent="0.25">
      <c r="B16" s="168" t="str">
        <f>IF('1. Project Info'!L16="","",'1. Project Info'!L16)</f>
        <v/>
      </c>
      <c r="C16" s="701" t="str">
        <f>IFERROR(IF('1. Project Info'!L16="","",'Calculations &lt;HIDE&gt;'!AW16),"")</f>
        <v/>
      </c>
      <c r="D16" s="696" t="str">
        <f>IFERROR(IF('1. Project Info'!L16="","",'Calculations &lt;HIDE&gt;'!AX16),"")</f>
        <v/>
      </c>
      <c r="E16" s="541" t="str">
        <f t="shared" si="0"/>
        <v/>
      </c>
      <c r="F16" s="696" t="str" cm="1">
        <f t="array" ref="F16">IFERROR(_xlfn.IFS(OR('1. Project Info'!L16="",AND('1. Project Info'!L16&lt;&gt;"",'Calculations &lt;HIDE&gt;'!BQ16=0)),"",'1. Project Info'!L16&lt;&gt;"",'Calculations &lt;HIDE&gt;'!BQ16),"")</f>
        <v/>
      </c>
      <c r="G16" s="694" t="str" cm="1">
        <f t="array" ref="G16">IFERROR(_xlfn.IFS(OR('1. Project Info'!L16="",AND('1. Project Info'!L16&lt;&gt;"",'Calculations &lt;HIDE&gt;'!BR16=0)),"",'Calculations &lt;HIDE&gt;'!BQ16&lt;0,'Calculations &lt;HIDE&gt;'!BR16+'Calculations &lt;HIDE&gt;'!BQ16,'1. Project Info'!L16&lt;&gt;"",'Calculations &lt;HIDE&gt;'!BR16),"-")</f>
        <v/>
      </c>
      <c r="H16" s="697" t="str">
        <f>IFERROR(IF('1. Project Info'!L16="","",IF('Calculations &lt;HIDE&gt;'!BU16=0,"",'Calculations &lt;HIDE&gt;'!BU16)),"")</f>
        <v/>
      </c>
      <c r="I16" s="697" t="str">
        <f>IFERROR(IF('1. Project Info'!L16="","",IF('Calculations &lt;HIDE&gt;'!BV16=0,"",'Calculations &lt;HIDE&gt;'!BV16)),"")</f>
        <v/>
      </c>
      <c r="J16" s="697" t="str">
        <f>IFERROR(IF('1. Project Info'!L16="","",IF('Calculations &lt;HIDE&gt;'!BS16=0,"",'Calculations &lt;HIDE&gt;'!BS16)),"")</f>
        <v/>
      </c>
      <c r="K16" s="698" t="str">
        <f>IFERROR(IF('1. Project Info'!L16="","",IF('Calculations &lt;HIDE&gt;'!BT16=0,"",'Calculations &lt;HIDE&gt;'!BT16)),"")</f>
        <v/>
      </c>
    </row>
    <row r="17" spans="2:11" ht="21.75" customHeight="1" x14ac:dyDescent="0.25">
      <c r="B17" s="168" t="str">
        <f>IF('1. Project Info'!L17="","",'1. Project Info'!L17)</f>
        <v/>
      </c>
      <c r="C17" s="701" t="str">
        <f>IFERROR(IF('1. Project Info'!L17="","",'Calculations &lt;HIDE&gt;'!AW17),"")</f>
        <v/>
      </c>
      <c r="D17" s="696" t="str">
        <f>IFERROR(IF('1. Project Info'!L17="","",'Calculations &lt;HIDE&gt;'!AX17),"")</f>
        <v/>
      </c>
      <c r="E17" s="541" t="str">
        <f t="shared" si="0"/>
        <v/>
      </c>
      <c r="F17" s="696" t="str" cm="1">
        <f t="array" ref="F17">IFERROR(_xlfn.IFS(OR('1. Project Info'!L17="",AND('1. Project Info'!L17&lt;&gt;"",'Calculations &lt;HIDE&gt;'!BQ17=0)),"",'1. Project Info'!L17&lt;&gt;"",'Calculations &lt;HIDE&gt;'!BQ17),"")</f>
        <v/>
      </c>
      <c r="G17" s="694" t="str" cm="1">
        <f t="array" ref="G17">IFERROR(_xlfn.IFS(OR('1. Project Info'!L17="",AND('1. Project Info'!L17&lt;&gt;"",'Calculations &lt;HIDE&gt;'!BR17=0)),"",'Calculations &lt;HIDE&gt;'!BQ17&lt;0,'Calculations &lt;HIDE&gt;'!BR17+'Calculations &lt;HIDE&gt;'!BQ17,'1. Project Info'!L17&lt;&gt;"",'Calculations &lt;HIDE&gt;'!BR17),"-")</f>
        <v/>
      </c>
      <c r="H17" s="697" t="str">
        <f>IFERROR(IF('1. Project Info'!L17="","",IF('Calculations &lt;HIDE&gt;'!BU17=0,"",'Calculations &lt;HIDE&gt;'!BU17)),"")</f>
        <v/>
      </c>
      <c r="I17" s="697" t="str">
        <f>IFERROR(IF('1. Project Info'!L17="","",IF('Calculations &lt;HIDE&gt;'!BV17=0,"",'Calculations &lt;HIDE&gt;'!BV17)),"")</f>
        <v/>
      </c>
      <c r="J17" s="697" t="str">
        <f>IFERROR(IF('1. Project Info'!L17="","",IF('Calculations &lt;HIDE&gt;'!BS17=0,"",'Calculations &lt;HIDE&gt;'!BS17)),"")</f>
        <v/>
      </c>
      <c r="K17" s="698" t="str">
        <f>IFERROR(IF('1. Project Info'!L17="","",IF('Calculations &lt;HIDE&gt;'!BT17=0,"",'Calculations &lt;HIDE&gt;'!BT17)),"")</f>
        <v/>
      </c>
    </row>
    <row r="18" spans="2:11" ht="21.75" customHeight="1" x14ac:dyDescent="0.25">
      <c r="B18" s="168" t="str">
        <f>IF('1. Project Info'!L18="","",'1. Project Info'!L18)</f>
        <v/>
      </c>
      <c r="C18" s="701" t="str">
        <f>IFERROR(IF('1. Project Info'!L18="","",'Calculations &lt;HIDE&gt;'!AW18),"")</f>
        <v/>
      </c>
      <c r="D18" s="696" t="str">
        <f>IFERROR(IF('1. Project Info'!L18="","",'Calculations &lt;HIDE&gt;'!AX18),"")</f>
        <v/>
      </c>
      <c r="E18" s="541" t="str">
        <f t="shared" si="0"/>
        <v/>
      </c>
      <c r="F18" s="696" t="str" cm="1">
        <f t="array" ref="F18">IFERROR(_xlfn.IFS(OR('1. Project Info'!L18="",AND('1. Project Info'!L18&lt;&gt;"",'Calculations &lt;HIDE&gt;'!BQ18=0)),"",'1. Project Info'!L18&lt;&gt;"",'Calculations &lt;HIDE&gt;'!BQ18),"")</f>
        <v/>
      </c>
      <c r="G18" s="694" t="str" cm="1">
        <f t="array" ref="G18">IFERROR(_xlfn.IFS(OR('1. Project Info'!L18="",AND('1. Project Info'!L18&lt;&gt;"",'Calculations &lt;HIDE&gt;'!BR18=0)),"",'Calculations &lt;HIDE&gt;'!BQ18&lt;0,'Calculations &lt;HIDE&gt;'!BR18+'Calculations &lt;HIDE&gt;'!BQ18,'1. Project Info'!L18&lt;&gt;"",'Calculations &lt;HIDE&gt;'!BR18),"-")</f>
        <v/>
      </c>
      <c r="H18" s="697" t="str">
        <f>IFERROR(IF('1. Project Info'!L18="","",IF('Calculations &lt;HIDE&gt;'!BU18=0,"",'Calculations &lt;HIDE&gt;'!BU18)),"")</f>
        <v/>
      </c>
      <c r="I18" s="697" t="str">
        <f>IFERROR(IF('1. Project Info'!L18="","",IF('Calculations &lt;HIDE&gt;'!BV18=0,"",'Calculations &lt;HIDE&gt;'!BV18)),"")</f>
        <v/>
      </c>
      <c r="J18" s="697" t="str">
        <f>IFERROR(IF('1. Project Info'!L18="","",IF('Calculations &lt;HIDE&gt;'!BS18=0,"",'Calculations &lt;HIDE&gt;'!BS18)),"")</f>
        <v/>
      </c>
      <c r="K18" s="698" t="str">
        <f>IFERROR(IF('1. Project Info'!L18="","",IF('Calculations &lt;HIDE&gt;'!BT18=0,"",'Calculations &lt;HIDE&gt;'!BT18)),"")</f>
        <v/>
      </c>
    </row>
    <row r="19" spans="2:11" ht="21.75" customHeight="1" x14ac:dyDescent="0.25">
      <c r="B19" s="168" t="str">
        <f>IF('1. Project Info'!L19="","",'1. Project Info'!L19)</f>
        <v/>
      </c>
      <c r="C19" s="701" t="str">
        <f>IFERROR(IF('1. Project Info'!L19="","",'Calculations &lt;HIDE&gt;'!AW19),"")</f>
        <v/>
      </c>
      <c r="D19" s="696" t="str">
        <f>IFERROR(IF('1. Project Info'!L19="","",'Calculations &lt;HIDE&gt;'!AX19),"")</f>
        <v/>
      </c>
      <c r="E19" s="541" t="str">
        <f t="shared" si="0"/>
        <v/>
      </c>
      <c r="F19" s="696" t="str" cm="1">
        <f t="array" ref="F19">IFERROR(_xlfn.IFS(OR('1. Project Info'!L19="",AND('1. Project Info'!L19&lt;&gt;"",'Calculations &lt;HIDE&gt;'!BQ19=0)),"",'1. Project Info'!L19&lt;&gt;"",'Calculations &lt;HIDE&gt;'!BQ19),"")</f>
        <v/>
      </c>
      <c r="G19" s="694" t="str" cm="1">
        <f t="array" ref="G19">IFERROR(_xlfn.IFS(OR('1. Project Info'!L19="",AND('1. Project Info'!L19&lt;&gt;"",'Calculations &lt;HIDE&gt;'!BR19=0)),"",'Calculations &lt;HIDE&gt;'!BQ19&lt;0,'Calculations &lt;HIDE&gt;'!BR19+'Calculations &lt;HIDE&gt;'!BQ19,'1. Project Info'!L19&lt;&gt;"",'Calculations &lt;HIDE&gt;'!BR19),"-")</f>
        <v/>
      </c>
      <c r="H19" s="697" t="str">
        <f>IFERROR(IF('1. Project Info'!L19="","",IF('Calculations &lt;HIDE&gt;'!BU19=0,"",'Calculations &lt;HIDE&gt;'!BU19)),"")</f>
        <v/>
      </c>
      <c r="I19" s="697" t="str">
        <f>IFERROR(IF('1. Project Info'!L19="","",IF('Calculations &lt;HIDE&gt;'!BV19=0,"",'Calculations &lt;HIDE&gt;'!BV19)),"")</f>
        <v/>
      </c>
      <c r="J19" s="697" t="str">
        <f>IFERROR(IF('1. Project Info'!L19="","",IF('Calculations &lt;HIDE&gt;'!BS19=0,"",'Calculations &lt;HIDE&gt;'!BS19)),"")</f>
        <v/>
      </c>
      <c r="K19" s="698" t="str">
        <f>IFERROR(IF('1. Project Info'!L19="","",IF('Calculations &lt;HIDE&gt;'!BT19=0,"",'Calculations &lt;HIDE&gt;'!BT19)),"")</f>
        <v/>
      </c>
    </row>
    <row r="20" spans="2:11" ht="21.75" customHeight="1" x14ac:dyDescent="0.25">
      <c r="B20" s="168" t="str">
        <f>IF('1. Project Info'!L20="","",'1. Project Info'!L20)</f>
        <v/>
      </c>
      <c r="C20" s="701" t="str">
        <f>IFERROR(IF('1. Project Info'!L20="","",'Calculations &lt;HIDE&gt;'!AW20),"")</f>
        <v/>
      </c>
      <c r="D20" s="696" t="str">
        <f>IFERROR(IF('1. Project Info'!L20="","",'Calculations &lt;HIDE&gt;'!AX20),"")</f>
        <v/>
      </c>
      <c r="E20" s="541" t="str">
        <f t="shared" si="0"/>
        <v/>
      </c>
      <c r="F20" s="696" t="str" cm="1">
        <f t="array" ref="F20">IFERROR(_xlfn.IFS(OR('1. Project Info'!L20="",AND('1. Project Info'!L20&lt;&gt;"",'Calculations &lt;HIDE&gt;'!BQ20=0)),"",'1. Project Info'!L20&lt;&gt;"",'Calculations &lt;HIDE&gt;'!BQ20),"")</f>
        <v/>
      </c>
      <c r="G20" s="694" t="str" cm="1">
        <f t="array" ref="G20">IFERROR(_xlfn.IFS(OR('1. Project Info'!L20="",AND('1. Project Info'!L20&lt;&gt;"",'Calculations &lt;HIDE&gt;'!BR20=0)),"",'Calculations &lt;HIDE&gt;'!BQ20&lt;0,'Calculations &lt;HIDE&gt;'!BR20+'Calculations &lt;HIDE&gt;'!BQ20,'1. Project Info'!L20&lt;&gt;"",'Calculations &lt;HIDE&gt;'!BR20),"-")</f>
        <v/>
      </c>
      <c r="H20" s="697" t="str">
        <f>IFERROR(IF('1. Project Info'!L20="","",IF('Calculations &lt;HIDE&gt;'!BU20=0,"",'Calculations &lt;HIDE&gt;'!BU20)),"")</f>
        <v/>
      </c>
      <c r="I20" s="697" t="str">
        <f>IFERROR(IF('1. Project Info'!L20="","",IF('Calculations &lt;HIDE&gt;'!BV20=0,"",'Calculations &lt;HIDE&gt;'!BV20)),"")</f>
        <v/>
      </c>
      <c r="J20" s="697" t="str">
        <f>IFERROR(IF('1. Project Info'!L20="","",IF('Calculations &lt;HIDE&gt;'!BS20=0,"",'Calculations &lt;HIDE&gt;'!BS20)),"")</f>
        <v/>
      </c>
      <c r="K20" s="698" t="str">
        <f>IFERROR(IF('1. Project Info'!L20="","",IF('Calculations &lt;HIDE&gt;'!BT20=0,"",'Calculations &lt;HIDE&gt;'!BT20)),"")</f>
        <v/>
      </c>
    </row>
    <row r="21" spans="2:11" ht="21.75" customHeight="1" x14ac:dyDescent="0.25">
      <c r="B21" s="168" t="str">
        <f>IF('1. Project Info'!L21="","",'1. Project Info'!L21)</f>
        <v/>
      </c>
      <c r="C21" s="701" t="str">
        <f>IFERROR(IF('1. Project Info'!L21="","",'Calculations &lt;HIDE&gt;'!AW21),"")</f>
        <v/>
      </c>
      <c r="D21" s="696" t="str">
        <f>IFERROR(IF('1. Project Info'!L21="","",'Calculations &lt;HIDE&gt;'!AX21),"")</f>
        <v/>
      </c>
      <c r="E21" s="541" t="str">
        <f t="shared" si="0"/>
        <v/>
      </c>
      <c r="F21" s="696" t="str" cm="1">
        <f t="array" ref="F21">IFERROR(_xlfn.IFS(OR('1. Project Info'!L21="",AND('1. Project Info'!L21&lt;&gt;"",'Calculations &lt;HIDE&gt;'!BQ21=0)),"",'1. Project Info'!L21&lt;&gt;"",'Calculations &lt;HIDE&gt;'!BQ21),"")</f>
        <v/>
      </c>
      <c r="G21" s="694" t="str" cm="1">
        <f t="array" ref="G21">IFERROR(_xlfn.IFS(OR('1. Project Info'!L21="",AND('1. Project Info'!L21&lt;&gt;"",'Calculations &lt;HIDE&gt;'!BR21=0)),"",'Calculations &lt;HIDE&gt;'!BQ21&lt;0,'Calculations &lt;HIDE&gt;'!BR21+'Calculations &lt;HIDE&gt;'!BQ21,'1. Project Info'!L21&lt;&gt;"",'Calculations &lt;HIDE&gt;'!BR21),"-")</f>
        <v/>
      </c>
      <c r="H21" s="697" t="str">
        <f>IFERROR(IF('1. Project Info'!L21="","",IF('Calculations &lt;HIDE&gt;'!BU21=0,"",'Calculations &lt;HIDE&gt;'!BU21)),"")</f>
        <v/>
      </c>
      <c r="I21" s="697" t="str">
        <f>IFERROR(IF('1. Project Info'!L21="","",IF('Calculations &lt;HIDE&gt;'!BV21=0,"",'Calculations &lt;HIDE&gt;'!BV21)),"")</f>
        <v/>
      </c>
      <c r="J21" s="697" t="str">
        <f>IFERROR(IF('1. Project Info'!L21="","",IF('Calculations &lt;HIDE&gt;'!BS21=0,"",'Calculations &lt;HIDE&gt;'!BS21)),"")</f>
        <v/>
      </c>
      <c r="K21" s="698" t="str">
        <f>IFERROR(IF('1. Project Info'!L21="","",IF('Calculations &lt;HIDE&gt;'!BT21=0,"",'Calculations &lt;HIDE&gt;'!BT21)),"")</f>
        <v/>
      </c>
    </row>
    <row r="22" spans="2:11" ht="21.75" customHeight="1" x14ac:dyDescent="0.25">
      <c r="B22" s="168" t="str">
        <f>IF('1. Project Info'!L22="","",'1. Project Info'!L22)</f>
        <v/>
      </c>
      <c r="C22" s="701" t="str">
        <f>IFERROR(IF('1. Project Info'!L22="","",'Calculations &lt;HIDE&gt;'!AW22),"")</f>
        <v/>
      </c>
      <c r="D22" s="696" t="str">
        <f>IFERROR(IF('1. Project Info'!L22="","",'Calculations &lt;HIDE&gt;'!AX22),"")</f>
        <v/>
      </c>
      <c r="E22" s="541" t="str">
        <f t="shared" si="0"/>
        <v/>
      </c>
      <c r="F22" s="696" t="str" cm="1">
        <f t="array" ref="F22">IFERROR(_xlfn.IFS(OR('1. Project Info'!L22="",AND('1. Project Info'!L22&lt;&gt;"",'Calculations &lt;HIDE&gt;'!BQ22=0)),"",'1. Project Info'!L22&lt;&gt;"",'Calculations &lt;HIDE&gt;'!BQ22),"")</f>
        <v/>
      </c>
      <c r="G22" s="694" t="str" cm="1">
        <f t="array" ref="G22">IFERROR(_xlfn.IFS(OR('1. Project Info'!L22="",AND('1. Project Info'!L22&lt;&gt;"",'Calculations &lt;HIDE&gt;'!BR22=0)),"",'Calculations &lt;HIDE&gt;'!BQ22&lt;0,'Calculations &lt;HIDE&gt;'!BR22+'Calculations &lt;HIDE&gt;'!BQ22,'1. Project Info'!L22&lt;&gt;"",'Calculations &lt;HIDE&gt;'!BR22),"-")</f>
        <v/>
      </c>
      <c r="H22" s="697" t="str">
        <f>IFERROR(IF('1. Project Info'!L22="","",IF('Calculations &lt;HIDE&gt;'!BU22=0,"",'Calculations &lt;HIDE&gt;'!BU22)),"")</f>
        <v/>
      </c>
      <c r="I22" s="697" t="str">
        <f>IFERROR(IF('1. Project Info'!L22="","",IF('Calculations &lt;HIDE&gt;'!BV22=0,"",'Calculations &lt;HIDE&gt;'!BV22)),"")</f>
        <v/>
      </c>
      <c r="J22" s="697" t="str">
        <f>IFERROR(IF('1. Project Info'!L22="","",IF('Calculations &lt;HIDE&gt;'!BS22=0,"",'Calculations &lt;HIDE&gt;'!BS22)),"")</f>
        <v/>
      </c>
      <c r="K22" s="698" t="str">
        <f>IFERROR(IF('1. Project Info'!L22="","",IF('Calculations &lt;HIDE&gt;'!BT22=0,"",'Calculations &lt;HIDE&gt;'!BT22)),"")</f>
        <v/>
      </c>
    </row>
    <row r="23" spans="2:11" ht="21.75" customHeight="1" x14ac:dyDescent="0.25">
      <c r="B23" s="168" t="str">
        <f>IF('1. Project Info'!L23="","",'1. Project Info'!L23)</f>
        <v/>
      </c>
      <c r="C23" s="701" t="str">
        <f>IFERROR(IF('1. Project Info'!L23="","",'Calculations &lt;HIDE&gt;'!AW23),"")</f>
        <v/>
      </c>
      <c r="D23" s="696" t="str">
        <f>IFERROR(IF('1. Project Info'!L23="","",'Calculations &lt;HIDE&gt;'!AX23),"")</f>
        <v/>
      </c>
      <c r="E23" s="541" t="str">
        <f t="shared" si="0"/>
        <v/>
      </c>
      <c r="F23" s="696" t="str" cm="1">
        <f t="array" ref="F23">IFERROR(_xlfn.IFS(OR('1. Project Info'!L23="",AND('1. Project Info'!L23&lt;&gt;"",'Calculations &lt;HIDE&gt;'!BQ23=0)),"",'1. Project Info'!L23&lt;&gt;"",'Calculations &lt;HIDE&gt;'!BQ23),"")</f>
        <v/>
      </c>
      <c r="G23" s="694" t="str" cm="1">
        <f t="array" ref="G23">IFERROR(_xlfn.IFS(OR('1. Project Info'!L23="",AND('1. Project Info'!L23&lt;&gt;"",'Calculations &lt;HIDE&gt;'!BR23=0)),"",'Calculations &lt;HIDE&gt;'!BQ23&lt;0,'Calculations &lt;HIDE&gt;'!BR23+'Calculations &lt;HIDE&gt;'!BQ23,'1. Project Info'!L23&lt;&gt;"",'Calculations &lt;HIDE&gt;'!BR23),"-")</f>
        <v/>
      </c>
      <c r="H23" s="697" t="str">
        <f>IFERROR(IF('1. Project Info'!L23="","",IF('Calculations &lt;HIDE&gt;'!BU23=0,"",'Calculations &lt;HIDE&gt;'!BU23)),"")</f>
        <v/>
      </c>
      <c r="I23" s="697" t="str">
        <f>IFERROR(IF('1. Project Info'!L23="","",IF('Calculations &lt;HIDE&gt;'!BV23=0,"",'Calculations &lt;HIDE&gt;'!BV23)),"")</f>
        <v/>
      </c>
      <c r="J23" s="697" t="str">
        <f>IFERROR(IF('1. Project Info'!L23="","",IF('Calculations &lt;HIDE&gt;'!BS23=0,"",'Calculations &lt;HIDE&gt;'!BS23)),"")</f>
        <v/>
      </c>
      <c r="K23" s="698" t="str">
        <f>IFERROR(IF('1. Project Info'!L23="","",IF('Calculations &lt;HIDE&gt;'!BT23=0,"",'Calculations &lt;HIDE&gt;'!BT23)),"")</f>
        <v/>
      </c>
    </row>
    <row r="24" spans="2:11" ht="21.75" customHeight="1" x14ac:dyDescent="0.25">
      <c r="B24" s="168" t="str">
        <f>IF('1. Project Info'!L24="","",'1. Project Info'!L24)</f>
        <v/>
      </c>
      <c r="C24" s="701" t="str">
        <f>IFERROR(IF('1. Project Info'!L24="","",'Calculations &lt;HIDE&gt;'!AW24),"")</f>
        <v/>
      </c>
      <c r="D24" s="696" t="str">
        <f>IFERROR(IF('1. Project Info'!L24="","",'Calculations &lt;HIDE&gt;'!AX24),"")</f>
        <v/>
      </c>
      <c r="E24" s="541" t="str">
        <f t="shared" si="0"/>
        <v/>
      </c>
      <c r="F24" s="696" t="str" cm="1">
        <f t="array" ref="F24">IFERROR(_xlfn.IFS(OR('1. Project Info'!L24="",AND('1. Project Info'!L24&lt;&gt;"",'Calculations &lt;HIDE&gt;'!BQ24=0)),"",'1. Project Info'!L24&lt;&gt;"",'Calculations &lt;HIDE&gt;'!BQ24),"")</f>
        <v/>
      </c>
      <c r="G24" s="694" t="str" cm="1">
        <f t="array" ref="G24">IFERROR(_xlfn.IFS(OR('1. Project Info'!L24="",AND('1. Project Info'!L24&lt;&gt;"",'Calculations &lt;HIDE&gt;'!BR24=0)),"",'Calculations &lt;HIDE&gt;'!BQ24&lt;0,'Calculations &lt;HIDE&gt;'!BR24+'Calculations &lt;HIDE&gt;'!BQ24,'1. Project Info'!L24&lt;&gt;"",'Calculations &lt;HIDE&gt;'!BR24),"-")</f>
        <v/>
      </c>
      <c r="H24" s="697" t="str">
        <f>IFERROR(IF('1. Project Info'!L24="","",IF('Calculations &lt;HIDE&gt;'!BU24=0,"",'Calculations &lt;HIDE&gt;'!BU24)),"")</f>
        <v/>
      </c>
      <c r="I24" s="697" t="str">
        <f>IFERROR(IF('1. Project Info'!L24="","",IF('Calculations &lt;HIDE&gt;'!BV24=0,"",'Calculations &lt;HIDE&gt;'!BV24)),"")</f>
        <v/>
      </c>
      <c r="J24" s="697" t="str">
        <f>IFERROR(IF('1. Project Info'!L24="","",IF('Calculations &lt;HIDE&gt;'!BS24=0,"",'Calculations &lt;HIDE&gt;'!BS24)),"")</f>
        <v/>
      </c>
      <c r="K24" s="698" t="str">
        <f>IFERROR(IF('1. Project Info'!L24="","",IF('Calculations &lt;HIDE&gt;'!BT24=0,"",'Calculations &lt;HIDE&gt;'!BT24)),"")</f>
        <v/>
      </c>
    </row>
    <row r="25" spans="2:11" ht="21.75" customHeight="1" x14ac:dyDescent="0.25">
      <c r="B25" s="168" t="str">
        <f>IF('1. Project Info'!L25="","",'1. Project Info'!L25)</f>
        <v/>
      </c>
      <c r="C25" s="701" t="str">
        <f>IFERROR(IF('1. Project Info'!L25="","",'Calculations &lt;HIDE&gt;'!AW25),"")</f>
        <v/>
      </c>
      <c r="D25" s="696" t="str">
        <f>IFERROR(IF('1. Project Info'!L25="","",'Calculations &lt;HIDE&gt;'!AX25),"")</f>
        <v/>
      </c>
      <c r="E25" s="541" t="str">
        <f t="shared" si="0"/>
        <v/>
      </c>
      <c r="F25" s="696" t="str" cm="1">
        <f t="array" ref="F25">IFERROR(_xlfn.IFS(OR('1. Project Info'!L25="",AND('1. Project Info'!L25&lt;&gt;"",'Calculations &lt;HIDE&gt;'!BQ25=0)),"",'1. Project Info'!L25&lt;&gt;"",'Calculations &lt;HIDE&gt;'!BQ25),"")</f>
        <v/>
      </c>
      <c r="G25" s="694" t="str" cm="1">
        <f t="array" ref="G25">IFERROR(_xlfn.IFS(OR('1. Project Info'!L25="",AND('1. Project Info'!L25&lt;&gt;"",'Calculations &lt;HIDE&gt;'!BR25=0)),"",'Calculations &lt;HIDE&gt;'!BQ25&lt;0,'Calculations &lt;HIDE&gt;'!BR25+'Calculations &lt;HIDE&gt;'!BQ25,'1. Project Info'!L25&lt;&gt;"",'Calculations &lt;HIDE&gt;'!BR25),"-")</f>
        <v/>
      </c>
      <c r="H25" s="697" t="str">
        <f>IFERROR(IF('1. Project Info'!L25="","",IF('Calculations &lt;HIDE&gt;'!BU25=0,"",'Calculations &lt;HIDE&gt;'!BU25)),"")</f>
        <v/>
      </c>
      <c r="I25" s="697" t="str">
        <f>IFERROR(IF('1. Project Info'!L25="","",IF('Calculations &lt;HIDE&gt;'!BV25=0,"",'Calculations &lt;HIDE&gt;'!BV25)),"")</f>
        <v/>
      </c>
      <c r="J25" s="697" t="str">
        <f>IFERROR(IF('1. Project Info'!L25="","",IF('Calculations &lt;HIDE&gt;'!BS25=0,"",'Calculations &lt;HIDE&gt;'!BS25)),"")</f>
        <v/>
      </c>
      <c r="K25" s="698" t="str">
        <f>IFERROR(IF('1. Project Info'!L25="","",IF('Calculations &lt;HIDE&gt;'!BT25=0,"",'Calculations &lt;HIDE&gt;'!BT25)),"")</f>
        <v/>
      </c>
    </row>
    <row r="26" spans="2:11" ht="21.75" customHeight="1" x14ac:dyDescent="0.25">
      <c r="B26" s="168" t="str">
        <f>IF('1. Project Info'!L26="","",'1. Project Info'!L26)</f>
        <v/>
      </c>
      <c r="C26" s="701" t="str">
        <f>IFERROR(IF('1. Project Info'!L26="","",'Calculations &lt;HIDE&gt;'!AW26),"")</f>
        <v/>
      </c>
      <c r="D26" s="696" t="str">
        <f>IFERROR(IF('1. Project Info'!L26="","",'Calculations &lt;HIDE&gt;'!AX26),"")</f>
        <v/>
      </c>
      <c r="E26" s="541" t="str">
        <f t="shared" si="0"/>
        <v/>
      </c>
      <c r="F26" s="696" t="str" cm="1">
        <f t="array" ref="F26">IFERROR(_xlfn.IFS(OR('1. Project Info'!L26="",AND('1. Project Info'!L26&lt;&gt;"",'Calculations &lt;HIDE&gt;'!BQ26=0)),"",'1. Project Info'!L26&lt;&gt;"",'Calculations &lt;HIDE&gt;'!BQ26),"")</f>
        <v/>
      </c>
      <c r="G26" s="694" t="str" cm="1">
        <f t="array" ref="G26">IFERROR(_xlfn.IFS(OR('1. Project Info'!L26="",AND('1. Project Info'!L26&lt;&gt;"",'Calculations &lt;HIDE&gt;'!BR26=0)),"",'Calculations &lt;HIDE&gt;'!BQ26&lt;0,'Calculations &lt;HIDE&gt;'!BR26+'Calculations &lt;HIDE&gt;'!BQ26,'1. Project Info'!L26&lt;&gt;"",'Calculations &lt;HIDE&gt;'!BR26),"-")</f>
        <v/>
      </c>
      <c r="H26" s="697" t="str">
        <f>IFERROR(IF('1. Project Info'!L26="","",IF('Calculations &lt;HIDE&gt;'!BU26=0,"",'Calculations &lt;HIDE&gt;'!BU26)),"")</f>
        <v/>
      </c>
      <c r="I26" s="697" t="str">
        <f>IFERROR(IF('1. Project Info'!L26="","",IF('Calculations &lt;HIDE&gt;'!BV26=0,"",'Calculations &lt;HIDE&gt;'!BV26)),"")</f>
        <v/>
      </c>
      <c r="J26" s="697" t="str">
        <f>IFERROR(IF('1. Project Info'!L26="","",IF('Calculations &lt;HIDE&gt;'!BS26=0,"",'Calculations &lt;HIDE&gt;'!BS26)),"")</f>
        <v/>
      </c>
      <c r="K26" s="698" t="str">
        <f>IFERROR(IF('1. Project Info'!L26="","",IF('Calculations &lt;HIDE&gt;'!BT26=0,"",'Calculations &lt;HIDE&gt;'!BT26)),"")</f>
        <v/>
      </c>
    </row>
    <row r="27" spans="2:11" ht="21.75" customHeight="1" x14ac:dyDescent="0.25">
      <c r="B27" s="168" t="str">
        <f>IF('1. Project Info'!L27="","",'1. Project Info'!L27)</f>
        <v/>
      </c>
      <c r="C27" s="701" t="str">
        <f>IFERROR(IF('1. Project Info'!L27="","",'Calculations &lt;HIDE&gt;'!AW27),"")</f>
        <v/>
      </c>
      <c r="D27" s="696" t="str">
        <f>IFERROR(IF('1. Project Info'!L27="","",'Calculations &lt;HIDE&gt;'!AX27),"")</f>
        <v/>
      </c>
      <c r="E27" s="541" t="str">
        <f t="shared" si="0"/>
        <v/>
      </c>
      <c r="F27" s="696" t="str" cm="1">
        <f t="array" ref="F27">IFERROR(_xlfn.IFS(OR('1. Project Info'!L27="",AND('1. Project Info'!L27&lt;&gt;"",'Calculations &lt;HIDE&gt;'!BQ27=0)),"",'1. Project Info'!L27&lt;&gt;"",'Calculations &lt;HIDE&gt;'!BQ27),"")</f>
        <v/>
      </c>
      <c r="G27" s="694" t="str" cm="1">
        <f t="array" ref="G27">IFERROR(_xlfn.IFS(OR('1. Project Info'!L27="",AND('1. Project Info'!L27&lt;&gt;"",'Calculations &lt;HIDE&gt;'!BR27=0)),"",'Calculations &lt;HIDE&gt;'!BQ27&lt;0,'Calculations &lt;HIDE&gt;'!BR27+'Calculations &lt;HIDE&gt;'!BQ27,'1. Project Info'!L27&lt;&gt;"",'Calculations &lt;HIDE&gt;'!BR27),"-")</f>
        <v/>
      </c>
      <c r="H27" s="697" t="str">
        <f>IFERROR(IF('1. Project Info'!L27="","",IF('Calculations &lt;HIDE&gt;'!BU27=0,"",'Calculations &lt;HIDE&gt;'!BU27)),"")</f>
        <v/>
      </c>
      <c r="I27" s="697" t="str">
        <f>IFERROR(IF('1. Project Info'!L27="","",IF('Calculations &lt;HIDE&gt;'!BV27=0,"",'Calculations &lt;HIDE&gt;'!BV27)),"")</f>
        <v/>
      </c>
      <c r="J27" s="697" t="str">
        <f>IFERROR(IF('1. Project Info'!L27="","",IF('Calculations &lt;HIDE&gt;'!BS27=0,"",'Calculations &lt;HIDE&gt;'!BS27)),"")</f>
        <v/>
      </c>
      <c r="K27" s="698" t="str">
        <f>IFERROR(IF('1. Project Info'!L27="","",IF('Calculations &lt;HIDE&gt;'!BT27=0,"",'Calculations &lt;HIDE&gt;'!BT27)),"")</f>
        <v/>
      </c>
    </row>
    <row r="28" spans="2:11" ht="21.75" customHeight="1" x14ac:dyDescent="0.25">
      <c r="B28" s="168" t="str">
        <f>IF('1. Project Info'!L28="","",'1. Project Info'!L28)</f>
        <v/>
      </c>
      <c r="C28" s="701" t="str">
        <f>IFERROR(IF('1. Project Info'!L28="","",'Calculations &lt;HIDE&gt;'!AW28),"")</f>
        <v/>
      </c>
      <c r="D28" s="696" t="str">
        <f>IFERROR(IF('1. Project Info'!L28="","",'Calculations &lt;HIDE&gt;'!AX28),"")</f>
        <v/>
      </c>
      <c r="E28" s="541" t="str">
        <f t="shared" si="0"/>
        <v/>
      </c>
      <c r="F28" s="696" t="str" cm="1">
        <f t="array" ref="F28">IFERROR(_xlfn.IFS(OR('1. Project Info'!L28="",AND('1. Project Info'!L28&lt;&gt;"",'Calculations &lt;HIDE&gt;'!BQ28=0)),"",'1. Project Info'!L28&lt;&gt;"",'Calculations &lt;HIDE&gt;'!BQ28),"")</f>
        <v/>
      </c>
      <c r="G28" s="694" t="str" cm="1">
        <f t="array" ref="G28">IFERROR(_xlfn.IFS(OR('1. Project Info'!L28="",AND('1. Project Info'!L28&lt;&gt;"",'Calculations &lt;HIDE&gt;'!BR28=0)),"",'Calculations &lt;HIDE&gt;'!BQ28&lt;0,'Calculations &lt;HIDE&gt;'!BR28+'Calculations &lt;HIDE&gt;'!BQ28,'1. Project Info'!L28&lt;&gt;"",'Calculations &lt;HIDE&gt;'!BR28),"-")</f>
        <v/>
      </c>
      <c r="H28" s="697" t="str">
        <f>IFERROR(IF('1. Project Info'!L28="","",IF('Calculations &lt;HIDE&gt;'!BU28=0,"",'Calculations &lt;HIDE&gt;'!BU28)),"")</f>
        <v/>
      </c>
      <c r="I28" s="697" t="str">
        <f>IFERROR(IF('1. Project Info'!L28="","",IF('Calculations &lt;HIDE&gt;'!BV28=0,"",'Calculations &lt;HIDE&gt;'!BV28)),"")</f>
        <v/>
      </c>
      <c r="J28" s="697" t="str">
        <f>IFERROR(IF('1. Project Info'!L28="","",IF('Calculations &lt;HIDE&gt;'!BS28=0,"",'Calculations &lt;HIDE&gt;'!BS28)),"")</f>
        <v/>
      </c>
      <c r="K28" s="698" t="str">
        <f>IFERROR(IF('1. Project Info'!L28="","",IF('Calculations &lt;HIDE&gt;'!BT28=0,"",'Calculations &lt;HIDE&gt;'!BT28)),"")</f>
        <v/>
      </c>
    </row>
    <row r="29" spans="2:11" ht="21.75" customHeight="1" x14ac:dyDescent="0.25">
      <c r="B29" s="168" t="str">
        <f>IF('1. Project Info'!L29="","",'1. Project Info'!L29)</f>
        <v/>
      </c>
      <c r="C29" s="701" t="str">
        <f>IFERROR(IF('1. Project Info'!L29="","",'Calculations &lt;HIDE&gt;'!AW29),"")</f>
        <v/>
      </c>
      <c r="D29" s="696" t="str">
        <f>IFERROR(IF('1. Project Info'!L29="","",'Calculations &lt;HIDE&gt;'!AX29),"")</f>
        <v/>
      </c>
      <c r="E29" s="541" t="str">
        <f t="shared" si="0"/>
        <v/>
      </c>
      <c r="F29" s="696" t="str" cm="1">
        <f t="array" ref="F29">IFERROR(_xlfn.IFS(OR('1. Project Info'!L29="",AND('1. Project Info'!L29&lt;&gt;"",'Calculations &lt;HIDE&gt;'!BQ29=0)),"",'1. Project Info'!L29&lt;&gt;"",'Calculations &lt;HIDE&gt;'!BQ29),"")</f>
        <v/>
      </c>
      <c r="G29" s="694" t="str" cm="1">
        <f t="array" ref="G29">IFERROR(_xlfn.IFS(OR('1. Project Info'!L29="",AND('1. Project Info'!L29&lt;&gt;"",'Calculations &lt;HIDE&gt;'!BR29=0)),"",'Calculations &lt;HIDE&gt;'!BQ29&lt;0,'Calculations &lt;HIDE&gt;'!BR29+'Calculations &lt;HIDE&gt;'!BQ29,'1. Project Info'!L29&lt;&gt;"",'Calculations &lt;HIDE&gt;'!BR29),"-")</f>
        <v/>
      </c>
      <c r="H29" s="697" t="str">
        <f>IFERROR(IF('1. Project Info'!L29="","",IF('Calculations &lt;HIDE&gt;'!BU29=0,"",'Calculations &lt;HIDE&gt;'!BU29)),"")</f>
        <v/>
      </c>
      <c r="I29" s="697" t="str">
        <f>IFERROR(IF('1. Project Info'!L29="","",IF('Calculations &lt;HIDE&gt;'!BV29=0,"",'Calculations &lt;HIDE&gt;'!BV29)),"")</f>
        <v/>
      </c>
      <c r="J29" s="697" t="str">
        <f>IFERROR(IF('1. Project Info'!L29="","",IF('Calculations &lt;HIDE&gt;'!BS29=0,"",'Calculations &lt;HIDE&gt;'!BS29)),"")</f>
        <v/>
      </c>
      <c r="K29" s="698" t="str">
        <f>IFERROR(IF('1. Project Info'!L29="","",IF('Calculations &lt;HIDE&gt;'!BT29=0,"",'Calculations &lt;HIDE&gt;'!BT29)),"")</f>
        <v/>
      </c>
    </row>
    <row r="30" spans="2:11" ht="21.75" customHeight="1" x14ac:dyDescent="0.25">
      <c r="B30" s="168" t="str">
        <f>IF('1. Project Info'!L30="","",'1. Project Info'!L30)</f>
        <v/>
      </c>
      <c r="C30" s="701" t="str">
        <f>IFERROR(IF('1. Project Info'!L30="","",'Calculations &lt;HIDE&gt;'!AW30),"")</f>
        <v/>
      </c>
      <c r="D30" s="696" t="str">
        <f>IFERROR(IF('1. Project Info'!L30="","",'Calculations &lt;HIDE&gt;'!AX30),"")</f>
        <v/>
      </c>
      <c r="E30" s="541" t="str">
        <f t="shared" si="0"/>
        <v/>
      </c>
      <c r="F30" s="696" t="str" cm="1">
        <f t="array" ref="F30">IFERROR(_xlfn.IFS(OR('1. Project Info'!L30="",AND('1. Project Info'!L30&lt;&gt;"",'Calculations &lt;HIDE&gt;'!BQ30=0)),"",'1. Project Info'!L30&lt;&gt;"",'Calculations &lt;HIDE&gt;'!BQ30),"")</f>
        <v/>
      </c>
      <c r="G30" s="694" t="str" cm="1">
        <f t="array" ref="G30">IFERROR(_xlfn.IFS(OR('1. Project Info'!L30="",AND('1. Project Info'!L30&lt;&gt;"",'Calculations &lt;HIDE&gt;'!BR30=0)),"",'Calculations &lt;HIDE&gt;'!BQ30&lt;0,'Calculations &lt;HIDE&gt;'!BR30+'Calculations &lt;HIDE&gt;'!BQ30,'1. Project Info'!L30&lt;&gt;"",'Calculations &lt;HIDE&gt;'!BR30),"-")</f>
        <v/>
      </c>
      <c r="H30" s="697" t="str">
        <f>IFERROR(IF('1. Project Info'!L30="","",IF('Calculations &lt;HIDE&gt;'!BU30=0,"",'Calculations &lt;HIDE&gt;'!BU30)),"")</f>
        <v/>
      </c>
      <c r="I30" s="697" t="str">
        <f>IFERROR(IF('1. Project Info'!L30="","",IF('Calculations &lt;HIDE&gt;'!BV30=0,"",'Calculations &lt;HIDE&gt;'!BV30)),"")</f>
        <v/>
      </c>
      <c r="J30" s="697" t="str">
        <f>IFERROR(IF('1. Project Info'!L30="","",IF('Calculations &lt;HIDE&gt;'!BS30=0,"",'Calculations &lt;HIDE&gt;'!BS30)),"")</f>
        <v/>
      </c>
      <c r="K30" s="698" t="str">
        <f>IFERROR(IF('1. Project Info'!L30="","",IF('Calculations &lt;HIDE&gt;'!BT30=0,"",'Calculations &lt;HIDE&gt;'!BT30)),"")</f>
        <v/>
      </c>
    </row>
    <row r="31" spans="2:11" ht="21.75" customHeight="1" x14ac:dyDescent="0.25">
      <c r="B31" s="168" t="str">
        <f>IF('1. Project Info'!L31="","",'1. Project Info'!L31)</f>
        <v/>
      </c>
      <c r="C31" s="701" t="str">
        <f>IFERROR(IF('1. Project Info'!L31="","",'Calculations &lt;HIDE&gt;'!AW31),"")</f>
        <v/>
      </c>
      <c r="D31" s="696" t="str">
        <f>IFERROR(IF('1. Project Info'!L31="","",'Calculations &lt;HIDE&gt;'!AX31),"")</f>
        <v/>
      </c>
      <c r="E31" s="541" t="str">
        <f t="shared" si="0"/>
        <v/>
      </c>
      <c r="F31" s="696" t="str" cm="1">
        <f t="array" ref="F31">IFERROR(_xlfn.IFS(OR('1. Project Info'!L31="",AND('1. Project Info'!L31&lt;&gt;"",'Calculations &lt;HIDE&gt;'!BQ31=0)),"",'1. Project Info'!L31&lt;&gt;"",'Calculations &lt;HIDE&gt;'!BQ31),"")</f>
        <v/>
      </c>
      <c r="G31" s="694" t="str" cm="1">
        <f t="array" ref="G31">IFERROR(_xlfn.IFS(OR('1. Project Info'!L31="",AND('1. Project Info'!L31&lt;&gt;"",'Calculations &lt;HIDE&gt;'!BR31=0)),"",'Calculations &lt;HIDE&gt;'!BQ31&lt;0,'Calculations &lt;HIDE&gt;'!BR31+'Calculations &lt;HIDE&gt;'!BQ31,'1. Project Info'!L31&lt;&gt;"",'Calculations &lt;HIDE&gt;'!BR31),"-")</f>
        <v/>
      </c>
      <c r="H31" s="697" t="str">
        <f>IFERROR(IF('1. Project Info'!L31="","",IF('Calculations &lt;HIDE&gt;'!BU31=0,"",'Calculations &lt;HIDE&gt;'!BU31)),"")</f>
        <v/>
      </c>
      <c r="I31" s="697" t="str">
        <f>IFERROR(IF('1. Project Info'!L31="","",IF('Calculations &lt;HIDE&gt;'!BV31=0,"",'Calculations &lt;HIDE&gt;'!BV31)),"")</f>
        <v/>
      </c>
      <c r="J31" s="697" t="str">
        <f>IFERROR(IF('1. Project Info'!L31="","",IF('Calculations &lt;HIDE&gt;'!BS31=0,"",'Calculations &lt;HIDE&gt;'!BS31)),"")</f>
        <v/>
      </c>
      <c r="K31" s="698" t="str">
        <f>IFERROR(IF('1. Project Info'!L31="","",IF('Calculations &lt;HIDE&gt;'!BT31=0,"",'Calculations &lt;HIDE&gt;'!BT31)),"")</f>
        <v/>
      </c>
    </row>
    <row r="32" spans="2:11" ht="21.75" customHeight="1" x14ac:dyDescent="0.25">
      <c r="B32" s="168" t="str">
        <f>IF('1. Project Info'!L32="","",'1. Project Info'!L32)</f>
        <v/>
      </c>
      <c r="C32" s="701" t="str">
        <f>IFERROR(IF('1. Project Info'!L32="","",'Calculations &lt;HIDE&gt;'!AW32),"")</f>
        <v/>
      </c>
      <c r="D32" s="696" t="str">
        <f>IFERROR(IF('1. Project Info'!L32="","",'Calculations &lt;HIDE&gt;'!AX32),"")</f>
        <v/>
      </c>
      <c r="E32" s="541" t="str">
        <f t="shared" si="0"/>
        <v/>
      </c>
      <c r="F32" s="696" t="str" cm="1">
        <f t="array" ref="F32">IFERROR(_xlfn.IFS(OR('1. Project Info'!L32="",AND('1. Project Info'!L32&lt;&gt;"",'Calculations &lt;HIDE&gt;'!BQ32=0)),"",'1. Project Info'!L32&lt;&gt;"",'Calculations &lt;HIDE&gt;'!BQ32),"")</f>
        <v/>
      </c>
      <c r="G32" s="694" t="str" cm="1">
        <f t="array" ref="G32">IFERROR(_xlfn.IFS(OR('1. Project Info'!L32="",AND('1. Project Info'!L32&lt;&gt;"",'Calculations &lt;HIDE&gt;'!BR32=0)),"",'Calculations &lt;HIDE&gt;'!BQ32&lt;0,'Calculations &lt;HIDE&gt;'!BR32+'Calculations &lt;HIDE&gt;'!BQ32,'1. Project Info'!L32&lt;&gt;"",'Calculations &lt;HIDE&gt;'!BR32),"-")</f>
        <v/>
      </c>
      <c r="H32" s="697" t="str">
        <f>IFERROR(IF('1. Project Info'!L32="","",IF('Calculations &lt;HIDE&gt;'!BU32=0,"",'Calculations &lt;HIDE&gt;'!BU32)),"")</f>
        <v/>
      </c>
      <c r="I32" s="697" t="str">
        <f>IFERROR(IF('1. Project Info'!L32="","",IF('Calculations &lt;HIDE&gt;'!BV32=0,"",'Calculations &lt;HIDE&gt;'!BV32)),"")</f>
        <v/>
      </c>
      <c r="J32" s="697" t="str">
        <f>IFERROR(IF('1. Project Info'!L32="","",IF('Calculations &lt;HIDE&gt;'!BS32=0,"",'Calculations &lt;HIDE&gt;'!BS32)),"")</f>
        <v/>
      </c>
      <c r="K32" s="698" t="str">
        <f>IFERROR(IF('1. Project Info'!L32="","",IF('Calculations &lt;HIDE&gt;'!BT32=0,"",'Calculations &lt;HIDE&gt;'!BT32)),"")</f>
        <v/>
      </c>
    </row>
    <row r="33" spans="2:11" ht="21.75" customHeight="1" x14ac:dyDescent="0.25">
      <c r="B33" s="168" t="str">
        <f>IF('1. Project Info'!L33="","",'1. Project Info'!L33)</f>
        <v/>
      </c>
      <c r="C33" s="701" t="str">
        <f>IFERROR(IF('1. Project Info'!L33="","",'Calculations &lt;HIDE&gt;'!AW33),"")</f>
        <v/>
      </c>
      <c r="D33" s="696" t="str">
        <f>IFERROR(IF('1. Project Info'!L33="","",'Calculations &lt;HIDE&gt;'!AX33),"")</f>
        <v/>
      </c>
      <c r="E33" s="541" t="str">
        <f t="shared" si="0"/>
        <v/>
      </c>
      <c r="F33" s="696" t="str" cm="1">
        <f t="array" ref="F33">IFERROR(_xlfn.IFS(OR('1. Project Info'!L33="",AND('1. Project Info'!L33&lt;&gt;"",'Calculations &lt;HIDE&gt;'!BQ33=0)),"",'1. Project Info'!L33&lt;&gt;"",'Calculations &lt;HIDE&gt;'!BQ33),"")</f>
        <v/>
      </c>
      <c r="G33" s="694" t="str" cm="1">
        <f t="array" ref="G33">IFERROR(_xlfn.IFS(OR('1. Project Info'!L33="",AND('1. Project Info'!L33&lt;&gt;"",'Calculations &lt;HIDE&gt;'!BR33=0)),"",'Calculations &lt;HIDE&gt;'!BQ33&lt;0,'Calculations &lt;HIDE&gt;'!BR33+'Calculations &lt;HIDE&gt;'!BQ33,'1. Project Info'!L33&lt;&gt;"",'Calculations &lt;HIDE&gt;'!BR33),"-")</f>
        <v/>
      </c>
      <c r="H33" s="697" t="str">
        <f>IFERROR(IF('1. Project Info'!L33="","",IF('Calculations &lt;HIDE&gt;'!BU33=0,"",'Calculations &lt;HIDE&gt;'!BU33)),"")</f>
        <v/>
      </c>
      <c r="I33" s="697" t="str">
        <f>IFERROR(IF('1. Project Info'!L33="","",IF('Calculations &lt;HIDE&gt;'!BV33=0,"",'Calculations &lt;HIDE&gt;'!BV33)),"")</f>
        <v/>
      </c>
      <c r="J33" s="697" t="str">
        <f>IFERROR(IF('1. Project Info'!L33="","",IF('Calculations &lt;HIDE&gt;'!BS33=0,"",'Calculations &lt;HIDE&gt;'!BS33)),"")</f>
        <v/>
      </c>
      <c r="K33" s="698" t="str">
        <f>IFERROR(IF('1. Project Info'!L33="","",IF('Calculations &lt;HIDE&gt;'!BT33=0,"",'Calculations &lt;HIDE&gt;'!BT33)),"")</f>
        <v/>
      </c>
    </row>
    <row r="34" spans="2:11" ht="21.75" customHeight="1" x14ac:dyDescent="0.25">
      <c r="B34" s="168" t="str">
        <f>IF('1. Project Info'!L34="","",'1. Project Info'!L34)</f>
        <v/>
      </c>
      <c r="C34" s="701" t="str">
        <f>IFERROR(IF('1. Project Info'!L34="","",'Calculations &lt;HIDE&gt;'!AW34),"")</f>
        <v/>
      </c>
      <c r="D34" s="696" t="str">
        <f>IFERROR(IF('1. Project Info'!L34="","",'Calculations &lt;HIDE&gt;'!AX34),"")</f>
        <v/>
      </c>
      <c r="E34" s="541" t="str">
        <f t="shared" si="0"/>
        <v/>
      </c>
      <c r="F34" s="696" t="str" cm="1">
        <f t="array" ref="F34">IFERROR(_xlfn.IFS(OR('1. Project Info'!L34="",AND('1. Project Info'!L34&lt;&gt;"",'Calculations &lt;HIDE&gt;'!BQ34=0)),"",'1. Project Info'!L34&lt;&gt;"",'Calculations &lt;HIDE&gt;'!BQ34),"")</f>
        <v/>
      </c>
      <c r="G34" s="694" t="str" cm="1">
        <f t="array" ref="G34">IFERROR(_xlfn.IFS(OR('1. Project Info'!L34="",AND('1. Project Info'!L34&lt;&gt;"",'Calculations &lt;HIDE&gt;'!BR34=0)),"",'Calculations &lt;HIDE&gt;'!BQ34&lt;0,'Calculations &lt;HIDE&gt;'!BR34+'Calculations &lt;HIDE&gt;'!BQ34,'1. Project Info'!L34&lt;&gt;"",'Calculations &lt;HIDE&gt;'!BR34),"-")</f>
        <v/>
      </c>
      <c r="H34" s="697" t="str">
        <f>IFERROR(IF('1. Project Info'!L34="","",IF('Calculations &lt;HIDE&gt;'!BU34=0,"",'Calculations &lt;HIDE&gt;'!BU34)),"")</f>
        <v/>
      </c>
      <c r="I34" s="697" t="str">
        <f>IFERROR(IF('1. Project Info'!L34="","",IF('Calculations &lt;HIDE&gt;'!BV34=0,"",'Calculations &lt;HIDE&gt;'!BV34)),"")</f>
        <v/>
      </c>
      <c r="J34" s="697" t="str">
        <f>IFERROR(IF('1. Project Info'!L34="","",IF('Calculations &lt;HIDE&gt;'!BS34=0,"",'Calculations &lt;HIDE&gt;'!BS34)),"")</f>
        <v/>
      </c>
      <c r="K34" s="698" t="str">
        <f>IFERROR(IF('1. Project Info'!L34="","",IF('Calculations &lt;HIDE&gt;'!BT34=0,"",'Calculations &lt;HIDE&gt;'!BT34)),"")</f>
        <v/>
      </c>
    </row>
    <row r="35" spans="2:11" ht="21.75" customHeight="1" x14ac:dyDescent="0.25">
      <c r="B35" s="168" t="str">
        <f>IF('1. Project Info'!L35="","",'1. Project Info'!L35)</f>
        <v/>
      </c>
      <c r="C35" s="701" t="str">
        <f>IFERROR(IF('1. Project Info'!L35="","",'Calculations &lt;HIDE&gt;'!AW35),"")</f>
        <v/>
      </c>
      <c r="D35" s="696" t="str">
        <f>IFERROR(IF('1. Project Info'!L35="","",'Calculations &lt;HIDE&gt;'!AX35),"")</f>
        <v/>
      </c>
      <c r="E35" s="541" t="str">
        <f t="shared" si="0"/>
        <v/>
      </c>
      <c r="F35" s="696" t="str" cm="1">
        <f t="array" ref="F35">IFERROR(_xlfn.IFS(OR('1. Project Info'!L35="",AND('1. Project Info'!L35&lt;&gt;"",'Calculations &lt;HIDE&gt;'!BQ35=0)),"",'1. Project Info'!L35&lt;&gt;"",'Calculations &lt;HIDE&gt;'!BQ35),"")</f>
        <v/>
      </c>
      <c r="G35" s="694" t="str" cm="1">
        <f t="array" ref="G35">IFERROR(_xlfn.IFS(OR('1. Project Info'!L35="",AND('1. Project Info'!L35&lt;&gt;"",'Calculations &lt;HIDE&gt;'!BR35=0)),"",'Calculations &lt;HIDE&gt;'!BQ35&lt;0,'Calculations &lt;HIDE&gt;'!BR35+'Calculations &lt;HIDE&gt;'!BQ35,'1. Project Info'!L35&lt;&gt;"",'Calculations &lt;HIDE&gt;'!BR35),"-")</f>
        <v/>
      </c>
      <c r="H35" s="697" t="str">
        <f>IFERROR(IF('1. Project Info'!L35="","",IF('Calculations &lt;HIDE&gt;'!BU35=0,"",'Calculations &lt;HIDE&gt;'!BU35)),"")</f>
        <v/>
      </c>
      <c r="I35" s="697" t="str">
        <f>IFERROR(IF('1. Project Info'!L35="","",IF('Calculations &lt;HIDE&gt;'!BV35=0,"",'Calculations &lt;HIDE&gt;'!BV35)),"")</f>
        <v/>
      </c>
      <c r="J35" s="697" t="str">
        <f>IFERROR(IF('1. Project Info'!L35="","",IF('Calculations &lt;HIDE&gt;'!BS35=0,"",'Calculations &lt;HIDE&gt;'!BS35)),"")</f>
        <v/>
      </c>
      <c r="K35" s="698" t="str">
        <f>IFERROR(IF('1. Project Info'!L35="","",IF('Calculations &lt;HIDE&gt;'!BT35=0,"",'Calculations &lt;HIDE&gt;'!BT35)),"")</f>
        <v/>
      </c>
    </row>
    <row r="36" spans="2:11" ht="21.75" customHeight="1" x14ac:dyDescent="0.25">
      <c r="B36" s="168" t="str">
        <f>IF('1. Project Info'!L36="","",'1. Project Info'!L36)</f>
        <v/>
      </c>
      <c r="C36" s="701" t="str">
        <f>IFERROR(IF('1. Project Info'!L36="","",'Calculations &lt;HIDE&gt;'!AW36),"")</f>
        <v/>
      </c>
      <c r="D36" s="696" t="str">
        <f>IFERROR(IF('1. Project Info'!L36="","",'Calculations &lt;HIDE&gt;'!AX36),"")</f>
        <v/>
      </c>
      <c r="E36" s="541" t="str">
        <f t="shared" si="0"/>
        <v/>
      </c>
      <c r="F36" s="696" t="str" cm="1">
        <f t="array" ref="F36">IFERROR(_xlfn.IFS(OR('1. Project Info'!L36="",AND('1. Project Info'!L36&lt;&gt;"",'Calculations &lt;HIDE&gt;'!BQ36=0)),"",'1. Project Info'!L36&lt;&gt;"",'Calculations &lt;HIDE&gt;'!BQ36),"")</f>
        <v/>
      </c>
      <c r="G36" s="694" t="str" cm="1">
        <f t="array" ref="G36">IFERROR(_xlfn.IFS(OR('1. Project Info'!L36="",AND('1. Project Info'!L36&lt;&gt;"",'Calculations &lt;HIDE&gt;'!BR36=0)),"",'Calculations &lt;HIDE&gt;'!BQ36&lt;0,'Calculations &lt;HIDE&gt;'!BR36+'Calculations &lt;HIDE&gt;'!BQ36,'1. Project Info'!L36&lt;&gt;"",'Calculations &lt;HIDE&gt;'!BR36),"-")</f>
        <v/>
      </c>
      <c r="H36" s="697" t="str">
        <f>IFERROR(IF('1. Project Info'!L36="","",IF('Calculations &lt;HIDE&gt;'!BU36=0,"",'Calculations &lt;HIDE&gt;'!BU36)),"")</f>
        <v/>
      </c>
      <c r="I36" s="697" t="str">
        <f>IFERROR(IF('1. Project Info'!L36="","",IF('Calculations &lt;HIDE&gt;'!BV36=0,"",'Calculations &lt;HIDE&gt;'!BV36)),"")</f>
        <v/>
      </c>
      <c r="J36" s="697" t="str">
        <f>IFERROR(IF('1. Project Info'!L36="","",IF('Calculations &lt;HIDE&gt;'!BS36=0,"",'Calculations &lt;HIDE&gt;'!BS36)),"")</f>
        <v/>
      </c>
      <c r="K36" s="698" t="str">
        <f>IFERROR(IF('1. Project Info'!L36="","",IF('Calculations &lt;HIDE&gt;'!BT36=0,"",'Calculations &lt;HIDE&gt;'!BT36)),"")</f>
        <v/>
      </c>
    </row>
    <row r="37" spans="2:11" ht="21.75" customHeight="1" x14ac:dyDescent="0.25">
      <c r="B37" s="168" t="str">
        <f>IF('1. Project Info'!L37="","",'1. Project Info'!L37)</f>
        <v/>
      </c>
      <c r="C37" s="701" t="str">
        <f>IFERROR(IF('1. Project Info'!L37="","",'Calculations &lt;HIDE&gt;'!AW37),"")</f>
        <v/>
      </c>
      <c r="D37" s="696" t="str">
        <f>IFERROR(IF('1. Project Info'!L37="","",'Calculations &lt;HIDE&gt;'!AX37),"")</f>
        <v/>
      </c>
      <c r="E37" s="541" t="str">
        <f t="shared" si="0"/>
        <v/>
      </c>
      <c r="F37" s="696" t="str" cm="1">
        <f t="array" ref="F37">IFERROR(_xlfn.IFS(OR('1. Project Info'!L37="",AND('1. Project Info'!L37&lt;&gt;"",'Calculations &lt;HIDE&gt;'!BQ37=0)),"",'1. Project Info'!L37&lt;&gt;"",'Calculations &lt;HIDE&gt;'!BQ37),"")</f>
        <v/>
      </c>
      <c r="G37" s="694" t="str" cm="1">
        <f t="array" ref="G37">IFERROR(_xlfn.IFS(OR('1. Project Info'!L37="",AND('1. Project Info'!L37&lt;&gt;"",'Calculations &lt;HIDE&gt;'!BR37=0)),"",'Calculations &lt;HIDE&gt;'!BQ37&lt;0,'Calculations &lt;HIDE&gt;'!BR37+'Calculations &lt;HIDE&gt;'!BQ37,'1. Project Info'!L37&lt;&gt;"",'Calculations &lt;HIDE&gt;'!BR37),"-")</f>
        <v/>
      </c>
      <c r="H37" s="697" t="str">
        <f>IFERROR(IF('1. Project Info'!L37="","",IF('Calculations &lt;HIDE&gt;'!BU37=0,"",'Calculations &lt;HIDE&gt;'!BU37)),"")</f>
        <v/>
      </c>
      <c r="I37" s="697" t="str">
        <f>IFERROR(IF('1. Project Info'!L37="","",IF('Calculations &lt;HIDE&gt;'!BV37=0,"",'Calculations &lt;HIDE&gt;'!BV37)),"")</f>
        <v/>
      </c>
      <c r="J37" s="697" t="str">
        <f>IFERROR(IF('1. Project Info'!L37="","",IF('Calculations &lt;HIDE&gt;'!BS37=0,"",'Calculations &lt;HIDE&gt;'!BS37)),"")</f>
        <v/>
      </c>
      <c r="K37" s="698" t="str">
        <f>IFERROR(IF('1. Project Info'!L37="","",IF('Calculations &lt;HIDE&gt;'!BT37=0,"",'Calculations &lt;HIDE&gt;'!BT37)),"")</f>
        <v/>
      </c>
    </row>
    <row r="38" spans="2:11" ht="21.75" customHeight="1" x14ac:dyDescent="0.25">
      <c r="B38" s="168" t="str">
        <f>IF('1. Project Info'!L38="","",'1. Project Info'!L38)</f>
        <v/>
      </c>
      <c r="C38" s="701" t="str">
        <f>IFERROR(IF('1. Project Info'!L38="","",'Calculations &lt;HIDE&gt;'!AW38),"")</f>
        <v/>
      </c>
      <c r="D38" s="696" t="str">
        <f>IFERROR(IF('1. Project Info'!L38="","",'Calculations &lt;HIDE&gt;'!AX38),"")</f>
        <v/>
      </c>
      <c r="E38" s="541" t="str">
        <f t="shared" si="0"/>
        <v/>
      </c>
      <c r="F38" s="696" t="str" cm="1">
        <f t="array" ref="F38">IFERROR(_xlfn.IFS(OR('1. Project Info'!L38="",AND('1. Project Info'!L38&lt;&gt;"",'Calculations &lt;HIDE&gt;'!BQ38=0)),"",'1. Project Info'!L38&lt;&gt;"",'Calculations &lt;HIDE&gt;'!BQ38),"")</f>
        <v/>
      </c>
      <c r="G38" s="694" t="str" cm="1">
        <f t="array" ref="G38">IFERROR(_xlfn.IFS(OR('1. Project Info'!L38="",AND('1. Project Info'!L38&lt;&gt;"",'Calculations &lt;HIDE&gt;'!BR38=0)),"",'Calculations &lt;HIDE&gt;'!BQ38&lt;0,'Calculations &lt;HIDE&gt;'!BR38+'Calculations &lt;HIDE&gt;'!BQ38,'1. Project Info'!L38&lt;&gt;"",'Calculations &lt;HIDE&gt;'!BR38),"-")</f>
        <v/>
      </c>
      <c r="H38" s="697" t="str">
        <f>IFERROR(IF('1. Project Info'!L38="","",IF('Calculations &lt;HIDE&gt;'!BU38=0,"",'Calculations &lt;HIDE&gt;'!BU38)),"")</f>
        <v/>
      </c>
      <c r="I38" s="697" t="str">
        <f>IFERROR(IF('1. Project Info'!L38="","",IF('Calculations &lt;HIDE&gt;'!BV38=0,"",'Calculations &lt;HIDE&gt;'!BV38)),"")</f>
        <v/>
      </c>
      <c r="J38" s="697" t="str">
        <f>IFERROR(IF('1. Project Info'!L38="","",IF('Calculations &lt;HIDE&gt;'!BS38=0,"",'Calculations &lt;HIDE&gt;'!BS38)),"")</f>
        <v/>
      </c>
      <c r="K38" s="698" t="str">
        <f>IFERROR(IF('1. Project Info'!L38="","",IF('Calculations &lt;HIDE&gt;'!BT38=0,"",'Calculations &lt;HIDE&gt;'!BT38)),"")</f>
        <v/>
      </c>
    </row>
    <row r="39" spans="2:11" ht="21.75" customHeight="1" thickBot="1" x14ac:dyDescent="0.3">
      <c r="B39" s="169" t="str">
        <f>IF('1. Project Info'!L39="","",'1. Project Info'!L39)</f>
        <v/>
      </c>
      <c r="C39" s="701" t="str">
        <f>IFERROR(IF('1. Project Info'!L39="","",'Calculations &lt;HIDE&gt;'!AW39),"")</f>
        <v/>
      </c>
      <c r="D39" s="699" t="str">
        <f>IFERROR(IF('1. Project Info'!L39="","",'Calculations &lt;HIDE&gt;'!AX39),"")</f>
        <v/>
      </c>
      <c r="E39" s="542" t="str">
        <f t="shared" si="0"/>
        <v/>
      </c>
      <c r="F39" s="793" t="str" cm="1">
        <f t="array" ref="F39">IFERROR(_xlfn.IFS(OR('1. Project Info'!L39="",AND('1. Project Info'!L39&lt;&gt;"",'Calculations &lt;HIDE&gt;'!BQ39=0)),"",'1. Project Info'!L39&lt;&gt;"",'Calculations &lt;HIDE&gt;'!BQ39),"")</f>
        <v/>
      </c>
      <c r="G39" s="794" t="str" cm="1">
        <f t="array" ref="G39">IFERROR(_xlfn.IFS(OR('1. Project Info'!L39="",AND('1. Project Info'!L39&lt;&gt;"",'Calculations &lt;HIDE&gt;'!BR39=0)),"",'Calculations &lt;HIDE&gt;'!BQ39&lt;0,'Calculations &lt;HIDE&gt;'!BR39+'Calculations &lt;HIDE&gt;'!BQ39,'1. Project Info'!L39&lt;&gt;"",'Calculations &lt;HIDE&gt;'!BR39),"-")</f>
        <v/>
      </c>
      <c r="H39" s="795" t="str">
        <f>IFERROR(IF('1. Project Info'!L39="","",IF('Calculations &lt;HIDE&gt;'!BU39=0,"",'Calculations &lt;HIDE&gt;'!BU39)),"")</f>
        <v/>
      </c>
      <c r="I39" s="795" t="str">
        <f>IFERROR(IF('1. Project Info'!L39="","",IF('Calculations &lt;HIDE&gt;'!BV39=0,"",'Calculations &lt;HIDE&gt;'!BV39)),"")</f>
        <v/>
      </c>
      <c r="J39" s="795" t="str">
        <f>IFERROR(IF('1. Project Info'!L39="","",IF('Calculations &lt;HIDE&gt;'!BS39=0,"",'Calculations &lt;HIDE&gt;'!BS39)),"")</f>
        <v/>
      </c>
      <c r="K39" s="796" t="str">
        <f>IFERROR(IF('1. Project Info'!L39="","",IF('Calculations &lt;HIDE&gt;'!BT39=0,"",'Calculations &lt;HIDE&gt;'!BT39)),"")</f>
        <v/>
      </c>
    </row>
    <row r="40" spans="2:11" s="42" customFormat="1" ht="21.75" customHeight="1" thickBot="1" x14ac:dyDescent="0.3">
      <c r="B40" s="43" t="s">
        <v>517</v>
      </c>
      <c r="C40" s="534">
        <f>IFERROR(SUM(C15:C39),"")</f>
        <v>0</v>
      </c>
      <c r="D40" s="535">
        <f>IFERROR(SUM(D15:D39),"")</f>
        <v>0</v>
      </c>
      <c r="E40" s="543" t="str">
        <f>IFERROR(C40/D40,"-")</f>
        <v>-</v>
      </c>
      <c r="F40" s="797">
        <f>IFERROR(SUM(F15:F39),"")</f>
        <v>0</v>
      </c>
      <c r="G40" s="798">
        <f>IFERROR(SUM(G15:G39),"")</f>
        <v>0</v>
      </c>
      <c r="H40" s="798">
        <f>IFERROR(SUM(H15:H39),"")</f>
        <v>0</v>
      </c>
      <c r="I40" s="799">
        <f>IFERROR(SUM(I15:I39),"")</f>
        <v>0</v>
      </c>
      <c r="J40" s="800">
        <f>IFERROR(SUM(J15:J39),"")</f>
        <v>0</v>
      </c>
      <c r="K40" s="799">
        <f t="shared" ref="K40" si="1">IFERROR(SUM(K15:K39),"")</f>
        <v>0</v>
      </c>
    </row>
    <row r="41" spans="2:11" ht="15.75" x14ac:dyDescent="0.25">
      <c r="C41" s="132"/>
      <c r="D41" s="132"/>
    </row>
    <row r="42" spans="2:11" ht="15.75" x14ac:dyDescent="0.25">
      <c r="C42" s="132"/>
      <c r="D42" s="132"/>
    </row>
    <row r="43" spans="2:11" ht="15.75" x14ac:dyDescent="0.25">
      <c r="C43" s="132"/>
      <c r="D43" s="132"/>
    </row>
    <row r="44" spans="2:11" ht="15.75" x14ac:dyDescent="0.25">
      <c r="C44" s="132"/>
      <c r="D44" s="132"/>
    </row>
    <row r="45" spans="2:11" ht="15.75" x14ac:dyDescent="0.25">
      <c r="C45" s="132"/>
      <c r="D45" s="132"/>
    </row>
    <row r="46" spans="2:11" ht="15.75" x14ac:dyDescent="0.25">
      <c r="C46" s="132"/>
      <c r="D46" s="132"/>
    </row>
    <row r="47" spans="2:11" ht="15.75" x14ac:dyDescent="0.25">
      <c r="C47" s="132"/>
      <c r="D47" s="132"/>
    </row>
    <row r="48" spans="2:11" ht="15.75" x14ac:dyDescent="0.25">
      <c r="C48" s="132"/>
      <c r="D48" s="132"/>
    </row>
    <row r="49" spans="3:4" ht="15.75" x14ac:dyDescent="0.25">
      <c r="C49" s="132"/>
      <c r="D49" s="132"/>
    </row>
    <row r="50" spans="3:4" ht="15.75" x14ac:dyDescent="0.25">
      <c r="C50" s="132"/>
      <c r="D50" s="132"/>
    </row>
    <row r="51" spans="3:4" ht="15.75" x14ac:dyDescent="0.25">
      <c r="C51" s="132"/>
      <c r="D51" s="132"/>
    </row>
    <row r="52" spans="3:4" ht="15.75" x14ac:dyDescent="0.25">
      <c r="C52" s="132"/>
      <c r="D52" s="132"/>
    </row>
    <row r="53" spans="3:4" ht="15.75" x14ac:dyDescent="0.25">
      <c r="C53" s="132"/>
      <c r="D53" s="132"/>
    </row>
    <row r="54" spans="3:4" ht="15.75" x14ac:dyDescent="0.25">
      <c r="C54" s="132"/>
      <c r="D54" s="132"/>
    </row>
    <row r="55" spans="3:4" ht="15.75" x14ac:dyDescent="0.25">
      <c r="C55" s="132"/>
      <c r="D55" s="132"/>
    </row>
    <row r="56" spans="3:4" ht="15.75" x14ac:dyDescent="0.25">
      <c r="C56" s="132"/>
      <c r="D56" s="132"/>
    </row>
    <row r="57" spans="3:4" ht="15.75" x14ac:dyDescent="0.25">
      <c r="C57" s="132"/>
      <c r="D57" s="132"/>
    </row>
    <row r="58" spans="3:4" ht="15.75" x14ac:dyDescent="0.25">
      <c r="C58" s="132"/>
      <c r="D58" s="132"/>
    </row>
    <row r="59" spans="3:4" ht="15.75" x14ac:dyDescent="0.25">
      <c r="C59" s="132"/>
      <c r="D59" s="132"/>
    </row>
    <row r="60" spans="3:4" ht="15.75" x14ac:dyDescent="0.25">
      <c r="C60" s="132"/>
      <c r="D60" s="132"/>
    </row>
    <row r="61" spans="3:4" ht="15.75" x14ac:dyDescent="0.25">
      <c r="C61" s="132"/>
      <c r="D61" s="132"/>
    </row>
    <row r="62" spans="3:4" ht="15.75" x14ac:dyDescent="0.25">
      <c r="C62" s="132"/>
      <c r="D62" s="132"/>
    </row>
    <row r="63" spans="3:4" ht="15.75" x14ac:dyDescent="0.25">
      <c r="C63" s="132"/>
      <c r="D63" s="132"/>
    </row>
    <row r="64" spans="3:4" ht="15.75" x14ac:dyDescent="0.25">
      <c r="C64" s="132"/>
      <c r="D64" s="132"/>
    </row>
    <row r="65" spans="3:4" ht="15.75" x14ac:dyDescent="0.25">
      <c r="C65" s="132"/>
      <c r="D65" s="132"/>
    </row>
    <row r="66" spans="3:4" ht="15.75" x14ac:dyDescent="0.25">
      <c r="C66" s="132"/>
      <c r="D66" s="132"/>
    </row>
    <row r="67" spans="3:4" ht="15.75" x14ac:dyDescent="0.25">
      <c r="C67" s="132"/>
      <c r="D67" s="132"/>
    </row>
    <row r="68" spans="3:4" ht="15.75" x14ac:dyDescent="0.25">
      <c r="C68" s="132"/>
      <c r="D68" s="132"/>
    </row>
    <row r="69" spans="3:4" ht="15.75" x14ac:dyDescent="0.25">
      <c r="C69" s="132"/>
      <c r="D69" s="132"/>
    </row>
    <row r="70" spans="3:4" ht="15.75" x14ac:dyDescent="0.25">
      <c r="C70" s="132"/>
      <c r="D70" s="132"/>
    </row>
    <row r="71" spans="3:4" ht="15.75" x14ac:dyDescent="0.25">
      <c r="C71" s="132"/>
      <c r="D71" s="132"/>
    </row>
    <row r="72" spans="3:4" ht="15.75" x14ac:dyDescent="0.25">
      <c r="C72" s="132"/>
      <c r="D72" s="132"/>
    </row>
    <row r="73" spans="3:4" ht="15.75" x14ac:dyDescent="0.25">
      <c r="C73" s="132"/>
      <c r="D73" s="132"/>
    </row>
    <row r="74" spans="3:4" ht="15.75" x14ac:dyDescent="0.25">
      <c r="C74" s="132"/>
      <c r="D74" s="132"/>
    </row>
    <row r="75" spans="3:4" ht="15.75" x14ac:dyDescent="0.25">
      <c r="C75" s="132"/>
      <c r="D75" s="132"/>
    </row>
    <row r="76" spans="3:4" ht="15.75" x14ac:dyDescent="0.25">
      <c r="C76" s="132"/>
      <c r="D76" s="132"/>
    </row>
    <row r="77" spans="3:4" ht="15.75" x14ac:dyDescent="0.25">
      <c r="C77" s="132"/>
      <c r="D77" s="132"/>
    </row>
    <row r="78" spans="3:4" ht="15.75" x14ac:dyDescent="0.25">
      <c r="C78" s="132"/>
      <c r="D78" s="132"/>
    </row>
    <row r="79" spans="3:4" ht="15.75" x14ac:dyDescent="0.25">
      <c r="C79" s="132"/>
      <c r="D79" s="132"/>
    </row>
    <row r="80" spans="3:4" ht="15.75" x14ac:dyDescent="0.25">
      <c r="C80" s="132"/>
      <c r="D80" s="132"/>
    </row>
    <row r="81" spans="3:4" ht="15.75" x14ac:dyDescent="0.25">
      <c r="C81" s="132"/>
      <c r="D81" s="132"/>
    </row>
    <row r="82" spans="3:4" ht="15.75" x14ac:dyDescent="0.25">
      <c r="C82" s="132"/>
      <c r="D82" s="132"/>
    </row>
    <row r="83" spans="3:4" ht="15.75" x14ac:dyDescent="0.25">
      <c r="C83" s="132"/>
      <c r="D83" s="132"/>
    </row>
    <row r="84" spans="3:4" ht="15.75" x14ac:dyDescent="0.25">
      <c r="C84" s="132"/>
      <c r="D84" s="132"/>
    </row>
    <row r="85" spans="3:4" ht="15.75" x14ac:dyDescent="0.25">
      <c r="C85" s="132"/>
      <c r="D85" s="132"/>
    </row>
    <row r="86" spans="3:4" ht="15.75" x14ac:dyDescent="0.25">
      <c r="C86" s="132"/>
      <c r="D86" s="132"/>
    </row>
    <row r="87" spans="3:4" ht="15.75" x14ac:dyDescent="0.25">
      <c r="C87" s="132"/>
      <c r="D87" s="132"/>
    </row>
    <row r="88" spans="3:4" ht="15.75" x14ac:dyDescent="0.25">
      <c r="C88" s="132"/>
      <c r="D88" s="132"/>
    </row>
    <row r="89" spans="3:4" ht="15.75" x14ac:dyDescent="0.25">
      <c r="C89" s="132"/>
      <c r="D89" s="132"/>
    </row>
    <row r="90" spans="3:4" ht="15.75" x14ac:dyDescent="0.25">
      <c r="C90" s="132"/>
      <c r="D90" s="132"/>
    </row>
    <row r="91" spans="3:4" ht="15.75" x14ac:dyDescent="0.25">
      <c r="C91" s="132"/>
      <c r="D91" s="132"/>
    </row>
    <row r="92" spans="3:4" ht="15.75" x14ac:dyDescent="0.25">
      <c r="C92" s="132"/>
      <c r="D92" s="132"/>
    </row>
    <row r="93" spans="3:4" ht="15.75" x14ac:dyDescent="0.25">
      <c r="C93" s="132"/>
      <c r="D93" s="132"/>
    </row>
    <row r="94" spans="3:4" ht="15.75" x14ac:dyDescent="0.25">
      <c r="C94" s="132"/>
      <c r="D94" s="132"/>
    </row>
    <row r="95" spans="3:4" ht="15.75" x14ac:dyDescent="0.25">
      <c r="C95" s="132"/>
      <c r="D95" s="132"/>
    </row>
    <row r="96" spans="3:4" ht="15.75" x14ac:dyDescent="0.25">
      <c r="C96" s="132"/>
      <c r="D96" s="132"/>
    </row>
    <row r="97" spans="3:4" ht="15.75" x14ac:dyDescent="0.25">
      <c r="C97" s="132"/>
      <c r="D97" s="132"/>
    </row>
    <row r="98" spans="3:4" ht="15.75" x14ac:dyDescent="0.25">
      <c r="C98" s="132"/>
      <c r="D98" s="132"/>
    </row>
    <row r="99" spans="3:4" ht="15.75" x14ac:dyDescent="0.25">
      <c r="C99" s="132"/>
      <c r="D99" s="132"/>
    </row>
    <row r="100" spans="3:4" ht="15.75" x14ac:dyDescent="0.25">
      <c r="C100" s="132"/>
      <c r="D100" s="132"/>
    </row>
    <row r="101" spans="3:4" ht="15.75" x14ac:dyDescent="0.25">
      <c r="C101" s="132"/>
      <c r="D101" s="132"/>
    </row>
    <row r="102" spans="3:4" ht="15.75" x14ac:dyDescent="0.25">
      <c r="C102" s="132"/>
      <c r="D102" s="132"/>
    </row>
    <row r="103" spans="3:4" ht="15.75" x14ac:dyDescent="0.25">
      <c r="C103" s="132"/>
      <c r="D103" s="132"/>
    </row>
    <row r="104" spans="3:4" ht="15.75" x14ac:dyDescent="0.25">
      <c r="C104" s="132"/>
      <c r="D104" s="132"/>
    </row>
    <row r="105" spans="3:4" ht="15.75" x14ac:dyDescent="0.25">
      <c r="C105" s="132"/>
      <c r="D105" s="132"/>
    </row>
    <row r="106" spans="3:4" ht="15.75" x14ac:dyDescent="0.25">
      <c r="C106" s="132"/>
      <c r="D106" s="132"/>
    </row>
    <row r="107" spans="3:4" ht="15.75" x14ac:dyDescent="0.25">
      <c r="C107" s="132"/>
      <c r="D107" s="132"/>
    </row>
    <row r="108" spans="3:4" ht="15.75" x14ac:dyDescent="0.25">
      <c r="C108" s="132"/>
      <c r="D108" s="132"/>
    </row>
    <row r="109" spans="3:4" ht="15.75" x14ac:dyDescent="0.25">
      <c r="C109" s="132"/>
      <c r="D109" s="132"/>
    </row>
    <row r="110" spans="3:4" ht="15.75" x14ac:dyDescent="0.25">
      <c r="C110" s="132"/>
      <c r="D110" s="132"/>
    </row>
    <row r="111" spans="3:4" ht="15.75" x14ac:dyDescent="0.25">
      <c r="C111" s="132"/>
      <c r="D111" s="132"/>
    </row>
    <row r="112" spans="3:4" ht="15.75" x14ac:dyDescent="0.25">
      <c r="C112" s="132"/>
      <c r="D112" s="132"/>
    </row>
    <row r="113" spans="3:4" ht="15.75" x14ac:dyDescent="0.25">
      <c r="C113" s="132"/>
      <c r="D113" s="132"/>
    </row>
    <row r="114" spans="3:4" ht="15.75" x14ac:dyDescent="0.25">
      <c r="C114" s="132"/>
      <c r="D114" s="132"/>
    </row>
    <row r="115" spans="3:4" ht="15.75" x14ac:dyDescent="0.25">
      <c r="C115" s="132"/>
      <c r="D115" s="132"/>
    </row>
    <row r="116" spans="3:4" ht="15.75" x14ac:dyDescent="0.25">
      <c r="C116" s="132"/>
      <c r="D116" s="132"/>
    </row>
    <row r="117" spans="3:4" ht="15.75" x14ac:dyDescent="0.25">
      <c r="C117" s="132"/>
      <c r="D117" s="132"/>
    </row>
    <row r="118" spans="3:4" ht="15.75" x14ac:dyDescent="0.25">
      <c r="C118" s="132"/>
      <c r="D118" s="132"/>
    </row>
    <row r="119" spans="3:4" ht="15.75" x14ac:dyDescent="0.25">
      <c r="C119" s="132"/>
      <c r="D119" s="132"/>
    </row>
    <row r="120" spans="3:4" ht="15.75" x14ac:dyDescent="0.25">
      <c r="C120" s="132"/>
      <c r="D120" s="132"/>
    </row>
    <row r="121" spans="3:4" ht="15.75" x14ac:dyDescent="0.25">
      <c r="C121" s="132"/>
      <c r="D121" s="132"/>
    </row>
    <row r="122" spans="3:4" ht="15.75" x14ac:dyDescent="0.25">
      <c r="C122" s="132"/>
      <c r="D122" s="132"/>
    </row>
    <row r="123" spans="3:4" ht="15.75" x14ac:dyDescent="0.25">
      <c r="C123" s="132"/>
      <c r="D123" s="132"/>
    </row>
    <row r="124" spans="3:4" ht="15.75" x14ac:dyDescent="0.25">
      <c r="C124" s="132"/>
      <c r="D124" s="132"/>
    </row>
    <row r="125" spans="3:4" ht="15.75" x14ac:dyDescent="0.25">
      <c r="C125" s="132"/>
      <c r="D125" s="132"/>
    </row>
    <row r="126" spans="3:4" ht="15.75" x14ac:dyDescent="0.25">
      <c r="C126" s="132"/>
      <c r="D126" s="132"/>
    </row>
    <row r="127" spans="3:4" ht="15.75" x14ac:dyDescent="0.25">
      <c r="C127" s="132"/>
      <c r="D127" s="132"/>
    </row>
    <row r="128" spans="3:4" ht="15.75" x14ac:dyDescent="0.25">
      <c r="C128" s="132"/>
      <c r="D128" s="132"/>
    </row>
  </sheetData>
  <sheetProtection algorithmName="SHA-512" hashValue="5k5VA7/mkdW3A7bUjK8E852PxTyBoZt8Ac+WY6WEQJsyPeTvVbnLwcccxFu/f2XYU/4gB9O2i54KlEMITgAwqQ==" saltValue="JXj/SD5MywKRLaafzsJweg==" spinCount="100000" sheet="1" objects="1" scenarios="1"/>
  <pageMargins left="0.7" right="0.7" top="0.98479166666666662" bottom="0.75" header="0.3" footer="0.3"/>
  <pageSetup scale="71" fitToHeight="0" orientation="landscape" r:id="rId1"/>
  <headerFooter>
    <oddFooter>&amp;L&amp;"Avenir LT Std 55 Roman,Regular"&amp;12&amp;K000000Final November 6, 2024&amp;C&amp;"Avenir LT Std 55 Roman,Regular"&amp;12Page &amp;P of &amp;N&amp;R&amp;"Avenir LT Std 55 Roman,Regular"&amp;12&amp;K000000&amp;A</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7DE6FB53-6DE1-495D-AA92-7F2EB70B67F8}">
            <xm:f>'1. Project Info'!$D15=0</xm:f>
            <x14:dxf>
              <fill>
                <patternFill patternType="darkHorizontal">
                  <fgColor auto="1"/>
                  <bgColor theme="1" tint="0.24994659260841701"/>
                </patternFill>
              </fill>
            </x14:dxf>
          </x14:cfRule>
          <x14:cfRule type="expression" priority="2" id="{8ACD0098-2C84-47FF-8967-1F455B9A7808}">
            <xm:f>'1. Project Info'!$H15=0</xm:f>
            <x14:dxf>
              <fill>
                <patternFill patternType="darkHorizontal">
                  <fgColor auto="1"/>
                  <bgColor theme="1" tint="0.24994659260841701"/>
                </patternFill>
              </fill>
            </x14:dxf>
          </x14:cfRule>
          <xm:sqref>B15:K39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66"/>
  </sheetPr>
  <dimension ref="B1:AA189"/>
  <sheetViews>
    <sheetView showGridLines="0" zoomScaleNormal="100" workbookViewId="0"/>
  </sheetViews>
  <sheetFormatPr defaultColWidth="9.140625" defaultRowHeight="15" x14ac:dyDescent="0.25"/>
  <cols>
    <col min="1" max="1" width="4.28515625" style="73" customWidth="1"/>
    <col min="2" max="2" width="34.7109375" style="73" bestFit="1" customWidth="1"/>
    <col min="3" max="3" width="100.7109375" style="73" customWidth="1"/>
    <col min="4" max="4" width="15.42578125" style="73" customWidth="1"/>
    <col min="5" max="5" width="12.85546875" style="73" customWidth="1"/>
    <col min="6" max="7" width="33.28515625" style="73" customWidth="1"/>
    <col min="8" max="8" width="34.5703125" style="73" bestFit="1" customWidth="1"/>
    <col min="9" max="9" width="19.42578125" style="73" customWidth="1"/>
    <col min="10" max="10" width="16.85546875" style="73" customWidth="1"/>
    <col min="11" max="11" width="14.140625" style="73" customWidth="1"/>
    <col min="12" max="12" width="31.7109375" style="73" customWidth="1"/>
    <col min="13" max="16384" width="9.140625" style="73"/>
  </cols>
  <sheetData>
    <row r="1" spans="2:5" ht="18.75" customHeight="1" x14ac:dyDescent="0.25">
      <c r="B1" s="72"/>
      <c r="C1" s="72"/>
      <c r="D1" s="72"/>
      <c r="E1" s="72"/>
    </row>
    <row r="2" spans="2:5" ht="15" customHeight="1" x14ac:dyDescent="0.3">
      <c r="B2" s="170"/>
      <c r="C2" s="170"/>
      <c r="D2" s="170"/>
      <c r="E2" s="170"/>
    </row>
    <row r="3" spans="2:5" ht="18.75" customHeight="1" x14ac:dyDescent="0.25">
      <c r="B3" s="72"/>
      <c r="C3" s="72"/>
      <c r="D3" s="72"/>
      <c r="E3" s="72"/>
    </row>
    <row r="4" spans="2:5" ht="20.25" x14ac:dyDescent="0.25">
      <c r="B4" s="74"/>
      <c r="C4" s="74"/>
      <c r="D4" s="74"/>
      <c r="E4" s="74"/>
    </row>
    <row r="5" spans="2:5" ht="15" customHeight="1" x14ac:dyDescent="0.25">
      <c r="B5" s="75"/>
      <c r="C5" s="75"/>
      <c r="D5" s="75"/>
      <c r="E5" s="75"/>
    </row>
    <row r="6" spans="2:5" ht="15" customHeight="1" x14ac:dyDescent="0.25">
      <c r="B6" s="76"/>
      <c r="C6" s="76"/>
      <c r="D6" s="76"/>
      <c r="E6" s="76"/>
    </row>
    <row r="7" spans="2:5" ht="18.75" customHeight="1" x14ac:dyDescent="0.25">
      <c r="B7" s="72"/>
      <c r="C7" s="72"/>
      <c r="D7" s="72"/>
      <c r="E7" s="72"/>
    </row>
    <row r="8" spans="2:5" ht="15" customHeight="1" x14ac:dyDescent="0.25"/>
    <row r="9" spans="2:5" ht="15" customHeight="1" x14ac:dyDescent="0.25">
      <c r="B9" s="171"/>
      <c r="C9" s="171"/>
      <c r="D9" s="171"/>
      <c r="E9" s="171"/>
    </row>
    <row r="10" spans="2:5" ht="18.75" x14ac:dyDescent="0.3">
      <c r="B10" s="172" t="s">
        <v>57</v>
      </c>
      <c r="C10" s="172"/>
      <c r="D10" s="171"/>
      <c r="E10" s="171"/>
    </row>
    <row r="11" spans="2:5" ht="15" customHeight="1" x14ac:dyDescent="0.25">
      <c r="B11" s="173" t="s">
        <v>58</v>
      </c>
      <c r="C11" s="174" t="s">
        <v>59</v>
      </c>
      <c r="D11" s="171"/>
      <c r="E11" s="171"/>
    </row>
    <row r="12" spans="2:5" ht="15" hidden="1" customHeight="1" x14ac:dyDescent="0.25">
      <c r="B12" s="173" t="s">
        <v>60</v>
      </c>
      <c r="C12" s="175" t="s">
        <v>61</v>
      </c>
      <c r="D12" s="171"/>
      <c r="E12" s="171"/>
    </row>
    <row r="13" spans="2:5" ht="15" customHeight="1" x14ac:dyDescent="0.25">
      <c r="B13" s="173" t="s">
        <v>62</v>
      </c>
      <c r="C13" s="175" t="s">
        <v>63</v>
      </c>
      <c r="D13" s="171"/>
      <c r="E13" s="171"/>
    </row>
    <row r="14" spans="2:5" ht="15" customHeight="1" x14ac:dyDescent="0.25">
      <c r="B14" s="173" t="s">
        <v>64</v>
      </c>
      <c r="C14" s="176" t="s">
        <v>65</v>
      </c>
      <c r="D14" s="171"/>
      <c r="E14" s="171"/>
    </row>
    <row r="15" spans="2:5" ht="15" customHeight="1" x14ac:dyDescent="0.25">
      <c r="B15" s="173" t="s">
        <v>66</v>
      </c>
      <c r="C15" s="177" t="s">
        <v>67</v>
      </c>
      <c r="D15" s="171"/>
      <c r="E15" s="171"/>
    </row>
    <row r="16" spans="2:5" ht="15" customHeight="1" x14ac:dyDescent="0.25">
      <c r="B16" s="173" t="s">
        <v>68</v>
      </c>
      <c r="C16" s="177" t="s">
        <v>69</v>
      </c>
      <c r="D16" s="171"/>
      <c r="E16" s="171"/>
    </row>
    <row r="17" spans="2:5" ht="15.75" customHeight="1" x14ac:dyDescent="0.25">
      <c r="B17" s="173" t="s">
        <v>70</v>
      </c>
      <c r="C17" s="177" t="s">
        <v>71</v>
      </c>
      <c r="D17" s="178"/>
      <c r="E17" s="178"/>
    </row>
    <row r="18" spans="2:5" ht="15.75" hidden="1" customHeight="1" x14ac:dyDescent="0.25">
      <c r="B18" s="173" t="s">
        <v>72</v>
      </c>
      <c r="C18" s="177" t="s">
        <v>73</v>
      </c>
      <c r="D18" s="178"/>
      <c r="E18" s="178"/>
    </row>
    <row r="19" spans="2:5" ht="15.75" hidden="1" customHeight="1" x14ac:dyDescent="0.25">
      <c r="B19" s="173" t="s">
        <v>74</v>
      </c>
      <c r="C19" s="177" t="s">
        <v>75</v>
      </c>
      <c r="D19" s="178"/>
      <c r="E19" s="178"/>
    </row>
    <row r="20" spans="2:5" ht="15.75" customHeight="1" x14ac:dyDescent="0.25">
      <c r="B20" s="173" t="s">
        <v>567</v>
      </c>
      <c r="C20" s="177" t="s">
        <v>569</v>
      </c>
      <c r="D20" s="178"/>
      <c r="E20" s="178"/>
    </row>
    <row r="21" spans="2:5" ht="15.75" customHeight="1" x14ac:dyDescent="0.25">
      <c r="B21" s="173" t="s">
        <v>76</v>
      </c>
      <c r="C21" s="177" t="s">
        <v>77</v>
      </c>
      <c r="D21" s="178"/>
      <c r="E21" s="178"/>
    </row>
    <row r="22" spans="2:5" ht="15.75" customHeight="1" x14ac:dyDescent="0.25">
      <c r="B22" s="173" t="s">
        <v>78</v>
      </c>
      <c r="C22" s="177" t="s">
        <v>79</v>
      </c>
      <c r="D22" s="179"/>
      <c r="E22" s="179"/>
    </row>
    <row r="23" spans="2:5" ht="18.75" x14ac:dyDescent="0.35">
      <c r="B23" s="173" t="s">
        <v>80</v>
      </c>
      <c r="C23" s="177" t="s">
        <v>81</v>
      </c>
      <c r="D23" s="179"/>
      <c r="E23" s="179"/>
    </row>
    <row r="24" spans="2:5" ht="18.75" hidden="1" x14ac:dyDescent="0.35">
      <c r="B24" s="173" t="s">
        <v>82</v>
      </c>
      <c r="C24" s="177" t="s">
        <v>83</v>
      </c>
      <c r="D24" s="180"/>
      <c r="E24" s="180"/>
    </row>
    <row r="25" spans="2:5" ht="18.75" hidden="1" x14ac:dyDescent="0.35">
      <c r="B25" s="173" t="s">
        <v>84</v>
      </c>
      <c r="C25" s="177" t="s">
        <v>85</v>
      </c>
      <c r="D25" s="180"/>
      <c r="E25" s="180"/>
    </row>
    <row r="26" spans="2:5" ht="15.75" hidden="1" x14ac:dyDescent="0.25">
      <c r="B26" s="173" t="s">
        <v>86</v>
      </c>
      <c r="C26" s="177" t="s">
        <v>87</v>
      </c>
      <c r="D26" s="180"/>
      <c r="E26" s="180"/>
    </row>
    <row r="27" spans="2:5" ht="15.75" x14ac:dyDescent="0.25">
      <c r="B27" s="173" t="s">
        <v>568</v>
      </c>
      <c r="C27" s="177" t="s">
        <v>570</v>
      </c>
      <c r="D27" s="180"/>
      <c r="E27" s="180"/>
    </row>
    <row r="28" spans="2:5" ht="15.75" customHeight="1" x14ac:dyDescent="0.25">
      <c r="B28" s="173" t="s">
        <v>88</v>
      </c>
      <c r="C28" s="177" t="s">
        <v>89</v>
      </c>
      <c r="D28" s="179"/>
      <c r="E28" s="179"/>
    </row>
    <row r="29" spans="2:5" ht="15.75" hidden="1" x14ac:dyDescent="0.25">
      <c r="B29" s="173" t="s">
        <v>90</v>
      </c>
      <c r="C29" s="177" t="s">
        <v>91</v>
      </c>
      <c r="D29" s="179"/>
      <c r="E29" s="179"/>
    </row>
    <row r="30" spans="2:5" ht="15.75" x14ac:dyDescent="0.25">
      <c r="B30" s="179"/>
      <c r="C30" s="179"/>
      <c r="D30" s="171"/>
    </row>
    <row r="31" spans="2:5" ht="18.75" hidden="1" x14ac:dyDescent="0.3">
      <c r="B31" s="172" t="s">
        <v>92</v>
      </c>
      <c r="C31" s="172"/>
      <c r="D31" s="171"/>
    </row>
    <row r="32" spans="2:5" ht="31.5" hidden="1" customHeight="1" x14ac:dyDescent="0.25">
      <c r="B32" s="173" t="s">
        <v>93</v>
      </c>
      <c r="C32" s="181" t="s">
        <v>94</v>
      </c>
      <c r="D32" s="171"/>
    </row>
    <row r="33" spans="2:27" ht="31.5" hidden="1" customHeight="1" x14ac:dyDescent="0.25">
      <c r="B33" s="173" t="s">
        <v>95</v>
      </c>
      <c r="C33" s="182" t="s">
        <v>96</v>
      </c>
      <c r="D33" s="171"/>
    </row>
    <row r="34" spans="2:27" ht="31.5" hidden="1" customHeight="1" x14ac:dyDescent="0.25">
      <c r="B34" s="173" t="s">
        <v>541</v>
      </c>
      <c r="C34" s="182" t="s">
        <v>97</v>
      </c>
      <c r="D34" s="171"/>
    </row>
    <row r="35" spans="2:27" ht="37.5" hidden="1" customHeight="1" x14ac:dyDescent="0.25">
      <c r="B35" s="173" t="s">
        <v>98</v>
      </c>
      <c r="C35" s="182" t="s">
        <v>99</v>
      </c>
      <c r="D35" s="171"/>
      <c r="E35" s="171"/>
    </row>
    <row r="36" spans="2:27" ht="31.5" hidden="1" customHeight="1" x14ac:dyDescent="0.25">
      <c r="B36" s="173" t="s">
        <v>100</v>
      </c>
      <c r="C36" s="182" t="s">
        <v>101</v>
      </c>
      <c r="D36" s="171"/>
      <c r="E36" s="171"/>
    </row>
    <row r="37" spans="2:27" ht="31.5" hidden="1" customHeight="1" x14ac:dyDescent="0.25">
      <c r="B37" s="173" t="s">
        <v>102</v>
      </c>
      <c r="C37" s="182" t="s">
        <v>103</v>
      </c>
      <c r="D37" s="171"/>
      <c r="E37" s="171"/>
    </row>
    <row r="38" spans="2:27" ht="49.5" hidden="1" customHeight="1" x14ac:dyDescent="0.25">
      <c r="B38" s="173" t="s">
        <v>104</v>
      </c>
      <c r="C38" s="183" t="s">
        <v>105</v>
      </c>
    </row>
    <row r="39" spans="2:27" ht="15" hidden="1" customHeight="1" x14ac:dyDescent="0.25">
      <c r="F39" s="132"/>
      <c r="G39" s="132"/>
      <c r="H39" s="132"/>
      <c r="I39" s="132"/>
      <c r="J39" s="132"/>
      <c r="K39" s="132"/>
      <c r="L39" s="132"/>
      <c r="M39" s="132"/>
      <c r="N39" s="132"/>
      <c r="O39" s="132"/>
      <c r="P39" s="132"/>
      <c r="Q39" s="132"/>
      <c r="R39" s="132"/>
      <c r="S39" s="132"/>
      <c r="T39" s="132"/>
      <c r="U39" s="132"/>
      <c r="V39" s="132"/>
      <c r="W39" s="132"/>
      <c r="X39" s="132"/>
      <c r="Y39" s="184"/>
      <c r="Z39" s="184"/>
      <c r="AA39" s="132"/>
    </row>
    <row r="40" spans="2:27" ht="18.75" x14ac:dyDescent="0.3">
      <c r="B40" s="185" t="s">
        <v>106</v>
      </c>
      <c r="C40" s="186"/>
      <c r="D40" s="187"/>
      <c r="F40" s="132"/>
      <c r="G40" s="132"/>
      <c r="H40" s="132"/>
      <c r="I40" s="132"/>
      <c r="J40" s="132"/>
      <c r="K40" s="132"/>
    </row>
    <row r="41" spans="2:27" ht="15" customHeight="1" x14ac:dyDescent="0.25">
      <c r="B41" s="188" t="s">
        <v>107</v>
      </c>
      <c r="C41" s="189">
        <v>293.07</v>
      </c>
      <c r="D41" s="190" t="s">
        <v>76</v>
      </c>
      <c r="F41" s="132"/>
      <c r="G41" s="132"/>
      <c r="H41" s="132"/>
      <c r="I41" s="132"/>
      <c r="J41" s="132"/>
      <c r="K41" s="132"/>
    </row>
    <row r="42" spans="2:27" ht="15" customHeight="1" x14ac:dyDescent="0.25">
      <c r="B42" s="188" t="s">
        <v>108</v>
      </c>
      <c r="C42" s="191">
        <f>C43*C45</f>
        <v>2204.6226218488</v>
      </c>
      <c r="D42" s="190" t="s">
        <v>109</v>
      </c>
      <c r="F42" s="132"/>
      <c r="G42" s="132"/>
      <c r="H42" s="132"/>
      <c r="I42" s="132"/>
      <c r="J42" s="132"/>
      <c r="K42" s="132"/>
    </row>
    <row r="43" spans="2:27" ht="15" customHeight="1" x14ac:dyDescent="0.25">
      <c r="B43" s="188" t="s">
        <v>110</v>
      </c>
      <c r="C43" s="192">
        <v>1000000</v>
      </c>
      <c r="D43" s="190" t="s">
        <v>111</v>
      </c>
      <c r="F43" s="132"/>
      <c r="G43" s="132"/>
      <c r="H43" s="132"/>
      <c r="I43" s="132"/>
      <c r="J43" s="132"/>
      <c r="K43" s="132"/>
    </row>
    <row r="44" spans="2:27" ht="15" customHeight="1" x14ac:dyDescent="0.25">
      <c r="B44" s="188" t="s">
        <v>112</v>
      </c>
      <c r="C44" s="193">
        <f>1/C45</f>
        <v>453.59236999999501</v>
      </c>
      <c r="D44" s="190" t="s">
        <v>111</v>
      </c>
      <c r="E44" s="81"/>
      <c r="F44" s="132"/>
      <c r="G44" s="132"/>
      <c r="H44" s="132"/>
      <c r="I44" s="132"/>
      <c r="J44" s="132"/>
      <c r="K44" s="132"/>
    </row>
    <row r="45" spans="2:27" ht="15" customHeight="1" x14ac:dyDescent="0.25">
      <c r="B45" s="188" t="s">
        <v>113</v>
      </c>
      <c r="C45" s="194">
        <v>2.2046226218488001E-3</v>
      </c>
      <c r="D45" s="190" t="s">
        <v>109</v>
      </c>
      <c r="E45" s="143"/>
      <c r="F45" s="132"/>
      <c r="G45" s="132"/>
      <c r="H45" s="132"/>
      <c r="I45" s="132"/>
      <c r="J45" s="132"/>
      <c r="K45" s="132"/>
    </row>
    <row r="46" spans="2:27" ht="15" customHeight="1" x14ac:dyDescent="0.25">
      <c r="B46" s="143"/>
      <c r="C46" s="143"/>
      <c r="D46" s="143"/>
      <c r="E46" s="143"/>
      <c r="F46" s="132"/>
      <c r="G46" s="132"/>
      <c r="H46" s="132"/>
      <c r="I46" s="132"/>
      <c r="J46" s="132"/>
      <c r="K46" s="132"/>
    </row>
    <row r="47" spans="2:27" ht="15" customHeight="1" x14ac:dyDescent="0.25">
      <c r="B47" s="143"/>
      <c r="C47" s="143"/>
      <c r="D47" s="143"/>
      <c r="E47" s="143"/>
      <c r="F47" s="132"/>
      <c r="G47" s="132"/>
      <c r="H47" s="132"/>
      <c r="I47" s="132"/>
      <c r="J47" s="132"/>
      <c r="K47" s="132"/>
    </row>
    <row r="48" spans="2:27" ht="15" customHeight="1" x14ac:dyDescent="0.25">
      <c r="B48" s="143"/>
      <c r="C48" s="143"/>
      <c r="D48" s="143"/>
      <c r="E48" s="143"/>
      <c r="F48" s="132"/>
      <c r="G48" s="132"/>
      <c r="H48" s="132"/>
      <c r="I48" s="132"/>
      <c r="J48" s="132"/>
      <c r="K48" s="132"/>
    </row>
    <row r="49" spans="2:11" ht="15" customHeight="1" x14ac:dyDescent="0.25">
      <c r="B49" s="143"/>
      <c r="C49" s="143"/>
      <c r="D49" s="143"/>
      <c r="E49" s="143"/>
      <c r="F49" s="132"/>
      <c r="G49" s="132"/>
      <c r="H49" s="132"/>
      <c r="I49" s="132"/>
      <c r="J49" s="132"/>
      <c r="K49" s="132"/>
    </row>
    <row r="50" spans="2:11" ht="15" customHeight="1" x14ac:dyDescent="0.25">
      <c r="B50" s="143"/>
      <c r="C50" s="143"/>
      <c r="D50" s="143"/>
      <c r="E50" s="143"/>
      <c r="F50" s="132"/>
      <c r="G50" s="132"/>
      <c r="H50" s="132"/>
      <c r="I50" s="132"/>
      <c r="J50" s="132"/>
      <c r="K50" s="132"/>
    </row>
    <row r="51" spans="2:11" ht="15" customHeight="1" x14ac:dyDescent="0.25">
      <c r="B51" s="143"/>
      <c r="C51" s="143"/>
      <c r="D51" s="143"/>
      <c r="E51" s="143"/>
      <c r="F51" s="132"/>
      <c r="G51" s="132"/>
      <c r="H51" s="132"/>
      <c r="I51" s="132"/>
      <c r="J51" s="132"/>
      <c r="K51" s="132"/>
    </row>
    <row r="52" spans="2:11" ht="15" customHeight="1" x14ac:dyDescent="0.25">
      <c r="B52" s="44"/>
      <c r="C52" s="44"/>
      <c r="D52" s="44"/>
      <c r="E52" s="44"/>
      <c r="F52" s="132"/>
      <c r="G52" s="132"/>
      <c r="H52" s="132"/>
      <c r="I52" s="132"/>
      <c r="J52" s="132"/>
      <c r="K52" s="132"/>
    </row>
    <row r="53" spans="2:11" ht="15" customHeight="1" x14ac:dyDescent="0.25">
      <c r="B53" s="195"/>
      <c r="C53" s="195"/>
      <c r="D53" s="195"/>
      <c r="E53" s="195"/>
      <c r="F53" s="132"/>
      <c r="G53" s="132"/>
      <c r="H53" s="132"/>
      <c r="I53" s="132"/>
      <c r="J53" s="132"/>
      <c r="K53" s="132"/>
    </row>
    <row r="54" spans="2:11" ht="15" customHeight="1" x14ac:dyDescent="0.25">
      <c r="B54" s="143"/>
      <c r="C54" s="143"/>
      <c r="D54" s="143"/>
      <c r="E54" s="143"/>
      <c r="F54" s="132"/>
      <c r="G54" s="132"/>
      <c r="H54" s="132"/>
      <c r="I54" s="132"/>
      <c r="J54" s="132"/>
      <c r="K54" s="132"/>
    </row>
    <row r="55" spans="2:11" ht="15" customHeight="1" x14ac:dyDescent="0.25">
      <c r="B55" s="143"/>
      <c r="C55" s="143"/>
      <c r="D55" s="143"/>
      <c r="E55" s="143"/>
      <c r="F55" s="132"/>
      <c r="G55" s="132"/>
      <c r="H55" s="132"/>
      <c r="I55" s="132"/>
      <c r="J55" s="132"/>
      <c r="K55" s="132"/>
    </row>
    <row r="56" spans="2:11" ht="15" customHeight="1" x14ac:dyDescent="0.25">
      <c r="B56" s="143"/>
      <c r="C56" s="143"/>
      <c r="D56" s="143"/>
      <c r="E56" s="143"/>
      <c r="F56" s="132"/>
      <c r="G56" s="132"/>
      <c r="H56" s="132"/>
      <c r="I56" s="132"/>
      <c r="J56" s="132"/>
      <c r="K56" s="132"/>
    </row>
    <row r="57" spans="2:11" ht="15" customHeight="1" x14ac:dyDescent="0.25">
      <c r="B57" s="143"/>
      <c r="C57" s="143"/>
      <c r="D57" s="143"/>
      <c r="E57" s="143"/>
      <c r="F57" s="132"/>
      <c r="G57" s="132"/>
      <c r="H57" s="132"/>
      <c r="I57" s="132"/>
      <c r="J57" s="132"/>
      <c r="K57" s="132"/>
    </row>
    <row r="58" spans="2:11" ht="15" customHeight="1" x14ac:dyDescent="0.25">
      <c r="B58" s="143"/>
      <c r="C58" s="143"/>
      <c r="D58" s="143"/>
      <c r="E58" s="143"/>
      <c r="F58" s="132"/>
      <c r="G58" s="132"/>
      <c r="H58" s="132"/>
      <c r="I58" s="132"/>
      <c r="J58" s="132"/>
      <c r="K58" s="132"/>
    </row>
    <row r="59" spans="2:11" ht="15" customHeight="1" x14ac:dyDescent="0.25">
      <c r="B59" s="143"/>
      <c r="C59" s="143"/>
      <c r="D59" s="143"/>
      <c r="E59" s="143"/>
      <c r="F59" s="132"/>
      <c r="G59" s="132"/>
      <c r="H59" s="132"/>
      <c r="I59" s="132"/>
      <c r="J59" s="132"/>
      <c r="K59" s="132"/>
    </row>
    <row r="60" spans="2:11" ht="15" customHeight="1" x14ac:dyDescent="0.25">
      <c r="B60" s="143"/>
      <c r="C60" s="143"/>
      <c r="D60" s="143"/>
      <c r="E60" s="143"/>
      <c r="F60" s="132"/>
      <c r="G60" s="132"/>
      <c r="H60" s="132"/>
      <c r="I60" s="132"/>
      <c r="J60" s="132"/>
      <c r="K60" s="132"/>
    </row>
    <row r="61" spans="2:11" ht="15" customHeight="1" x14ac:dyDescent="0.25">
      <c r="B61" s="143"/>
      <c r="C61" s="143"/>
      <c r="D61" s="143"/>
      <c r="E61" s="143"/>
      <c r="F61" s="132"/>
      <c r="G61" s="132"/>
      <c r="H61" s="132"/>
      <c r="I61" s="132"/>
      <c r="J61" s="132"/>
      <c r="K61" s="132"/>
    </row>
    <row r="62" spans="2:11" ht="15" customHeight="1" x14ac:dyDescent="0.25">
      <c r="B62" s="132"/>
      <c r="C62" s="132"/>
      <c r="D62" s="132"/>
      <c r="E62" s="132"/>
      <c r="F62" s="132"/>
      <c r="G62" s="132"/>
      <c r="H62" s="132"/>
      <c r="I62" s="132"/>
      <c r="J62" s="132"/>
      <c r="K62" s="132"/>
    </row>
    <row r="63" spans="2:11" ht="15" customHeight="1" x14ac:dyDescent="0.25">
      <c r="B63" s="132"/>
      <c r="C63" s="132"/>
      <c r="D63" s="132"/>
      <c r="E63" s="132"/>
      <c r="F63" s="132"/>
      <c r="G63" s="132"/>
      <c r="H63" s="132"/>
      <c r="I63" s="132"/>
      <c r="J63" s="132"/>
      <c r="K63" s="132"/>
    </row>
    <row r="64" spans="2:11" ht="15" customHeight="1" x14ac:dyDescent="0.25">
      <c r="B64" s="196"/>
      <c r="C64" s="196"/>
      <c r="D64" s="196"/>
      <c r="E64" s="132"/>
      <c r="F64" s="132"/>
      <c r="G64" s="132"/>
      <c r="H64" s="132"/>
      <c r="I64" s="132"/>
      <c r="J64" s="132"/>
      <c r="K64" s="132"/>
    </row>
    <row r="65" spans="2:11" ht="15" customHeight="1" x14ac:dyDescent="0.25">
      <c r="B65" s="81"/>
      <c r="C65" s="81"/>
      <c r="D65" s="81"/>
      <c r="E65" s="81"/>
      <c r="F65" s="132"/>
      <c r="G65" s="132"/>
      <c r="H65" s="132"/>
      <c r="I65" s="132"/>
      <c r="J65" s="132"/>
      <c r="K65" s="132"/>
    </row>
    <row r="66" spans="2:11" ht="15" customHeight="1" x14ac:dyDescent="0.25">
      <c r="B66" s="81"/>
      <c r="C66" s="81"/>
      <c r="D66" s="81"/>
      <c r="E66" s="81"/>
      <c r="F66" s="132"/>
      <c r="G66" s="132"/>
      <c r="H66" s="132"/>
      <c r="I66" s="132"/>
      <c r="J66" s="132"/>
      <c r="K66" s="132"/>
    </row>
    <row r="67" spans="2:11" ht="15" customHeight="1" x14ac:dyDescent="0.25">
      <c r="B67" s="81"/>
      <c r="C67" s="81"/>
      <c r="D67" s="81"/>
      <c r="E67" s="81"/>
      <c r="F67" s="132"/>
      <c r="G67" s="132"/>
      <c r="H67" s="132"/>
      <c r="I67" s="132"/>
      <c r="J67" s="132"/>
      <c r="K67" s="132"/>
    </row>
    <row r="68" spans="2:11" ht="15" customHeight="1" x14ac:dyDescent="0.25">
      <c r="F68" s="132"/>
      <c r="G68" s="132"/>
      <c r="H68" s="132"/>
      <c r="I68" s="132"/>
      <c r="J68" s="132"/>
      <c r="K68" s="132"/>
    </row>
    <row r="69" spans="2:11" ht="15" customHeight="1" x14ac:dyDescent="0.25">
      <c r="F69" s="132"/>
      <c r="G69" s="132"/>
      <c r="H69" s="132"/>
      <c r="I69" s="132"/>
      <c r="J69" s="132"/>
      <c r="K69" s="132"/>
    </row>
    <row r="70" spans="2:11" ht="15" customHeight="1" x14ac:dyDescent="0.25">
      <c r="F70" s="132"/>
      <c r="G70" s="132"/>
      <c r="H70" s="132"/>
      <c r="I70" s="132"/>
      <c r="J70" s="132"/>
      <c r="K70" s="132"/>
    </row>
    <row r="71" spans="2:11" ht="15" customHeight="1" x14ac:dyDescent="0.25">
      <c r="F71" s="132"/>
      <c r="G71" s="132"/>
      <c r="H71" s="132"/>
      <c r="I71" s="132"/>
      <c r="J71" s="132"/>
      <c r="K71" s="132"/>
    </row>
    <row r="72" spans="2:11" ht="15" customHeight="1" x14ac:dyDescent="0.25">
      <c r="F72" s="132"/>
      <c r="G72" s="132"/>
      <c r="H72" s="132"/>
      <c r="I72" s="132"/>
      <c r="J72" s="132"/>
      <c r="K72" s="132"/>
    </row>
    <row r="73" spans="2:11" ht="15" customHeight="1" x14ac:dyDescent="0.25">
      <c r="F73" s="132"/>
      <c r="G73" s="132"/>
      <c r="H73" s="132"/>
      <c r="I73" s="132"/>
      <c r="J73" s="132"/>
      <c r="K73" s="132"/>
    </row>
    <row r="74" spans="2:11" ht="15" customHeight="1" x14ac:dyDescent="0.25">
      <c r="F74" s="132"/>
      <c r="G74" s="132"/>
      <c r="H74" s="132"/>
      <c r="I74" s="132"/>
      <c r="J74" s="132"/>
      <c r="K74" s="132"/>
    </row>
    <row r="75" spans="2:11" ht="15" customHeight="1" x14ac:dyDescent="0.25">
      <c r="F75" s="132"/>
      <c r="G75" s="132"/>
      <c r="H75" s="132"/>
      <c r="I75" s="132"/>
      <c r="J75" s="132"/>
      <c r="K75" s="132"/>
    </row>
    <row r="76" spans="2:11" ht="15" customHeight="1" x14ac:dyDescent="0.25">
      <c r="F76" s="132"/>
      <c r="G76" s="132"/>
      <c r="H76" s="132"/>
      <c r="I76" s="132"/>
      <c r="J76" s="132"/>
      <c r="K76" s="132"/>
    </row>
    <row r="77" spans="2:11" ht="15" customHeight="1" x14ac:dyDescent="0.25">
      <c r="F77" s="132"/>
      <c r="G77" s="132"/>
      <c r="H77" s="132"/>
      <c r="I77" s="132"/>
      <c r="J77" s="132"/>
      <c r="K77" s="132"/>
    </row>
    <row r="78" spans="2:11" ht="15" customHeight="1" x14ac:dyDescent="0.25">
      <c r="F78" s="132"/>
      <c r="G78" s="132"/>
      <c r="H78" s="132"/>
      <c r="I78" s="132"/>
      <c r="J78" s="132"/>
      <c r="K78" s="132"/>
    </row>
    <row r="79" spans="2:11" ht="15" customHeight="1" x14ac:dyDescent="0.25">
      <c r="F79" s="132"/>
      <c r="G79" s="132"/>
      <c r="H79" s="132"/>
      <c r="I79" s="132"/>
      <c r="J79" s="132"/>
      <c r="K79" s="132"/>
    </row>
    <row r="80" spans="2:11" ht="15" customHeight="1" x14ac:dyDescent="0.25">
      <c r="F80" s="132"/>
      <c r="G80" s="132"/>
      <c r="H80" s="132"/>
      <c r="I80" s="132"/>
      <c r="J80" s="132"/>
      <c r="K80" s="132"/>
    </row>
    <row r="81" spans="6:11" ht="15" customHeight="1" x14ac:dyDescent="0.25">
      <c r="F81" s="132"/>
      <c r="G81" s="132"/>
      <c r="H81" s="132"/>
      <c r="I81" s="132"/>
      <c r="J81" s="132"/>
      <c r="K81" s="132"/>
    </row>
    <row r="82" spans="6:11" ht="15" customHeight="1" x14ac:dyDescent="0.25">
      <c r="F82" s="132"/>
      <c r="G82" s="132"/>
      <c r="H82" s="132"/>
      <c r="I82" s="132"/>
      <c r="J82" s="132"/>
      <c r="K82" s="132"/>
    </row>
    <row r="83" spans="6:11" ht="15" customHeight="1" x14ac:dyDescent="0.25">
      <c r="F83" s="132"/>
      <c r="G83" s="132"/>
      <c r="H83" s="132"/>
      <c r="I83" s="132"/>
      <c r="J83" s="132"/>
      <c r="K83" s="132"/>
    </row>
    <row r="84" spans="6:11" ht="15" customHeight="1" x14ac:dyDescent="0.25">
      <c r="F84" s="132"/>
      <c r="G84" s="132"/>
      <c r="H84" s="132"/>
      <c r="I84" s="132"/>
      <c r="J84" s="132"/>
      <c r="K84" s="132"/>
    </row>
    <row r="85" spans="6:11" ht="15.75" x14ac:dyDescent="0.25">
      <c r="F85" s="132"/>
      <c r="G85" s="132"/>
      <c r="H85" s="132"/>
      <c r="I85" s="132"/>
      <c r="J85" s="132"/>
      <c r="K85" s="132"/>
    </row>
    <row r="86" spans="6:11" ht="15.75" x14ac:dyDescent="0.25">
      <c r="F86" s="132"/>
      <c r="G86" s="132"/>
      <c r="H86" s="132"/>
      <c r="I86" s="132"/>
      <c r="J86" s="132"/>
      <c r="K86" s="132"/>
    </row>
    <row r="87" spans="6:11" ht="15.75" x14ac:dyDescent="0.25">
      <c r="F87" s="132"/>
      <c r="G87" s="132"/>
      <c r="H87" s="132"/>
      <c r="I87" s="132"/>
      <c r="J87" s="132"/>
      <c r="K87" s="132"/>
    </row>
    <row r="88" spans="6:11" ht="15.75" x14ac:dyDescent="0.25">
      <c r="F88" s="132"/>
      <c r="G88" s="132"/>
      <c r="H88" s="132"/>
      <c r="I88" s="132"/>
      <c r="J88" s="132"/>
      <c r="K88" s="132"/>
    </row>
    <row r="89" spans="6:11" ht="15.75" x14ac:dyDescent="0.25">
      <c r="F89" s="132"/>
      <c r="G89" s="132"/>
      <c r="H89" s="132"/>
      <c r="I89" s="132"/>
      <c r="J89" s="132"/>
      <c r="K89" s="132"/>
    </row>
    <row r="90" spans="6:11" ht="15.75" x14ac:dyDescent="0.25">
      <c r="F90" s="132"/>
      <c r="G90" s="132"/>
      <c r="H90" s="132"/>
      <c r="I90" s="132"/>
      <c r="J90" s="132"/>
      <c r="K90" s="132"/>
    </row>
    <row r="91" spans="6:11" ht="15.75" x14ac:dyDescent="0.25">
      <c r="F91" s="132"/>
      <c r="G91" s="132"/>
      <c r="H91" s="132"/>
      <c r="I91" s="132"/>
      <c r="J91" s="132"/>
      <c r="K91" s="132"/>
    </row>
    <row r="92" spans="6:11" ht="15.75" x14ac:dyDescent="0.25">
      <c r="F92" s="132"/>
      <c r="G92" s="132"/>
      <c r="H92" s="132"/>
      <c r="I92" s="132"/>
      <c r="J92" s="132"/>
      <c r="K92" s="132"/>
    </row>
    <row r="93" spans="6:11" ht="15.75" x14ac:dyDescent="0.25">
      <c r="F93" s="132"/>
      <c r="G93" s="132"/>
      <c r="H93" s="132"/>
      <c r="I93" s="132"/>
      <c r="J93" s="132"/>
      <c r="K93" s="132"/>
    </row>
    <row r="94" spans="6:11" ht="15.75" x14ac:dyDescent="0.25">
      <c r="F94" s="132"/>
      <c r="G94" s="132"/>
      <c r="H94" s="132"/>
      <c r="I94" s="132"/>
      <c r="J94" s="132"/>
      <c r="K94" s="132"/>
    </row>
    <row r="95" spans="6:11" ht="15.75" x14ac:dyDescent="0.25">
      <c r="F95" s="132"/>
      <c r="G95" s="132"/>
      <c r="H95" s="132"/>
      <c r="I95" s="132"/>
      <c r="J95" s="132"/>
      <c r="K95" s="132"/>
    </row>
    <row r="96" spans="6:11" ht="15.75" x14ac:dyDescent="0.25">
      <c r="F96" s="132"/>
      <c r="G96" s="132"/>
      <c r="H96" s="132"/>
      <c r="I96" s="132"/>
      <c r="J96" s="132"/>
      <c r="K96" s="132"/>
    </row>
    <row r="97" spans="6:11" ht="15.75" x14ac:dyDescent="0.25">
      <c r="F97" s="132"/>
      <c r="G97" s="132"/>
      <c r="H97" s="132"/>
      <c r="I97" s="132"/>
      <c r="J97" s="132"/>
      <c r="K97" s="132"/>
    </row>
    <row r="98" spans="6:11" ht="15.75" x14ac:dyDescent="0.25">
      <c r="F98" s="132"/>
      <c r="G98" s="132"/>
      <c r="H98" s="132"/>
      <c r="I98" s="132"/>
      <c r="J98" s="132"/>
      <c r="K98" s="132"/>
    </row>
    <row r="99" spans="6:11" ht="15.75" x14ac:dyDescent="0.25">
      <c r="F99" s="132"/>
      <c r="G99" s="132"/>
      <c r="H99" s="132"/>
      <c r="I99" s="132"/>
      <c r="J99" s="132"/>
      <c r="K99" s="132"/>
    </row>
    <row r="100" spans="6:11" ht="15.75" x14ac:dyDescent="0.25">
      <c r="F100" s="132"/>
      <c r="G100" s="132"/>
      <c r="H100" s="132"/>
      <c r="I100" s="132"/>
      <c r="J100" s="132"/>
      <c r="K100" s="132"/>
    </row>
    <row r="101" spans="6:11" ht="15.75" x14ac:dyDescent="0.25">
      <c r="F101" s="132"/>
      <c r="G101" s="132"/>
      <c r="H101" s="132"/>
      <c r="I101" s="132"/>
      <c r="J101" s="132"/>
      <c r="K101" s="132"/>
    </row>
    <row r="102" spans="6:11" ht="15.75" x14ac:dyDescent="0.25">
      <c r="F102" s="132"/>
      <c r="G102" s="132"/>
      <c r="H102" s="132"/>
      <c r="I102" s="132"/>
      <c r="J102" s="132"/>
      <c r="K102" s="132"/>
    </row>
    <row r="103" spans="6:11" ht="15.75" x14ac:dyDescent="0.25">
      <c r="F103" s="132"/>
      <c r="G103" s="132"/>
      <c r="H103" s="132"/>
      <c r="I103" s="132"/>
      <c r="J103" s="132"/>
      <c r="K103" s="132"/>
    </row>
    <row r="104" spans="6:11" ht="15.75" x14ac:dyDescent="0.25">
      <c r="F104" s="132"/>
      <c r="G104" s="132"/>
      <c r="H104" s="132"/>
      <c r="I104" s="132"/>
      <c r="J104" s="132"/>
      <c r="K104" s="132"/>
    </row>
    <row r="105" spans="6:11" ht="15.75" x14ac:dyDescent="0.25">
      <c r="F105" s="132"/>
      <c r="G105" s="132"/>
      <c r="H105" s="132"/>
      <c r="I105" s="132"/>
      <c r="J105" s="132"/>
      <c r="K105" s="132"/>
    </row>
    <row r="106" spans="6:11" ht="15.75" x14ac:dyDescent="0.25">
      <c r="F106" s="132"/>
      <c r="G106" s="132"/>
      <c r="H106" s="132"/>
      <c r="I106" s="132"/>
      <c r="J106" s="132"/>
      <c r="K106" s="132"/>
    </row>
    <row r="107" spans="6:11" ht="15.75" x14ac:dyDescent="0.25">
      <c r="F107" s="132"/>
      <c r="G107" s="132"/>
      <c r="H107" s="132"/>
      <c r="I107" s="132"/>
      <c r="J107" s="132"/>
      <c r="K107" s="132"/>
    </row>
    <row r="108" spans="6:11" ht="15.75" x14ac:dyDescent="0.25">
      <c r="F108" s="132"/>
      <c r="G108" s="132"/>
      <c r="H108" s="132"/>
      <c r="I108" s="132"/>
      <c r="J108" s="132"/>
      <c r="K108" s="132"/>
    </row>
    <row r="109" spans="6:11" ht="15.75" x14ac:dyDescent="0.25">
      <c r="F109" s="132"/>
      <c r="G109" s="132"/>
      <c r="H109" s="132"/>
      <c r="I109" s="132"/>
      <c r="J109" s="132"/>
      <c r="K109" s="132"/>
    </row>
    <row r="110" spans="6:11" ht="15.75" x14ac:dyDescent="0.25">
      <c r="F110" s="132"/>
      <c r="G110" s="132"/>
      <c r="H110" s="132"/>
      <c r="I110" s="132"/>
      <c r="J110" s="132"/>
      <c r="K110" s="132"/>
    </row>
    <row r="111" spans="6:11" ht="15.75" x14ac:dyDescent="0.25">
      <c r="F111" s="132"/>
      <c r="G111" s="132"/>
      <c r="H111" s="132"/>
      <c r="I111" s="132"/>
      <c r="J111" s="132"/>
      <c r="K111" s="132"/>
    </row>
    <row r="112" spans="6:11" ht="15.75" x14ac:dyDescent="0.25">
      <c r="F112" s="132"/>
      <c r="G112" s="132"/>
      <c r="H112" s="132"/>
      <c r="I112" s="132"/>
      <c r="J112" s="132"/>
      <c r="K112" s="132"/>
    </row>
    <row r="113" spans="6:11" ht="15.75" x14ac:dyDescent="0.25">
      <c r="F113" s="132"/>
      <c r="G113" s="132"/>
      <c r="H113" s="132"/>
      <c r="I113" s="132"/>
      <c r="J113" s="132"/>
      <c r="K113" s="132"/>
    </row>
    <row r="114" spans="6:11" ht="15.75" x14ac:dyDescent="0.25">
      <c r="F114" s="132"/>
      <c r="G114" s="132"/>
      <c r="H114" s="132"/>
      <c r="I114" s="132"/>
      <c r="J114" s="132"/>
      <c r="K114" s="132"/>
    </row>
    <row r="115" spans="6:11" ht="15.75" x14ac:dyDescent="0.25">
      <c r="F115" s="132"/>
      <c r="G115" s="132"/>
      <c r="H115" s="132"/>
      <c r="I115" s="132"/>
      <c r="J115" s="132"/>
      <c r="K115" s="132"/>
    </row>
    <row r="116" spans="6:11" ht="15.75" x14ac:dyDescent="0.25">
      <c r="F116" s="132"/>
      <c r="G116" s="132"/>
      <c r="H116" s="132"/>
      <c r="I116" s="132"/>
      <c r="J116" s="132"/>
      <c r="K116" s="132"/>
    </row>
    <row r="117" spans="6:11" ht="15.75" x14ac:dyDescent="0.25">
      <c r="F117" s="132"/>
      <c r="G117" s="132"/>
      <c r="H117" s="132"/>
      <c r="I117" s="132"/>
      <c r="J117" s="132"/>
      <c r="K117" s="132"/>
    </row>
    <row r="118" spans="6:11" ht="15.75" x14ac:dyDescent="0.25">
      <c r="F118" s="132"/>
      <c r="G118" s="132"/>
      <c r="H118" s="132"/>
      <c r="I118" s="132"/>
      <c r="J118" s="132"/>
      <c r="K118" s="132"/>
    </row>
    <row r="119" spans="6:11" ht="15.75" x14ac:dyDescent="0.25">
      <c r="F119" s="132"/>
      <c r="G119" s="132"/>
      <c r="H119" s="132"/>
      <c r="I119" s="132"/>
      <c r="J119" s="132"/>
      <c r="K119" s="132"/>
    </row>
    <row r="120" spans="6:11" ht="15.75" x14ac:dyDescent="0.25">
      <c r="F120" s="132"/>
      <c r="G120" s="132"/>
      <c r="H120" s="132"/>
      <c r="I120" s="132"/>
      <c r="J120" s="132"/>
      <c r="K120" s="132"/>
    </row>
    <row r="121" spans="6:11" ht="15.75" x14ac:dyDescent="0.25">
      <c r="F121" s="132"/>
      <c r="G121" s="132"/>
      <c r="H121" s="132"/>
      <c r="I121" s="132"/>
      <c r="J121" s="132"/>
      <c r="K121" s="132"/>
    </row>
    <row r="122" spans="6:11" ht="15.75" x14ac:dyDescent="0.25">
      <c r="F122" s="132"/>
      <c r="G122" s="132"/>
      <c r="H122" s="132"/>
      <c r="I122" s="132"/>
      <c r="J122" s="132"/>
      <c r="K122" s="132"/>
    </row>
    <row r="123" spans="6:11" ht="15.75" x14ac:dyDescent="0.25">
      <c r="F123" s="132"/>
      <c r="G123" s="132"/>
      <c r="H123" s="132"/>
      <c r="I123" s="132"/>
      <c r="J123" s="132"/>
      <c r="K123" s="132"/>
    </row>
    <row r="124" spans="6:11" ht="15.75" x14ac:dyDescent="0.25">
      <c r="F124" s="132"/>
      <c r="G124" s="132"/>
      <c r="H124" s="132"/>
      <c r="I124" s="132"/>
      <c r="J124" s="132"/>
      <c r="K124" s="132"/>
    </row>
    <row r="125" spans="6:11" ht="15.75" x14ac:dyDescent="0.25">
      <c r="F125" s="132"/>
      <c r="G125" s="132"/>
      <c r="H125" s="132"/>
      <c r="I125" s="132"/>
      <c r="J125" s="132"/>
      <c r="K125" s="132"/>
    </row>
    <row r="126" spans="6:11" ht="15.75" x14ac:dyDescent="0.25">
      <c r="F126" s="132"/>
      <c r="G126" s="132"/>
      <c r="H126" s="132"/>
      <c r="I126" s="132"/>
      <c r="J126" s="132"/>
      <c r="K126" s="132"/>
    </row>
    <row r="127" spans="6:11" ht="15.75" x14ac:dyDescent="0.25">
      <c r="F127" s="132"/>
      <c r="G127" s="132"/>
      <c r="H127" s="132"/>
      <c r="I127" s="132"/>
      <c r="J127" s="132"/>
      <c r="K127" s="132"/>
    </row>
    <row r="128" spans="6:11" ht="15.75" x14ac:dyDescent="0.25">
      <c r="F128" s="132"/>
      <c r="G128" s="132"/>
      <c r="H128" s="132"/>
      <c r="I128" s="132"/>
      <c r="J128" s="132"/>
      <c r="K128" s="132"/>
    </row>
    <row r="129" spans="6:11" ht="15.75" x14ac:dyDescent="0.25">
      <c r="F129" s="132"/>
      <c r="G129" s="132"/>
      <c r="H129" s="132"/>
      <c r="I129" s="132"/>
      <c r="J129" s="132"/>
      <c r="K129" s="132"/>
    </row>
    <row r="130" spans="6:11" ht="15.75" x14ac:dyDescent="0.25">
      <c r="F130" s="132"/>
      <c r="G130" s="132"/>
      <c r="H130" s="132"/>
      <c r="I130" s="132"/>
      <c r="J130" s="132"/>
      <c r="K130" s="132"/>
    </row>
    <row r="131" spans="6:11" ht="15.75" x14ac:dyDescent="0.25">
      <c r="F131" s="132"/>
      <c r="G131" s="132"/>
      <c r="H131" s="132"/>
      <c r="I131" s="132"/>
      <c r="J131" s="132"/>
      <c r="K131" s="132"/>
    </row>
    <row r="132" spans="6:11" ht="15.75" x14ac:dyDescent="0.25">
      <c r="F132" s="132"/>
      <c r="G132" s="132"/>
      <c r="H132" s="132"/>
      <c r="I132" s="132"/>
      <c r="J132" s="132"/>
      <c r="K132" s="132"/>
    </row>
    <row r="133" spans="6:11" ht="15.75" x14ac:dyDescent="0.25">
      <c r="F133" s="132"/>
      <c r="G133" s="132"/>
      <c r="H133" s="132"/>
      <c r="I133" s="132"/>
      <c r="J133" s="132"/>
      <c r="K133" s="132"/>
    </row>
    <row r="134" spans="6:11" ht="15.75" x14ac:dyDescent="0.25">
      <c r="F134" s="132"/>
      <c r="G134" s="132"/>
      <c r="H134" s="132"/>
      <c r="I134" s="132"/>
      <c r="J134" s="132"/>
      <c r="K134" s="132"/>
    </row>
    <row r="135" spans="6:11" ht="15.75" x14ac:dyDescent="0.25">
      <c r="F135" s="132"/>
      <c r="G135" s="132"/>
      <c r="H135" s="132"/>
      <c r="I135" s="132"/>
      <c r="J135" s="132"/>
      <c r="K135" s="132"/>
    </row>
    <row r="136" spans="6:11" ht="15.75" x14ac:dyDescent="0.25">
      <c r="F136" s="132"/>
      <c r="G136" s="132"/>
      <c r="H136" s="132"/>
      <c r="I136" s="132"/>
      <c r="J136" s="132"/>
      <c r="K136" s="132"/>
    </row>
    <row r="137" spans="6:11" ht="15.75" x14ac:dyDescent="0.25">
      <c r="F137" s="132"/>
      <c r="G137" s="132"/>
      <c r="H137" s="132"/>
      <c r="I137" s="132"/>
      <c r="J137" s="132"/>
      <c r="K137" s="132"/>
    </row>
    <row r="138" spans="6:11" ht="15.75" x14ac:dyDescent="0.25">
      <c r="F138" s="132"/>
      <c r="G138" s="132"/>
      <c r="H138" s="132"/>
      <c r="I138" s="132"/>
      <c r="J138" s="132"/>
      <c r="K138" s="132"/>
    </row>
    <row r="139" spans="6:11" ht="15.75" x14ac:dyDescent="0.25">
      <c r="F139" s="132"/>
      <c r="G139" s="132"/>
      <c r="H139" s="132"/>
      <c r="I139" s="132"/>
      <c r="J139" s="132"/>
      <c r="K139" s="132"/>
    </row>
    <row r="140" spans="6:11" ht="15.75" x14ac:dyDescent="0.25">
      <c r="F140" s="132"/>
      <c r="G140" s="132"/>
      <c r="H140" s="132"/>
      <c r="I140" s="132"/>
      <c r="J140" s="132"/>
      <c r="K140" s="132"/>
    </row>
    <row r="141" spans="6:11" ht="15.75" x14ac:dyDescent="0.25">
      <c r="F141" s="132"/>
      <c r="G141" s="132"/>
      <c r="H141" s="132"/>
      <c r="I141" s="132"/>
      <c r="J141" s="132"/>
      <c r="K141" s="132"/>
    </row>
    <row r="142" spans="6:11" ht="15.75" x14ac:dyDescent="0.25">
      <c r="F142" s="132"/>
      <c r="G142" s="132"/>
      <c r="H142" s="132"/>
      <c r="I142" s="132"/>
      <c r="J142" s="132"/>
      <c r="K142" s="132"/>
    </row>
    <row r="143" spans="6:11" ht="15.75" x14ac:dyDescent="0.25">
      <c r="F143" s="132"/>
      <c r="G143" s="132"/>
      <c r="H143" s="132"/>
      <c r="I143" s="132"/>
      <c r="J143" s="132"/>
      <c r="K143" s="132"/>
    </row>
    <row r="144" spans="6:11" ht="15.75" x14ac:dyDescent="0.25">
      <c r="F144" s="132"/>
      <c r="G144" s="132"/>
      <c r="H144" s="132"/>
      <c r="I144" s="132"/>
      <c r="J144" s="132"/>
      <c r="K144" s="132"/>
    </row>
    <row r="145" spans="6:11" ht="15.75" x14ac:dyDescent="0.25">
      <c r="F145" s="132"/>
      <c r="G145" s="132"/>
      <c r="H145" s="132"/>
      <c r="I145" s="132"/>
      <c r="J145" s="132"/>
      <c r="K145" s="132"/>
    </row>
    <row r="146" spans="6:11" ht="15.75" x14ac:dyDescent="0.25">
      <c r="F146" s="132"/>
      <c r="G146" s="132"/>
      <c r="H146" s="132"/>
      <c r="I146" s="132"/>
      <c r="J146" s="132"/>
      <c r="K146" s="132"/>
    </row>
    <row r="147" spans="6:11" ht="15.75" x14ac:dyDescent="0.25">
      <c r="F147" s="132"/>
      <c r="G147" s="132"/>
      <c r="H147" s="132"/>
      <c r="I147" s="132"/>
      <c r="J147" s="132"/>
      <c r="K147" s="132"/>
    </row>
    <row r="148" spans="6:11" ht="15.75" x14ac:dyDescent="0.25">
      <c r="F148" s="132"/>
      <c r="G148" s="132"/>
      <c r="H148" s="132"/>
      <c r="I148" s="132"/>
      <c r="J148" s="132"/>
      <c r="K148" s="132"/>
    </row>
    <row r="149" spans="6:11" ht="15.75" x14ac:dyDescent="0.25">
      <c r="F149" s="132"/>
      <c r="G149" s="132"/>
      <c r="H149" s="132"/>
      <c r="I149" s="132"/>
      <c r="J149" s="132"/>
      <c r="K149" s="132"/>
    </row>
    <row r="150" spans="6:11" ht="15.75" x14ac:dyDescent="0.25">
      <c r="F150" s="132"/>
      <c r="G150" s="132"/>
      <c r="H150" s="132"/>
      <c r="I150" s="132"/>
      <c r="J150" s="132"/>
      <c r="K150" s="132"/>
    </row>
    <row r="151" spans="6:11" ht="15.75" x14ac:dyDescent="0.25">
      <c r="F151" s="132"/>
      <c r="G151" s="132"/>
      <c r="H151" s="132"/>
      <c r="I151" s="132"/>
      <c r="J151" s="132"/>
      <c r="K151" s="132"/>
    </row>
    <row r="152" spans="6:11" ht="15.75" x14ac:dyDescent="0.25">
      <c r="F152" s="132"/>
      <c r="G152" s="132"/>
      <c r="H152" s="132"/>
      <c r="I152" s="132"/>
      <c r="J152" s="132"/>
      <c r="K152" s="132"/>
    </row>
    <row r="153" spans="6:11" ht="15.75" x14ac:dyDescent="0.25">
      <c r="F153" s="132"/>
      <c r="G153" s="132"/>
      <c r="H153" s="132"/>
      <c r="I153" s="132"/>
      <c r="J153" s="132"/>
      <c r="K153" s="132"/>
    </row>
    <row r="154" spans="6:11" ht="15.75" x14ac:dyDescent="0.25">
      <c r="F154" s="132"/>
      <c r="G154" s="132"/>
      <c r="H154" s="132"/>
      <c r="I154" s="132"/>
      <c r="J154" s="132"/>
      <c r="K154" s="132"/>
    </row>
    <row r="155" spans="6:11" ht="15.75" x14ac:dyDescent="0.25">
      <c r="F155" s="132"/>
      <c r="G155" s="132"/>
      <c r="H155" s="132"/>
      <c r="I155" s="132"/>
      <c r="J155" s="132"/>
      <c r="K155" s="132"/>
    </row>
    <row r="156" spans="6:11" ht="15.75" x14ac:dyDescent="0.25">
      <c r="F156" s="132"/>
      <c r="G156" s="132"/>
      <c r="H156" s="132"/>
      <c r="I156" s="132"/>
      <c r="J156" s="132"/>
      <c r="K156" s="132"/>
    </row>
    <row r="157" spans="6:11" ht="15.75" x14ac:dyDescent="0.25">
      <c r="F157" s="132"/>
      <c r="G157" s="132"/>
      <c r="H157" s="132"/>
      <c r="I157" s="132"/>
      <c r="J157" s="132"/>
      <c r="K157" s="132"/>
    </row>
    <row r="158" spans="6:11" ht="15.75" x14ac:dyDescent="0.25">
      <c r="F158" s="132"/>
      <c r="G158" s="132"/>
      <c r="H158" s="132"/>
      <c r="I158" s="132"/>
      <c r="J158" s="132"/>
      <c r="K158" s="132"/>
    </row>
    <row r="159" spans="6:11" ht="15.75" x14ac:dyDescent="0.25">
      <c r="F159" s="132"/>
      <c r="G159" s="132"/>
      <c r="H159" s="132"/>
      <c r="I159" s="132"/>
      <c r="J159" s="132"/>
      <c r="K159" s="132"/>
    </row>
    <row r="160" spans="6:11" ht="15.75" x14ac:dyDescent="0.25">
      <c r="F160" s="132"/>
      <c r="G160" s="132"/>
      <c r="H160" s="132"/>
      <c r="I160" s="132"/>
      <c r="J160" s="132"/>
      <c r="K160" s="132"/>
    </row>
    <row r="161" spans="6:11" ht="15.75" x14ac:dyDescent="0.25">
      <c r="F161" s="132"/>
      <c r="G161" s="132"/>
      <c r="H161" s="132"/>
      <c r="I161" s="132"/>
      <c r="J161" s="132"/>
      <c r="K161" s="132"/>
    </row>
    <row r="162" spans="6:11" ht="15.75" x14ac:dyDescent="0.25">
      <c r="F162" s="132"/>
      <c r="G162" s="132"/>
      <c r="H162" s="132"/>
      <c r="I162" s="132"/>
      <c r="J162" s="132"/>
      <c r="K162" s="132"/>
    </row>
    <row r="163" spans="6:11" ht="15.75" x14ac:dyDescent="0.25">
      <c r="F163" s="132"/>
      <c r="G163" s="132"/>
      <c r="H163" s="132"/>
      <c r="I163" s="132"/>
      <c r="J163" s="132"/>
      <c r="K163" s="132"/>
    </row>
    <row r="164" spans="6:11" ht="15.75" x14ac:dyDescent="0.25">
      <c r="F164" s="132"/>
      <c r="G164" s="132"/>
      <c r="H164" s="132"/>
      <c r="I164" s="132"/>
      <c r="J164" s="132"/>
      <c r="K164" s="132"/>
    </row>
    <row r="165" spans="6:11" ht="15.75" x14ac:dyDescent="0.25">
      <c r="F165" s="132"/>
      <c r="G165" s="132"/>
      <c r="H165" s="132"/>
      <c r="I165" s="132"/>
      <c r="J165" s="132"/>
      <c r="K165" s="132"/>
    </row>
    <row r="166" spans="6:11" ht="15.75" x14ac:dyDescent="0.25">
      <c r="F166" s="132"/>
      <c r="G166" s="132"/>
      <c r="H166" s="132"/>
      <c r="I166" s="132"/>
      <c r="J166" s="132"/>
      <c r="K166" s="132"/>
    </row>
    <row r="167" spans="6:11" ht="15.75" x14ac:dyDescent="0.25">
      <c r="F167" s="132"/>
      <c r="G167" s="132"/>
      <c r="H167" s="132"/>
      <c r="I167" s="132"/>
      <c r="J167" s="132"/>
      <c r="K167" s="132"/>
    </row>
    <row r="168" spans="6:11" ht="15.75" x14ac:dyDescent="0.25">
      <c r="F168" s="132"/>
      <c r="G168" s="132"/>
      <c r="H168" s="132"/>
      <c r="I168" s="132"/>
      <c r="J168" s="132"/>
      <c r="K168" s="132"/>
    </row>
    <row r="169" spans="6:11" ht="15.75" x14ac:dyDescent="0.25">
      <c r="F169" s="132"/>
      <c r="G169" s="132"/>
      <c r="H169" s="132"/>
      <c r="I169" s="132"/>
      <c r="J169" s="132"/>
      <c r="K169" s="132"/>
    </row>
    <row r="170" spans="6:11" ht="15.75" x14ac:dyDescent="0.25">
      <c r="F170" s="132"/>
      <c r="G170" s="132"/>
      <c r="H170" s="132"/>
      <c r="I170" s="132"/>
      <c r="J170" s="132"/>
      <c r="K170" s="132"/>
    </row>
    <row r="171" spans="6:11" ht="15.75" x14ac:dyDescent="0.25">
      <c r="F171" s="132"/>
      <c r="G171" s="132"/>
      <c r="H171" s="132"/>
      <c r="I171" s="132"/>
      <c r="J171" s="132"/>
      <c r="K171" s="132"/>
    </row>
    <row r="172" spans="6:11" ht="15.75" x14ac:dyDescent="0.25">
      <c r="F172" s="132"/>
      <c r="G172" s="132"/>
      <c r="H172" s="132"/>
      <c r="I172" s="132"/>
      <c r="J172" s="132"/>
      <c r="K172" s="132"/>
    </row>
    <row r="173" spans="6:11" ht="15.75" x14ac:dyDescent="0.25">
      <c r="F173" s="132"/>
      <c r="G173" s="132"/>
      <c r="H173" s="132"/>
      <c r="I173" s="132"/>
      <c r="J173" s="132"/>
      <c r="K173" s="132"/>
    </row>
    <row r="174" spans="6:11" ht="15.75" x14ac:dyDescent="0.25">
      <c r="F174" s="132"/>
      <c r="G174" s="132"/>
      <c r="H174" s="132"/>
      <c r="I174" s="132"/>
      <c r="J174" s="132"/>
      <c r="K174" s="132"/>
    </row>
    <row r="175" spans="6:11" ht="15.75" x14ac:dyDescent="0.25">
      <c r="F175" s="132"/>
      <c r="G175" s="132"/>
      <c r="H175" s="132"/>
      <c r="I175" s="132"/>
      <c r="J175" s="132"/>
      <c r="K175" s="132"/>
    </row>
    <row r="176" spans="6:11" ht="15.75" x14ac:dyDescent="0.25">
      <c r="F176" s="132"/>
      <c r="G176" s="132"/>
      <c r="H176" s="132"/>
      <c r="I176" s="132"/>
      <c r="J176" s="132"/>
      <c r="K176" s="132"/>
    </row>
    <row r="177" spans="6:11" ht="15.75" x14ac:dyDescent="0.25">
      <c r="F177" s="132"/>
      <c r="G177" s="132"/>
      <c r="H177" s="132"/>
      <c r="I177" s="132"/>
      <c r="J177" s="132"/>
      <c r="K177" s="132"/>
    </row>
    <row r="178" spans="6:11" ht="15.75" x14ac:dyDescent="0.25">
      <c r="F178" s="132"/>
      <c r="G178" s="132"/>
      <c r="H178" s="132"/>
      <c r="I178" s="132"/>
      <c r="J178" s="132"/>
      <c r="K178" s="132"/>
    </row>
    <row r="179" spans="6:11" ht="15.75" x14ac:dyDescent="0.25">
      <c r="F179" s="132"/>
      <c r="G179" s="132"/>
      <c r="H179" s="132"/>
      <c r="I179" s="132"/>
      <c r="J179" s="132"/>
      <c r="K179" s="132"/>
    </row>
    <row r="180" spans="6:11" ht="15.75" x14ac:dyDescent="0.25">
      <c r="F180" s="132"/>
      <c r="G180" s="132"/>
      <c r="H180" s="132"/>
      <c r="I180" s="132"/>
      <c r="J180" s="132"/>
      <c r="K180" s="132"/>
    </row>
    <row r="181" spans="6:11" ht="15.75" x14ac:dyDescent="0.25">
      <c r="F181" s="132"/>
      <c r="G181" s="132"/>
      <c r="H181" s="132"/>
      <c r="I181" s="132"/>
      <c r="J181" s="132"/>
      <c r="K181" s="132"/>
    </row>
    <row r="182" spans="6:11" ht="15.75" x14ac:dyDescent="0.25">
      <c r="F182" s="132"/>
      <c r="G182" s="132"/>
      <c r="H182" s="132"/>
      <c r="I182" s="132"/>
      <c r="J182" s="132"/>
      <c r="K182" s="132"/>
    </row>
    <row r="183" spans="6:11" ht="15.75" x14ac:dyDescent="0.25">
      <c r="F183" s="132"/>
      <c r="G183" s="132"/>
      <c r="H183" s="132"/>
      <c r="I183" s="132"/>
      <c r="J183" s="132"/>
      <c r="K183" s="132"/>
    </row>
    <row r="184" spans="6:11" ht="15.75" x14ac:dyDescent="0.25">
      <c r="F184" s="132"/>
      <c r="G184" s="132"/>
      <c r="H184" s="132"/>
      <c r="I184" s="132"/>
      <c r="J184" s="132"/>
      <c r="K184" s="132"/>
    </row>
    <row r="185" spans="6:11" ht="15.75" x14ac:dyDescent="0.25">
      <c r="F185" s="132"/>
      <c r="G185" s="132"/>
      <c r="H185" s="132"/>
      <c r="I185" s="132"/>
      <c r="J185" s="132"/>
      <c r="K185" s="132"/>
    </row>
    <row r="186" spans="6:11" ht="15.75" x14ac:dyDescent="0.25">
      <c r="F186" s="132"/>
      <c r="G186" s="132"/>
      <c r="H186" s="132"/>
      <c r="I186" s="132"/>
      <c r="J186" s="132"/>
      <c r="K186" s="132"/>
    </row>
    <row r="187" spans="6:11" ht="15.75" x14ac:dyDescent="0.25">
      <c r="F187" s="132"/>
      <c r="G187" s="132"/>
      <c r="H187" s="132"/>
      <c r="I187" s="132"/>
      <c r="J187" s="132"/>
      <c r="K187" s="132"/>
    </row>
    <row r="188" spans="6:11" ht="15.75" x14ac:dyDescent="0.25">
      <c r="F188" s="132"/>
      <c r="G188" s="132"/>
      <c r="H188" s="132"/>
      <c r="I188" s="132"/>
      <c r="J188" s="132"/>
      <c r="K188" s="132"/>
    </row>
    <row r="189" spans="6:11" ht="15.75" x14ac:dyDescent="0.25">
      <c r="F189" s="132"/>
      <c r="G189" s="132"/>
      <c r="H189" s="132"/>
      <c r="I189" s="132"/>
      <c r="J189" s="132"/>
      <c r="K189" s="132"/>
    </row>
  </sheetData>
  <sheetProtection algorithmName="SHA-512" hashValue="ksIM3W5qM1yIrxm+ww+bTsyK+ViOPCHH9EcraKqs9BNbcGoXTibVLlTWsJVxVfJdQljuu7CuIzSEkyCotwkwGg==" saltValue="iAZlKfN2w3/gQUYo9QAxlA==" spinCount="100000" sheet="1" objects="1" scenarios="1"/>
  <pageMargins left="0.7" right="0.7" top="0.98479166666666662" bottom="0.75" header="0.3" footer="0.3"/>
  <pageSetup scale="61" fitToHeight="0" orientation="landscape" r:id="rId1"/>
  <headerFooter>
    <oddFooter>&amp;L&amp;"Avenir LT Std 55 Roman,Regular"&amp;12&amp;K000000Final November 6, 2024&amp;C&amp;"Avenir LT Std 55 Roman,Regular"&amp;12Page &amp;P of &amp;N&amp;R&amp;"Avenir LT Std 55 Roman,Regular"&amp;12&amp;K000000&amp;A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sheetPr>
  <dimension ref="B1:I91"/>
  <sheetViews>
    <sheetView showGridLines="0" zoomScaleNormal="100" workbookViewId="0"/>
  </sheetViews>
  <sheetFormatPr defaultColWidth="9.140625" defaultRowHeight="15" x14ac:dyDescent="0.25"/>
  <cols>
    <col min="1" max="1" width="4" style="73" customWidth="1"/>
    <col min="2" max="2" width="4.28515625" style="73" customWidth="1"/>
    <col min="3" max="3" width="32.28515625" style="73" customWidth="1"/>
    <col min="4" max="4" width="25.7109375" style="73" customWidth="1"/>
    <col min="5" max="7" width="48.5703125" style="73" customWidth="1"/>
    <col min="8" max="8" width="16.85546875" style="73" customWidth="1"/>
    <col min="9" max="9" width="14.140625" style="73" customWidth="1"/>
    <col min="10" max="10" width="31.7109375" style="73" customWidth="1"/>
    <col min="11" max="16384" width="9.140625" style="73"/>
  </cols>
  <sheetData>
    <row r="1" spans="2:7" ht="18.75" customHeight="1" x14ac:dyDescent="0.25">
      <c r="B1" s="197"/>
      <c r="C1" s="197"/>
      <c r="D1" s="197"/>
      <c r="E1" s="197"/>
      <c r="F1" s="197"/>
      <c r="G1" s="197"/>
    </row>
    <row r="2" spans="2:7" ht="15" customHeight="1" x14ac:dyDescent="0.3">
      <c r="B2" s="198"/>
      <c r="C2" s="198"/>
      <c r="D2" s="198"/>
      <c r="E2" s="198"/>
      <c r="F2" s="198"/>
      <c r="G2" s="198"/>
    </row>
    <row r="3" spans="2:7" ht="18.75" customHeight="1" x14ac:dyDescent="0.25">
      <c r="B3" s="197"/>
      <c r="C3" s="197"/>
      <c r="D3" s="197"/>
      <c r="E3" s="197"/>
      <c r="F3" s="197"/>
      <c r="G3" s="197"/>
    </row>
    <row r="4" spans="2:7" ht="18.75" customHeight="1" x14ac:dyDescent="0.25">
      <c r="B4" s="199"/>
      <c r="C4" s="199"/>
      <c r="D4" s="199"/>
      <c r="E4" s="199"/>
      <c r="F4" s="199"/>
      <c r="G4" s="199"/>
    </row>
    <row r="5" spans="2:7" ht="15" customHeight="1" x14ac:dyDescent="0.25">
      <c r="B5" s="200"/>
      <c r="C5" s="200"/>
      <c r="D5" s="200"/>
      <c r="E5" s="200"/>
      <c r="F5" s="200"/>
      <c r="G5" s="200"/>
    </row>
    <row r="6" spans="2:7" ht="15" customHeight="1" x14ac:dyDescent="0.25">
      <c r="B6" s="201"/>
      <c r="C6" s="201"/>
      <c r="D6" s="201"/>
      <c r="E6" s="201"/>
      <c r="F6" s="201"/>
      <c r="G6" s="201"/>
    </row>
    <row r="7" spans="2:7" ht="18.75" customHeight="1" x14ac:dyDescent="0.25">
      <c r="B7" s="197"/>
      <c r="C7" s="197"/>
      <c r="D7" s="197"/>
      <c r="E7" s="197"/>
      <c r="F7" s="197"/>
      <c r="G7" s="197"/>
    </row>
    <row r="8" spans="2:7" ht="15" customHeight="1" x14ac:dyDescent="0.3">
      <c r="B8" s="198"/>
      <c r="C8" s="198"/>
      <c r="D8" s="198"/>
      <c r="E8" s="198"/>
      <c r="F8" s="198"/>
      <c r="G8" s="198"/>
    </row>
    <row r="9" spans="2:7" ht="15" customHeight="1" x14ac:dyDescent="0.25">
      <c r="B9" s="79" t="s">
        <v>582</v>
      </c>
      <c r="C9" s="79"/>
      <c r="D9" s="79"/>
      <c r="E9" s="79"/>
      <c r="F9" s="79"/>
      <c r="G9" s="79"/>
    </row>
    <row r="10" spans="2:7" ht="15" customHeight="1" x14ac:dyDescent="0.25">
      <c r="B10" s="79" t="s">
        <v>573</v>
      </c>
      <c r="C10" s="79"/>
      <c r="D10" s="79"/>
      <c r="E10" s="79"/>
      <c r="F10" s="79"/>
      <c r="G10" s="79"/>
    </row>
    <row r="11" spans="2:7" ht="15" customHeight="1" x14ac:dyDescent="0.25">
      <c r="B11" s="79" t="s">
        <v>574</v>
      </c>
      <c r="C11" s="79"/>
      <c r="D11" s="79"/>
      <c r="E11" s="79"/>
      <c r="F11" s="79"/>
      <c r="G11" s="79"/>
    </row>
    <row r="12" spans="2:7" ht="17.25" customHeight="1" x14ac:dyDescent="0.25">
      <c r="B12" s="79" t="s">
        <v>114</v>
      </c>
      <c r="C12" s="79"/>
      <c r="D12" s="79"/>
      <c r="E12" s="79"/>
      <c r="F12" s="79"/>
      <c r="G12" s="79"/>
    </row>
    <row r="13" spans="2:7" ht="15" customHeight="1" x14ac:dyDescent="0.25">
      <c r="B13" s="202" t="s">
        <v>115</v>
      </c>
      <c r="C13" s="143"/>
      <c r="D13" s="143"/>
      <c r="E13" s="143"/>
      <c r="F13" s="143"/>
      <c r="G13" s="143"/>
    </row>
    <row r="14" spans="2:7" ht="15" customHeight="1" x14ac:dyDescent="0.25">
      <c r="B14" s="202"/>
      <c r="C14" s="143"/>
      <c r="D14" s="143"/>
      <c r="E14" s="143"/>
      <c r="F14" s="143"/>
      <c r="G14" s="143"/>
    </row>
    <row r="15" spans="2:7" ht="18" customHeight="1" x14ac:dyDescent="0.25">
      <c r="B15" s="203" t="s">
        <v>116</v>
      </c>
      <c r="C15" s="203"/>
      <c r="D15" s="203"/>
      <c r="E15" s="203"/>
      <c r="F15" s="203"/>
      <c r="G15" s="203"/>
    </row>
    <row r="16" spans="2:7" ht="15.75" x14ac:dyDescent="0.25">
      <c r="B16" s="202" t="s">
        <v>575</v>
      </c>
      <c r="C16" s="202"/>
      <c r="D16" s="202"/>
      <c r="E16" s="202"/>
      <c r="F16" s="202"/>
      <c r="G16" s="202"/>
    </row>
    <row r="17" spans="2:9" ht="15.75" x14ac:dyDescent="0.25">
      <c r="B17" s="202" t="s">
        <v>117</v>
      </c>
      <c r="C17" s="202"/>
      <c r="D17" s="202"/>
      <c r="E17" s="202"/>
      <c r="F17" s="202"/>
      <c r="G17" s="202"/>
    </row>
    <row r="18" spans="2:9" ht="15" customHeight="1" x14ac:dyDescent="0.25">
      <c r="B18" s="204"/>
      <c r="C18" s="204"/>
      <c r="D18" s="204"/>
      <c r="E18" s="204"/>
      <c r="F18" s="204"/>
      <c r="G18" s="204"/>
    </row>
    <row r="19" spans="2:9" ht="15" customHeight="1" x14ac:dyDescent="0.25">
      <c r="B19" s="205"/>
      <c r="C19" s="206" t="s">
        <v>118</v>
      </c>
      <c r="D19" s="207"/>
      <c r="E19" s="208"/>
      <c r="F19" s="209" t="s">
        <v>119</v>
      </c>
      <c r="H19" s="132"/>
      <c r="I19" s="132"/>
    </row>
    <row r="20" spans="2:9" ht="31.5" customHeight="1" x14ac:dyDescent="0.25">
      <c r="B20" s="210">
        <v>1</v>
      </c>
      <c r="C20" s="211" t="s">
        <v>120</v>
      </c>
      <c r="D20" s="212"/>
      <c r="E20" s="213"/>
      <c r="F20" s="34"/>
      <c r="H20" s="132"/>
      <c r="I20" s="132"/>
    </row>
    <row r="21" spans="2:9" ht="45.75" customHeight="1" x14ac:dyDescent="0.25">
      <c r="B21" s="210">
        <v>2</v>
      </c>
      <c r="C21" s="214" t="s">
        <v>121</v>
      </c>
      <c r="D21" s="215"/>
      <c r="E21" s="216"/>
      <c r="F21" s="34"/>
      <c r="H21" s="132"/>
      <c r="I21" s="132"/>
    </row>
    <row r="22" spans="2:9" ht="47.25" customHeight="1" x14ac:dyDescent="0.25">
      <c r="B22" s="210">
        <v>3</v>
      </c>
      <c r="C22" s="214" t="s">
        <v>542</v>
      </c>
      <c r="D22" s="215"/>
      <c r="E22" s="216"/>
      <c r="F22" s="34"/>
      <c r="G22" s="81"/>
      <c r="H22" s="132"/>
      <c r="I22" s="132"/>
    </row>
    <row r="23" spans="2:9" ht="31.5" customHeight="1" x14ac:dyDescent="0.25">
      <c r="B23" s="210">
        <v>4</v>
      </c>
      <c r="C23" s="214" t="s">
        <v>122</v>
      </c>
      <c r="D23" s="215"/>
      <c r="E23" s="216"/>
      <c r="F23" s="34"/>
      <c r="G23" s="143"/>
      <c r="H23" s="132"/>
      <c r="I23" s="132"/>
    </row>
    <row r="24" spans="2:9" ht="15" customHeight="1" x14ac:dyDescent="0.25">
      <c r="B24" s="143"/>
      <c r="C24" s="143"/>
      <c r="D24" s="143"/>
      <c r="E24" s="143"/>
      <c r="F24" s="143"/>
      <c r="G24" s="143"/>
      <c r="H24" s="132"/>
      <c r="I24" s="132"/>
    </row>
    <row r="25" spans="2:9" ht="18" customHeight="1" x14ac:dyDescent="0.25">
      <c r="B25" s="203" t="s">
        <v>123</v>
      </c>
      <c r="C25" s="203"/>
      <c r="D25" s="203"/>
      <c r="E25" s="203"/>
      <c r="F25" s="203"/>
      <c r="G25" s="203"/>
    </row>
    <row r="26" spans="2:9" ht="15" customHeight="1" x14ac:dyDescent="0.25">
      <c r="B26" s="79" t="s">
        <v>576</v>
      </c>
      <c r="C26" s="79"/>
      <c r="D26" s="79"/>
      <c r="E26" s="79"/>
      <c r="F26" s="79"/>
      <c r="G26" s="79"/>
    </row>
    <row r="27" spans="2:9" ht="15" customHeight="1" x14ac:dyDescent="0.25">
      <c r="B27" s="79" t="s">
        <v>124</v>
      </c>
      <c r="C27" s="79"/>
      <c r="D27" s="79"/>
      <c r="E27" s="79"/>
      <c r="F27" s="79"/>
      <c r="G27" s="79"/>
      <c r="H27" s="132"/>
      <c r="I27" s="132"/>
    </row>
    <row r="28" spans="2:9" ht="15" customHeight="1" x14ac:dyDescent="0.25">
      <c r="B28" s="143"/>
      <c r="C28" s="143"/>
      <c r="D28" s="143"/>
      <c r="E28" s="143"/>
      <c r="F28" s="143"/>
      <c r="G28" s="143"/>
      <c r="H28" s="132"/>
      <c r="I28" s="132"/>
    </row>
    <row r="29" spans="2:9" ht="33.75" customHeight="1" x14ac:dyDescent="0.25">
      <c r="B29" s="143"/>
      <c r="C29" s="217" t="s">
        <v>125</v>
      </c>
      <c r="D29" s="218" t="s">
        <v>127</v>
      </c>
      <c r="E29" s="217" t="s">
        <v>126</v>
      </c>
      <c r="F29" s="219" t="s">
        <v>119</v>
      </c>
      <c r="I29" s="132"/>
    </row>
    <row r="30" spans="2:9" ht="31.5" x14ac:dyDescent="0.25">
      <c r="B30" s="143"/>
      <c r="C30" s="220" t="s">
        <v>577</v>
      </c>
      <c r="D30" s="221" t="s">
        <v>128</v>
      </c>
      <c r="E30" s="222" t="s">
        <v>543</v>
      </c>
      <c r="F30" s="11"/>
      <c r="I30" s="132"/>
    </row>
    <row r="31" spans="2:9" ht="15.75" x14ac:dyDescent="0.25">
      <c r="H31" s="132"/>
      <c r="I31" s="132"/>
    </row>
    <row r="32" spans="2:9" ht="15.75" x14ac:dyDescent="0.25">
      <c r="H32" s="132"/>
      <c r="I32" s="132"/>
    </row>
    <row r="33" spans="8:9" ht="15.75" x14ac:dyDescent="0.25">
      <c r="H33" s="132"/>
      <c r="I33" s="132"/>
    </row>
    <row r="34" spans="8:9" ht="15.75" x14ac:dyDescent="0.25">
      <c r="H34" s="132"/>
      <c r="I34" s="132"/>
    </row>
    <row r="35" spans="8:9" ht="15.75" x14ac:dyDescent="0.25">
      <c r="H35" s="132"/>
      <c r="I35" s="132"/>
    </row>
    <row r="36" spans="8:9" ht="15.75" x14ac:dyDescent="0.25">
      <c r="H36" s="132"/>
      <c r="I36" s="132"/>
    </row>
    <row r="37" spans="8:9" ht="15.75" x14ac:dyDescent="0.25">
      <c r="H37" s="132"/>
      <c r="I37" s="132"/>
    </row>
    <row r="38" spans="8:9" ht="15.75" x14ac:dyDescent="0.25">
      <c r="H38" s="132"/>
      <c r="I38" s="132"/>
    </row>
    <row r="39" spans="8:9" ht="15.75" x14ac:dyDescent="0.25">
      <c r="H39" s="132"/>
      <c r="I39" s="132"/>
    </row>
    <row r="40" spans="8:9" ht="15.75" x14ac:dyDescent="0.25">
      <c r="H40" s="132"/>
      <c r="I40" s="132"/>
    </row>
    <row r="41" spans="8:9" ht="15.75" x14ac:dyDescent="0.25">
      <c r="H41" s="132"/>
      <c r="I41" s="132"/>
    </row>
    <row r="42" spans="8:9" ht="15.75" x14ac:dyDescent="0.25">
      <c r="H42" s="132"/>
      <c r="I42" s="132"/>
    </row>
    <row r="43" spans="8:9" ht="15.75" x14ac:dyDescent="0.25">
      <c r="H43" s="132"/>
      <c r="I43" s="132"/>
    </row>
    <row r="44" spans="8:9" ht="15.75" x14ac:dyDescent="0.25">
      <c r="H44" s="132"/>
      <c r="I44" s="132"/>
    </row>
    <row r="45" spans="8:9" ht="15.75" x14ac:dyDescent="0.25">
      <c r="H45" s="132"/>
      <c r="I45" s="132"/>
    </row>
    <row r="46" spans="8:9" ht="15.75" x14ac:dyDescent="0.25">
      <c r="H46" s="132"/>
      <c r="I46" s="132"/>
    </row>
    <row r="47" spans="8:9" ht="15.75" x14ac:dyDescent="0.25">
      <c r="H47" s="132"/>
      <c r="I47" s="132"/>
    </row>
    <row r="48" spans="8:9" ht="15.75" x14ac:dyDescent="0.25">
      <c r="H48" s="132"/>
      <c r="I48" s="132"/>
    </row>
    <row r="49" spans="8:9" ht="15.75" x14ac:dyDescent="0.25">
      <c r="H49" s="132"/>
      <c r="I49" s="132"/>
    </row>
    <row r="50" spans="8:9" ht="15.75" x14ac:dyDescent="0.25">
      <c r="H50" s="132"/>
      <c r="I50" s="132"/>
    </row>
    <row r="51" spans="8:9" ht="15.75" x14ac:dyDescent="0.25">
      <c r="H51" s="132"/>
      <c r="I51" s="132"/>
    </row>
    <row r="52" spans="8:9" ht="15.75" x14ac:dyDescent="0.25">
      <c r="H52" s="132"/>
      <c r="I52" s="132"/>
    </row>
    <row r="53" spans="8:9" ht="15.75" x14ac:dyDescent="0.25">
      <c r="H53" s="132"/>
      <c r="I53" s="132"/>
    </row>
    <row r="54" spans="8:9" ht="15.75" x14ac:dyDescent="0.25">
      <c r="H54" s="132"/>
      <c r="I54" s="132"/>
    </row>
    <row r="55" spans="8:9" ht="15.75" x14ac:dyDescent="0.25">
      <c r="H55" s="132"/>
      <c r="I55" s="132"/>
    </row>
    <row r="56" spans="8:9" ht="15.75" x14ac:dyDescent="0.25">
      <c r="H56" s="132"/>
      <c r="I56" s="132"/>
    </row>
    <row r="57" spans="8:9" ht="15.75" x14ac:dyDescent="0.25">
      <c r="H57" s="132"/>
      <c r="I57" s="132"/>
    </row>
    <row r="58" spans="8:9" ht="15.75" x14ac:dyDescent="0.25">
      <c r="H58" s="132"/>
      <c r="I58" s="132"/>
    </row>
    <row r="59" spans="8:9" ht="15.75" x14ac:dyDescent="0.25">
      <c r="H59" s="132"/>
      <c r="I59" s="132"/>
    </row>
    <row r="60" spans="8:9" ht="15.75" x14ac:dyDescent="0.25">
      <c r="H60" s="132"/>
      <c r="I60" s="132"/>
    </row>
    <row r="61" spans="8:9" ht="15.75" x14ac:dyDescent="0.25">
      <c r="H61" s="132"/>
      <c r="I61" s="132"/>
    </row>
    <row r="62" spans="8:9" ht="15.75" x14ac:dyDescent="0.25">
      <c r="H62" s="132"/>
      <c r="I62" s="132"/>
    </row>
    <row r="63" spans="8:9" ht="15.75" x14ac:dyDescent="0.25">
      <c r="H63" s="132"/>
      <c r="I63" s="132"/>
    </row>
    <row r="64" spans="8:9" ht="15.75" x14ac:dyDescent="0.25">
      <c r="H64" s="132"/>
      <c r="I64" s="132"/>
    </row>
    <row r="65" spans="8:9" ht="15.75" x14ac:dyDescent="0.25">
      <c r="H65" s="132"/>
      <c r="I65" s="132"/>
    </row>
    <row r="66" spans="8:9" ht="15.75" x14ac:dyDescent="0.25">
      <c r="H66" s="132"/>
      <c r="I66" s="132"/>
    </row>
    <row r="67" spans="8:9" ht="15.75" x14ac:dyDescent="0.25">
      <c r="H67" s="132"/>
      <c r="I67" s="132"/>
    </row>
    <row r="68" spans="8:9" ht="15.75" x14ac:dyDescent="0.25">
      <c r="H68" s="132"/>
      <c r="I68" s="132"/>
    </row>
    <row r="69" spans="8:9" ht="15.75" x14ac:dyDescent="0.25">
      <c r="H69" s="132"/>
      <c r="I69" s="132"/>
    </row>
    <row r="70" spans="8:9" ht="15.75" x14ac:dyDescent="0.25">
      <c r="H70" s="132"/>
      <c r="I70" s="132"/>
    </row>
    <row r="71" spans="8:9" ht="15.75" x14ac:dyDescent="0.25">
      <c r="H71" s="132"/>
      <c r="I71" s="132"/>
    </row>
    <row r="72" spans="8:9" ht="15.75" x14ac:dyDescent="0.25">
      <c r="H72" s="132"/>
      <c r="I72" s="132"/>
    </row>
    <row r="73" spans="8:9" ht="15.75" x14ac:dyDescent="0.25">
      <c r="H73" s="132"/>
      <c r="I73" s="132"/>
    </row>
    <row r="74" spans="8:9" ht="15.75" x14ac:dyDescent="0.25">
      <c r="H74" s="132"/>
      <c r="I74" s="132"/>
    </row>
    <row r="75" spans="8:9" ht="15.75" x14ac:dyDescent="0.25">
      <c r="H75" s="132"/>
      <c r="I75" s="132"/>
    </row>
    <row r="76" spans="8:9" ht="15.75" x14ac:dyDescent="0.25">
      <c r="H76" s="132"/>
      <c r="I76" s="132"/>
    </row>
    <row r="77" spans="8:9" ht="15.75" x14ac:dyDescent="0.25">
      <c r="H77" s="132"/>
      <c r="I77" s="132"/>
    </row>
    <row r="78" spans="8:9" ht="15.75" x14ac:dyDescent="0.25">
      <c r="H78" s="132"/>
      <c r="I78" s="132"/>
    </row>
    <row r="79" spans="8:9" ht="15.75" x14ac:dyDescent="0.25">
      <c r="H79" s="132"/>
      <c r="I79" s="132"/>
    </row>
    <row r="80" spans="8:9" ht="15.75" x14ac:dyDescent="0.25">
      <c r="H80" s="132"/>
      <c r="I80" s="132"/>
    </row>
    <row r="81" spans="8:9" ht="15.75" x14ac:dyDescent="0.25">
      <c r="H81" s="132"/>
      <c r="I81" s="132"/>
    </row>
    <row r="82" spans="8:9" ht="15.75" x14ac:dyDescent="0.25">
      <c r="H82" s="132"/>
      <c r="I82" s="132"/>
    </row>
    <row r="83" spans="8:9" ht="15.75" x14ac:dyDescent="0.25">
      <c r="H83" s="132"/>
      <c r="I83" s="132"/>
    </row>
    <row r="84" spans="8:9" ht="15.75" x14ac:dyDescent="0.25">
      <c r="H84" s="132"/>
      <c r="I84" s="132"/>
    </row>
    <row r="85" spans="8:9" ht="15.75" x14ac:dyDescent="0.25">
      <c r="H85" s="132"/>
      <c r="I85" s="132"/>
    </row>
    <row r="86" spans="8:9" ht="15.75" x14ac:dyDescent="0.25">
      <c r="H86" s="132"/>
      <c r="I86" s="132"/>
    </row>
    <row r="87" spans="8:9" ht="15.75" x14ac:dyDescent="0.25">
      <c r="H87" s="132"/>
      <c r="I87" s="132"/>
    </row>
    <row r="88" spans="8:9" ht="15.75" x14ac:dyDescent="0.25">
      <c r="H88" s="132"/>
      <c r="I88" s="132"/>
    </row>
    <row r="89" spans="8:9" ht="15.75" x14ac:dyDescent="0.25">
      <c r="H89" s="132"/>
      <c r="I89" s="132"/>
    </row>
    <row r="90" spans="8:9" ht="15.75" x14ac:dyDescent="0.25">
      <c r="H90" s="132"/>
      <c r="I90" s="132"/>
    </row>
    <row r="91" spans="8:9" ht="15.75" x14ac:dyDescent="0.25">
      <c r="H91" s="132"/>
      <c r="I91" s="132"/>
    </row>
  </sheetData>
  <sheetProtection algorithmName="SHA-512" hashValue="x1etnt3eOVXV06N3tn75waZk1tMX8FProzSfL7gic1PLSDBKBZaNh5ce06wGzJL1cyajpXUWIBL3ldcZsTqLTg==" saltValue="5XOaYLkgDI+rjdBcMwpg1g==" spinCount="100000" sheet="1" objects="1" scenarios="1"/>
  <pageMargins left="0.7" right="0.7" top="0.98479166666666662" bottom="0.75" header="0.3" footer="0.3"/>
  <pageSetup scale="45" fitToHeight="0" orientation="landscape" r:id="rId1"/>
  <headerFooter>
    <oddFooter>&amp;L&amp;"Avenir LT Std 55 Roman,Regular"&amp;12&amp;K000000Final November 6, 2024&amp;C&amp;"Avenir LT Std 55 Roman,Regular"&amp;12Page &amp;P of &amp;N&amp;R&amp;"Avenir LT Std 55 Roman,Regular"&amp;12&amp;K000000&amp;A</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'Defaults &lt;HIDE&gt;'!$I$12:$I$13</xm:f>
          </x14:formula1>
          <xm:sqref>F20:F23 F30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F62"/>
  <sheetViews>
    <sheetView showGridLines="0" zoomScaleNormal="100" zoomScalePageLayoutView="70" workbookViewId="0"/>
  </sheetViews>
  <sheetFormatPr defaultColWidth="9.140625" defaultRowHeight="15" x14ac:dyDescent="0.25"/>
  <cols>
    <col min="1" max="1" width="2.85546875" style="73" customWidth="1"/>
    <col min="2" max="2" width="91.28515625" style="73" customWidth="1"/>
    <col min="3" max="3" width="17.7109375" style="73" customWidth="1"/>
    <col min="4" max="4" width="31.28515625" style="73" customWidth="1"/>
    <col min="5" max="5" width="60.140625" style="73" customWidth="1"/>
    <col min="6" max="6" width="2.85546875" style="73" customWidth="1"/>
    <col min="7" max="11" width="9.140625" style="73"/>
    <col min="12" max="12" width="9.140625" style="73" customWidth="1"/>
    <col min="13" max="16384" width="9.140625" style="73"/>
  </cols>
  <sheetData>
    <row r="1" spans="1:6" ht="18.75" customHeight="1" x14ac:dyDescent="0.25">
      <c r="A1" s="72"/>
      <c r="B1" s="72"/>
      <c r="C1" s="72"/>
      <c r="D1" s="72"/>
      <c r="E1" s="77"/>
    </row>
    <row r="2" spans="1:6" ht="15" customHeight="1" x14ac:dyDescent="0.25">
      <c r="E2" s="223"/>
    </row>
    <row r="3" spans="1:6" ht="18.75" customHeight="1" x14ac:dyDescent="0.25">
      <c r="A3" s="72"/>
      <c r="B3" s="72"/>
      <c r="C3" s="72"/>
      <c r="D3" s="72"/>
      <c r="E3" s="77"/>
    </row>
    <row r="4" spans="1:6" ht="18.75" customHeight="1" x14ac:dyDescent="0.25">
      <c r="A4" s="74"/>
      <c r="B4" s="74"/>
      <c r="C4" s="74"/>
      <c r="D4" s="74"/>
      <c r="E4" s="93"/>
    </row>
    <row r="5" spans="1:6" ht="15" customHeight="1" x14ac:dyDescent="0.25">
      <c r="A5" s="75"/>
      <c r="B5" s="75"/>
      <c r="C5" s="75"/>
      <c r="D5" s="75"/>
      <c r="E5" s="223"/>
    </row>
    <row r="6" spans="1:6" ht="15" customHeight="1" x14ac:dyDescent="0.25">
      <c r="A6" s="76"/>
      <c r="B6" s="76"/>
      <c r="C6" s="76"/>
      <c r="D6" s="76"/>
      <c r="E6" s="223"/>
    </row>
    <row r="7" spans="1:6" ht="18.75" customHeight="1" x14ac:dyDescent="0.25">
      <c r="A7" s="72"/>
      <c r="B7" s="72"/>
      <c r="C7" s="72"/>
      <c r="D7" s="72"/>
      <c r="E7" s="77"/>
    </row>
    <row r="8" spans="1:6" ht="15" customHeight="1" x14ac:dyDescent="0.25"/>
    <row r="9" spans="1:6" ht="15" customHeight="1" x14ac:dyDescent="0.25">
      <c r="A9" s="171"/>
      <c r="B9" s="81" t="s">
        <v>533</v>
      </c>
      <c r="C9" s="78"/>
      <c r="D9" s="78"/>
      <c r="E9" s="78"/>
      <c r="F9" s="78"/>
    </row>
    <row r="10" spans="1:6" ht="15" customHeight="1" x14ac:dyDescent="0.25">
      <c r="B10" s="15"/>
      <c r="C10" s="15"/>
      <c r="D10" s="15"/>
      <c r="E10" s="15"/>
    </row>
    <row r="11" spans="1:6" ht="15.75" x14ac:dyDescent="0.25">
      <c r="A11" s="81"/>
      <c r="B11" s="224" t="s">
        <v>21</v>
      </c>
      <c r="C11" s="225"/>
      <c r="D11" s="225"/>
      <c r="E11" s="225"/>
    </row>
    <row r="12" spans="1:6" ht="15.75" x14ac:dyDescent="0.25">
      <c r="A12" s="81"/>
      <c r="B12" s="224" t="s">
        <v>22</v>
      </c>
      <c r="C12" s="225"/>
      <c r="D12" s="225"/>
      <c r="E12" s="225"/>
    </row>
    <row r="13" spans="1:6" ht="15.75" x14ac:dyDescent="0.25">
      <c r="A13" s="81"/>
      <c r="B13" s="224"/>
      <c r="C13" s="225"/>
      <c r="D13" s="225"/>
      <c r="E13" s="225"/>
    </row>
    <row r="14" spans="1:6" ht="15.75" x14ac:dyDescent="0.25">
      <c r="A14" s="81"/>
      <c r="B14" s="224" t="s">
        <v>23</v>
      </c>
      <c r="C14" s="225"/>
      <c r="D14" s="225"/>
      <c r="E14" s="225"/>
    </row>
    <row r="15" spans="1:6" ht="15.75" x14ac:dyDescent="0.25">
      <c r="A15" s="81"/>
      <c r="B15" s="224" t="s">
        <v>24</v>
      </c>
      <c r="C15" s="225"/>
      <c r="D15" s="225"/>
      <c r="E15" s="225"/>
    </row>
    <row r="16" spans="1:6" ht="15" customHeight="1" x14ac:dyDescent="0.25">
      <c r="A16" s="81"/>
      <c r="B16" s="226" t="s">
        <v>1</v>
      </c>
      <c r="C16" s="44"/>
      <c r="D16" s="44"/>
      <c r="E16" s="44"/>
    </row>
    <row r="17" spans="1:5" ht="15" customHeight="1" x14ac:dyDescent="0.25">
      <c r="A17" s="81"/>
      <c r="B17" s="81"/>
    </row>
    <row r="18" spans="1:5" ht="30" customHeight="1" x14ac:dyDescent="0.25">
      <c r="A18" s="81"/>
      <c r="B18" s="227" t="s">
        <v>25</v>
      </c>
      <c r="C18" s="228" t="s">
        <v>571</v>
      </c>
      <c r="D18" s="229" t="s">
        <v>26</v>
      </c>
      <c r="E18" s="229" t="s">
        <v>27</v>
      </c>
    </row>
    <row r="19" spans="1:5" ht="18.75" customHeight="1" x14ac:dyDescent="0.25">
      <c r="A19" s="81"/>
      <c r="B19" s="230" t="s">
        <v>28</v>
      </c>
      <c r="C19" s="230"/>
      <c r="D19" s="230"/>
      <c r="E19" s="230"/>
    </row>
    <row r="20" spans="1:5" ht="35.1" customHeight="1" x14ac:dyDescent="0.25">
      <c r="A20" s="81"/>
      <c r="B20" s="231" t="s">
        <v>29</v>
      </c>
      <c r="C20" s="232" t="s">
        <v>30</v>
      </c>
      <c r="D20" s="7"/>
      <c r="E20" s="57" t="s">
        <v>31</v>
      </c>
    </row>
    <row r="21" spans="1:5" ht="35.1" customHeight="1" x14ac:dyDescent="0.25">
      <c r="A21" s="81"/>
      <c r="B21" s="231" t="s">
        <v>32</v>
      </c>
      <c r="C21" s="232" t="s">
        <v>30</v>
      </c>
      <c r="D21" s="7"/>
      <c r="E21" s="57" t="s">
        <v>33</v>
      </c>
    </row>
    <row r="22" spans="1:5" ht="30" customHeight="1" x14ac:dyDescent="0.25">
      <c r="B22" s="227" t="s">
        <v>25</v>
      </c>
      <c r="C22" s="228" t="s">
        <v>571</v>
      </c>
      <c r="D22" s="227" t="s">
        <v>26</v>
      </c>
      <c r="E22" s="227" t="s">
        <v>34</v>
      </c>
    </row>
    <row r="23" spans="1:5" ht="35.1" customHeight="1" x14ac:dyDescent="0.25">
      <c r="B23" s="233" t="s">
        <v>35</v>
      </c>
      <c r="C23" s="234"/>
      <c r="D23" s="234"/>
      <c r="E23" s="234"/>
    </row>
    <row r="24" spans="1:5" ht="72" customHeight="1" x14ac:dyDescent="0.25">
      <c r="A24" s="143"/>
      <c r="B24" s="235" t="s">
        <v>572</v>
      </c>
      <c r="C24" s="232" t="s">
        <v>30</v>
      </c>
      <c r="D24" s="8"/>
      <c r="E24" s="9"/>
    </row>
    <row r="25" spans="1:5" ht="34.5" customHeight="1" x14ac:dyDescent="0.25">
      <c r="A25" s="143"/>
      <c r="B25" s="29" t="s">
        <v>36</v>
      </c>
      <c r="C25" s="232" t="str">
        <f>IF(D21="","No",D21)</f>
        <v>No</v>
      </c>
      <c r="D25" s="7"/>
      <c r="E25" s="10"/>
    </row>
    <row r="26" spans="1:5" ht="35.1" customHeight="1" x14ac:dyDescent="0.25">
      <c r="A26" s="143"/>
      <c r="B26" s="233" t="s">
        <v>37</v>
      </c>
      <c r="C26" s="234"/>
      <c r="D26" s="234"/>
      <c r="E26" s="234"/>
    </row>
    <row r="27" spans="1:5" ht="83.25" customHeight="1" x14ac:dyDescent="0.25">
      <c r="A27" s="16"/>
      <c r="B27" s="29" t="s">
        <v>38</v>
      </c>
      <c r="C27" s="232" t="s">
        <v>30</v>
      </c>
      <c r="D27" s="7"/>
      <c r="E27" s="10"/>
    </row>
    <row r="28" spans="1:5" ht="66.75" customHeight="1" x14ac:dyDescent="0.25">
      <c r="A28" s="195"/>
      <c r="B28" s="236" t="s">
        <v>39</v>
      </c>
      <c r="C28" s="232" t="s">
        <v>30</v>
      </c>
      <c r="D28" s="7"/>
      <c r="E28" s="10"/>
    </row>
    <row r="29" spans="1:5" ht="96.75" customHeight="1" x14ac:dyDescent="0.25">
      <c r="A29" s="143"/>
      <c r="B29" s="237" t="s">
        <v>40</v>
      </c>
      <c r="C29" s="232" t="s">
        <v>30</v>
      </c>
      <c r="D29" s="7"/>
      <c r="E29" s="10"/>
    </row>
    <row r="30" spans="1:5" ht="82.5" customHeight="1" x14ac:dyDescent="0.25">
      <c r="A30" s="143"/>
      <c r="B30" s="235" t="s">
        <v>41</v>
      </c>
      <c r="C30" s="232" t="s">
        <v>30</v>
      </c>
      <c r="D30" s="7"/>
      <c r="E30" s="10"/>
    </row>
    <row r="31" spans="1:5" ht="50.1" customHeight="1" x14ac:dyDescent="0.25">
      <c r="A31" s="143"/>
      <c r="B31" s="233" t="s">
        <v>42</v>
      </c>
      <c r="C31" s="234"/>
      <c r="D31" s="234"/>
      <c r="E31" s="234"/>
    </row>
    <row r="32" spans="1:5" ht="53.25" customHeight="1" x14ac:dyDescent="0.25">
      <c r="A32" s="143"/>
      <c r="B32" s="236" t="s">
        <v>43</v>
      </c>
      <c r="C32" s="232" t="str">
        <f>IF(D20="","No",D20)</f>
        <v>No</v>
      </c>
      <c r="D32" s="7"/>
      <c r="E32" s="10"/>
    </row>
    <row r="33" spans="1:5" ht="53.25" customHeight="1" x14ac:dyDescent="0.25">
      <c r="A33" s="143"/>
      <c r="B33" s="236" t="s">
        <v>44</v>
      </c>
      <c r="C33" s="232" t="str">
        <f>IF(D20="","No",D20)</f>
        <v>No</v>
      </c>
      <c r="D33" s="7"/>
      <c r="E33" s="10"/>
    </row>
    <row r="34" spans="1:5" ht="53.25" customHeight="1" x14ac:dyDescent="0.25">
      <c r="A34" s="143"/>
      <c r="B34" s="236" t="s">
        <v>45</v>
      </c>
      <c r="C34" s="232" t="str">
        <f>IF(D20="","No",D20)</f>
        <v>No</v>
      </c>
      <c r="D34" s="7"/>
      <c r="E34" s="10"/>
    </row>
    <row r="35" spans="1:5" ht="66.75" customHeight="1" x14ac:dyDescent="0.25">
      <c r="A35" s="143"/>
      <c r="B35" s="236" t="s">
        <v>46</v>
      </c>
      <c r="C35" s="232" t="str">
        <f>IF(D20="","No",D20)</f>
        <v>No</v>
      </c>
      <c r="D35" s="7"/>
      <c r="E35" s="10"/>
    </row>
    <row r="36" spans="1:5" ht="35.1" customHeight="1" x14ac:dyDescent="0.25">
      <c r="A36" s="143"/>
      <c r="B36" s="236" t="s">
        <v>47</v>
      </c>
      <c r="C36" s="232" t="str">
        <f>IF(D21="","No",D21)</f>
        <v>No</v>
      </c>
      <c r="D36" s="7"/>
      <c r="E36" s="10"/>
    </row>
    <row r="37" spans="1:5" ht="35.1" customHeight="1" x14ac:dyDescent="0.25">
      <c r="A37" s="143"/>
      <c r="B37" s="238" t="s">
        <v>48</v>
      </c>
      <c r="C37" s="232" t="str">
        <f>IF(D21="","No",D21)</f>
        <v>No</v>
      </c>
      <c r="D37" s="7"/>
      <c r="E37" s="10"/>
    </row>
    <row r="38" spans="1:5" ht="67.5" customHeight="1" x14ac:dyDescent="0.25">
      <c r="A38" s="143"/>
      <c r="B38" s="236" t="s">
        <v>49</v>
      </c>
      <c r="C38" s="232" t="str">
        <f>IF(D21="","No",D21)</f>
        <v>No</v>
      </c>
      <c r="D38" s="7"/>
      <c r="E38" s="10"/>
    </row>
    <row r="39" spans="1:5" ht="15" customHeight="1" x14ac:dyDescent="0.25">
      <c r="A39" s="143"/>
      <c r="B39" s="143"/>
      <c r="C39" s="143"/>
      <c r="D39" s="143"/>
      <c r="E39" s="143"/>
    </row>
    <row r="40" spans="1:5" ht="15" customHeight="1" x14ac:dyDescent="0.25">
      <c r="A40" s="143"/>
      <c r="B40" s="239" t="s">
        <v>50</v>
      </c>
      <c r="C40" s="240"/>
      <c r="D40" s="143"/>
      <c r="E40" s="143"/>
    </row>
    <row r="41" spans="1:5" ht="15" customHeight="1" x14ac:dyDescent="0.25">
      <c r="A41" s="143"/>
      <c r="B41" s="241" t="s">
        <v>51</v>
      </c>
      <c r="C41" s="242" t="str">
        <f>IF(OR(NOT(OR(D24="", D24="No")), D25="Yes"), "Yes", "No")</f>
        <v>No</v>
      </c>
      <c r="D41" s="143"/>
      <c r="E41" s="143"/>
    </row>
    <row r="42" spans="1:5" ht="15" customHeight="1" x14ac:dyDescent="0.25">
      <c r="A42" s="196"/>
      <c r="B42" s="243" t="s">
        <v>52</v>
      </c>
      <c r="C42" s="244" t="str">
        <f>IF(OR(D27="Yes",D28="Yes",D29="Yes",D30="Yes"),"Yes","No")</f>
        <v>No</v>
      </c>
      <c r="D42" s="196"/>
      <c r="E42" s="196"/>
    </row>
    <row r="43" spans="1:5" ht="15" customHeight="1" x14ac:dyDescent="0.25">
      <c r="A43" s="81"/>
      <c r="B43" s="243" t="s">
        <v>53</v>
      </c>
      <c r="C43" s="245" t="str">
        <f>IF(OR(D32="Yes",D33="Yes",D34="Yes",D35="Yes",D36="Yes",D37="Yes",D38="Yes"),"Yes","No")</f>
        <v>No</v>
      </c>
      <c r="D43" s="81"/>
      <c r="E43" s="81"/>
    </row>
    <row r="44" spans="1:5" ht="15" customHeight="1" x14ac:dyDescent="0.25">
      <c r="A44" s="81"/>
      <c r="B44" s="246" t="s">
        <v>54</v>
      </c>
      <c r="C44" s="247" t="str">
        <f>IF(AND(C41="Yes", C42="Yes", C43="Yes"),"Yes", "No")</f>
        <v>No</v>
      </c>
      <c r="D44" s="81"/>
      <c r="E44" s="81"/>
    </row>
    <row r="45" spans="1:5" ht="15" customHeight="1" x14ac:dyDescent="0.25">
      <c r="A45" s="81"/>
      <c r="B45" s="81"/>
      <c r="C45" s="81"/>
      <c r="D45" s="81"/>
      <c r="E45" s="81"/>
    </row>
    <row r="46" spans="1:5" ht="15" customHeight="1" x14ac:dyDescent="0.25"/>
    <row r="47" spans="1:5" ht="15" customHeight="1" x14ac:dyDescent="0.25"/>
    <row r="48" spans="1:5"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sheetData>
  <sheetProtection algorithmName="SHA-512" hashValue="qfxxyXeUIQFUo++6tGHrftnJpj7leCQ5Oeliwh/YV91zq+3WRPHpNMVmmJ2MBGmVGCLObp4kVfAZ0tzWTdxsHA==" saltValue="pcbmy9GgP1mhug6QttARaA==" spinCount="100000" sheet="1" objects="1" scenarios="1"/>
  <conditionalFormatting sqref="B24:B25">
    <cfRule type="expression" dxfId="8" priority="28">
      <formula>C24="No"</formula>
    </cfRule>
  </conditionalFormatting>
  <conditionalFormatting sqref="B27:B30">
    <cfRule type="expression" dxfId="7" priority="27">
      <formula>C27="No"</formula>
    </cfRule>
  </conditionalFormatting>
  <conditionalFormatting sqref="D20:D21">
    <cfRule type="expression" dxfId="6" priority="2">
      <formula>#REF!="No"</formula>
    </cfRule>
  </conditionalFormatting>
  <conditionalFormatting sqref="D24:E25">
    <cfRule type="expression" dxfId="5" priority="30">
      <formula>$C24="No"</formula>
    </cfRule>
  </conditionalFormatting>
  <conditionalFormatting sqref="D27:E30">
    <cfRule type="expression" dxfId="4" priority="32">
      <formula>$C27="No"</formula>
    </cfRule>
  </conditionalFormatting>
  <conditionalFormatting sqref="D32:E38">
    <cfRule type="expression" dxfId="3" priority="3">
      <formula>$C32="No"</formula>
    </cfRule>
  </conditionalFormatting>
  <conditionalFormatting sqref="E20:E21">
    <cfRule type="expression" dxfId="2" priority="1">
      <formula>NOT($D20="Yes")</formula>
    </cfRule>
  </conditionalFormatting>
  <conditionalFormatting sqref="E27:E30">
    <cfRule type="expression" dxfId="1" priority="16">
      <formula>D27="No"</formula>
    </cfRule>
  </conditionalFormatting>
  <hyperlinks>
    <hyperlink ref="B24" r:id="rId1" display="Is the project located within a disadvantaged community census tract, low-income community, both disadvantaged and low-income community, buffer region, or none of the above? Use the 1550 mapping tool abailable at: https://www.arb.ca.gov/cc/capandtrade/auc" xr:uid="{00000000-0004-0000-0300-000000000000}"/>
    <hyperlink ref="E21" r:id="rId2" tooltip="Job Training and Workforce Development Criteria Table" xr:uid="{00000000-0004-0000-0300-000001000000}"/>
    <hyperlink ref="E20" r:id="rId3" tooltip="Energy Efficiency and Renewable Energy Criteria Table" xr:uid="{00000000-0004-0000-0300-000002000000}"/>
    <hyperlink ref="B29" r:id="rId4" tooltip="Link to CalEnviroScreen 3.0" display="https://oehha.ca.gov/calenviroscreen/report/calenviroscreen-30" xr:uid="{00000000-0004-0000-0300-000003000000}"/>
    <hyperlink ref="B30" r:id="rId5" tooltip="Link to CARB Funding Guidelines" display="https://www.arb.ca.gov/cc/capandtrade/auctionproceeds/2018-funding-guidelines.pdf" xr:uid="{00000000-0004-0000-0300-000004000000}"/>
    <hyperlink ref="B16" r:id="rId6" display="www.arb.ca.gov/cci-resources." xr:uid="{00000000-0004-0000-0300-000005000000}"/>
    <hyperlink ref="B24" r:id="rId7" tooltip="Link to AB 1550 Mapping Tool" display="Is the project located within a disadvantaged community census tract, low-income community, both disadvantaged and low-income community, buffer zone, or none of the above? Use the AB 1550 mapping tool available at: https://www.arb.ca.gov/cc/capandtrade/au" xr:uid="{00000000-0004-0000-0300-000006000000}"/>
    <hyperlink ref="B16:E16" r:id="rId8" tooltip="Link to California Climate Investments Resources Page" display="http://www.arb.ca.gov/cci-resources." xr:uid="{00000000-0004-0000-0300-000007000000}"/>
  </hyperlinks>
  <pageMargins left="0.7" right="0.7" top="0.98479166666666662" bottom="0.75" header="0.3" footer="0.3"/>
  <pageSetup scale="43" fitToHeight="0" orientation="portrait" r:id="rId9"/>
  <headerFooter>
    <oddHeader>&amp;C&amp;G</oddHeader>
    <oddFooter>&amp;L&amp;"Avenir LT Std 55 Roman,Regular"&amp;12&amp;K000000Final November 6, 2024&amp;C&amp;"Avenir LT Std 55 Roman,Regular"&amp;12Page &amp;P of &amp;N&amp;R&amp;"Avenir LT Std 55 Roman,Regular"&amp;12&amp;K000000&amp;A</oddFooter>
  </headerFooter>
  <drawing r:id="rId10"/>
  <legacyDrawingHF r:id="rId1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'Defaults &lt;HIDE&gt;'!$I$12:$I$13</xm:f>
          </x14:formula1>
          <xm:sqref>D20:D21 D27:D30 D32:D38 D24:D25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sheetPr>
  <dimension ref="A1:S116"/>
  <sheetViews>
    <sheetView showGridLines="0" zoomScaleNormal="100" workbookViewId="0"/>
  </sheetViews>
  <sheetFormatPr defaultColWidth="9.140625" defaultRowHeight="15" x14ac:dyDescent="0.25"/>
  <cols>
    <col min="1" max="1" width="4.28515625" style="73" customWidth="1"/>
    <col min="2" max="2" width="40.42578125" style="73" customWidth="1"/>
    <col min="3" max="3" width="34.42578125" style="73" hidden="1" customWidth="1"/>
    <col min="4" max="4" width="51.140625" style="73" bestFit="1" customWidth="1"/>
    <col min="5" max="5" width="44" style="73" customWidth="1"/>
    <col min="6" max="8" width="37.7109375" style="73" customWidth="1"/>
    <col min="9" max="9" width="23.7109375" style="73" bestFit="1" customWidth="1"/>
    <col min="10" max="10" width="48.5703125" style="73" bestFit="1" customWidth="1"/>
    <col min="11" max="16384" width="9.140625" style="73"/>
  </cols>
  <sheetData>
    <row r="1" spans="1:19" ht="18.75" customHeight="1" x14ac:dyDescent="0.25">
      <c r="A1" s="72"/>
      <c r="B1" s="72"/>
      <c r="C1" s="72"/>
      <c r="D1" s="72"/>
      <c r="E1" s="72"/>
      <c r="F1" s="72"/>
      <c r="G1" s="72"/>
      <c r="H1" s="72"/>
    </row>
    <row r="2" spans="1:19" ht="15" customHeight="1" x14ac:dyDescent="0.25"/>
    <row r="3" spans="1:19" ht="18.75" customHeight="1" x14ac:dyDescent="0.25">
      <c r="A3" s="72"/>
      <c r="B3" s="72"/>
      <c r="C3" s="72"/>
      <c r="D3" s="72"/>
      <c r="E3" s="72"/>
      <c r="F3" s="72"/>
      <c r="G3" s="72"/>
      <c r="H3" s="72"/>
    </row>
    <row r="4" spans="1:19" ht="18.75" customHeight="1" x14ac:dyDescent="0.25">
      <c r="A4" s="74"/>
      <c r="B4" s="74"/>
      <c r="C4" s="74"/>
      <c r="D4" s="74"/>
      <c r="E4" s="74"/>
      <c r="F4" s="74"/>
      <c r="G4" s="74"/>
      <c r="H4" s="74"/>
    </row>
    <row r="5" spans="1:19" ht="15" customHeight="1" x14ac:dyDescent="0.25">
      <c r="A5" s="75"/>
      <c r="B5" s="75"/>
      <c r="C5" s="75"/>
      <c r="D5" s="75"/>
      <c r="E5" s="75"/>
      <c r="F5" s="75"/>
      <c r="G5" s="75"/>
      <c r="H5" s="75"/>
    </row>
    <row r="6" spans="1:19" ht="15" customHeight="1" x14ac:dyDescent="0.25">
      <c r="A6" s="76"/>
      <c r="B6" s="76"/>
      <c r="C6" s="76"/>
      <c r="D6" s="76"/>
      <c r="E6" s="76"/>
      <c r="F6" s="76"/>
      <c r="G6" s="76"/>
      <c r="H6" s="76"/>
    </row>
    <row r="7" spans="1:19" ht="18.75" customHeight="1" x14ac:dyDescent="0.25">
      <c r="A7" s="72"/>
      <c r="B7" s="72"/>
      <c r="C7" s="72"/>
      <c r="D7" s="72"/>
      <c r="E7" s="72"/>
      <c r="F7" s="72"/>
      <c r="G7" s="72"/>
      <c r="H7" s="72"/>
    </row>
    <row r="8" spans="1:19" ht="15" customHeight="1" x14ac:dyDescent="0.25"/>
    <row r="9" spans="1:19" ht="15" customHeight="1" x14ac:dyDescent="0.25">
      <c r="A9" s="81"/>
    </row>
    <row r="10" spans="1:19" s="81" customFormat="1" ht="15" customHeight="1" thickBot="1" x14ac:dyDescent="0.3">
      <c r="B10" s="248" t="s">
        <v>499</v>
      </c>
      <c r="C10" s="249" t="s">
        <v>502</v>
      </c>
      <c r="D10" s="250" t="s">
        <v>597</v>
      </c>
      <c r="E10" s="251" t="s">
        <v>559</v>
      </c>
      <c r="F10" s="251" t="s">
        <v>557</v>
      </c>
      <c r="G10" s="252" t="s">
        <v>671</v>
      </c>
      <c r="H10" s="250" t="s">
        <v>595</v>
      </c>
      <c r="I10" s="253" t="s">
        <v>350</v>
      </c>
      <c r="J10" s="253" t="s">
        <v>351</v>
      </c>
    </row>
    <row r="11" spans="1:19" s="81" customFormat="1" ht="15" customHeight="1" thickTop="1" x14ac:dyDescent="0.25">
      <c r="B11" s="254" t="str">
        <f>""</f>
        <v/>
      </c>
      <c r="C11" s="255"/>
      <c r="D11" s="256"/>
      <c r="E11" s="256"/>
      <c r="F11" s="256"/>
      <c r="G11" s="254" t="s">
        <v>269</v>
      </c>
      <c r="H11" s="257" t="s">
        <v>171</v>
      </c>
      <c r="I11" s="256"/>
      <c r="J11" s="258" t="s">
        <v>352</v>
      </c>
    </row>
    <row r="12" spans="1:19" s="81" customFormat="1" ht="15" customHeight="1" x14ac:dyDescent="0.25">
      <c r="A12" s="259"/>
      <c r="B12" s="260" t="s">
        <v>585</v>
      </c>
      <c r="C12" s="261" t="s">
        <v>353</v>
      </c>
      <c r="D12" s="262" t="s">
        <v>612</v>
      </c>
      <c r="E12" s="263" t="s">
        <v>277</v>
      </c>
      <c r="F12" s="264" t="s">
        <v>269</v>
      </c>
      <c r="G12" s="190" t="s">
        <v>272</v>
      </c>
      <c r="H12" s="257" t="s">
        <v>176</v>
      </c>
      <c r="I12" s="265" t="s">
        <v>30</v>
      </c>
      <c r="J12" s="190" t="s">
        <v>355</v>
      </c>
    </row>
    <row r="13" spans="1:19" s="81" customFormat="1" ht="15" customHeight="1" x14ac:dyDescent="0.25">
      <c r="B13" s="260" t="s">
        <v>586</v>
      </c>
      <c r="C13" s="266" t="s">
        <v>356</v>
      </c>
      <c r="D13" s="267" t="s">
        <v>357</v>
      </c>
      <c r="E13" s="263" t="s">
        <v>278</v>
      </c>
      <c r="F13" s="264" t="s">
        <v>272</v>
      </c>
      <c r="G13" s="190" t="s">
        <v>273</v>
      </c>
      <c r="H13" s="257" t="s">
        <v>177</v>
      </c>
      <c r="I13" s="190" t="s">
        <v>358</v>
      </c>
      <c r="J13" s="190" t="s">
        <v>359</v>
      </c>
    </row>
    <row r="14" spans="1:19" s="81" customFormat="1" ht="15" customHeight="1" x14ac:dyDescent="0.25">
      <c r="B14" s="260" t="s">
        <v>500</v>
      </c>
      <c r="C14" s="259"/>
      <c r="D14" s="262" t="s">
        <v>599</v>
      </c>
      <c r="E14" s="263" t="s">
        <v>279</v>
      </c>
      <c r="F14" s="264" t="s">
        <v>273</v>
      </c>
      <c r="G14" s="190" t="s">
        <v>274</v>
      </c>
      <c r="H14" s="257" t="s">
        <v>180</v>
      </c>
      <c r="J14" s="190" t="s">
        <v>360</v>
      </c>
    </row>
    <row r="15" spans="1:19" s="81" customFormat="1" ht="15" customHeight="1" x14ac:dyDescent="0.25">
      <c r="B15" s="260" t="s">
        <v>501</v>
      </c>
      <c r="C15" s="259"/>
      <c r="D15" s="267" t="s">
        <v>361</v>
      </c>
      <c r="E15" s="263" t="s">
        <v>258</v>
      </c>
      <c r="F15" s="264" t="s">
        <v>274</v>
      </c>
      <c r="G15" s="190" t="s">
        <v>276</v>
      </c>
      <c r="H15" s="257" t="s">
        <v>183</v>
      </c>
      <c r="J15" s="190" t="s">
        <v>362</v>
      </c>
      <c r="K15" s="132"/>
      <c r="L15" s="132"/>
      <c r="M15" s="132"/>
      <c r="N15" s="132"/>
      <c r="O15" s="132"/>
      <c r="P15" s="132"/>
      <c r="Q15" s="184"/>
      <c r="R15" s="184"/>
      <c r="S15" s="132"/>
    </row>
    <row r="16" spans="1:19" s="81" customFormat="1" ht="15" customHeight="1" x14ac:dyDescent="0.25">
      <c r="B16" s="260" t="s">
        <v>503</v>
      </c>
      <c r="D16" s="267" t="s">
        <v>600</v>
      </c>
      <c r="E16" s="263" t="s">
        <v>259</v>
      </c>
      <c r="F16" s="264" t="s">
        <v>275</v>
      </c>
      <c r="G16" s="268" t="s">
        <v>280</v>
      </c>
      <c r="H16" s="257" t="s">
        <v>184</v>
      </c>
    </row>
    <row r="17" spans="1:8" s="81" customFormat="1" ht="15" customHeight="1" x14ac:dyDescent="0.25">
      <c r="D17" s="267" t="s">
        <v>363</v>
      </c>
      <c r="E17" s="263" t="s">
        <v>260</v>
      </c>
      <c r="F17" s="264" t="s">
        <v>276</v>
      </c>
      <c r="G17" s="268" t="s">
        <v>281</v>
      </c>
      <c r="H17" s="257" t="s">
        <v>187</v>
      </c>
    </row>
    <row r="18" spans="1:8" s="81" customFormat="1" ht="15" customHeight="1" x14ac:dyDescent="0.25">
      <c r="E18" s="263" t="s">
        <v>261</v>
      </c>
      <c r="F18" s="264" t="s">
        <v>277</v>
      </c>
      <c r="G18" s="268" t="s">
        <v>282</v>
      </c>
      <c r="H18" s="257" t="s">
        <v>188</v>
      </c>
    </row>
    <row r="19" spans="1:8" s="81" customFormat="1" ht="15" customHeight="1" thickBot="1" x14ac:dyDescent="0.3">
      <c r="D19" s="253" t="s">
        <v>598</v>
      </c>
      <c r="E19" s="263" t="s">
        <v>262</v>
      </c>
      <c r="F19" s="264" t="s">
        <v>278</v>
      </c>
      <c r="G19" s="268" t="s">
        <v>178</v>
      </c>
      <c r="H19" s="257" t="s">
        <v>191</v>
      </c>
    </row>
    <row r="20" spans="1:8" s="81" customFormat="1" ht="15" customHeight="1" thickTop="1" x14ac:dyDescent="0.25">
      <c r="A20" s="78"/>
      <c r="D20" s="254" t="str">
        <f>""</f>
        <v/>
      </c>
      <c r="E20" s="263" t="s">
        <v>263</v>
      </c>
      <c r="F20" s="264" t="s">
        <v>279</v>
      </c>
      <c r="G20" s="268" t="s">
        <v>587</v>
      </c>
      <c r="H20" s="257" t="s">
        <v>193</v>
      </c>
    </row>
    <row r="21" spans="1:8" s="81" customFormat="1" ht="15" customHeight="1" x14ac:dyDescent="0.25">
      <c r="A21" s="143"/>
      <c r="D21" s="190" t="s">
        <v>599</v>
      </c>
      <c r="E21" s="263" t="s">
        <v>264</v>
      </c>
      <c r="F21" s="264" t="s">
        <v>280</v>
      </c>
      <c r="G21" s="268" t="s">
        <v>179</v>
      </c>
      <c r="H21" s="257" t="s">
        <v>194</v>
      </c>
    </row>
    <row r="22" spans="1:8" s="81" customFormat="1" ht="15" customHeight="1" x14ac:dyDescent="0.25">
      <c r="A22" s="143"/>
      <c r="D22" s="190" t="s">
        <v>357</v>
      </c>
      <c r="E22" s="263" t="s">
        <v>265</v>
      </c>
      <c r="F22" s="264" t="s">
        <v>281</v>
      </c>
      <c r="G22" s="268" t="s">
        <v>182</v>
      </c>
      <c r="H22" s="257" t="s">
        <v>195</v>
      </c>
    </row>
    <row r="23" spans="1:8" s="81" customFormat="1" ht="15" customHeight="1" x14ac:dyDescent="0.25">
      <c r="A23" s="143"/>
      <c r="D23" s="190" t="s">
        <v>600</v>
      </c>
      <c r="E23" s="263" t="s">
        <v>266</v>
      </c>
      <c r="F23" s="269" t="s">
        <v>282</v>
      </c>
      <c r="G23" s="268" t="s">
        <v>189</v>
      </c>
      <c r="H23" s="257" t="s">
        <v>196</v>
      </c>
    </row>
    <row r="24" spans="1:8" s="81" customFormat="1" ht="15" customHeight="1" x14ac:dyDescent="0.25">
      <c r="A24" s="143"/>
      <c r="D24" s="190" t="s">
        <v>354</v>
      </c>
      <c r="E24" s="263" t="s">
        <v>267</v>
      </c>
      <c r="F24" s="264" t="s">
        <v>164</v>
      </c>
      <c r="G24" s="268" t="s">
        <v>170</v>
      </c>
      <c r="H24" s="257" t="s">
        <v>217</v>
      </c>
    </row>
    <row r="25" spans="1:8" s="81" customFormat="1" ht="15" customHeight="1" x14ac:dyDescent="0.25">
      <c r="A25" s="143"/>
      <c r="D25" s="190" t="s">
        <v>611</v>
      </c>
      <c r="E25" s="263" t="s">
        <v>185</v>
      </c>
      <c r="F25" s="264" t="s">
        <v>172</v>
      </c>
      <c r="G25" s="268" t="s">
        <v>190</v>
      </c>
      <c r="H25" s="257" t="s">
        <v>239</v>
      </c>
    </row>
    <row r="26" spans="1:8" s="81" customFormat="1" ht="15" customHeight="1" x14ac:dyDescent="0.25">
      <c r="A26" s="143"/>
      <c r="D26" s="190" t="s">
        <v>363</v>
      </c>
      <c r="E26" s="263" t="s">
        <v>192</v>
      </c>
      <c r="F26" s="264" t="s">
        <v>258</v>
      </c>
      <c r="G26" s="268" t="s">
        <v>197</v>
      </c>
      <c r="H26" s="257" t="s">
        <v>241</v>
      </c>
    </row>
    <row r="27" spans="1:8" s="81" customFormat="1" ht="15" customHeight="1" x14ac:dyDescent="0.25">
      <c r="A27" s="143"/>
      <c r="E27" s="263" t="s">
        <v>251</v>
      </c>
      <c r="F27" s="264" t="s">
        <v>173</v>
      </c>
      <c r="G27" s="268" t="s">
        <v>198</v>
      </c>
      <c r="H27" s="257" t="s">
        <v>243</v>
      </c>
    </row>
    <row r="28" spans="1:8" ht="15" customHeight="1" x14ac:dyDescent="0.25">
      <c r="E28" s="263" t="s">
        <v>252</v>
      </c>
      <c r="F28" s="264" t="s">
        <v>259</v>
      </c>
      <c r="G28" s="270" t="s">
        <v>199</v>
      </c>
      <c r="H28" s="257" t="s">
        <v>244</v>
      </c>
    </row>
    <row r="29" spans="1:8" ht="15" customHeight="1" x14ac:dyDescent="0.25">
      <c r="E29" s="263" t="s">
        <v>253</v>
      </c>
      <c r="F29" s="264" t="s">
        <v>174</v>
      </c>
      <c r="G29" s="270" t="s">
        <v>200</v>
      </c>
      <c r="H29" s="257" t="s">
        <v>250</v>
      </c>
    </row>
    <row r="30" spans="1:8" ht="15" customHeight="1" x14ac:dyDescent="0.25">
      <c r="E30" s="263" t="s">
        <v>254</v>
      </c>
      <c r="F30" s="264" t="s">
        <v>175</v>
      </c>
      <c r="G30" s="270" t="s">
        <v>202</v>
      </c>
      <c r="H30" s="257" t="s">
        <v>270</v>
      </c>
    </row>
    <row r="31" spans="1:8" ht="15" customHeight="1" x14ac:dyDescent="0.25">
      <c r="E31" s="263" t="s">
        <v>255</v>
      </c>
      <c r="F31" s="264" t="s">
        <v>165</v>
      </c>
      <c r="G31" s="270" t="s">
        <v>203</v>
      </c>
      <c r="H31" s="257" t="s">
        <v>271</v>
      </c>
    </row>
    <row r="32" spans="1:8" ht="15" customHeight="1" x14ac:dyDescent="0.25">
      <c r="E32" s="263" t="s">
        <v>256</v>
      </c>
      <c r="F32" s="264" t="s">
        <v>260</v>
      </c>
      <c r="G32" s="270" t="s">
        <v>204</v>
      </c>
      <c r="H32" s="271"/>
    </row>
    <row r="33" spans="5:8" ht="15" customHeight="1" x14ac:dyDescent="0.25">
      <c r="E33" s="264" t="s">
        <v>257</v>
      </c>
      <c r="F33" s="264" t="s">
        <v>261</v>
      </c>
      <c r="G33" s="270" t="s">
        <v>205</v>
      </c>
      <c r="H33" s="271"/>
    </row>
    <row r="34" spans="5:8" ht="15" customHeight="1" x14ac:dyDescent="0.25">
      <c r="F34" s="264" t="s">
        <v>262</v>
      </c>
      <c r="G34" s="270" t="s">
        <v>206</v>
      </c>
      <c r="H34" s="271"/>
    </row>
    <row r="35" spans="5:8" ht="15" customHeight="1" x14ac:dyDescent="0.25">
      <c r="F35" s="264" t="s">
        <v>263</v>
      </c>
      <c r="G35" s="260" t="s">
        <v>207</v>
      </c>
    </row>
    <row r="36" spans="5:8" ht="15" customHeight="1" x14ac:dyDescent="0.25">
      <c r="E36" s="539" t="s">
        <v>558</v>
      </c>
      <c r="F36" s="264" t="s">
        <v>264</v>
      </c>
      <c r="G36" s="260" t="s">
        <v>208</v>
      </c>
    </row>
    <row r="37" spans="5:8" ht="15" customHeight="1" x14ac:dyDescent="0.25">
      <c r="E37" s="190"/>
      <c r="F37" s="264" t="s">
        <v>265</v>
      </c>
      <c r="G37" s="260" t="s">
        <v>210</v>
      </c>
    </row>
    <row r="38" spans="5:8" ht="15" customHeight="1" x14ac:dyDescent="0.25">
      <c r="E38" s="260" t="s">
        <v>270</v>
      </c>
      <c r="F38" s="264" t="s">
        <v>266</v>
      </c>
      <c r="G38" s="260" t="s">
        <v>211</v>
      </c>
    </row>
    <row r="39" spans="5:8" ht="15" customHeight="1" x14ac:dyDescent="0.25">
      <c r="E39" s="260" t="s">
        <v>271</v>
      </c>
      <c r="F39" s="264" t="s">
        <v>178</v>
      </c>
      <c r="G39" s="260" t="s">
        <v>212</v>
      </c>
    </row>
    <row r="40" spans="5:8" ht="15" customHeight="1" x14ac:dyDescent="0.25">
      <c r="E40" s="260" t="s">
        <v>272</v>
      </c>
      <c r="F40" s="264" t="s">
        <v>587</v>
      </c>
      <c r="G40" s="260" t="s">
        <v>213</v>
      </c>
    </row>
    <row r="41" spans="5:8" ht="15" customHeight="1" x14ac:dyDescent="0.25">
      <c r="E41" s="260" t="s">
        <v>273</v>
      </c>
      <c r="F41" s="264" t="s">
        <v>166</v>
      </c>
      <c r="G41" s="260" t="s">
        <v>214</v>
      </c>
    </row>
    <row r="42" spans="5:8" ht="15" customHeight="1" x14ac:dyDescent="0.25">
      <c r="E42" s="260" t="s">
        <v>274</v>
      </c>
      <c r="F42" s="264" t="s">
        <v>267</v>
      </c>
      <c r="G42" s="260" t="s">
        <v>218</v>
      </c>
    </row>
    <row r="43" spans="5:8" ht="15" customHeight="1" x14ac:dyDescent="0.25">
      <c r="E43" s="260" t="s">
        <v>275</v>
      </c>
      <c r="F43" s="264" t="s">
        <v>179</v>
      </c>
      <c r="G43" s="260" t="s">
        <v>588</v>
      </c>
    </row>
    <row r="44" spans="5:8" x14ac:dyDescent="0.25">
      <c r="E44" s="260" t="s">
        <v>277</v>
      </c>
      <c r="F44" s="264" t="s">
        <v>167</v>
      </c>
      <c r="G44" s="260" t="s">
        <v>219</v>
      </c>
    </row>
    <row r="45" spans="5:8" x14ac:dyDescent="0.25">
      <c r="E45" s="260" t="s">
        <v>278</v>
      </c>
      <c r="F45" s="264" t="s">
        <v>168</v>
      </c>
      <c r="G45" s="260" t="s">
        <v>220</v>
      </c>
    </row>
    <row r="46" spans="5:8" x14ac:dyDescent="0.25">
      <c r="E46" s="260" t="s">
        <v>279</v>
      </c>
      <c r="F46" s="264" t="s">
        <v>181</v>
      </c>
      <c r="G46" s="260" t="s">
        <v>221</v>
      </c>
    </row>
    <row r="47" spans="5:8" x14ac:dyDescent="0.25">
      <c r="E47" s="260" t="s">
        <v>280</v>
      </c>
      <c r="F47" s="264" t="s">
        <v>182</v>
      </c>
      <c r="G47" s="260" t="s">
        <v>222</v>
      </c>
    </row>
    <row r="48" spans="5:8" x14ac:dyDescent="0.25">
      <c r="E48" s="260" t="s">
        <v>258</v>
      </c>
      <c r="F48" s="264" t="s">
        <v>185</v>
      </c>
      <c r="G48" s="260" t="s">
        <v>223</v>
      </c>
    </row>
    <row r="49" spans="5:7" x14ac:dyDescent="0.25">
      <c r="E49" s="260" t="s">
        <v>259</v>
      </c>
      <c r="F49" s="264" t="s">
        <v>186</v>
      </c>
      <c r="G49" s="260" t="s">
        <v>224</v>
      </c>
    </row>
    <row r="50" spans="5:7" x14ac:dyDescent="0.25">
      <c r="E50" s="260" t="s">
        <v>260</v>
      </c>
      <c r="F50" s="264" t="s">
        <v>169</v>
      </c>
      <c r="G50" s="260" t="s">
        <v>225</v>
      </c>
    </row>
    <row r="51" spans="5:7" x14ac:dyDescent="0.25">
      <c r="E51" s="260" t="s">
        <v>261</v>
      </c>
      <c r="F51" s="264" t="s">
        <v>189</v>
      </c>
      <c r="G51" s="260" t="s">
        <v>226</v>
      </c>
    </row>
    <row r="52" spans="5:7" x14ac:dyDescent="0.25">
      <c r="E52" s="260" t="s">
        <v>262</v>
      </c>
      <c r="F52" s="264" t="s">
        <v>170</v>
      </c>
      <c r="G52" s="260" t="s">
        <v>227</v>
      </c>
    </row>
    <row r="53" spans="5:7" x14ac:dyDescent="0.25">
      <c r="E53" s="260" t="s">
        <v>176</v>
      </c>
      <c r="F53" s="264" t="s">
        <v>190</v>
      </c>
      <c r="G53" s="260" t="s">
        <v>228</v>
      </c>
    </row>
    <row r="54" spans="5:7" x14ac:dyDescent="0.25">
      <c r="E54" s="260" t="s">
        <v>263</v>
      </c>
      <c r="F54" s="264" t="s">
        <v>192</v>
      </c>
      <c r="G54" s="260" t="s">
        <v>229</v>
      </c>
    </row>
    <row r="55" spans="5:7" x14ac:dyDescent="0.25">
      <c r="E55" s="260" t="s">
        <v>264</v>
      </c>
      <c r="F55" s="264" t="s">
        <v>197</v>
      </c>
      <c r="G55" s="260" t="s">
        <v>230</v>
      </c>
    </row>
    <row r="56" spans="5:7" x14ac:dyDescent="0.25">
      <c r="E56" s="260" t="s">
        <v>265</v>
      </c>
      <c r="F56" s="264" t="s">
        <v>198</v>
      </c>
      <c r="G56" s="260" t="s">
        <v>231</v>
      </c>
    </row>
    <row r="57" spans="5:7" x14ac:dyDescent="0.25">
      <c r="E57" s="260" t="s">
        <v>266</v>
      </c>
      <c r="F57" s="264" t="s">
        <v>199</v>
      </c>
      <c r="G57" s="260" t="s">
        <v>268</v>
      </c>
    </row>
    <row r="58" spans="5:7" x14ac:dyDescent="0.25">
      <c r="E58" s="260" t="s">
        <v>177</v>
      </c>
      <c r="F58" s="264" t="s">
        <v>200</v>
      </c>
      <c r="G58" s="260" t="s">
        <v>232</v>
      </c>
    </row>
    <row r="59" spans="5:7" x14ac:dyDescent="0.25">
      <c r="E59" s="260" t="s">
        <v>267</v>
      </c>
      <c r="F59" s="264" t="s">
        <v>201</v>
      </c>
      <c r="G59" s="260" t="s">
        <v>233</v>
      </c>
    </row>
    <row r="60" spans="5:7" x14ac:dyDescent="0.25">
      <c r="E60" s="260" t="s">
        <v>179</v>
      </c>
      <c r="F60" s="264" t="s">
        <v>202</v>
      </c>
      <c r="G60" s="260" t="s">
        <v>234</v>
      </c>
    </row>
    <row r="61" spans="5:7" x14ac:dyDescent="0.25">
      <c r="E61" s="260" t="s">
        <v>180</v>
      </c>
      <c r="F61" s="264" t="s">
        <v>203</v>
      </c>
      <c r="G61" s="260" t="s">
        <v>589</v>
      </c>
    </row>
    <row r="62" spans="5:7" x14ac:dyDescent="0.25">
      <c r="E62" s="260" t="s">
        <v>183</v>
      </c>
      <c r="F62" s="264" t="s">
        <v>204</v>
      </c>
      <c r="G62" s="260" t="s">
        <v>236</v>
      </c>
    </row>
    <row r="63" spans="5:7" x14ac:dyDescent="0.25">
      <c r="E63" s="260" t="s">
        <v>184</v>
      </c>
      <c r="F63" s="264" t="s">
        <v>205</v>
      </c>
      <c r="G63" s="260" t="s">
        <v>237</v>
      </c>
    </row>
    <row r="64" spans="5:7" x14ac:dyDescent="0.25">
      <c r="E64" s="260" t="s">
        <v>185</v>
      </c>
      <c r="F64" s="264" t="s">
        <v>206</v>
      </c>
      <c r="G64" s="260" t="s">
        <v>238</v>
      </c>
    </row>
    <row r="65" spans="5:7" x14ac:dyDescent="0.25">
      <c r="E65" s="260" t="s">
        <v>169</v>
      </c>
      <c r="F65" s="264" t="s">
        <v>207</v>
      </c>
      <c r="G65" s="260" t="s">
        <v>240</v>
      </c>
    </row>
    <row r="66" spans="5:7" x14ac:dyDescent="0.25">
      <c r="E66" s="260" t="s">
        <v>187</v>
      </c>
      <c r="F66" s="264" t="s">
        <v>208</v>
      </c>
      <c r="G66" s="260" t="s">
        <v>590</v>
      </c>
    </row>
    <row r="67" spans="5:7" x14ac:dyDescent="0.25">
      <c r="E67" s="260" t="s">
        <v>188</v>
      </c>
      <c r="F67" s="264" t="s">
        <v>209</v>
      </c>
      <c r="G67" s="260" t="s">
        <v>242</v>
      </c>
    </row>
    <row r="68" spans="5:7" x14ac:dyDescent="0.25">
      <c r="E68" s="260" t="s">
        <v>191</v>
      </c>
      <c r="F68" s="264" t="s">
        <v>210</v>
      </c>
      <c r="G68" s="260" t="s">
        <v>591</v>
      </c>
    </row>
    <row r="69" spans="5:7" x14ac:dyDescent="0.25">
      <c r="E69" s="260" t="s">
        <v>192</v>
      </c>
      <c r="F69" s="264" t="s">
        <v>211</v>
      </c>
      <c r="G69" s="260" t="s">
        <v>592</v>
      </c>
    </row>
    <row r="70" spans="5:7" x14ac:dyDescent="0.25">
      <c r="E70" s="260" t="s">
        <v>171</v>
      </c>
      <c r="F70" s="264" t="s">
        <v>212</v>
      </c>
      <c r="G70" s="260" t="s">
        <v>593</v>
      </c>
    </row>
    <row r="71" spans="5:7" x14ac:dyDescent="0.25">
      <c r="E71" s="260" t="s">
        <v>193</v>
      </c>
      <c r="F71" s="264" t="s">
        <v>213</v>
      </c>
      <c r="G71" s="260" t="s">
        <v>245</v>
      </c>
    </row>
    <row r="72" spans="5:7" x14ac:dyDescent="0.25">
      <c r="E72" s="260" t="s">
        <v>194</v>
      </c>
      <c r="F72" s="264" t="s">
        <v>214</v>
      </c>
      <c r="G72" s="260" t="s">
        <v>247</v>
      </c>
    </row>
    <row r="73" spans="5:7" x14ac:dyDescent="0.25">
      <c r="E73" s="260" t="s">
        <v>195</v>
      </c>
      <c r="F73" s="264" t="s">
        <v>215</v>
      </c>
      <c r="G73" s="260" t="s">
        <v>248</v>
      </c>
    </row>
    <row r="74" spans="5:7" x14ac:dyDescent="0.25">
      <c r="E74" s="260" t="s">
        <v>196</v>
      </c>
      <c r="F74" s="264" t="s">
        <v>216</v>
      </c>
      <c r="G74" s="260" t="s">
        <v>594</v>
      </c>
    </row>
    <row r="75" spans="5:7" x14ac:dyDescent="0.25">
      <c r="E75" s="260" t="s">
        <v>201</v>
      </c>
      <c r="F75" s="264" t="s">
        <v>218</v>
      </c>
      <c r="G75" s="260" t="s">
        <v>249</v>
      </c>
    </row>
    <row r="76" spans="5:7" x14ac:dyDescent="0.25">
      <c r="E76" s="260" t="s">
        <v>202</v>
      </c>
      <c r="F76" s="264" t="s">
        <v>588</v>
      </c>
    </row>
    <row r="77" spans="5:7" ht="16.5" thickBot="1" x14ac:dyDescent="0.3">
      <c r="E77" s="260" t="s">
        <v>204</v>
      </c>
      <c r="F77" s="264" t="s">
        <v>219</v>
      </c>
      <c r="G77" s="252" t="s">
        <v>672</v>
      </c>
    </row>
    <row r="78" spans="5:7" ht="15.75" thickTop="1" x14ac:dyDescent="0.25">
      <c r="E78" s="260" t="s">
        <v>205</v>
      </c>
      <c r="F78" s="272" t="s">
        <v>220</v>
      </c>
      <c r="G78" s="273" t="s">
        <v>272</v>
      </c>
    </row>
    <row r="79" spans="5:7" x14ac:dyDescent="0.25">
      <c r="E79" s="260" t="s">
        <v>206</v>
      </c>
      <c r="F79" s="272" t="s">
        <v>221</v>
      </c>
      <c r="G79" s="260" t="s">
        <v>273</v>
      </c>
    </row>
    <row r="80" spans="5:7" x14ac:dyDescent="0.25">
      <c r="E80" s="260" t="s">
        <v>207</v>
      </c>
      <c r="F80" s="272" t="s">
        <v>222</v>
      </c>
      <c r="G80" s="260" t="s">
        <v>274</v>
      </c>
    </row>
    <row r="81" spans="5:7" x14ac:dyDescent="0.25">
      <c r="E81" s="260" t="s">
        <v>209</v>
      </c>
      <c r="F81" s="272" t="s">
        <v>223</v>
      </c>
      <c r="G81" s="260" t="s">
        <v>275</v>
      </c>
    </row>
    <row r="82" spans="5:7" x14ac:dyDescent="0.25">
      <c r="E82" s="260" t="s">
        <v>210</v>
      </c>
      <c r="F82" s="272" t="s">
        <v>224</v>
      </c>
      <c r="G82" s="260" t="s">
        <v>276</v>
      </c>
    </row>
    <row r="83" spans="5:7" x14ac:dyDescent="0.25">
      <c r="E83" s="260" t="s">
        <v>212</v>
      </c>
      <c r="F83" s="272" t="s">
        <v>225</v>
      </c>
      <c r="G83" s="260" t="s">
        <v>282</v>
      </c>
    </row>
    <row r="84" spans="5:7" x14ac:dyDescent="0.25">
      <c r="E84" s="260" t="s">
        <v>213</v>
      </c>
      <c r="F84" s="272" t="s">
        <v>226</v>
      </c>
      <c r="G84" s="260" t="s">
        <v>164</v>
      </c>
    </row>
    <row r="85" spans="5:7" x14ac:dyDescent="0.25">
      <c r="E85" s="260" t="s">
        <v>214</v>
      </c>
      <c r="F85" s="272" t="s">
        <v>227</v>
      </c>
      <c r="G85" s="260" t="s">
        <v>172</v>
      </c>
    </row>
    <row r="86" spans="5:7" x14ac:dyDescent="0.25">
      <c r="E86" s="260" t="s">
        <v>215</v>
      </c>
      <c r="F86" s="272" t="s">
        <v>228</v>
      </c>
      <c r="G86" s="260" t="s">
        <v>173</v>
      </c>
    </row>
    <row r="87" spans="5:7" x14ac:dyDescent="0.25">
      <c r="E87" s="260" t="s">
        <v>216</v>
      </c>
      <c r="F87" s="272" t="s">
        <v>229</v>
      </c>
      <c r="G87" s="260" t="s">
        <v>174</v>
      </c>
    </row>
    <row r="88" spans="5:7" x14ac:dyDescent="0.25">
      <c r="E88" s="260" t="s">
        <v>217</v>
      </c>
      <c r="F88" s="272" t="s">
        <v>230</v>
      </c>
      <c r="G88" s="260" t="s">
        <v>165</v>
      </c>
    </row>
    <row r="89" spans="5:7" x14ac:dyDescent="0.25">
      <c r="E89" s="260" t="s">
        <v>219</v>
      </c>
      <c r="F89" s="272" t="s">
        <v>231</v>
      </c>
      <c r="G89" s="260" t="s">
        <v>166</v>
      </c>
    </row>
    <row r="90" spans="5:7" x14ac:dyDescent="0.25">
      <c r="E90" s="260" t="s">
        <v>220</v>
      </c>
      <c r="F90" s="272" t="s">
        <v>268</v>
      </c>
      <c r="G90" s="260" t="s">
        <v>167</v>
      </c>
    </row>
    <row r="91" spans="5:7" x14ac:dyDescent="0.25">
      <c r="E91" s="260" t="s">
        <v>229</v>
      </c>
      <c r="F91" s="272" t="s">
        <v>232</v>
      </c>
      <c r="G91" s="260" t="s">
        <v>181</v>
      </c>
    </row>
    <row r="92" spans="5:7" x14ac:dyDescent="0.25">
      <c r="E92" s="260" t="s">
        <v>230</v>
      </c>
      <c r="F92" s="272" t="s">
        <v>233</v>
      </c>
      <c r="G92" s="260" t="s">
        <v>169</v>
      </c>
    </row>
    <row r="93" spans="5:7" x14ac:dyDescent="0.25">
      <c r="E93" s="260" t="s">
        <v>268</v>
      </c>
      <c r="F93" s="272" t="s">
        <v>234</v>
      </c>
      <c r="G93" s="260" t="s">
        <v>197</v>
      </c>
    </row>
    <row r="94" spans="5:7" x14ac:dyDescent="0.25">
      <c r="E94" s="260" t="s">
        <v>232</v>
      </c>
      <c r="F94" s="272" t="s">
        <v>589</v>
      </c>
      <c r="G94" s="260" t="s">
        <v>198</v>
      </c>
    </row>
    <row r="95" spans="5:7" x14ac:dyDescent="0.25">
      <c r="E95" s="260" t="s">
        <v>233</v>
      </c>
      <c r="F95" s="263" t="s">
        <v>236</v>
      </c>
      <c r="G95" s="260" t="s">
        <v>199</v>
      </c>
    </row>
    <row r="96" spans="5:7" x14ac:dyDescent="0.25">
      <c r="E96" s="260" t="s">
        <v>589</v>
      </c>
      <c r="F96" s="263" t="s">
        <v>237</v>
      </c>
      <c r="G96" s="260" t="s">
        <v>201</v>
      </c>
    </row>
    <row r="97" spans="5:7" x14ac:dyDescent="0.25">
      <c r="E97" s="260" t="s">
        <v>236</v>
      </c>
      <c r="F97" s="263" t="s">
        <v>238</v>
      </c>
      <c r="G97" s="260" t="s">
        <v>208</v>
      </c>
    </row>
    <row r="98" spans="5:7" x14ac:dyDescent="0.25">
      <c r="E98" s="260" t="s">
        <v>237</v>
      </c>
      <c r="F98" s="263" t="s">
        <v>240</v>
      </c>
      <c r="G98" s="260" t="s">
        <v>209</v>
      </c>
    </row>
    <row r="99" spans="5:7" x14ac:dyDescent="0.25">
      <c r="E99" s="260" t="s">
        <v>238</v>
      </c>
      <c r="F99" s="263" t="s">
        <v>590</v>
      </c>
      <c r="G99" s="260" t="s">
        <v>212</v>
      </c>
    </row>
    <row r="100" spans="5:7" x14ac:dyDescent="0.25">
      <c r="E100" s="260" t="s">
        <v>239</v>
      </c>
      <c r="F100" s="263" t="s">
        <v>242</v>
      </c>
      <c r="G100" s="260" t="s">
        <v>213</v>
      </c>
    </row>
    <row r="101" spans="5:7" x14ac:dyDescent="0.25">
      <c r="E101" s="260" t="s">
        <v>240</v>
      </c>
      <c r="F101" s="263" t="s">
        <v>591</v>
      </c>
      <c r="G101" s="260" t="s">
        <v>215</v>
      </c>
    </row>
    <row r="102" spans="5:7" x14ac:dyDescent="0.25">
      <c r="E102" s="260" t="s">
        <v>241</v>
      </c>
      <c r="F102" s="263" t="s">
        <v>592</v>
      </c>
      <c r="G102" s="260" t="s">
        <v>216</v>
      </c>
    </row>
    <row r="103" spans="5:7" x14ac:dyDescent="0.25">
      <c r="E103" s="260" t="s">
        <v>242</v>
      </c>
      <c r="F103" s="263" t="s">
        <v>593</v>
      </c>
      <c r="G103" s="260" t="s">
        <v>220</v>
      </c>
    </row>
    <row r="104" spans="5:7" x14ac:dyDescent="0.25">
      <c r="E104" s="260" t="s">
        <v>243</v>
      </c>
      <c r="F104" s="263" t="s">
        <v>245</v>
      </c>
      <c r="G104" s="260" t="s">
        <v>245</v>
      </c>
    </row>
    <row r="105" spans="5:7" x14ac:dyDescent="0.25">
      <c r="E105" s="260" t="s">
        <v>244</v>
      </c>
      <c r="F105" s="263" t="s">
        <v>246</v>
      </c>
      <c r="G105" s="260" t="s">
        <v>246</v>
      </c>
    </row>
    <row r="106" spans="5:7" x14ac:dyDescent="0.25">
      <c r="E106" s="260" t="s">
        <v>250</v>
      </c>
      <c r="F106" s="263" t="s">
        <v>247</v>
      </c>
      <c r="G106" s="260" t="s">
        <v>247</v>
      </c>
    </row>
    <row r="107" spans="5:7" x14ac:dyDescent="0.25">
      <c r="E107" s="260" t="s">
        <v>251</v>
      </c>
      <c r="F107" s="263" t="s">
        <v>248</v>
      </c>
    </row>
    <row r="108" spans="5:7" x14ac:dyDescent="0.25">
      <c r="E108" s="260" t="s">
        <v>252</v>
      </c>
      <c r="F108" s="263" t="s">
        <v>594</v>
      </c>
    </row>
    <row r="109" spans="5:7" x14ac:dyDescent="0.25">
      <c r="E109" s="260" t="s">
        <v>253</v>
      </c>
      <c r="F109" s="263" t="s">
        <v>249</v>
      </c>
    </row>
    <row r="110" spans="5:7" x14ac:dyDescent="0.25">
      <c r="E110" s="260" t="s">
        <v>254</v>
      </c>
      <c r="F110" s="263" t="s">
        <v>251</v>
      </c>
    </row>
    <row r="111" spans="5:7" x14ac:dyDescent="0.25">
      <c r="E111" s="260" t="s">
        <v>255</v>
      </c>
      <c r="F111" s="263" t="s">
        <v>252</v>
      </c>
    </row>
    <row r="112" spans="5:7" x14ac:dyDescent="0.25">
      <c r="E112" s="260" t="s">
        <v>256</v>
      </c>
      <c r="F112" s="263" t="s">
        <v>253</v>
      </c>
    </row>
    <row r="113" spans="5:6" x14ac:dyDescent="0.25">
      <c r="E113" s="260" t="s">
        <v>257</v>
      </c>
      <c r="F113" s="263" t="s">
        <v>254</v>
      </c>
    </row>
    <row r="114" spans="5:6" x14ac:dyDescent="0.25">
      <c r="F114" s="263" t="s">
        <v>255</v>
      </c>
    </row>
    <row r="115" spans="5:6" x14ac:dyDescent="0.25">
      <c r="F115" s="263" t="s">
        <v>256</v>
      </c>
    </row>
    <row r="116" spans="5:6" x14ac:dyDescent="0.25">
      <c r="F116" s="264" t="s">
        <v>257</v>
      </c>
    </row>
  </sheetData>
  <sheetProtection algorithmName="SHA-512" hashValue="lOLnqpk6QwnSijDkyJqTdZglJcU41knVk5J9EM+JgdhK3sTB1UB9rRX9lw3cgpAodyBFnMrX4cSK2cKNItJAgg==" saltValue="NPOpbVvtRrPyONht1evBiw==" spinCount="100000" sheet="1" objects="1" scenarios="1"/>
  <sortState xmlns:xlrd2="http://schemas.microsoft.com/office/spreadsheetml/2017/richdata2" ref="E12:E33">
    <sortCondition ref="E12:E33"/>
  </sortState>
  <conditionalFormatting sqref="E37">
    <cfRule type="duplicateValues" dxfId="0" priority="48"/>
  </conditionalFormatting>
  <pageMargins left="0.7" right="0.7" top="0.98479166666666662" bottom="0.75" header="0.3" footer="0.3"/>
  <pageSetup scale="30" fitToHeight="0" orientation="landscape" r:id="rId1"/>
  <headerFooter>
    <oddFooter>&amp;L&amp;"Avenir LT Std 55 Roman,Regular"&amp;12&amp;K000000Final November 6, 2024&amp;C&amp;"Avenir LT Std 55 Roman,Regular"&amp;12Page &amp;P of &amp;N&amp;R&amp;"Avenir LT Std 55 Roman,Regular"&amp;12&amp;K000000&amp;A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B1:CN109"/>
  <sheetViews>
    <sheetView showGridLines="0" zoomScaleNormal="100" workbookViewId="0"/>
  </sheetViews>
  <sheetFormatPr defaultColWidth="9.140625" defaultRowHeight="15" x14ac:dyDescent="0.25"/>
  <cols>
    <col min="1" max="1" width="4.28515625" style="73" customWidth="1"/>
    <col min="2" max="3" width="28.5703125" style="73" customWidth="1"/>
    <col min="4" max="5" width="14.28515625" style="73" customWidth="1"/>
    <col min="6" max="22" width="14.28515625" style="73" hidden="1" customWidth="1"/>
    <col min="23" max="23" width="36.5703125" style="73" customWidth="1"/>
    <col min="24" max="24" width="14.28515625" style="73" customWidth="1"/>
    <col min="25" max="26" width="22.85546875" style="73" customWidth="1"/>
    <col min="27" max="27" width="22.85546875" style="88" customWidth="1"/>
    <col min="28" max="35" width="14.28515625" style="88" customWidth="1"/>
    <col min="36" max="46" width="14.28515625" style="73" customWidth="1"/>
    <col min="47" max="47" width="4.28515625" style="73" customWidth="1"/>
    <col min="48" max="48" width="28.5703125" style="73" customWidth="1"/>
    <col min="49" max="50" width="14.28515625" style="73" customWidth="1"/>
    <col min="51" max="67" width="14.28515625" style="73" hidden="1" customWidth="1"/>
    <col min="68" max="68" width="14.28515625" style="73" customWidth="1"/>
    <col min="69" max="70" width="22.42578125" style="73" customWidth="1"/>
    <col min="71" max="74" width="14.28515625" style="73" customWidth="1"/>
    <col min="75" max="75" width="9.140625" style="73"/>
    <col min="76" max="76" width="21.7109375" style="73" customWidth="1"/>
    <col min="77" max="77" width="30.85546875" style="73" customWidth="1"/>
    <col min="78" max="78" width="9.7109375" style="73" bestFit="1" customWidth="1"/>
    <col min="79" max="81" width="10.85546875" style="73" customWidth="1"/>
    <col min="82" max="82" width="31.85546875" style="73" customWidth="1"/>
    <col min="83" max="83" width="9.7109375" style="73" customWidth="1"/>
    <col min="84" max="86" width="10.85546875" style="73" customWidth="1"/>
    <col min="87" max="87" width="9.140625" style="73"/>
    <col min="88" max="88" width="16" style="73" customWidth="1"/>
    <col min="89" max="89" width="50.5703125" style="73" customWidth="1"/>
    <col min="90" max="90" width="11.140625" style="73" customWidth="1"/>
    <col min="91" max="16384" width="9.140625" style="73"/>
  </cols>
  <sheetData>
    <row r="1" spans="2:92" ht="18.75" customHeight="1" x14ac:dyDescent="0.25">
      <c r="B1" s="72"/>
      <c r="C1" s="72"/>
      <c r="D1" s="72"/>
    </row>
    <row r="2" spans="2:92" ht="15" customHeight="1" x14ac:dyDescent="0.25"/>
    <row r="3" spans="2:92" ht="18.75" customHeight="1" x14ac:dyDescent="0.25">
      <c r="B3" s="72"/>
      <c r="C3" s="72"/>
      <c r="D3" s="72"/>
    </row>
    <row r="4" spans="2:92" ht="18.75" customHeight="1" x14ac:dyDescent="0.25">
      <c r="B4" s="74"/>
      <c r="C4" s="74"/>
      <c r="D4" s="74"/>
    </row>
    <row r="5" spans="2:92" ht="15" customHeight="1" x14ac:dyDescent="0.25">
      <c r="B5" s="75"/>
      <c r="C5" s="75"/>
      <c r="D5" s="75"/>
    </row>
    <row r="6" spans="2:92" ht="15" customHeight="1" x14ac:dyDescent="0.25">
      <c r="B6" s="76"/>
      <c r="C6" s="76"/>
      <c r="D6" s="76"/>
      <c r="V6" s="274"/>
      <c r="W6" s="274"/>
    </row>
    <row r="7" spans="2:92" ht="18.75" customHeight="1" x14ac:dyDescent="0.25">
      <c r="B7" s="72"/>
      <c r="C7" s="72"/>
      <c r="D7" s="72"/>
      <c r="V7" s="275"/>
      <c r="W7" s="275"/>
    </row>
    <row r="8" spans="2:92" ht="15" customHeight="1" x14ac:dyDescent="0.25">
      <c r="V8" s="275"/>
      <c r="W8" s="275"/>
    </row>
    <row r="9" spans="2:92" ht="15" customHeight="1" x14ac:dyDescent="0.25"/>
    <row r="10" spans="2:92" ht="15" customHeight="1" x14ac:dyDescent="0.25"/>
    <row r="11" spans="2:92" ht="15" customHeight="1" thickBot="1" x14ac:dyDescent="0.3">
      <c r="B11" s="276" t="s">
        <v>667</v>
      </c>
      <c r="AV11" s="276" t="s">
        <v>668</v>
      </c>
      <c r="BX11" s="276" t="s">
        <v>669</v>
      </c>
    </row>
    <row r="12" spans="2:92" ht="15" customHeight="1" thickBot="1" x14ac:dyDescent="0.3">
      <c r="B12" s="635" t="s">
        <v>665</v>
      </c>
      <c r="C12" s="636"/>
      <c r="D12" s="636"/>
      <c r="E12" s="637"/>
      <c r="F12" s="806" t="s">
        <v>522</v>
      </c>
      <c r="G12" s="806"/>
      <c r="H12" s="806"/>
      <c r="I12" s="806"/>
      <c r="J12" s="806"/>
      <c r="K12" s="806"/>
      <c r="L12" s="806"/>
      <c r="M12" s="806"/>
      <c r="N12" s="806"/>
      <c r="O12" s="806"/>
      <c r="P12" s="806"/>
      <c r="Q12" s="806"/>
      <c r="R12" s="806"/>
      <c r="S12" s="806"/>
      <c r="T12" s="807"/>
      <c r="U12" s="810" t="s">
        <v>284</v>
      </c>
      <c r="V12" s="806"/>
      <c r="W12" s="638" t="s">
        <v>666</v>
      </c>
      <c r="X12" s="639"/>
      <c r="Y12" s="639"/>
      <c r="Z12" s="639"/>
      <c r="AA12" s="640"/>
      <c r="AB12" s="626" t="s">
        <v>149</v>
      </c>
      <c r="AC12" s="597"/>
      <c r="AD12" s="596"/>
      <c r="AE12" s="597" t="s">
        <v>654</v>
      </c>
      <c r="AF12" s="596"/>
      <c r="AG12" s="597"/>
      <c r="AH12" s="597" t="s">
        <v>664</v>
      </c>
      <c r="AI12" s="598"/>
      <c r="AJ12" s="626" t="s">
        <v>149</v>
      </c>
      <c r="AK12" s="597"/>
      <c r="AL12" s="596"/>
      <c r="AM12" s="597" t="s">
        <v>654</v>
      </c>
      <c r="AN12" s="596"/>
      <c r="AO12" s="597"/>
      <c r="AP12" s="597" t="s">
        <v>653</v>
      </c>
      <c r="AQ12" s="597"/>
      <c r="AR12" s="597"/>
      <c r="AS12" s="597" t="s">
        <v>655</v>
      </c>
      <c r="AT12" s="598"/>
      <c r="AV12" s="578" t="s">
        <v>665</v>
      </c>
      <c r="AW12" s="579"/>
      <c r="AX12" s="580"/>
      <c r="AY12" s="801" t="s">
        <v>540</v>
      </c>
      <c r="AZ12" s="801"/>
      <c r="BA12" s="801"/>
      <c r="BB12" s="801"/>
      <c r="BC12" s="801"/>
      <c r="BD12" s="801"/>
      <c r="BE12" s="801"/>
      <c r="BF12" s="801"/>
      <c r="BG12" s="801"/>
      <c r="BH12" s="801"/>
      <c r="BI12" s="801"/>
      <c r="BJ12" s="801"/>
      <c r="BK12" s="801"/>
      <c r="BL12" s="801"/>
      <c r="BM12" s="802"/>
      <c r="BN12" s="802" t="s">
        <v>284</v>
      </c>
      <c r="BO12" s="803"/>
      <c r="BP12" s="570" t="s">
        <v>563</v>
      </c>
      <c r="BQ12" s="571"/>
      <c r="BR12" s="571"/>
      <c r="BS12" s="571"/>
      <c r="BT12" s="571"/>
      <c r="BU12" s="571"/>
      <c r="BV12" s="572"/>
      <c r="BX12" s="558"/>
      <c r="BY12" s="559" t="s">
        <v>149</v>
      </c>
      <c r="BZ12" s="559"/>
      <c r="CA12" s="559"/>
      <c r="CB12" s="559"/>
      <c r="CC12" s="559"/>
      <c r="CD12" s="559" t="s">
        <v>605</v>
      </c>
      <c r="CE12" s="559"/>
      <c r="CF12" s="559"/>
      <c r="CG12" s="559"/>
      <c r="CH12" s="560"/>
      <c r="CJ12" s="554" t="s">
        <v>670</v>
      </c>
      <c r="CK12" s="555"/>
      <c r="CL12" s="555"/>
      <c r="CM12" s="556"/>
    </row>
    <row r="13" spans="2:92" ht="75.75" customHeight="1" thickBot="1" x14ac:dyDescent="0.3">
      <c r="B13" s="734" t="s">
        <v>435</v>
      </c>
      <c r="C13" s="600" t="s">
        <v>498</v>
      </c>
      <c r="D13" s="736" t="s">
        <v>539</v>
      </c>
      <c r="E13" s="735" t="s">
        <v>510</v>
      </c>
      <c r="F13" s="808" t="s">
        <v>514</v>
      </c>
      <c r="G13" s="809"/>
      <c r="H13" s="809"/>
      <c r="I13" s="809"/>
      <c r="J13" s="809"/>
      <c r="K13" s="804" t="s">
        <v>515</v>
      </c>
      <c r="L13" s="804"/>
      <c r="M13" s="804"/>
      <c r="N13" s="804"/>
      <c r="O13" s="804"/>
      <c r="P13" s="804" t="s">
        <v>516</v>
      </c>
      <c r="Q13" s="804"/>
      <c r="R13" s="804"/>
      <c r="S13" s="804"/>
      <c r="T13" s="804"/>
      <c r="U13" s="601" t="s">
        <v>55</v>
      </c>
      <c r="V13" s="602" t="s">
        <v>56</v>
      </c>
      <c r="W13" s="599" t="s">
        <v>566</v>
      </c>
      <c r="X13" s="736" t="s">
        <v>519</v>
      </c>
      <c r="Y13" s="736" t="s">
        <v>659</v>
      </c>
      <c r="Z13" s="736" t="s">
        <v>650</v>
      </c>
      <c r="AA13" s="735" t="s">
        <v>656</v>
      </c>
      <c r="AB13" s="737" t="s">
        <v>564</v>
      </c>
      <c r="AC13" s="736" t="s">
        <v>662</v>
      </c>
      <c r="AD13" s="736" t="s">
        <v>663</v>
      </c>
      <c r="AE13" s="736" t="s">
        <v>564</v>
      </c>
      <c r="AF13" s="736" t="s">
        <v>662</v>
      </c>
      <c r="AG13" s="736" t="s">
        <v>663</v>
      </c>
      <c r="AH13" s="736" t="s">
        <v>662</v>
      </c>
      <c r="AI13" s="735" t="s">
        <v>663</v>
      </c>
      <c r="AJ13" s="737" t="s">
        <v>565</v>
      </c>
      <c r="AK13" s="736" t="s">
        <v>651</v>
      </c>
      <c r="AL13" s="736" t="s">
        <v>652</v>
      </c>
      <c r="AM13" s="736" t="s">
        <v>565</v>
      </c>
      <c r="AN13" s="736" t="s">
        <v>651</v>
      </c>
      <c r="AO13" s="736" t="s">
        <v>652</v>
      </c>
      <c r="AP13" s="736" t="s">
        <v>565</v>
      </c>
      <c r="AQ13" s="736" t="s">
        <v>651</v>
      </c>
      <c r="AR13" s="736" t="s">
        <v>652</v>
      </c>
      <c r="AS13" s="736" t="s">
        <v>651</v>
      </c>
      <c r="AT13" s="735" t="s">
        <v>652</v>
      </c>
      <c r="AV13" s="581" t="s">
        <v>435</v>
      </c>
      <c r="AW13" s="582" t="s">
        <v>525</v>
      </c>
      <c r="AX13" s="574" t="s">
        <v>510</v>
      </c>
      <c r="AY13" s="804" t="s">
        <v>514</v>
      </c>
      <c r="AZ13" s="804"/>
      <c r="BA13" s="804"/>
      <c r="BB13" s="804"/>
      <c r="BC13" s="804"/>
      <c r="BD13" s="804" t="s">
        <v>515</v>
      </c>
      <c r="BE13" s="804"/>
      <c r="BF13" s="804"/>
      <c r="BG13" s="804"/>
      <c r="BH13" s="804"/>
      <c r="BI13" s="804" t="s">
        <v>516</v>
      </c>
      <c r="BJ13" s="804"/>
      <c r="BK13" s="804"/>
      <c r="BL13" s="804"/>
      <c r="BM13" s="805"/>
      <c r="BN13" s="583" t="s">
        <v>55</v>
      </c>
      <c r="BO13" s="584" t="s">
        <v>56</v>
      </c>
      <c r="BP13" s="573" t="s">
        <v>518</v>
      </c>
      <c r="BQ13" s="574" t="s">
        <v>650</v>
      </c>
      <c r="BR13" s="574" t="s">
        <v>656</v>
      </c>
      <c r="BS13" s="574" t="s">
        <v>560</v>
      </c>
      <c r="BT13" s="574" t="s">
        <v>561</v>
      </c>
      <c r="BU13" s="574" t="s">
        <v>520</v>
      </c>
      <c r="BV13" s="575" t="s">
        <v>562</v>
      </c>
      <c r="BX13" s="561" t="s">
        <v>499</v>
      </c>
      <c r="BY13" s="562" t="s">
        <v>643</v>
      </c>
      <c r="BZ13" s="562" t="s">
        <v>646</v>
      </c>
      <c r="CA13" s="562" t="s">
        <v>647</v>
      </c>
      <c r="CB13" s="562" t="s">
        <v>649</v>
      </c>
      <c r="CC13" s="562" t="s">
        <v>648</v>
      </c>
      <c r="CD13" s="562" t="s">
        <v>643</v>
      </c>
      <c r="CE13" s="562" t="s">
        <v>646</v>
      </c>
      <c r="CF13" s="562" t="s">
        <v>647</v>
      </c>
      <c r="CG13" s="562" t="s">
        <v>649</v>
      </c>
      <c r="CH13" s="563" t="s">
        <v>648</v>
      </c>
      <c r="CI13" s="276"/>
      <c r="CJ13" s="715" t="s">
        <v>642</v>
      </c>
      <c r="CK13" s="716" t="s">
        <v>643</v>
      </c>
      <c r="CL13" s="702" t="s">
        <v>641</v>
      </c>
      <c r="CM13" s="703" t="s">
        <v>644</v>
      </c>
      <c r="CN13" s="526"/>
    </row>
    <row r="14" spans="2:92" s="78" customFormat="1" ht="64.5" hidden="1" customHeight="1" thickBot="1" x14ac:dyDescent="0.3">
      <c r="B14" s="603"/>
      <c r="C14" s="277"/>
      <c r="D14" s="278"/>
      <c r="E14" s="623"/>
      <c r="F14" s="620" t="s">
        <v>283</v>
      </c>
      <c r="G14" s="280" t="s">
        <v>511</v>
      </c>
      <c r="H14" s="280" t="s">
        <v>512</v>
      </c>
      <c r="I14" s="280" t="s">
        <v>513</v>
      </c>
      <c r="J14" s="280" t="s">
        <v>60</v>
      </c>
      <c r="K14" s="280" t="s">
        <v>283</v>
      </c>
      <c r="L14" s="280" t="s">
        <v>511</v>
      </c>
      <c r="M14" s="280" t="s">
        <v>512</v>
      </c>
      <c r="N14" s="280" t="s">
        <v>513</v>
      </c>
      <c r="O14" s="280" t="s">
        <v>60</v>
      </c>
      <c r="P14" s="280" t="s">
        <v>283</v>
      </c>
      <c r="Q14" s="280" t="s">
        <v>511</v>
      </c>
      <c r="R14" s="280" t="s">
        <v>512</v>
      </c>
      <c r="S14" s="280" t="s">
        <v>513</v>
      </c>
      <c r="T14" s="281" t="s">
        <v>60</v>
      </c>
      <c r="U14" s="48"/>
      <c r="V14" s="49"/>
      <c r="W14" s="48"/>
      <c r="X14" s="738"/>
      <c r="Y14" s="738"/>
      <c r="Z14" s="738"/>
      <c r="AA14" s="623"/>
      <c r="AB14" s="739"/>
      <c r="AC14" s="738"/>
      <c r="AD14" s="738"/>
      <c r="AE14" s="738"/>
      <c r="AF14" s="738"/>
      <c r="AG14" s="738"/>
      <c r="AH14" s="738"/>
      <c r="AI14" s="623"/>
      <c r="AJ14" s="739"/>
      <c r="AK14" s="738"/>
      <c r="AL14" s="738"/>
      <c r="AM14" s="738"/>
      <c r="AN14" s="738"/>
      <c r="AO14" s="738"/>
      <c r="AP14" s="738"/>
      <c r="AQ14" s="738"/>
      <c r="AR14" s="738"/>
      <c r="AS14" s="738"/>
      <c r="AT14" s="623"/>
      <c r="AV14" s="585"/>
      <c r="AW14" s="278"/>
      <c r="AX14" s="279"/>
      <c r="AY14" s="576" t="s">
        <v>283</v>
      </c>
      <c r="AZ14" s="576" t="s">
        <v>511</v>
      </c>
      <c r="BA14" s="576" t="s">
        <v>512</v>
      </c>
      <c r="BB14" s="576" t="s">
        <v>513</v>
      </c>
      <c r="BC14" s="576" t="s">
        <v>60</v>
      </c>
      <c r="BD14" s="576" t="s">
        <v>283</v>
      </c>
      <c r="BE14" s="576" t="s">
        <v>511</v>
      </c>
      <c r="BF14" s="576" t="s">
        <v>512</v>
      </c>
      <c r="BG14" s="576" t="s">
        <v>513</v>
      </c>
      <c r="BH14" s="576" t="s">
        <v>60</v>
      </c>
      <c r="BI14" s="576" t="s">
        <v>283</v>
      </c>
      <c r="BJ14" s="576" t="s">
        <v>511</v>
      </c>
      <c r="BK14" s="576" t="s">
        <v>512</v>
      </c>
      <c r="BL14" s="576" t="s">
        <v>513</v>
      </c>
      <c r="BM14" s="577" t="s">
        <v>60</v>
      </c>
      <c r="BN14" s="50"/>
      <c r="BO14" s="51"/>
      <c r="BP14" s="593"/>
      <c r="BQ14" s="279"/>
      <c r="BR14" s="279"/>
      <c r="BS14" s="279"/>
      <c r="BT14" s="279"/>
      <c r="BU14" s="279"/>
      <c r="BV14" s="586"/>
      <c r="BX14" s="404"/>
      <c r="BY14" s="528"/>
      <c r="BZ14" s="528"/>
      <c r="CA14" s="557"/>
      <c r="CB14" s="557"/>
      <c r="CC14" s="557"/>
      <c r="CD14" s="528"/>
      <c r="CE14" s="528"/>
      <c r="CF14" s="557"/>
      <c r="CG14" s="557"/>
      <c r="CH14" s="564"/>
      <c r="CJ14" s="717"/>
      <c r="CK14" s="718"/>
      <c r="CL14" s="557"/>
      <c r="CM14" s="564">
        <v>0.156</v>
      </c>
    </row>
    <row r="15" spans="2:92" ht="15" customHeight="1" x14ac:dyDescent="0.25">
      <c r="B15" s="723" t="str">
        <f>IF('1. Project Info'!L15="","",'1. Project Info'!L15)</f>
        <v/>
      </c>
      <c r="C15" s="724">
        <f>IF('1. Project Info'!S15="","",'1. Project Info'!S15)</f>
        <v>1</v>
      </c>
      <c r="D15" s="52" t="str">
        <f>IF('1. Project Info'!O15="","",'1. Project Info'!O15)</f>
        <v/>
      </c>
      <c r="E15" s="624" t="str">
        <f>IFERROR('2. Inputs'!AD15,"")</f>
        <v/>
      </c>
      <c r="F15" s="621">
        <v>0</v>
      </c>
      <c r="G15" s="53">
        <v>0</v>
      </c>
      <c r="H15" s="53">
        <v>0</v>
      </c>
      <c r="I15" s="53">
        <v>0</v>
      </c>
      <c r="J15" s="53">
        <v>0</v>
      </c>
      <c r="K15" s="53" t="str">
        <f>IFERROR(#REF!*'Emission Factors &lt;HIDE&gt;'!$F$29,"")</f>
        <v/>
      </c>
      <c r="L15" s="53" t="str">
        <f>IFERROR(#REF!*'Emission Factors &lt;HIDE&gt;'!$F$30,"")</f>
        <v/>
      </c>
      <c r="M15" s="53" t="str">
        <f>IFERROR(#REF!*'Emission Factors &lt;HIDE&gt;'!$F$33,"")</f>
        <v/>
      </c>
      <c r="N15" s="53" t="str">
        <f>IFERROR(#REF!*'Emission Factors &lt;HIDE&gt;'!$F$32,"")</f>
        <v/>
      </c>
      <c r="O15" s="53">
        <v>0</v>
      </c>
      <c r="P15" s="53" t="str">
        <f>IFERROR(F15+K15,"")</f>
        <v/>
      </c>
      <c r="Q15" s="53" t="str">
        <f>IFERROR(G15+L15,"")</f>
        <v/>
      </c>
      <c r="R15" s="53" t="str">
        <f>IFERROR(H15+M15,"")</f>
        <v/>
      </c>
      <c r="S15" s="53" t="str">
        <f>IFERROR(I15+N15,"")</f>
        <v/>
      </c>
      <c r="T15" s="53">
        <v>0</v>
      </c>
      <c r="U15" s="53" t="str">
        <f>IFERROR(#REF!*'Fuel Prices &lt;HIDE&gt;'!$C$12,"")</f>
        <v/>
      </c>
      <c r="V15" s="54" t="str">
        <f>IFERROR(#REF!,"")</f>
        <v/>
      </c>
      <c r="W15" s="731">
        <f>'1. Project Info'!P15</f>
        <v>0</v>
      </c>
      <c r="X15" s="55" t="str">
        <f>IF(AND(W15='Defaults &lt;HIDE&gt;'!$B$12,'2. Inputs'!I15+'2. Inputs'!K15&gt;50),1400,IF(AND(W15='Defaults &lt;HIDE&gt;'!$B$13,'2. Inputs'!I15+'2. Inputs'!K15&gt;50),1400,IF(W15='Defaults &lt;HIDE&gt;'!$B$14,2200,IF(W15='Defaults &lt;HIDE&gt;'!$B$15,1391,IF(W15='Defaults &lt;HIDE&gt;'!$B$16,"-","-")))))</f>
        <v>-</v>
      </c>
      <c r="Y15" s="55" t="str">
        <f>IFERROR(IF(X15="-","N/A",'2. Inputs'!AB15),"")</f>
        <v>N/A</v>
      </c>
      <c r="Z15" s="55" t="str">
        <f>IFERROR(IF(X15="-","N/A",IF(AT15-Y15&lt;0,AT15,Y15)),"")</f>
        <v>N/A</v>
      </c>
      <c r="AA15" s="629" t="str">
        <f>IFERROR(IF(X15="-","N/A",IF(AT15-Y15&gt;0,AT15-Y15,"-")),"")</f>
        <v>N/A</v>
      </c>
      <c r="AB15" s="627" t="str">
        <f>IF(COUNTIF('Defaults &lt;HIDE&gt;'!$G$78:$G$106,'2. Inputs'!H15)&gt;0, "YES", "NO")</f>
        <v>NO</v>
      </c>
      <c r="AC15" s="553">
        <f>IF(AB15="YES",'2. Inputs'!I15,0)</f>
        <v>0</v>
      </c>
      <c r="AD15" s="553" t="str">
        <f>IF(AB15="Yes",(IFERROR(VLOOKUP('2. Inputs'!H15,'Emission Factors &lt;HIDE&gt;'!$B$46:$C$168,2,0)*'2. Inputs'!I15*'2. Inputs'!Q15*'2. Inputs'!U15,0)+IFERROR(VLOOKUP('2. Inputs'!H15,'Emission Factors &lt;HIDE&gt;'!$B$46:$C$168,2,0)*'2. Inputs'!I15*'2. Inputs'!R15,0))/'Definitions and Conversions'!$C$42,"0")</f>
        <v>0</v>
      </c>
      <c r="AE15" s="55" t="str">
        <f>IF(COUNTIF('Defaults &lt;HIDE&gt;'!$G$78:$G$106,'2. Inputs'!J15)&gt;0, "YES", "NO")</f>
        <v>NO</v>
      </c>
      <c r="AF15" s="553">
        <f>IF(AB15="YES",'2. Inputs'!K15,0)</f>
        <v>0</v>
      </c>
      <c r="AG15" s="553" t="str">
        <f>IF(AE15="Yes",(IFERROR(VLOOKUP('2. Inputs'!J15,'Emission Factors &lt;HIDE&gt;'!$B$46:$C$168,2,0)*'2. Inputs'!K15*'2. Inputs'!S15*'2. Inputs'!U15*0.67,0)+IFERROR(VLOOKUP('2. Inputs'!J15,'Emission Factors &lt;HIDE&gt;'!$B$46:$C$168,2,0)*'2. Inputs'!K15*'2. Inputs'!T15,0))/'Definitions and Conversions'!$C$42,"0")</f>
        <v>0</v>
      </c>
      <c r="AH15" s="553">
        <f>IFERROR(AC15+AF15,0)</f>
        <v>0</v>
      </c>
      <c r="AI15" s="633">
        <f>IFERROR(AD15+AG15,0)</f>
        <v>0</v>
      </c>
      <c r="AJ15" s="631" t="str">
        <f>IF(COUNTIF('Defaults &lt;HIDE&gt;'!$G$11:$G$75,'2. Inputs'!H15)&gt;0, "YES", "NO")</f>
        <v>NO</v>
      </c>
      <c r="AK15" s="533">
        <f>IF(AJ15="YES",'2. Inputs'!I15,0)</f>
        <v>0</v>
      </c>
      <c r="AL15" s="533" t="str">
        <f>IF(AJ15="Yes",(IFERROR(VLOOKUP('2. Inputs'!H15,'Emission Factors &lt;HIDE&gt;'!$B$46:$C$168,2,0)*'2. Inputs'!I15*'2. Inputs'!Q15*'2. Inputs'!U15,0)+IFERROR(VLOOKUP('2. Inputs'!H15,'Emission Factors &lt;HIDE&gt;'!$B$46:$C$168,2,0)*'2. Inputs'!I15*'2. Inputs'!R15,0))/'Definitions and Conversions'!$C$42,"0")</f>
        <v>0</v>
      </c>
      <c r="AM15" s="532" t="str">
        <f>IF(COUNTIF('Defaults &lt;HIDE&gt;'!$G$11:$G$75,'2. Inputs'!J15)&gt;0, "YES", "NO")</f>
        <v>NO</v>
      </c>
      <c r="AN15" s="533">
        <f>IF(AM15="YES",'2. Inputs'!K15,0)</f>
        <v>0</v>
      </c>
      <c r="AO15" s="533" t="str">
        <f>IF(AM15="Yes",(IFERROR(VLOOKUP('2. Inputs'!J15,'Emission Factors &lt;HIDE&gt;'!$B$46:$C$168,2,0)*'2. Inputs'!K15*'2. Inputs'!S15*'2. Inputs'!U15*0.67,0)+IFERROR(VLOOKUP('2. Inputs'!J15,'Emission Factors &lt;HIDE&gt;'!$B$46:$C$168,2,0)*'2. Inputs'!K15*'2. Inputs'!T15,0))/'Definitions and Conversions'!$C$42,"0")</f>
        <v>0</v>
      </c>
      <c r="AP15" s="532" t="str">
        <f>IF(COUNTIF('Defaults &lt;HIDE&gt;'!$G$11:$G$75,'2. Inputs'!O15)&gt;0, "YES", "NO")</f>
        <v>NO</v>
      </c>
      <c r="AQ15" s="533">
        <f>IF(AP15="YES",'2. Inputs'!N15,0)</f>
        <v>0</v>
      </c>
      <c r="AR15" s="533" t="str">
        <f>IF(AP15="Yes",(IFERROR(VLOOKUP('2. Inputs'!O15,'Emission Factors &lt;HIDE&gt;'!$B$46:$C$168,2,0)*'2. Inputs'!P15*'2. Inputs'!X15*'2. Inputs'!Z15*0.67,0)+IFERROR(VLOOKUP('2. Inputs'!O15,'Emission Factors &lt;HIDE&gt;'!$B$46:$C$168,2,0)*'2. Inputs'!P15*'2. Inputs'!Y15,0))/'Definitions and Conversions'!$C$42,"0")</f>
        <v>0</v>
      </c>
      <c r="AS15" s="533">
        <f>IFERROR(AK15+AN15,0)</f>
        <v>0</v>
      </c>
      <c r="AT15" s="604">
        <f>IFERROR(AL15+AO15,0)</f>
        <v>0</v>
      </c>
      <c r="AV15" s="527" t="str">
        <f>IF(B15="","",B15)</f>
        <v/>
      </c>
      <c r="AW15" s="52">
        <f t="shared" ref="AW15:AW39" si="0">SUMIF($AV$15:$AV$39,AV15,$D$15:$D$39)</f>
        <v>0</v>
      </c>
      <c r="AX15" s="56">
        <f t="shared" ref="AX15:AX39" si="1">SUMIF($AV$15:$AV$39,AV15,$E$15:$E$39)</f>
        <v>0</v>
      </c>
      <c r="AY15" s="56">
        <f t="shared" ref="AY15:AY39" si="2">SUMIF($AV$15:$AV$39,AV15,$F$15:$F$39)</f>
        <v>0</v>
      </c>
      <c r="AZ15" s="56">
        <f t="shared" ref="AZ15:AZ39" si="3">SUMIF($AV$15:$AV$39,AV15,$G$15:$G$39)</f>
        <v>0</v>
      </c>
      <c r="BA15" s="56">
        <f t="shared" ref="BA15:BA39" si="4">SUMIF($AV$15:$AV$39,AV15,$H$15:$H$39)</f>
        <v>0</v>
      </c>
      <c r="BB15" s="56">
        <f t="shared" ref="BB15:BB39" si="5">SUMIF($AV$15:$AV$39,AV15,$I$15:$I$39)</f>
        <v>0</v>
      </c>
      <c r="BC15" s="56">
        <f t="shared" ref="BC15:BC39" si="6">SUMIF($AV$15:$AV$39,AV15,$J$15:$J$39)</f>
        <v>0</v>
      </c>
      <c r="BD15" s="56">
        <f t="shared" ref="BD15:BD39" si="7">SUMIF($AV$15:$AV$39,AV15,$K$15:$K$39)</f>
        <v>0</v>
      </c>
      <c r="BE15" s="56">
        <f t="shared" ref="BE15:BE39" si="8">SUMIF($AV$15:$AV$39,AV15,$L$15:$L$39)</f>
        <v>0</v>
      </c>
      <c r="BF15" s="56">
        <f t="shared" ref="BF15:BF39" si="9">SUMIF($AV$15:$AV$39,AV15,$M$15:$M$39)</f>
        <v>0</v>
      </c>
      <c r="BG15" s="56">
        <f t="shared" ref="BG15:BG39" si="10">SUMIF($AV$15:$AV$39,AV15,$N$15:$N$39)</f>
        <v>0</v>
      </c>
      <c r="BH15" s="56">
        <f t="shared" ref="BH15:BH39" si="11">SUMIF($AV$15:$AV$39,AV15,$O$15:$O$39)</f>
        <v>0</v>
      </c>
      <c r="BI15" s="56">
        <f t="shared" ref="BI15:BI39" si="12">SUMIF($AV$15:$AV$39,AV15,$P$15:$P$39)</f>
        <v>0</v>
      </c>
      <c r="BJ15" s="56">
        <f t="shared" ref="BJ15:BJ39" si="13">SUMIF($AV$15:$AV$39,AV15,$Q$15:$Q$39)</f>
        <v>0</v>
      </c>
      <c r="BK15" s="56">
        <f t="shared" ref="BK15:BK39" si="14">SUMIF($AV$15:$AV$39,AV15,$R$15:$R$39)</f>
        <v>0</v>
      </c>
      <c r="BL15" s="56">
        <f t="shared" ref="BL15:BL39" si="15">SUMIF($AV$15:$AV$39,AV15,$S$15:$S$39)</f>
        <v>0</v>
      </c>
      <c r="BM15" s="56">
        <f t="shared" ref="BM15:BM39" si="16">SUMIF($AV$15:$AV$39,AV15,$T$15:$T$39)</f>
        <v>0</v>
      </c>
      <c r="BN15" s="56">
        <f t="shared" ref="BN15:BN39" si="17">SUMIF($AV$15:$AV$39,AV15,$U$15:$U$39)</f>
        <v>0</v>
      </c>
      <c r="BO15" s="591">
        <f t="shared" ref="BO15:BO39" si="18">SUMIF($AV$15:$AV$39,AV15,$V$15:$V$39)</f>
        <v>0</v>
      </c>
      <c r="BP15" s="594">
        <f t="shared" ref="BP15:BP39" si="19">SUMIF($AV$15:$AV$39,AV15,$Y$15:$Y$39)</f>
        <v>0</v>
      </c>
      <c r="BQ15" s="56">
        <f t="shared" ref="BQ15:BQ39" si="20">SUMIF($AV$15:$AV$39,AV15,$Z$15:$Z$39)</f>
        <v>0</v>
      </c>
      <c r="BR15" s="56">
        <f t="shared" ref="BR15:BR39" si="21">SUMIF($AV$15:$AV$39,AV15,$AA$15:$AA$39)</f>
        <v>0</v>
      </c>
      <c r="BS15" s="56">
        <f>SUMIF($AV$15:$AV$39,AV15,$AH$15:$AH$39)</f>
        <v>0</v>
      </c>
      <c r="BT15" s="56">
        <f>SUMIF($AV$15:$AV$39,AV15,$AI$15:$AI$39)</f>
        <v>0</v>
      </c>
      <c r="BU15" s="56">
        <f>SUMIF($AV$15:$AV$39,AV15,$AS$15:$AS$39)</f>
        <v>0</v>
      </c>
      <c r="BV15" s="587">
        <f>SUMIF($AV$15:$AV$39,AV15,$AT$15:$AT$39)</f>
        <v>0</v>
      </c>
      <c r="BX15" s="527" t="str">
        <f>IF('2. Inputs'!C15='Defaults &lt;HIDE&gt;'!$B$12,"Food Retail",IF('2. Inputs'!C15='Defaults &lt;HIDE&gt;'!$B$13,"Food Retail",IF('2. Inputs'!C15='Defaults &lt;HIDE&gt;'!$B$14,"Industrial",IF('2. Inputs'!C15='Defaults &lt;HIDE&gt;'!$B$15,"Cold Storage",IF('2. Inputs'!C15='Defaults &lt;HIDE&gt;'!$B$16,'Defaults &lt;HIDE&gt;'!$B$16,"")))))</f>
        <v/>
      </c>
      <c r="BY15" s="260">
        <f>'2. Inputs'!G15</f>
        <v>0</v>
      </c>
      <c r="BZ15" s="704" t="str">
        <f>IF('2. Inputs'!I15&gt;=2000,"2000+",IF('2. Inputs'!I15&gt;=200,"200-2000",IF('2. Inputs'!I15&gt;50,"50-200",IF('2. Inputs'!I15&gt;0,"0-50",""))))</f>
        <v/>
      </c>
      <c r="CA15" s="530" t="str" cm="1">
        <f t="array" ref="CA15">IF(BZ15&lt;&gt;"",INDEX(CM:CM,MATCH(1,(CJ:CJ=BX15)*(CK:CK=BY15)*(CL:CL=BZ15),0)),"")</f>
        <v/>
      </c>
      <c r="CB15" s="531" t="str">
        <f>IF('2. Inputs'!K15&gt;=2000,"2000+",IF('2. Inputs'!K15&gt;=200,"200-2000",IF('2. Inputs'!K15&gt;50,"50-200",IF('2. Inputs'!K15&gt;0,"0-50",""))))</f>
        <v/>
      </c>
      <c r="CC15" s="530" t="str" cm="1">
        <f t="array" ref="CC15">IF(CB15&lt;&gt;"",INDEX(CM:CM,MATCH(1,(CJ:CJ=BX15)*(CK:CK=BY15)*(CL:CL=CB15),0)),"")</f>
        <v/>
      </c>
      <c r="CD15" s="529">
        <f>'2. Inputs'!L15</f>
        <v>0</v>
      </c>
      <c r="CE15" s="729" t="str">
        <f>IF('2. Inputs'!L15='Defaults &lt;HIDE&gt;'!$D$15,"0+",IF('2. Inputs'!N15&gt;=2000,"2000+",IF('2. Inputs'!N15&gt;=200,"200-2000",IF('2. Inputs'!N15&gt;50,"50-200",IF('2. Inputs'!N15&gt;0,"0-50","")))))</f>
        <v/>
      </c>
      <c r="CF15" s="530" t="str" cm="1">
        <f t="array" ref="CF15">IF(CE15&lt;&gt;"",INDEX(CM:CM,MATCH(1,(CJ:CJ=BX15)*(CK:CK=CD15)*(CL:CL=CE15),0)),"")</f>
        <v/>
      </c>
      <c r="CG15" s="531" t="str">
        <f>IF('2. Inputs'!P15&gt;=2000,"2000+",IF('2. Inputs'!P15&gt;=200,"200-2000",IF('2. Inputs'!P15&gt;50,"50-200",IF('2. Inputs'!P15&gt;0,"0-50",""))))</f>
        <v/>
      </c>
      <c r="CH15" s="565" t="str" cm="1">
        <f t="array" ref="CH15">IF(CG15&lt;&gt;"",INDEX(CM:CM,MATCH(1,(CJ:CJ=BX15)*(CK:CK=CD15)*(CL:CL=CG15),0)),"")</f>
        <v/>
      </c>
      <c r="CJ15" s="719" t="s">
        <v>634</v>
      </c>
      <c r="CK15" s="720" t="s">
        <v>599</v>
      </c>
      <c r="CL15" s="704" t="s">
        <v>637</v>
      </c>
      <c r="CM15" s="705">
        <v>0.156</v>
      </c>
    </row>
    <row r="16" spans="2:92" ht="15" customHeight="1" x14ac:dyDescent="0.25">
      <c r="B16" s="719" t="str">
        <f>IF('1. Project Info'!L16="","",'1. Project Info'!L16)</f>
        <v/>
      </c>
      <c r="C16" s="720">
        <f>IF('1. Project Info'!S16="","",'1. Project Info'!S16)</f>
        <v>1</v>
      </c>
      <c r="D16" s="52" t="str">
        <f>IF('1. Project Info'!O16="","",'1. Project Info'!O16)</f>
        <v/>
      </c>
      <c r="E16" s="624" t="str">
        <f>IFERROR('2. Inputs'!AD16,"")</f>
        <v/>
      </c>
      <c r="F16" s="621">
        <v>0</v>
      </c>
      <c r="G16" s="53">
        <v>0</v>
      </c>
      <c r="H16" s="53">
        <v>0</v>
      </c>
      <c r="I16" s="53">
        <v>0</v>
      </c>
      <c r="J16" s="53">
        <v>0</v>
      </c>
      <c r="K16" s="53" t="str">
        <f>IFERROR(#REF!*'Emission Factors &lt;HIDE&gt;'!$F$29,"")</f>
        <v/>
      </c>
      <c r="L16" s="53" t="str">
        <f>IFERROR(#REF!*'Emission Factors &lt;HIDE&gt;'!$F$30,"")</f>
        <v/>
      </c>
      <c r="M16" s="53" t="str">
        <f>IFERROR(#REF!*'Emission Factors &lt;HIDE&gt;'!$F$33,"")</f>
        <v/>
      </c>
      <c r="N16" s="53" t="str">
        <f>IFERROR(#REF!*'Emission Factors &lt;HIDE&gt;'!$F$32,"")</f>
        <v/>
      </c>
      <c r="O16" s="53">
        <v>0</v>
      </c>
      <c r="P16" s="53" t="str">
        <f>IFERROR(F16+K16,"")</f>
        <v/>
      </c>
      <c r="Q16" s="53" t="str">
        <f t="shared" ref="Q16:Q34" si="22">IFERROR(G16+L16,"")</f>
        <v/>
      </c>
      <c r="R16" s="53" t="str">
        <f t="shared" ref="R16:R34" si="23">IFERROR(H16+M16,"")</f>
        <v/>
      </c>
      <c r="S16" s="53" t="str">
        <f t="shared" ref="S16:S34" si="24">IFERROR(I16+N16,"")</f>
        <v/>
      </c>
      <c r="T16" s="53">
        <v>0</v>
      </c>
      <c r="U16" s="53" t="str">
        <f>IFERROR(#REF!*'Fuel Prices &lt;HIDE&gt;'!$C$12,"")</f>
        <v/>
      </c>
      <c r="V16" s="54" t="str">
        <f>IFERROR(#REF!,"")</f>
        <v/>
      </c>
      <c r="W16" s="732">
        <f>IF(B16="",W15,'1. Project Info'!P16)</f>
        <v>0</v>
      </c>
      <c r="X16" s="55" t="str">
        <f>IF(AND(W16='Defaults &lt;HIDE&gt;'!$B$12,'2. Inputs'!I16+'2. Inputs'!K16&gt;50),1400,IF(AND(W16='Defaults &lt;HIDE&gt;'!$B$13,'2. Inputs'!I16+'2. Inputs'!K16&gt;50),1400,IF(W16='Defaults &lt;HIDE&gt;'!$B$14,2200,IF(W16='Defaults &lt;HIDE&gt;'!$B$15,1391,IF(W16='Defaults &lt;HIDE&gt;'!$B$16,"-","-")))))</f>
        <v>-</v>
      </c>
      <c r="Y16" s="53" t="str">
        <f>IFERROR(IF(X16="-","N/A",'2. Inputs'!AB16),"")</f>
        <v>N/A</v>
      </c>
      <c r="Z16" s="55" t="str">
        <f t="shared" ref="Z16:Z39" si="25">IFERROR(IF(X16="-","N/A",IF(AT16-Y16&lt;0,AT16,Y16)),"")</f>
        <v>N/A</v>
      </c>
      <c r="AA16" s="629" t="str">
        <f t="shared" ref="AA16:AA39" si="26">IFERROR(IF(X16="-","N/A",IF(AT16-Y16&gt;0,AT16-Y16,"-")),"")</f>
        <v>N/A</v>
      </c>
      <c r="AB16" s="627" t="str">
        <f>IF(COUNTIF('Defaults &lt;HIDE&gt;'!$G$78:$G$106,'2. Inputs'!H16)&gt;0, "YES", "NO")</f>
        <v>NO</v>
      </c>
      <c r="AC16" s="553">
        <f>IF(AB16="YES",'2. Inputs'!I16,0)</f>
        <v>0</v>
      </c>
      <c r="AD16" s="553" t="str">
        <f>IF(AB16="Yes",(IFERROR(VLOOKUP('2. Inputs'!H16,'Emission Factors &lt;HIDE&gt;'!$B$46:$C$168,2,0)*'2. Inputs'!I16*'2. Inputs'!Q16*'2. Inputs'!U16,0)+IFERROR(VLOOKUP('2. Inputs'!H16,'Emission Factors &lt;HIDE&gt;'!$B$46:$C$168,2,0)*'2. Inputs'!I16*'2. Inputs'!R16,0))/'Definitions and Conversions'!$C$42,"0")</f>
        <v>0</v>
      </c>
      <c r="AE16" s="55" t="str">
        <f>IF(COUNTIF('Defaults &lt;HIDE&gt;'!$G$78:$G$106,'2. Inputs'!J16)&gt;0, "YES", "NO")</f>
        <v>NO</v>
      </c>
      <c r="AF16" s="553">
        <f>IF(AB16="YES",'2. Inputs'!K16,0)</f>
        <v>0</v>
      </c>
      <c r="AG16" s="553" t="str">
        <f>IF(AE16="Yes",(IFERROR(VLOOKUP('2. Inputs'!J16,'Emission Factors &lt;HIDE&gt;'!$B$46:$C$168,2,0)*'2. Inputs'!K16*'2. Inputs'!S16*'2. Inputs'!U16*0.67,0)+IFERROR(VLOOKUP('2. Inputs'!J16,'Emission Factors &lt;HIDE&gt;'!$B$46:$C$168,2,0)*'2. Inputs'!K16*'2. Inputs'!T16,0))/'Definitions and Conversions'!$C$42,"0")</f>
        <v>0</v>
      </c>
      <c r="AH16" s="553">
        <f t="shared" ref="AH16:AH39" si="27">IFERROR(AC16+AF16,0)</f>
        <v>0</v>
      </c>
      <c r="AI16" s="633">
        <f t="shared" ref="AI16:AI39" si="28">IFERROR(AD16+AG16,0)</f>
        <v>0</v>
      </c>
      <c r="AJ16" s="631" t="str">
        <f>IF(COUNTIF('Defaults &lt;HIDE&gt;'!$G$11:$G$75,'2. Inputs'!H16)&gt;0, "YES", "NO")</f>
        <v>NO</v>
      </c>
      <c r="AK16" s="533">
        <f>IF(AJ16="YES",'2. Inputs'!I16,0)</f>
        <v>0</v>
      </c>
      <c r="AL16" s="533" t="str">
        <f>IF(AJ16="Yes",(IFERROR(VLOOKUP('2. Inputs'!H16,'Emission Factors &lt;HIDE&gt;'!$B$46:$C$168,2,0)*'2. Inputs'!I16*'2. Inputs'!Q16*'2. Inputs'!U16,0)+IFERROR(VLOOKUP('2. Inputs'!H16,'Emission Factors &lt;HIDE&gt;'!$B$46:$C$168,2,0)*'2. Inputs'!I16*'2. Inputs'!R16,0))/'Definitions and Conversions'!$C$42,"0")</f>
        <v>0</v>
      </c>
      <c r="AM16" s="532" t="str">
        <f>IF(COUNTIF('Defaults &lt;HIDE&gt;'!$G$11:$G$75,'2. Inputs'!J16)&gt;0, "YES", "NO")</f>
        <v>NO</v>
      </c>
      <c r="AN16" s="533">
        <f>IF(AM16="YES",'2. Inputs'!K16,0)</f>
        <v>0</v>
      </c>
      <c r="AO16" s="533" t="str">
        <f>IF(AM16="Yes",(IFERROR(VLOOKUP('2. Inputs'!J16,'Emission Factors &lt;HIDE&gt;'!$B$46:$C$168,2,0)*'2. Inputs'!K16*'2. Inputs'!S16*'2. Inputs'!U16*0.67,0)+IFERROR(VLOOKUP('2. Inputs'!J16,'Emission Factors &lt;HIDE&gt;'!$B$46:$C$168,2,0)*'2. Inputs'!K16*'2. Inputs'!T16,0))/'Definitions and Conversions'!$C$42,"0")</f>
        <v>0</v>
      </c>
      <c r="AP16" s="532" t="str">
        <f>IF(COUNTIF('Defaults &lt;HIDE&gt;'!$G$11:$G$75,'2. Inputs'!O16)&gt;0, "YES", "NO")</f>
        <v>NO</v>
      </c>
      <c r="AQ16" s="533">
        <f>IF(AP16="YES",'2. Inputs'!N16,0)</f>
        <v>0</v>
      </c>
      <c r="AR16" s="533" t="str">
        <f>IF(AP16="Yes",(IFERROR(VLOOKUP('2. Inputs'!O16,'Emission Factors &lt;HIDE&gt;'!$B$46:$C$168,2,0)*'2. Inputs'!P16*'2. Inputs'!X16*'2. Inputs'!Z16*0.67,0)+IFERROR(VLOOKUP('2. Inputs'!O16,'Emission Factors &lt;HIDE&gt;'!$B$46:$C$168,2,0)*'2. Inputs'!P16*'2. Inputs'!Y16,0))/'Definitions and Conversions'!$C$42,"0")</f>
        <v>0</v>
      </c>
      <c r="AS16" s="533">
        <f t="shared" ref="AS16:AS39" si="29">IFERROR(AK16+AN16,0)</f>
        <v>0</v>
      </c>
      <c r="AT16" s="604">
        <f t="shared" ref="AT16:AT39" si="30">IFERROR(AL16+AO16,0)</f>
        <v>0</v>
      </c>
      <c r="AV16" s="527" t="str">
        <f t="shared" ref="AV16:AV39" si="31">IF(B16="",AV15,B16)</f>
        <v/>
      </c>
      <c r="AW16" s="52">
        <f t="shared" si="0"/>
        <v>0</v>
      </c>
      <c r="AX16" s="56">
        <f t="shared" si="1"/>
        <v>0</v>
      </c>
      <c r="AY16" s="56">
        <f t="shared" si="2"/>
        <v>0</v>
      </c>
      <c r="AZ16" s="56">
        <f t="shared" si="3"/>
        <v>0</v>
      </c>
      <c r="BA16" s="56">
        <f t="shared" si="4"/>
        <v>0</v>
      </c>
      <c r="BB16" s="56">
        <f t="shared" si="5"/>
        <v>0</v>
      </c>
      <c r="BC16" s="56">
        <f t="shared" si="6"/>
        <v>0</v>
      </c>
      <c r="BD16" s="56">
        <f t="shared" si="7"/>
        <v>0</v>
      </c>
      <c r="BE16" s="56">
        <f t="shared" si="8"/>
        <v>0</v>
      </c>
      <c r="BF16" s="56">
        <f t="shared" si="9"/>
        <v>0</v>
      </c>
      <c r="BG16" s="56">
        <f t="shared" si="10"/>
        <v>0</v>
      </c>
      <c r="BH16" s="56">
        <f t="shared" si="11"/>
        <v>0</v>
      </c>
      <c r="BI16" s="56">
        <f t="shared" si="12"/>
        <v>0</v>
      </c>
      <c r="BJ16" s="56">
        <f t="shared" si="13"/>
        <v>0</v>
      </c>
      <c r="BK16" s="56">
        <f t="shared" si="14"/>
        <v>0</v>
      </c>
      <c r="BL16" s="56">
        <f t="shared" si="15"/>
        <v>0</v>
      </c>
      <c r="BM16" s="56">
        <f t="shared" si="16"/>
        <v>0</v>
      </c>
      <c r="BN16" s="56">
        <f t="shared" si="17"/>
        <v>0</v>
      </c>
      <c r="BO16" s="591">
        <f t="shared" si="18"/>
        <v>0</v>
      </c>
      <c r="BP16" s="594">
        <f t="shared" si="19"/>
        <v>0</v>
      </c>
      <c r="BQ16" s="56">
        <f t="shared" si="20"/>
        <v>0</v>
      </c>
      <c r="BR16" s="56">
        <f t="shared" si="21"/>
        <v>0</v>
      </c>
      <c r="BS16" s="56">
        <f t="shared" ref="BS16:BS39" si="32">SUMIF($AV$15:$AV$39,AV16,$AH$15:$AH$39)</f>
        <v>0</v>
      </c>
      <c r="BT16" s="56">
        <f t="shared" ref="BT16:BT39" si="33">SUMIF($AV$15:$AV$39,AV16,$AI$15:$AI$39)</f>
        <v>0</v>
      </c>
      <c r="BU16" s="56">
        <f t="shared" ref="BU16:BU39" si="34">SUMIF($AV$15:$AV$39,AV16,$AS$15:$AS$39)</f>
        <v>0</v>
      </c>
      <c r="BV16" s="587">
        <f t="shared" ref="BV16:BV39" si="35">SUMIF($AV$15:$AV$39,AV16,$AT$15:$AT$39)</f>
        <v>0</v>
      </c>
      <c r="BX16" s="527" t="str">
        <f>IF('2. Inputs'!C16='Defaults &lt;HIDE&gt;'!$B$12,"Food Retail",IF('2. Inputs'!C16='Defaults &lt;HIDE&gt;'!$B$13,"Food Retail",IF('2. Inputs'!C16='Defaults &lt;HIDE&gt;'!$B$14,"Industrial",IF('2. Inputs'!C16='Defaults &lt;HIDE&gt;'!$B$15,"Cold Storage",IF('2. Inputs'!C16='Defaults &lt;HIDE&gt;'!$B$16,'Defaults &lt;HIDE&gt;'!$B$16,"")))))</f>
        <v/>
      </c>
      <c r="BY16" s="260">
        <f>'2. Inputs'!G16</f>
        <v>0</v>
      </c>
      <c r="BZ16" s="704" t="str">
        <f>IF('2. Inputs'!I16&gt;=2000,"2000+",IF('2. Inputs'!I16&gt;=200,"200-2000",IF('2. Inputs'!I16&gt;50,"50-200",IF('2. Inputs'!I16&gt;0,"0-50",""))))</f>
        <v/>
      </c>
      <c r="CA16" s="530" t="str" cm="1">
        <f t="array" ref="CA16">IF(BZ16&lt;&gt;"",INDEX(CM:CM,MATCH(1,(CJ:CJ=BX16)*(CK:CK=BY16)*(CL:CL=BZ16),0)),"")</f>
        <v/>
      </c>
      <c r="CB16" s="531" t="str">
        <f>IF('2. Inputs'!K16&gt;=2000,"2000+",IF('2. Inputs'!K16&gt;=200,"200-2000",IF('2. Inputs'!K16&gt;50,"50-200",IF('2. Inputs'!K16&gt;0,"0-50",""))))</f>
        <v/>
      </c>
      <c r="CC16" s="530" t="str" cm="1">
        <f t="array" ref="CC16">IF(CB16&lt;&gt;"",INDEX(CM:CM,MATCH(1,(CJ:CJ=BX16)*(CK:CK=BY16)*(CL:CL=CB16),0)),"")</f>
        <v/>
      </c>
      <c r="CD16" s="529">
        <f>'2. Inputs'!L16</f>
        <v>0</v>
      </c>
      <c r="CE16" s="729" t="str">
        <f>IF('2. Inputs'!L16='Defaults &lt;HIDE&gt;'!$D$15,"0+",IF('2. Inputs'!N16&gt;=2000,"2000+",IF('2. Inputs'!N16&gt;=200,"200-2000",IF('2. Inputs'!N16&gt;50,"50-200",IF('2. Inputs'!N16&gt;0,"0-50","")))))</f>
        <v/>
      </c>
      <c r="CF16" s="530" t="str" cm="1">
        <f t="array" ref="CF16">IF(CE16&lt;&gt;"",INDEX(CM:CM,MATCH(1,(CJ:CJ=BX16)*(CK:CK=CD16)*(CL:CL=CE16),0)),"")</f>
        <v/>
      </c>
      <c r="CG16" s="531" t="str">
        <f>IF('2. Inputs'!P16&gt;=2000,"2000+",IF('2. Inputs'!P16&gt;=200,"200-2000",IF('2. Inputs'!P16&gt;50,"50-200",IF('2. Inputs'!P16&gt;0,"0-50",""))))</f>
        <v/>
      </c>
      <c r="CH16" s="565" t="str" cm="1">
        <f t="array" ref="CH16">IF(CG16&lt;&gt;"",INDEX(CM:CM,MATCH(1,(CJ:CJ=BX16)*(CK:CK=CD16)*(CL:CL=CG16),0)),"")</f>
        <v/>
      </c>
      <c r="CJ16" s="719" t="s">
        <v>634</v>
      </c>
      <c r="CK16" s="720" t="s">
        <v>599</v>
      </c>
      <c r="CL16" s="704" t="s">
        <v>638</v>
      </c>
      <c r="CM16" s="705">
        <v>0.156</v>
      </c>
    </row>
    <row r="17" spans="2:91" ht="15" customHeight="1" x14ac:dyDescent="0.25">
      <c r="B17" s="719" t="str">
        <f>IF('1. Project Info'!L17="","",'1. Project Info'!L17)</f>
        <v/>
      </c>
      <c r="C17" s="720">
        <f>IF('1. Project Info'!S17="","",'1. Project Info'!S17)</f>
        <v>1</v>
      </c>
      <c r="D17" s="52" t="str">
        <f>IF('1. Project Info'!O17="","",'1. Project Info'!O17)</f>
        <v/>
      </c>
      <c r="E17" s="624" t="str">
        <f>IFERROR('2. Inputs'!AD17,"")</f>
        <v/>
      </c>
      <c r="F17" s="621">
        <v>0</v>
      </c>
      <c r="G17" s="53">
        <v>0</v>
      </c>
      <c r="H17" s="53">
        <v>0</v>
      </c>
      <c r="I17" s="53">
        <v>0</v>
      </c>
      <c r="J17" s="53">
        <v>0</v>
      </c>
      <c r="K17" s="53" t="str">
        <f>IFERROR(#REF!*'Emission Factors &lt;HIDE&gt;'!$F$29,"")</f>
        <v/>
      </c>
      <c r="L17" s="53" t="str">
        <f>IFERROR(#REF!*'Emission Factors &lt;HIDE&gt;'!$F$30,"")</f>
        <v/>
      </c>
      <c r="M17" s="53" t="str">
        <f>IFERROR(#REF!*'Emission Factors &lt;HIDE&gt;'!$F$33,"")</f>
        <v/>
      </c>
      <c r="N17" s="53" t="str">
        <f>IFERROR(#REF!*'Emission Factors &lt;HIDE&gt;'!$F$32,"")</f>
        <v/>
      </c>
      <c r="O17" s="53">
        <v>0</v>
      </c>
      <c r="P17" s="53" t="str">
        <f t="shared" ref="P17:P34" si="36">IFERROR(F17+K17,"")</f>
        <v/>
      </c>
      <c r="Q17" s="53" t="str">
        <f t="shared" si="22"/>
        <v/>
      </c>
      <c r="R17" s="53" t="str">
        <f t="shared" si="23"/>
        <v/>
      </c>
      <c r="S17" s="53" t="str">
        <f t="shared" si="24"/>
        <v/>
      </c>
      <c r="T17" s="53">
        <v>0</v>
      </c>
      <c r="U17" s="53" t="str">
        <f>IFERROR(#REF!*'Fuel Prices &lt;HIDE&gt;'!$C$12,"")</f>
        <v/>
      </c>
      <c r="V17" s="54" t="str">
        <f>IFERROR(#REF!,"")</f>
        <v/>
      </c>
      <c r="W17" s="732">
        <f>IF(B17="",W16,'1. Project Info'!P17)</f>
        <v>0</v>
      </c>
      <c r="X17" s="55" t="str">
        <f>IF(AND(W17='Defaults &lt;HIDE&gt;'!$B$12,'2. Inputs'!I17+'2. Inputs'!K17&gt;50),1400,IF(AND(W17='Defaults &lt;HIDE&gt;'!$B$13,'2. Inputs'!I17+'2. Inputs'!K17&gt;50),1400,IF(W17='Defaults &lt;HIDE&gt;'!$B$14,2200,IF(W17='Defaults &lt;HIDE&gt;'!$B$15,1391,IF(W17='Defaults &lt;HIDE&gt;'!$B$16,"-","-")))))</f>
        <v>-</v>
      </c>
      <c r="Y17" s="53" t="str">
        <f>IFERROR(IF(X17="-","N/A",'2. Inputs'!AB17),"")</f>
        <v>N/A</v>
      </c>
      <c r="Z17" s="55" t="str">
        <f t="shared" si="25"/>
        <v>N/A</v>
      </c>
      <c r="AA17" s="629" t="str">
        <f t="shared" si="26"/>
        <v>N/A</v>
      </c>
      <c r="AB17" s="627" t="str">
        <f>IF(COUNTIF('Defaults &lt;HIDE&gt;'!$G$78:$G$106,'2. Inputs'!H17)&gt;0, "YES", "NO")</f>
        <v>NO</v>
      </c>
      <c r="AC17" s="553">
        <f>IF(AB17="YES",'2. Inputs'!I17,0)</f>
        <v>0</v>
      </c>
      <c r="AD17" s="553" t="str">
        <f>IF(AB17="Yes",(IFERROR(VLOOKUP('2. Inputs'!H17,'Emission Factors &lt;HIDE&gt;'!$B$46:$C$168,2,0)*'2. Inputs'!I17*'2. Inputs'!Q17*'2. Inputs'!U17,0)+IFERROR(VLOOKUP('2. Inputs'!H17,'Emission Factors &lt;HIDE&gt;'!$B$46:$C$168,2,0)*'2. Inputs'!I17*'2. Inputs'!R17,0))/'Definitions and Conversions'!$C$42,"0")</f>
        <v>0</v>
      </c>
      <c r="AE17" s="55" t="str">
        <f>IF(COUNTIF('Defaults &lt;HIDE&gt;'!$G$78:$G$106,'2. Inputs'!J17)&gt;0, "YES", "NO")</f>
        <v>NO</v>
      </c>
      <c r="AF17" s="553">
        <f>IF(AB17="YES",'2. Inputs'!K17,0)</f>
        <v>0</v>
      </c>
      <c r="AG17" s="553" t="str">
        <f>IF(AE17="Yes",(IFERROR(VLOOKUP('2. Inputs'!J17,'Emission Factors &lt;HIDE&gt;'!$B$46:$C$168,2,0)*'2. Inputs'!K17*'2. Inputs'!S17*'2. Inputs'!U17*0.67,0)+IFERROR(VLOOKUP('2. Inputs'!J17,'Emission Factors &lt;HIDE&gt;'!$B$46:$C$168,2,0)*'2. Inputs'!K17*'2. Inputs'!T17,0))/'Definitions and Conversions'!$C$42,"0")</f>
        <v>0</v>
      </c>
      <c r="AH17" s="553">
        <f t="shared" si="27"/>
        <v>0</v>
      </c>
      <c r="AI17" s="633">
        <f t="shared" si="28"/>
        <v>0</v>
      </c>
      <c r="AJ17" s="631" t="str">
        <f>IF(COUNTIF('Defaults &lt;HIDE&gt;'!$G$11:$G$75,'2. Inputs'!H17)&gt;0, "YES", "NO")</f>
        <v>NO</v>
      </c>
      <c r="AK17" s="533">
        <f>IF(AJ17="YES",'2. Inputs'!I17,0)</f>
        <v>0</v>
      </c>
      <c r="AL17" s="533" t="str">
        <f>IF(AJ17="Yes",(IFERROR(VLOOKUP('2. Inputs'!H17,'Emission Factors &lt;HIDE&gt;'!$B$46:$C$168,2,0)*'2. Inputs'!I17*'2. Inputs'!Q17*'2. Inputs'!U17,0)+IFERROR(VLOOKUP('2. Inputs'!H17,'Emission Factors &lt;HIDE&gt;'!$B$46:$C$168,2,0)*'2. Inputs'!I17*'2. Inputs'!R17,0))/'Definitions and Conversions'!$C$42,"0")</f>
        <v>0</v>
      </c>
      <c r="AM17" s="532" t="str">
        <f>IF(COUNTIF('Defaults &lt;HIDE&gt;'!$G$11:$G$75,'2. Inputs'!J17)&gt;0, "YES", "NO")</f>
        <v>NO</v>
      </c>
      <c r="AN17" s="533">
        <f>IF(AM17="YES",'2. Inputs'!K17,0)</f>
        <v>0</v>
      </c>
      <c r="AO17" s="533" t="str">
        <f>IF(AM17="Yes",(IFERROR(VLOOKUP('2. Inputs'!J17,'Emission Factors &lt;HIDE&gt;'!$B$46:$C$168,2,0)*'2. Inputs'!K17*'2. Inputs'!S17*'2. Inputs'!U17*0.67,0)+IFERROR(VLOOKUP('2. Inputs'!J17,'Emission Factors &lt;HIDE&gt;'!$B$46:$C$168,2,0)*'2. Inputs'!K17*'2. Inputs'!T17,0))/'Definitions and Conversions'!$C$42,"0")</f>
        <v>0</v>
      </c>
      <c r="AP17" s="532" t="str">
        <f>IF(COUNTIF('Defaults &lt;HIDE&gt;'!$G$11:$G$75,'2. Inputs'!O17)&gt;0, "YES", "NO")</f>
        <v>NO</v>
      </c>
      <c r="AQ17" s="533">
        <f>IF(AP17="YES",'2. Inputs'!N17,0)</f>
        <v>0</v>
      </c>
      <c r="AR17" s="533" t="str">
        <f>IF(AP17="Yes",(IFERROR(VLOOKUP('2. Inputs'!O17,'Emission Factors &lt;HIDE&gt;'!$B$46:$C$168,2,0)*'2. Inputs'!P17*'2. Inputs'!X17*'2. Inputs'!Z17*0.67,0)+IFERROR(VLOOKUP('2. Inputs'!O17,'Emission Factors &lt;HIDE&gt;'!$B$46:$C$168,2,0)*'2. Inputs'!P17*'2. Inputs'!Y17,0))/'Definitions and Conversions'!$C$42,"0")</f>
        <v>0</v>
      </c>
      <c r="AS17" s="533">
        <f t="shared" si="29"/>
        <v>0</v>
      </c>
      <c r="AT17" s="604">
        <f t="shared" si="30"/>
        <v>0</v>
      </c>
      <c r="AU17" s="282"/>
      <c r="AV17" s="527" t="str">
        <f t="shared" si="31"/>
        <v/>
      </c>
      <c r="AW17" s="52">
        <f t="shared" si="0"/>
        <v>0</v>
      </c>
      <c r="AX17" s="56">
        <f t="shared" si="1"/>
        <v>0</v>
      </c>
      <c r="AY17" s="56">
        <f t="shared" si="2"/>
        <v>0</v>
      </c>
      <c r="AZ17" s="56">
        <f t="shared" si="3"/>
        <v>0</v>
      </c>
      <c r="BA17" s="56">
        <f t="shared" si="4"/>
        <v>0</v>
      </c>
      <c r="BB17" s="56">
        <f t="shared" si="5"/>
        <v>0</v>
      </c>
      <c r="BC17" s="56">
        <f t="shared" si="6"/>
        <v>0</v>
      </c>
      <c r="BD17" s="56">
        <f t="shared" si="7"/>
        <v>0</v>
      </c>
      <c r="BE17" s="56">
        <f t="shared" si="8"/>
        <v>0</v>
      </c>
      <c r="BF17" s="56">
        <f t="shared" si="9"/>
        <v>0</v>
      </c>
      <c r="BG17" s="56">
        <f t="shared" si="10"/>
        <v>0</v>
      </c>
      <c r="BH17" s="56">
        <f t="shared" si="11"/>
        <v>0</v>
      </c>
      <c r="BI17" s="56">
        <f t="shared" si="12"/>
        <v>0</v>
      </c>
      <c r="BJ17" s="56">
        <f t="shared" si="13"/>
        <v>0</v>
      </c>
      <c r="BK17" s="56">
        <f t="shared" si="14"/>
        <v>0</v>
      </c>
      <c r="BL17" s="56">
        <f t="shared" si="15"/>
        <v>0</v>
      </c>
      <c r="BM17" s="56">
        <f t="shared" si="16"/>
        <v>0</v>
      </c>
      <c r="BN17" s="56">
        <f t="shared" si="17"/>
        <v>0</v>
      </c>
      <c r="BO17" s="591">
        <f t="shared" si="18"/>
        <v>0</v>
      </c>
      <c r="BP17" s="594">
        <f t="shared" si="19"/>
        <v>0</v>
      </c>
      <c r="BQ17" s="56">
        <f t="shared" si="20"/>
        <v>0</v>
      </c>
      <c r="BR17" s="56">
        <f t="shared" si="21"/>
        <v>0</v>
      </c>
      <c r="BS17" s="56">
        <f t="shared" si="32"/>
        <v>0</v>
      </c>
      <c r="BT17" s="56">
        <f t="shared" si="33"/>
        <v>0</v>
      </c>
      <c r="BU17" s="56">
        <f t="shared" si="34"/>
        <v>0</v>
      </c>
      <c r="BV17" s="587">
        <f t="shared" si="35"/>
        <v>0</v>
      </c>
      <c r="BX17" s="527" t="str">
        <f>IF('2. Inputs'!C17='Defaults &lt;HIDE&gt;'!$B$12,"Food Retail",IF('2. Inputs'!C17='Defaults &lt;HIDE&gt;'!$B$13,"Food Retail",IF('2. Inputs'!C17='Defaults &lt;HIDE&gt;'!$B$14,"Industrial",IF('2. Inputs'!C17='Defaults &lt;HIDE&gt;'!$B$15,"Cold Storage",IF('2. Inputs'!C17='Defaults &lt;HIDE&gt;'!$B$16,'Defaults &lt;HIDE&gt;'!$B$16,"")))))</f>
        <v/>
      </c>
      <c r="BY17" s="260">
        <f>'2. Inputs'!G17</f>
        <v>0</v>
      </c>
      <c r="BZ17" s="704" t="str">
        <f>IF('2. Inputs'!I17&gt;=2000,"2000+",IF('2. Inputs'!I17&gt;=200,"200-2000",IF('2. Inputs'!I17&gt;50,"50-200",IF('2. Inputs'!I17&gt;0,"0-50",""))))</f>
        <v/>
      </c>
      <c r="CA17" s="530" t="str" cm="1">
        <f t="array" ref="CA17">IF(BZ17&lt;&gt;"",INDEX(CM:CM,MATCH(1,(CJ:CJ=BX17)*(CK:CK=BY17)*(CL:CL=BZ17),0)),"")</f>
        <v/>
      </c>
      <c r="CB17" s="531" t="str">
        <f>IF('2. Inputs'!K17&gt;=2000,"2000+",IF('2. Inputs'!K17&gt;=200,"200-2000",IF('2. Inputs'!K17&gt;50,"50-200",IF('2. Inputs'!K17&gt;0,"0-50",""))))</f>
        <v/>
      </c>
      <c r="CC17" s="530" t="str" cm="1">
        <f t="array" ref="CC17">IF(CB17&lt;&gt;"",INDEX(CM:CM,MATCH(1,(CJ:CJ=BX17)*(CK:CK=BY17)*(CL:CL=CB17),0)),"")</f>
        <v/>
      </c>
      <c r="CD17" s="529">
        <f>'2. Inputs'!L17</f>
        <v>0</v>
      </c>
      <c r="CE17" s="729" t="str">
        <f>IF('2. Inputs'!L17='Defaults &lt;HIDE&gt;'!$D$15,"0+",IF('2. Inputs'!N17&gt;=2000,"2000+",IF('2. Inputs'!N17&gt;=200,"200-2000",IF('2. Inputs'!N17&gt;50,"50-200",IF('2. Inputs'!N17&gt;0,"0-50","")))))</f>
        <v/>
      </c>
      <c r="CF17" s="530" t="str" cm="1">
        <f t="array" ref="CF17">IF(CE17&lt;&gt;"",INDEX(CM:CM,MATCH(1,(CJ:CJ=BX17)*(CK:CK=CD17)*(CL:CL=CE17),0)),"")</f>
        <v/>
      </c>
      <c r="CG17" s="531" t="str">
        <f>IF('2. Inputs'!P17&gt;=2000,"2000+",IF('2. Inputs'!P17&gt;=200,"200-2000",IF('2. Inputs'!P17&gt;50,"50-200",IF('2. Inputs'!P17&gt;0,"0-50",""))))</f>
        <v/>
      </c>
      <c r="CH17" s="565" t="str" cm="1">
        <f t="array" ref="CH17">IF(CG17&lt;&gt;"",INDEX(CM:CM,MATCH(1,(CJ:CJ=BX17)*(CK:CK=CD17)*(CL:CL=CG17),0)),"")</f>
        <v/>
      </c>
      <c r="CJ17" s="719" t="s">
        <v>634</v>
      </c>
      <c r="CK17" s="720" t="s">
        <v>599</v>
      </c>
      <c r="CL17" s="704" t="s">
        <v>639</v>
      </c>
      <c r="CM17" s="705">
        <v>0.156</v>
      </c>
    </row>
    <row r="18" spans="2:91" ht="15" customHeight="1" x14ac:dyDescent="0.25">
      <c r="B18" s="719" t="str">
        <f>IF('1. Project Info'!L18="","",'1. Project Info'!L18)</f>
        <v/>
      </c>
      <c r="C18" s="720">
        <f>IF('1. Project Info'!S18="","",'1. Project Info'!S18)</f>
        <v>1</v>
      </c>
      <c r="D18" s="52" t="str">
        <f>IF('1. Project Info'!O18="","",'1. Project Info'!O18)</f>
        <v/>
      </c>
      <c r="E18" s="624" t="str">
        <f>IFERROR('2. Inputs'!AD18,"")</f>
        <v/>
      </c>
      <c r="F18" s="621">
        <v>0</v>
      </c>
      <c r="G18" s="53">
        <v>0</v>
      </c>
      <c r="H18" s="53">
        <v>0</v>
      </c>
      <c r="I18" s="53">
        <v>0</v>
      </c>
      <c r="J18" s="53">
        <v>0</v>
      </c>
      <c r="K18" s="53" t="str">
        <f>IFERROR(#REF!*'Emission Factors &lt;HIDE&gt;'!$F$29,"")</f>
        <v/>
      </c>
      <c r="L18" s="53" t="str">
        <f>IFERROR(#REF!*'Emission Factors &lt;HIDE&gt;'!$F$30,"")</f>
        <v/>
      </c>
      <c r="M18" s="53" t="str">
        <f>IFERROR(#REF!*'Emission Factors &lt;HIDE&gt;'!$F$33,"")</f>
        <v/>
      </c>
      <c r="N18" s="53" t="str">
        <f>IFERROR(#REF!*'Emission Factors &lt;HIDE&gt;'!$F$32,"")</f>
        <v/>
      </c>
      <c r="O18" s="53">
        <v>0</v>
      </c>
      <c r="P18" s="53" t="str">
        <f t="shared" si="36"/>
        <v/>
      </c>
      <c r="Q18" s="53" t="str">
        <f t="shared" si="22"/>
        <v/>
      </c>
      <c r="R18" s="53" t="str">
        <f t="shared" si="23"/>
        <v/>
      </c>
      <c r="S18" s="53" t="str">
        <f t="shared" si="24"/>
        <v/>
      </c>
      <c r="T18" s="53">
        <v>0</v>
      </c>
      <c r="U18" s="53" t="str">
        <f>IFERROR(#REF!*'Fuel Prices &lt;HIDE&gt;'!$C$12,"")</f>
        <v/>
      </c>
      <c r="V18" s="54" t="str">
        <f>IFERROR(#REF!,"")</f>
        <v/>
      </c>
      <c r="W18" s="732">
        <f>IF(B18="",W17,'1. Project Info'!P18)</f>
        <v>0</v>
      </c>
      <c r="X18" s="55" t="str">
        <f>IF(AND(W18='Defaults &lt;HIDE&gt;'!$B$12,'2. Inputs'!I18+'2. Inputs'!K18&gt;50),1400,IF(AND(W18='Defaults &lt;HIDE&gt;'!$B$13,'2. Inputs'!I18+'2. Inputs'!K18&gt;50),1400,IF(W18='Defaults &lt;HIDE&gt;'!$B$14,2200,IF(W18='Defaults &lt;HIDE&gt;'!$B$15,1391,IF(W18='Defaults &lt;HIDE&gt;'!$B$16,"-","-")))))</f>
        <v>-</v>
      </c>
      <c r="Y18" s="53" t="str">
        <f>IFERROR(IF(X18="-","N/A",'2. Inputs'!AB18),"")</f>
        <v>N/A</v>
      </c>
      <c r="Z18" s="55" t="str">
        <f t="shared" si="25"/>
        <v>N/A</v>
      </c>
      <c r="AA18" s="629" t="str">
        <f t="shared" si="26"/>
        <v>N/A</v>
      </c>
      <c r="AB18" s="627" t="str">
        <f>IF(COUNTIF('Defaults &lt;HIDE&gt;'!$G$78:$G$106,'2. Inputs'!H18)&gt;0, "YES", "NO")</f>
        <v>NO</v>
      </c>
      <c r="AC18" s="553">
        <f>IF(AB18="YES",'2. Inputs'!I18,0)</f>
        <v>0</v>
      </c>
      <c r="AD18" s="553" t="str">
        <f>IF(AB18="Yes",(IFERROR(VLOOKUP('2. Inputs'!H18,'Emission Factors &lt;HIDE&gt;'!$B$46:$C$168,2,0)*'2. Inputs'!I18*'2. Inputs'!Q18*'2. Inputs'!U18,0)+IFERROR(VLOOKUP('2. Inputs'!H18,'Emission Factors &lt;HIDE&gt;'!$B$46:$C$168,2,0)*'2. Inputs'!I18*'2. Inputs'!R18,0))/'Definitions and Conversions'!$C$42,"0")</f>
        <v>0</v>
      </c>
      <c r="AE18" s="55" t="str">
        <f>IF(COUNTIF('Defaults &lt;HIDE&gt;'!$G$78:$G$106,'2. Inputs'!J18)&gt;0, "YES", "NO")</f>
        <v>NO</v>
      </c>
      <c r="AF18" s="553">
        <f>IF(AB18="YES",'2. Inputs'!K18,0)</f>
        <v>0</v>
      </c>
      <c r="AG18" s="553" t="str">
        <f>IF(AE18="Yes",(IFERROR(VLOOKUP('2. Inputs'!J18,'Emission Factors &lt;HIDE&gt;'!$B$46:$C$168,2,0)*'2. Inputs'!K18*'2. Inputs'!S18*'2. Inputs'!U18*0.67,0)+IFERROR(VLOOKUP('2. Inputs'!J18,'Emission Factors &lt;HIDE&gt;'!$B$46:$C$168,2,0)*'2. Inputs'!K18*'2. Inputs'!T18,0))/'Definitions and Conversions'!$C$42,"0")</f>
        <v>0</v>
      </c>
      <c r="AH18" s="553">
        <f t="shared" si="27"/>
        <v>0</v>
      </c>
      <c r="AI18" s="633">
        <f t="shared" si="28"/>
        <v>0</v>
      </c>
      <c r="AJ18" s="631" t="str">
        <f>IF(COUNTIF('Defaults &lt;HIDE&gt;'!$G$11:$G$75,'2. Inputs'!H18)&gt;0, "YES", "NO")</f>
        <v>NO</v>
      </c>
      <c r="AK18" s="533">
        <f>IF(AJ18="YES",'2. Inputs'!I18,0)</f>
        <v>0</v>
      </c>
      <c r="AL18" s="533" t="str">
        <f>IF(AJ18="Yes",(IFERROR(VLOOKUP('2. Inputs'!H18,'Emission Factors &lt;HIDE&gt;'!$B$46:$C$168,2,0)*'2. Inputs'!I18*'2. Inputs'!Q18*'2. Inputs'!U18,0)+IFERROR(VLOOKUP('2. Inputs'!H18,'Emission Factors &lt;HIDE&gt;'!$B$46:$C$168,2,0)*'2. Inputs'!I18*'2. Inputs'!R18,0))/'Definitions and Conversions'!$C$42,"0")</f>
        <v>0</v>
      </c>
      <c r="AM18" s="532" t="str">
        <f>IF(COUNTIF('Defaults &lt;HIDE&gt;'!$G$11:$G$75,'2. Inputs'!J18)&gt;0, "YES", "NO")</f>
        <v>NO</v>
      </c>
      <c r="AN18" s="533">
        <f>IF(AM18="YES",'2. Inputs'!K18,0)</f>
        <v>0</v>
      </c>
      <c r="AO18" s="533" t="str">
        <f>IF(AM18="Yes",(IFERROR(VLOOKUP('2. Inputs'!J18,'Emission Factors &lt;HIDE&gt;'!$B$46:$C$168,2,0)*'2. Inputs'!K18*'2. Inputs'!S18*'2. Inputs'!U18*0.67,0)+IFERROR(VLOOKUP('2. Inputs'!J18,'Emission Factors &lt;HIDE&gt;'!$B$46:$C$168,2,0)*'2. Inputs'!K18*'2. Inputs'!T18,0))/'Definitions and Conversions'!$C$42,"0")</f>
        <v>0</v>
      </c>
      <c r="AP18" s="532" t="str">
        <f>IF(COUNTIF('Defaults &lt;HIDE&gt;'!$G$11:$G$75,'2. Inputs'!O18)&gt;0, "YES", "NO")</f>
        <v>NO</v>
      </c>
      <c r="AQ18" s="533">
        <f>IF(AP18="YES",'2. Inputs'!N18,0)</f>
        <v>0</v>
      </c>
      <c r="AR18" s="533" t="str">
        <f>IF(AP18="Yes",(IFERROR(VLOOKUP('2. Inputs'!O18,'Emission Factors &lt;HIDE&gt;'!$B$46:$C$168,2,0)*'2. Inputs'!P18*'2. Inputs'!X18*'2. Inputs'!Z18*0.67,0)+IFERROR(VLOOKUP('2. Inputs'!O18,'Emission Factors &lt;HIDE&gt;'!$B$46:$C$168,2,0)*'2. Inputs'!P18*'2. Inputs'!Y18,0))/'Definitions and Conversions'!$C$42,"0")</f>
        <v>0</v>
      </c>
      <c r="AS18" s="533">
        <f t="shared" si="29"/>
        <v>0</v>
      </c>
      <c r="AT18" s="604">
        <f t="shared" si="30"/>
        <v>0</v>
      </c>
      <c r="AV18" s="527" t="str">
        <f t="shared" si="31"/>
        <v/>
      </c>
      <c r="AW18" s="52">
        <f t="shared" si="0"/>
        <v>0</v>
      </c>
      <c r="AX18" s="56">
        <f t="shared" si="1"/>
        <v>0</v>
      </c>
      <c r="AY18" s="56">
        <f t="shared" si="2"/>
        <v>0</v>
      </c>
      <c r="AZ18" s="56">
        <f t="shared" si="3"/>
        <v>0</v>
      </c>
      <c r="BA18" s="56">
        <f t="shared" si="4"/>
        <v>0</v>
      </c>
      <c r="BB18" s="56">
        <f t="shared" si="5"/>
        <v>0</v>
      </c>
      <c r="BC18" s="56">
        <f t="shared" si="6"/>
        <v>0</v>
      </c>
      <c r="BD18" s="56">
        <f t="shared" si="7"/>
        <v>0</v>
      </c>
      <c r="BE18" s="56">
        <f t="shared" si="8"/>
        <v>0</v>
      </c>
      <c r="BF18" s="56">
        <f t="shared" si="9"/>
        <v>0</v>
      </c>
      <c r="BG18" s="56">
        <f t="shared" si="10"/>
        <v>0</v>
      </c>
      <c r="BH18" s="56">
        <f t="shared" si="11"/>
        <v>0</v>
      </c>
      <c r="BI18" s="56">
        <f t="shared" si="12"/>
        <v>0</v>
      </c>
      <c r="BJ18" s="56">
        <f t="shared" si="13"/>
        <v>0</v>
      </c>
      <c r="BK18" s="56">
        <f t="shared" si="14"/>
        <v>0</v>
      </c>
      <c r="BL18" s="56">
        <f t="shared" si="15"/>
        <v>0</v>
      </c>
      <c r="BM18" s="56">
        <f t="shared" si="16"/>
        <v>0</v>
      </c>
      <c r="BN18" s="56">
        <f t="shared" si="17"/>
        <v>0</v>
      </c>
      <c r="BO18" s="591">
        <f t="shared" si="18"/>
        <v>0</v>
      </c>
      <c r="BP18" s="594">
        <f t="shared" si="19"/>
        <v>0</v>
      </c>
      <c r="BQ18" s="56">
        <f t="shared" si="20"/>
        <v>0</v>
      </c>
      <c r="BR18" s="56">
        <f t="shared" si="21"/>
        <v>0</v>
      </c>
      <c r="BS18" s="56">
        <f t="shared" si="32"/>
        <v>0</v>
      </c>
      <c r="BT18" s="56">
        <f t="shared" si="33"/>
        <v>0</v>
      </c>
      <c r="BU18" s="56">
        <f t="shared" si="34"/>
        <v>0</v>
      </c>
      <c r="BV18" s="587">
        <f t="shared" si="35"/>
        <v>0</v>
      </c>
      <c r="BX18" s="527" t="str">
        <f>IF('2. Inputs'!C18='Defaults &lt;HIDE&gt;'!$B$12,"Food Retail",IF('2. Inputs'!C18='Defaults &lt;HIDE&gt;'!$B$13,"Food Retail",IF('2. Inputs'!C18='Defaults &lt;HIDE&gt;'!$B$14,"Industrial",IF('2. Inputs'!C18='Defaults &lt;HIDE&gt;'!$B$15,"Cold Storage",IF('2. Inputs'!C18='Defaults &lt;HIDE&gt;'!$B$16,'Defaults &lt;HIDE&gt;'!$B$16,"")))))</f>
        <v/>
      </c>
      <c r="BY18" s="260">
        <f>'2. Inputs'!G18</f>
        <v>0</v>
      </c>
      <c r="BZ18" s="704" t="str">
        <f>IF('2. Inputs'!I18&gt;=2000,"2000+",IF('2. Inputs'!I18&gt;=200,"200-2000",IF('2. Inputs'!I18&gt;50,"50-200",IF('2. Inputs'!I18&gt;0,"0-50",""))))</f>
        <v/>
      </c>
      <c r="CA18" s="530" t="str" cm="1">
        <f t="array" ref="CA18">IF(BZ18&lt;&gt;"",INDEX(CM:CM,MATCH(1,(CJ:CJ=BX18)*(CK:CK=BY18)*(CL:CL=BZ18),0)),"")</f>
        <v/>
      </c>
      <c r="CB18" s="531" t="str">
        <f>IF('2. Inputs'!K18&gt;=2000,"2000+",IF('2. Inputs'!K18&gt;=200,"200-2000",IF('2. Inputs'!K18&gt;50,"50-200",IF('2. Inputs'!K18&gt;0,"0-50",""))))</f>
        <v/>
      </c>
      <c r="CC18" s="530" t="str" cm="1">
        <f t="array" ref="CC18">IF(CB18&lt;&gt;"",INDEX(CM:CM,MATCH(1,(CJ:CJ=BX18)*(CK:CK=BY18)*(CL:CL=CB18),0)),"")</f>
        <v/>
      </c>
      <c r="CD18" s="529">
        <f>'2. Inputs'!L18</f>
        <v>0</v>
      </c>
      <c r="CE18" s="729" t="str">
        <f>IF('2. Inputs'!L18='Defaults &lt;HIDE&gt;'!$D$15,"0+",IF('2. Inputs'!N18&gt;=2000,"2000+",IF('2. Inputs'!N18&gt;=200,"200-2000",IF('2. Inputs'!N18&gt;50,"50-200",IF('2. Inputs'!N18&gt;0,"0-50","")))))</f>
        <v/>
      </c>
      <c r="CF18" s="530" t="str" cm="1">
        <f t="array" ref="CF18">IF(CE18&lt;&gt;"",INDEX(CM:CM,MATCH(1,(CJ:CJ=BX18)*(CK:CK=CD18)*(CL:CL=CE18),0)),"")</f>
        <v/>
      </c>
      <c r="CG18" s="531" t="str">
        <f>IF('2. Inputs'!P18&gt;=2000,"2000+",IF('2. Inputs'!P18&gt;=200,"200-2000",IF('2. Inputs'!P18&gt;50,"50-200",IF('2. Inputs'!P18&gt;0,"0-50",""))))</f>
        <v/>
      </c>
      <c r="CH18" s="565" t="str" cm="1">
        <f t="array" ref="CH18">IF(CG18&lt;&gt;"",INDEX(CM:CM,MATCH(1,(CJ:CJ=BX18)*(CK:CK=CD18)*(CL:CL=CG18),0)),"")</f>
        <v/>
      </c>
      <c r="CJ18" s="719" t="s">
        <v>634</v>
      </c>
      <c r="CK18" s="720" t="s">
        <v>599</v>
      </c>
      <c r="CL18" s="704" t="s">
        <v>640</v>
      </c>
      <c r="CM18" s="705">
        <v>0.156</v>
      </c>
    </row>
    <row r="19" spans="2:91" ht="15" customHeight="1" x14ac:dyDescent="0.25">
      <c r="B19" s="719" t="str">
        <f>IF('1. Project Info'!L19="","",'1. Project Info'!L19)</f>
        <v/>
      </c>
      <c r="C19" s="720">
        <f>IF('1. Project Info'!S19="","",'1. Project Info'!S19)</f>
        <v>1</v>
      </c>
      <c r="D19" s="52" t="str">
        <f>IF('1. Project Info'!O19="","",'1. Project Info'!O19)</f>
        <v/>
      </c>
      <c r="E19" s="624" t="str">
        <f>IFERROR('2. Inputs'!AD19,"")</f>
        <v/>
      </c>
      <c r="F19" s="621">
        <v>0</v>
      </c>
      <c r="G19" s="53">
        <v>0</v>
      </c>
      <c r="H19" s="53">
        <v>0</v>
      </c>
      <c r="I19" s="53">
        <v>0</v>
      </c>
      <c r="J19" s="53">
        <v>0</v>
      </c>
      <c r="K19" s="53" t="str">
        <f>IFERROR(#REF!*'Emission Factors &lt;HIDE&gt;'!$F$29,"")</f>
        <v/>
      </c>
      <c r="L19" s="53" t="str">
        <f>IFERROR(#REF!*'Emission Factors &lt;HIDE&gt;'!$F$30,"")</f>
        <v/>
      </c>
      <c r="M19" s="53" t="str">
        <f>IFERROR(#REF!*'Emission Factors &lt;HIDE&gt;'!$F$33,"")</f>
        <v/>
      </c>
      <c r="N19" s="53" t="str">
        <f>IFERROR(#REF!*'Emission Factors &lt;HIDE&gt;'!$F$32,"")</f>
        <v/>
      </c>
      <c r="O19" s="53">
        <v>0</v>
      </c>
      <c r="P19" s="53" t="str">
        <f t="shared" si="36"/>
        <v/>
      </c>
      <c r="Q19" s="53" t="str">
        <f t="shared" si="22"/>
        <v/>
      </c>
      <c r="R19" s="53" t="str">
        <f t="shared" si="23"/>
        <v/>
      </c>
      <c r="S19" s="53" t="str">
        <f t="shared" si="24"/>
        <v/>
      </c>
      <c r="T19" s="53">
        <v>0</v>
      </c>
      <c r="U19" s="53" t="str">
        <f>IFERROR(#REF!*'Fuel Prices &lt;HIDE&gt;'!$C$12,"")</f>
        <v/>
      </c>
      <c r="V19" s="54" t="str">
        <f>IFERROR(#REF!,"")</f>
        <v/>
      </c>
      <c r="W19" s="732">
        <f>IF(B19="",W18,'1. Project Info'!P19)</f>
        <v>0</v>
      </c>
      <c r="X19" s="55" t="str">
        <f>IF(AND(W19='Defaults &lt;HIDE&gt;'!$B$12,'2. Inputs'!I19+'2. Inputs'!K19&gt;50),1400,IF(AND(W19='Defaults &lt;HIDE&gt;'!$B$13,'2. Inputs'!I19+'2. Inputs'!K19&gt;50),1400,IF(W19='Defaults &lt;HIDE&gt;'!$B$14,2200,IF(W19='Defaults &lt;HIDE&gt;'!$B$15,1391,IF(W19='Defaults &lt;HIDE&gt;'!$B$16,"-","-")))))</f>
        <v>-</v>
      </c>
      <c r="Y19" s="53" t="str">
        <f>IFERROR(IF(X19="-","N/A",'2. Inputs'!AB19),"")</f>
        <v>N/A</v>
      </c>
      <c r="Z19" s="55" t="str">
        <f t="shared" si="25"/>
        <v>N/A</v>
      </c>
      <c r="AA19" s="629" t="str">
        <f t="shared" si="26"/>
        <v>N/A</v>
      </c>
      <c r="AB19" s="627" t="str">
        <f>IF(COUNTIF('Defaults &lt;HIDE&gt;'!$G$78:$G$106,'2. Inputs'!H19)&gt;0, "YES", "NO")</f>
        <v>NO</v>
      </c>
      <c r="AC19" s="553">
        <f>IF(AB19="YES",'2. Inputs'!I19,0)</f>
        <v>0</v>
      </c>
      <c r="AD19" s="553" t="str">
        <f>IF(AB19="Yes",(IFERROR(VLOOKUP('2. Inputs'!H19,'Emission Factors &lt;HIDE&gt;'!$B$46:$C$168,2,0)*'2. Inputs'!I19*'2. Inputs'!Q19*'2. Inputs'!U19,0)+IFERROR(VLOOKUP('2. Inputs'!H19,'Emission Factors &lt;HIDE&gt;'!$B$46:$C$168,2,0)*'2. Inputs'!I19*'2. Inputs'!R19,0))/'Definitions and Conversions'!$C$42,"0")</f>
        <v>0</v>
      </c>
      <c r="AE19" s="55" t="str">
        <f>IF(COUNTIF('Defaults &lt;HIDE&gt;'!$G$78:$G$106,'2. Inputs'!J19)&gt;0, "YES", "NO")</f>
        <v>NO</v>
      </c>
      <c r="AF19" s="553">
        <f>IF(AB19="YES",'2. Inputs'!K19,0)</f>
        <v>0</v>
      </c>
      <c r="AG19" s="553" t="str">
        <f>IF(AE19="Yes",(IFERROR(VLOOKUP('2. Inputs'!J19,'Emission Factors &lt;HIDE&gt;'!$B$46:$C$168,2,0)*'2. Inputs'!K19*'2. Inputs'!S19*'2. Inputs'!U19*0.67,0)+IFERROR(VLOOKUP('2. Inputs'!J19,'Emission Factors &lt;HIDE&gt;'!$B$46:$C$168,2,0)*'2. Inputs'!K19*'2. Inputs'!T19,0))/'Definitions and Conversions'!$C$42,"0")</f>
        <v>0</v>
      </c>
      <c r="AH19" s="553">
        <f t="shared" si="27"/>
        <v>0</v>
      </c>
      <c r="AI19" s="633">
        <f t="shared" si="28"/>
        <v>0</v>
      </c>
      <c r="AJ19" s="631" t="str">
        <f>IF(COUNTIF('Defaults &lt;HIDE&gt;'!$G$11:$G$75,'2. Inputs'!H19)&gt;0, "YES", "NO")</f>
        <v>NO</v>
      </c>
      <c r="AK19" s="533">
        <f>IF(AJ19="YES",'2. Inputs'!I19,0)</f>
        <v>0</v>
      </c>
      <c r="AL19" s="533" t="str">
        <f>IF(AJ19="Yes",(IFERROR(VLOOKUP('2. Inputs'!H19,'Emission Factors &lt;HIDE&gt;'!$B$46:$C$168,2,0)*'2. Inputs'!I19*'2. Inputs'!Q19*'2. Inputs'!U19,0)+IFERROR(VLOOKUP('2. Inputs'!H19,'Emission Factors &lt;HIDE&gt;'!$B$46:$C$168,2,0)*'2. Inputs'!I19*'2. Inputs'!R19,0))/'Definitions and Conversions'!$C$42,"0")</f>
        <v>0</v>
      </c>
      <c r="AM19" s="532" t="str">
        <f>IF(COUNTIF('Defaults &lt;HIDE&gt;'!$G$11:$G$75,'2. Inputs'!J19)&gt;0, "YES", "NO")</f>
        <v>NO</v>
      </c>
      <c r="AN19" s="533">
        <f>IF(AM19="YES",'2. Inputs'!K19,0)</f>
        <v>0</v>
      </c>
      <c r="AO19" s="533" t="str">
        <f>IF(AM19="Yes",(IFERROR(VLOOKUP('2. Inputs'!J19,'Emission Factors &lt;HIDE&gt;'!$B$46:$C$168,2,0)*'2. Inputs'!K19*'2. Inputs'!S19*'2. Inputs'!U19*0.67,0)+IFERROR(VLOOKUP('2. Inputs'!J19,'Emission Factors &lt;HIDE&gt;'!$B$46:$C$168,2,0)*'2. Inputs'!K19*'2. Inputs'!T19,0))/'Definitions and Conversions'!$C$42,"0")</f>
        <v>0</v>
      </c>
      <c r="AP19" s="532" t="str">
        <f>IF(COUNTIF('Defaults &lt;HIDE&gt;'!$G$11:$G$75,'2. Inputs'!O19)&gt;0, "YES", "NO")</f>
        <v>NO</v>
      </c>
      <c r="AQ19" s="533">
        <f>IF(AP19="YES",'2. Inputs'!N19,0)</f>
        <v>0</v>
      </c>
      <c r="AR19" s="533" t="str">
        <f>IF(AP19="Yes",(IFERROR(VLOOKUP('2. Inputs'!O19,'Emission Factors &lt;HIDE&gt;'!$B$46:$C$168,2,0)*'2. Inputs'!P19*'2. Inputs'!X19*'2. Inputs'!Z19*0.67,0)+IFERROR(VLOOKUP('2. Inputs'!O19,'Emission Factors &lt;HIDE&gt;'!$B$46:$C$168,2,0)*'2. Inputs'!P19*'2. Inputs'!Y19,0))/'Definitions and Conversions'!$C$42,"0")</f>
        <v>0</v>
      </c>
      <c r="AS19" s="533">
        <f t="shared" si="29"/>
        <v>0</v>
      </c>
      <c r="AT19" s="604">
        <f t="shared" si="30"/>
        <v>0</v>
      </c>
      <c r="AV19" s="527" t="str">
        <f t="shared" si="31"/>
        <v/>
      </c>
      <c r="AW19" s="52">
        <f t="shared" si="0"/>
        <v>0</v>
      </c>
      <c r="AX19" s="56">
        <f t="shared" si="1"/>
        <v>0</v>
      </c>
      <c r="AY19" s="56">
        <f t="shared" si="2"/>
        <v>0</v>
      </c>
      <c r="AZ19" s="56">
        <f t="shared" si="3"/>
        <v>0</v>
      </c>
      <c r="BA19" s="56">
        <f t="shared" si="4"/>
        <v>0</v>
      </c>
      <c r="BB19" s="56">
        <f t="shared" si="5"/>
        <v>0</v>
      </c>
      <c r="BC19" s="56">
        <f t="shared" si="6"/>
        <v>0</v>
      </c>
      <c r="BD19" s="56">
        <f t="shared" si="7"/>
        <v>0</v>
      </c>
      <c r="BE19" s="56">
        <f t="shared" si="8"/>
        <v>0</v>
      </c>
      <c r="BF19" s="56">
        <f t="shared" si="9"/>
        <v>0</v>
      </c>
      <c r="BG19" s="56">
        <f t="shared" si="10"/>
        <v>0</v>
      </c>
      <c r="BH19" s="56">
        <f t="shared" si="11"/>
        <v>0</v>
      </c>
      <c r="BI19" s="56">
        <f t="shared" si="12"/>
        <v>0</v>
      </c>
      <c r="BJ19" s="56">
        <f t="shared" si="13"/>
        <v>0</v>
      </c>
      <c r="BK19" s="56">
        <f t="shared" si="14"/>
        <v>0</v>
      </c>
      <c r="BL19" s="56">
        <f t="shared" si="15"/>
        <v>0</v>
      </c>
      <c r="BM19" s="56">
        <f t="shared" si="16"/>
        <v>0</v>
      </c>
      <c r="BN19" s="56">
        <f t="shared" si="17"/>
        <v>0</v>
      </c>
      <c r="BO19" s="591">
        <f t="shared" si="18"/>
        <v>0</v>
      </c>
      <c r="BP19" s="594">
        <f t="shared" si="19"/>
        <v>0</v>
      </c>
      <c r="BQ19" s="56">
        <f t="shared" si="20"/>
        <v>0</v>
      </c>
      <c r="BR19" s="56">
        <f t="shared" si="21"/>
        <v>0</v>
      </c>
      <c r="BS19" s="56">
        <f t="shared" si="32"/>
        <v>0</v>
      </c>
      <c r="BT19" s="56">
        <f t="shared" si="33"/>
        <v>0</v>
      </c>
      <c r="BU19" s="56">
        <f t="shared" si="34"/>
        <v>0</v>
      </c>
      <c r="BV19" s="587">
        <f t="shared" si="35"/>
        <v>0</v>
      </c>
      <c r="BX19" s="527" t="str">
        <f>IF('2. Inputs'!C19='Defaults &lt;HIDE&gt;'!$B$12,"Food Retail",IF('2. Inputs'!C19='Defaults &lt;HIDE&gt;'!$B$13,"Food Retail",IF('2. Inputs'!C19='Defaults &lt;HIDE&gt;'!$B$14,"Industrial",IF('2. Inputs'!C19='Defaults &lt;HIDE&gt;'!$B$15,"Cold Storage",IF('2. Inputs'!C19='Defaults &lt;HIDE&gt;'!$B$16,'Defaults &lt;HIDE&gt;'!$B$16,"")))))</f>
        <v/>
      </c>
      <c r="BY19" s="260">
        <f>'2. Inputs'!G19</f>
        <v>0</v>
      </c>
      <c r="BZ19" s="704" t="str">
        <f>IF('2. Inputs'!I19&gt;=2000,"2000+",IF('2. Inputs'!I19&gt;=200,"200-2000",IF('2. Inputs'!I19&gt;50,"50-200",IF('2. Inputs'!I19&gt;0,"0-50",""))))</f>
        <v/>
      </c>
      <c r="CA19" s="530" t="str" cm="1">
        <f t="array" ref="CA19">IF(BZ19&lt;&gt;"",INDEX(CM:CM,MATCH(1,(CJ:CJ=BX19)*(CK:CK=BY19)*(CL:CL=BZ19),0)),"")</f>
        <v/>
      </c>
      <c r="CB19" s="531" t="str">
        <f>IF('2. Inputs'!K19&gt;=2000,"2000+",IF('2. Inputs'!K19&gt;=200,"200-2000",IF('2. Inputs'!K19&gt;50,"50-200",IF('2. Inputs'!K19&gt;0,"0-50",""))))</f>
        <v/>
      </c>
      <c r="CC19" s="530" t="str" cm="1">
        <f t="array" ref="CC19">IF(CB19&lt;&gt;"",INDEX(CM:CM,MATCH(1,(CJ:CJ=BX19)*(CK:CK=BY19)*(CL:CL=CB19),0)),"")</f>
        <v/>
      </c>
      <c r="CD19" s="529">
        <f>'2. Inputs'!L19</f>
        <v>0</v>
      </c>
      <c r="CE19" s="729" t="str">
        <f>IF('2. Inputs'!L19='Defaults &lt;HIDE&gt;'!$D$15,"0+",IF('2. Inputs'!N19&gt;=2000,"2000+",IF('2. Inputs'!N19&gt;=200,"200-2000",IF('2. Inputs'!N19&gt;50,"50-200",IF('2. Inputs'!N19&gt;0,"0-50","")))))</f>
        <v/>
      </c>
      <c r="CF19" s="530" t="str" cm="1">
        <f t="array" ref="CF19">IF(CE19&lt;&gt;"",INDEX(CM:CM,MATCH(1,(CJ:CJ=BX19)*(CK:CK=CD19)*(CL:CL=CE19),0)),"")</f>
        <v/>
      </c>
      <c r="CG19" s="531" t="str">
        <f>IF('2. Inputs'!P19&gt;=2000,"2000+",IF('2. Inputs'!P19&gt;=200,"200-2000",IF('2. Inputs'!P19&gt;50,"50-200",IF('2. Inputs'!P19&gt;0,"0-50",""))))</f>
        <v/>
      </c>
      <c r="CH19" s="565" t="str" cm="1">
        <f t="array" ref="CH19">IF(CG19&lt;&gt;"",INDEX(CM:CM,MATCH(1,(CJ:CJ=BX19)*(CK:CK=CD19)*(CL:CL=CG19),0)),"")</f>
        <v/>
      </c>
      <c r="CJ19" s="719" t="s">
        <v>634</v>
      </c>
      <c r="CK19" s="720" t="s">
        <v>600</v>
      </c>
      <c r="CL19" s="704" t="s">
        <v>637</v>
      </c>
      <c r="CM19" s="705">
        <v>0.15</v>
      </c>
    </row>
    <row r="20" spans="2:91" ht="15" customHeight="1" x14ac:dyDescent="0.25">
      <c r="B20" s="719" t="str">
        <f>IF('1. Project Info'!L20="","",'1. Project Info'!L20)</f>
        <v/>
      </c>
      <c r="C20" s="720">
        <f>IF('1. Project Info'!S20="","",'1. Project Info'!S20)</f>
        <v>1</v>
      </c>
      <c r="D20" s="52" t="str">
        <f>IF('1. Project Info'!O20="","",'1. Project Info'!O20)</f>
        <v/>
      </c>
      <c r="E20" s="624" t="str">
        <f>IFERROR('2. Inputs'!AD20,"")</f>
        <v/>
      </c>
      <c r="F20" s="621">
        <v>0</v>
      </c>
      <c r="G20" s="53">
        <v>0</v>
      </c>
      <c r="H20" s="53">
        <v>0</v>
      </c>
      <c r="I20" s="53">
        <v>0</v>
      </c>
      <c r="J20" s="53">
        <v>0</v>
      </c>
      <c r="K20" s="53" t="str">
        <f>IFERROR(#REF!*'Emission Factors &lt;HIDE&gt;'!$F$29,"")</f>
        <v/>
      </c>
      <c r="L20" s="53" t="str">
        <f>IFERROR(#REF!*'Emission Factors &lt;HIDE&gt;'!$F$30,"")</f>
        <v/>
      </c>
      <c r="M20" s="53" t="str">
        <f>IFERROR(#REF!*'Emission Factors &lt;HIDE&gt;'!$F$33,"")</f>
        <v/>
      </c>
      <c r="N20" s="53" t="str">
        <f>IFERROR(#REF!*'Emission Factors &lt;HIDE&gt;'!$F$32,"")</f>
        <v/>
      </c>
      <c r="O20" s="53">
        <v>0</v>
      </c>
      <c r="P20" s="53" t="str">
        <f t="shared" si="36"/>
        <v/>
      </c>
      <c r="Q20" s="53" t="str">
        <f t="shared" si="22"/>
        <v/>
      </c>
      <c r="R20" s="53" t="str">
        <f t="shared" si="23"/>
        <v/>
      </c>
      <c r="S20" s="53" t="str">
        <f t="shared" si="24"/>
        <v/>
      </c>
      <c r="T20" s="53">
        <v>0</v>
      </c>
      <c r="U20" s="53" t="str">
        <f>IFERROR(#REF!*'Fuel Prices &lt;HIDE&gt;'!$C$12,"")</f>
        <v/>
      </c>
      <c r="V20" s="54" t="str">
        <f>IFERROR(#REF!,"")</f>
        <v/>
      </c>
      <c r="W20" s="732">
        <f>IF(B20="",W19,'1. Project Info'!P20)</f>
        <v>0</v>
      </c>
      <c r="X20" s="55" t="str">
        <f>IF(AND(W20='Defaults &lt;HIDE&gt;'!$B$12,'2. Inputs'!I20+'2. Inputs'!K20&gt;50),1400,IF(AND(W20='Defaults &lt;HIDE&gt;'!$B$13,'2. Inputs'!I20+'2. Inputs'!K20&gt;50),1400,IF(W20='Defaults &lt;HIDE&gt;'!$B$14,2200,IF(W20='Defaults &lt;HIDE&gt;'!$B$15,1391,IF(W20='Defaults &lt;HIDE&gt;'!$B$16,"-","-")))))</f>
        <v>-</v>
      </c>
      <c r="Y20" s="53" t="str">
        <f>IFERROR(IF(X20="-","N/A",'2. Inputs'!AB20),"")</f>
        <v>N/A</v>
      </c>
      <c r="Z20" s="55" t="str">
        <f t="shared" si="25"/>
        <v>N/A</v>
      </c>
      <c r="AA20" s="629" t="str">
        <f t="shared" si="26"/>
        <v>N/A</v>
      </c>
      <c r="AB20" s="627" t="str">
        <f>IF(COUNTIF('Defaults &lt;HIDE&gt;'!$G$78:$G$106,'2. Inputs'!H20)&gt;0, "YES", "NO")</f>
        <v>NO</v>
      </c>
      <c r="AC20" s="553">
        <f>IF(AB20="YES",'2. Inputs'!I20,0)</f>
        <v>0</v>
      </c>
      <c r="AD20" s="553" t="str">
        <f>IF(AB20="Yes",(IFERROR(VLOOKUP('2. Inputs'!H20,'Emission Factors &lt;HIDE&gt;'!$B$46:$C$168,2,0)*'2. Inputs'!I20*'2. Inputs'!Q20*'2. Inputs'!U20,0)+IFERROR(VLOOKUP('2. Inputs'!H20,'Emission Factors &lt;HIDE&gt;'!$B$46:$C$168,2,0)*'2. Inputs'!I20*'2. Inputs'!R20,0))/'Definitions and Conversions'!$C$42,"0")</f>
        <v>0</v>
      </c>
      <c r="AE20" s="55" t="str">
        <f>IF(COUNTIF('Defaults &lt;HIDE&gt;'!$G$78:$G$106,'2. Inputs'!J20)&gt;0, "YES", "NO")</f>
        <v>NO</v>
      </c>
      <c r="AF20" s="553">
        <f>IF(AB20="YES",'2. Inputs'!K20,0)</f>
        <v>0</v>
      </c>
      <c r="AG20" s="553" t="str">
        <f>IF(AE20="Yes",(IFERROR(VLOOKUP('2. Inputs'!J20,'Emission Factors &lt;HIDE&gt;'!$B$46:$C$168,2,0)*'2. Inputs'!K20*'2. Inputs'!S20*'2. Inputs'!U20*0.67,0)+IFERROR(VLOOKUP('2. Inputs'!J20,'Emission Factors &lt;HIDE&gt;'!$B$46:$C$168,2,0)*'2. Inputs'!K20*'2. Inputs'!T20,0))/'Definitions and Conversions'!$C$42,"0")</f>
        <v>0</v>
      </c>
      <c r="AH20" s="553">
        <f t="shared" si="27"/>
        <v>0</v>
      </c>
      <c r="AI20" s="633">
        <f t="shared" si="28"/>
        <v>0</v>
      </c>
      <c r="AJ20" s="631" t="str">
        <f>IF(COUNTIF('Defaults &lt;HIDE&gt;'!$G$11:$G$75,'2. Inputs'!H20)&gt;0, "YES", "NO")</f>
        <v>NO</v>
      </c>
      <c r="AK20" s="533">
        <f>IF(AJ20="YES",'2. Inputs'!I20,0)</f>
        <v>0</v>
      </c>
      <c r="AL20" s="533" t="str">
        <f>IF(AJ20="Yes",(IFERROR(VLOOKUP('2. Inputs'!H20,'Emission Factors &lt;HIDE&gt;'!$B$46:$C$168,2,0)*'2. Inputs'!I20*'2. Inputs'!Q20*'2. Inputs'!U20,0)+IFERROR(VLOOKUP('2. Inputs'!H20,'Emission Factors &lt;HIDE&gt;'!$B$46:$C$168,2,0)*'2. Inputs'!I20*'2. Inputs'!R20,0))/'Definitions and Conversions'!$C$42,"0")</f>
        <v>0</v>
      </c>
      <c r="AM20" s="532" t="str">
        <f>IF(COUNTIF('Defaults &lt;HIDE&gt;'!$G$11:$G$75,'2. Inputs'!J20)&gt;0, "YES", "NO")</f>
        <v>NO</v>
      </c>
      <c r="AN20" s="533">
        <f>IF(AM20="YES",'2. Inputs'!K20,0)</f>
        <v>0</v>
      </c>
      <c r="AO20" s="533" t="str">
        <f>IF(AM20="Yes",(IFERROR(VLOOKUP('2. Inputs'!J20,'Emission Factors &lt;HIDE&gt;'!$B$46:$C$168,2,0)*'2. Inputs'!K20*'2. Inputs'!S20*'2. Inputs'!U20*0.67,0)+IFERROR(VLOOKUP('2. Inputs'!J20,'Emission Factors &lt;HIDE&gt;'!$B$46:$C$168,2,0)*'2. Inputs'!K20*'2. Inputs'!T20,0))/'Definitions and Conversions'!$C$42,"0")</f>
        <v>0</v>
      </c>
      <c r="AP20" s="532" t="str">
        <f>IF(COUNTIF('Defaults &lt;HIDE&gt;'!$G$11:$G$75,'2. Inputs'!O20)&gt;0, "YES", "NO")</f>
        <v>NO</v>
      </c>
      <c r="AQ20" s="533">
        <f>IF(AP20="YES",'2. Inputs'!N20,0)</f>
        <v>0</v>
      </c>
      <c r="AR20" s="533" t="str">
        <f>IF(AP20="Yes",(IFERROR(VLOOKUP('2. Inputs'!O20,'Emission Factors &lt;HIDE&gt;'!$B$46:$C$168,2,0)*'2. Inputs'!P20*'2. Inputs'!X20*'2. Inputs'!Z20*0.67,0)+IFERROR(VLOOKUP('2. Inputs'!O20,'Emission Factors &lt;HIDE&gt;'!$B$46:$C$168,2,0)*'2. Inputs'!P20*'2. Inputs'!Y20,0))/'Definitions and Conversions'!$C$42,"0")</f>
        <v>0</v>
      </c>
      <c r="AS20" s="533">
        <f t="shared" si="29"/>
        <v>0</v>
      </c>
      <c r="AT20" s="604">
        <f t="shared" si="30"/>
        <v>0</v>
      </c>
      <c r="AV20" s="527" t="str">
        <f t="shared" si="31"/>
        <v/>
      </c>
      <c r="AW20" s="52">
        <f t="shared" si="0"/>
        <v>0</v>
      </c>
      <c r="AX20" s="56">
        <f t="shared" si="1"/>
        <v>0</v>
      </c>
      <c r="AY20" s="56">
        <f t="shared" si="2"/>
        <v>0</v>
      </c>
      <c r="AZ20" s="56">
        <f t="shared" si="3"/>
        <v>0</v>
      </c>
      <c r="BA20" s="56">
        <f t="shared" si="4"/>
        <v>0</v>
      </c>
      <c r="BB20" s="56">
        <f t="shared" si="5"/>
        <v>0</v>
      </c>
      <c r="BC20" s="56">
        <f t="shared" si="6"/>
        <v>0</v>
      </c>
      <c r="BD20" s="56">
        <f t="shared" si="7"/>
        <v>0</v>
      </c>
      <c r="BE20" s="56">
        <f t="shared" si="8"/>
        <v>0</v>
      </c>
      <c r="BF20" s="56">
        <f t="shared" si="9"/>
        <v>0</v>
      </c>
      <c r="BG20" s="56">
        <f t="shared" si="10"/>
        <v>0</v>
      </c>
      <c r="BH20" s="56">
        <f t="shared" si="11"/>
        <v>0</v>
      </c>
      <c r="BI20" s="56">
        <f t="shared" si="12"/>
        <v>0</v>
      </c>
      <c r="BJ20" s="56">
        <f t="shared" si="13"/>
        <v>0</v>
      </c>
      <c r="BK20" s="56">
        <f t="shared" si="14"/>
        <v>0</v>
      </c>
      <c r="BL20" s="56">
        <f t="shared" si="15"/>
        <v>0</v>
      </c>
      <c r="BM20" s="56">
        <f t="shared" si="16"/>
        <v>0</v>
      </c>
      <c r="BN20" s="56">
        <f t="shared" si="17"/>
        <v>0</v>
      </c>
      <c r="BO20" s="591">
        <f t="shared" si="18"/>
        <v>0</v>
      </c>
      <c r="BP20" s="594">
        <f t="shared" si="19"/>
        <v>0</v>
      </c>
      <c r="BQ20" s="56">
        <f t="shared" si="20"/>
        <v>0</v>
      </c>
      <c r="BR20" s="56">
        <f t="shared" si="21"/>
        <v>0</v>
      </c>
      <c r="BS20" s="56">
        <f t="shared" si="32"/>
        <v>0</v>
      </c>
      <c r="BT20" s="56">
        <f t="shared" si="33"/>
        <v>0</v>
      </c>
      <c r="BU20" s="56">
        <f t="shared" si="34"/>
        <v>0</v>
      </c>
      <c r="BV20" s="587">
        <f t="shared" si="35"/>
        <v>0</v>
      </c>
      <c r="BX20" s="527" t="str">
        <f>IF('2. Inputs'!C20='Defaults &lt;HIDE&gt;'!$B$12,"Food Retail",IF('2. Inputs'!C20='Defaults &lt;HIDE&gt;'!$B$13,"Food Retail",IF('2. Inputs'!C20='Defaults &lt;HIDE&gt;'!$B$14,"Industrial",IF('2. Inputs'!C20='Defaults &lt;HIDE&gt;'!$B$15,"Cold Storage",IF('2. Inputs'!C20='Defaults &lt;HIDE&gt;'!$B$16,'Defaults &lt;HIDE&gt;'!$B$16,"")))))</f>
        <v/>
      </c>
      <c r="BY20" s="260">
        <f>'2. Inputs'!G20</f>
        <v>0</v>
      </c>
      <c r="BZ20" s="704" t="str">
        <f>IF('2. Inputs'!I20&gt;=2000,"2000+",IF('2. Inputs'!I20&gt;=200,"200-2000",IF('2. Inputs'!I20&gt;50,"50-200",IF('2. Inputs'!I20&gt;0,"0-50",""))))</f>
        <v/>
      </c>
      <c r="CA20" s="530" t="str" cm="1">
        <f t="array" ref="CA20">IF(BZ20&lt;&gt;"",INDEX(CM:CM,MATCH(1,(CJ:CJ=BX20)*(CK:CK=BY20)*(CL:CL=BZ20),0)),"")</f>
        <v/>
      </c>
      <c r="CB20" s="531" t="str">
        <f>IF('2. Inputs'!K20&gt;=2000,"2000+",IF('2. Inputs'!K20&gt;=200,"200-2000",IF('2. Inputs'!K20&gt;50,"50-200",IF('2. Inputs'!K20&gt;0,"0-50",""))))</f>
        <v/>
      </c>
      <c r="CC20" s="530" t="str" cm="1">
        <f t="array" ref="CC20">IF(CB20&lt;&gt;"",INDEX(CM:CM,MATCH(1,(CJ:CJ=BX20)*(CK:CK=BY20)*(CL:CL=CB20),0)),"")</f>
        <v/>
      </c>
      <c r="CD20" s="529">
        <f>'2. Inputs'!L20</f>
        <v>0</v>
      </c>
      <c r="CE20" s="729" t="str">
        <f>IF('2. Inputs'!L20='Defaults &lt;HIDE&gt;'!$D$15,"0+",IF('2. Inputs'!N20&gt;=2000,"2000+",IF('2. Inputs'!N20&gt;=200,"200-2000",IF('2. Inputs'!N20&gt;50,"50-200",IF('2. Inputs'!N20&gt;0,"0-50","")))))</f>
        <v/>
      </c>
      <c r="CF20" s="530" t="str" cm="1">
        <f t="array" ref="CF20">IF(CE20&lt;&gt;"",INDEX(CM:CM,MATCH(1,(CJ:CJ=BX20)*(CK:CK=CD20)*(CL:CL=CE20),0)),"")</f>
        <v/>
      </c>
      <c r="CG20" s="531" t="str">
        <f>IF('2. Inputs'!P20&gt;=2000,"2000+",IF('2. Inputs'!P20&gt;=200,"200-2000",IF('2. Inputs'!P20&gt;50,"50-200",IF('2. Inputs'!P20&gt;0,"0-50",""))))</f>
        <v/>
      </c>
      <c r="CH20" s="565" t="str" cm="1">
        <f t="array" ref="CH20">IF(CG20&lt;&gt;"",INDEX(CM:CM,MATCH(1,(CJ:CJ=BX20)*(CK:CK=CD20)*(CL:CL=CG20),0)),"")</f>
        <v/>
      </c>
      <c r="CJ20" s="719" t="s">
        <v>634</v>
      </c>
      <c r="CK20" s="720" t="s">
        <v>600</v>
      </c>
      <c r="CL20" s="704" t="s">
        <v>638</v>
      </c>
      <c r="CM20" s="705">
        <v>0.156</v>
      </c>
    </row>
    <row r="21" spans="2:91" ht="15" customHeight="1" x14ac:dyDescent="0.25">
      <c r="B21" s="719" t="str">
        <f>IF('1. Project Info'!L21="","",'1. Project Info'!L21)</f>
        <v/>
      </c>
      <c r="C21" s="720">
        <f>IF('1. Project Info'!S21="","",'1. Project Info'!S21)</f>
        <v>1</v>
      </c>
      <c r="D21" s="52" t="str">
        <f>IF('1. Project Info'!O21="","",'1. Project Info'!O21)</f>
        <v/>
      </c>
      <c r="E21" s="624" t="str">
        <f>IFERROR('2. Inputs'!AD21,"")</f>
        <v/>
      </c>
      <c r="F21" s="621">
        <v>0</v>
      </c>
      <c r="G21" s="53">
        <v>0</v>
      </c>
      <c r="H21" s="53">
        <v>0</v>
      </c>
      <c r="I21" s="53">
        <v>0</v>
      </c>
      <c r="J21" s="53">
        <v>0</v>
      </c>
      <c r="K21" s="53" t="str">
        <f>IFERROR(#REF!*'Emission Factors &lt;HIDE&gt;'!$F$29,"")</f>
        <v/>
      </c>
      <c r="L21" s="53" t="str">
        <f>IFERROR(#REF!*'Emission Factors &lt;HIDE&gt;'!$F$30,"")</f>
        <v/>
      </c>
      <c r="M21" s="53" t="str">
        <f>IFERROR(#REF!*'Emission Factors &lt;HIDE&gt;'!$F$33,"")</f>
        <v/>
      </c>
      <c r="N21" s="53" t="str">
        <f>IFERROR(#REF!*'Emission Factors &lt;HIDE&gt;'!$F$32,"")</f>
        <v/>
      </c>
      <c r="O21" s="53">
        <v>0</v>
      </c>
      <c r="P21" s="53" t="str">
        <f t="shared" si="36"/>
        <v/>
      </c>
      <c r="Q21" s="53" t="str">
        <f t="shared" si="22"/>
        <v/>
      </c>
      <c r="R21" s="53" t="str">
        <f t="shared" si="23"/>
        <v/>
      </c>
      <c r="S21" s="53" t="str">
        <f t="shared" si="24"/>
        <v/>
      </c>
      <c r="T21" s="53">
        <v>0</v>
      </c>
      <c r="U21" s="53" t="str">
        <f>IFERROR(#REF!*'Fuel Prices &lt;HIDE&gt;'!$C$12,"")</f>
        <v/>
      </c>
      <c r="V21" s="54" t="str">
        <f>IFERROR(#REF!,"")</f>
        <v/>
      </c>
      <c r="W21" s="732">
        <f>IF(B21="",W20,'1. Project Info'!P21)</f>
        <v>0</v>
      </c>
      <c r="X21" s="55" t="str">
        <f>IF(AND(W21='Defaults &lt;HIDE&gt;'!$B$12,'2. Inputs'!I21+'2. Inputs'!K21&gt;50),1400,IF(AND(W21='Defaults &lt;HIDE&gt;'!$B$13,'2. Inputs'!I21+'2. Inputs'!K21&gt;50),1400,IF(W21='Defaults &lt;HIDE&gt;'!$B$14,2200,IF(W21='Defaults &lt;HIDE&gt;'!$B$15,1391,IF(W21='Defaults &lt;HIDE&gt;'!$B$16,"-","-")))))</f>
        <v>-</v>
      </c>
      <c r="Y21" s="53" t="str">
        <f>IFERROR(IF(X21="-","N/A",'2. Inputs'!AB21),"")</f>
        <v>N/A</v>
      </c>
      <c r="Z21" s="55" t="str">
        <f t="shared" si="25"/>
        <v>N/A</v>
      </c>
      <c r="AA21" s="629" t="str">
        <f t="shared" si="26"/>
        <v>N/A</v>
      </c>
      <c r="AB21" s="627" t="str">
        <f>IF(COUNTIF('Defaults &lt;HIDE&gt;'!$G$78:$G$106,'2. Inputs'!H21)&gt;0, "YES", "NO")</f>
        <v>NO</v>
      </c>
      <c r="AC21" s="553">
        <f>IF(AB21="YES",'2. Inputs'!I21,0)</f>
        <v>0</v>
      </c>
      <c r="AD21" s="553" t="str">
        <f>IF(AB21="Yes",(IFERROR(VLOOKUP('2. Inputs'!H21,'Emission Factors &lt;HIDE&gt;'!$B$46:$C$168,2,0)*'2. Inputs'!I21*'2. Inputs'!Q21*'2. Inputs'!U21,0)+IFERROR(VLOOKUP('2. Inputs'!H21,'Emission Factors &lt;HIDE&gt;'!$B$46:$C$168,2,0)*'2. Inputs'!I21*'2. Inputs'!R21,0))/'Definitions and Conversions'!$C$42,"0")</f>
        <v>0</v>
      </c>
      <c r="AE21" s="55" t="str">
        <f>IF(COUNTIF('Defaults &lt;HIDE&gt;'!$G$78:$G$106,'2. Inputs'!J21)&gt;0, "YES", "NO")</f>
        <v>NO</v>
      </c>
      <c r="AF21" s="553">
        <f>IF(AB21="YES",'2. Inputs'!K21,0)</f>
        <v>0</v>
      </c>
      <c r="AG21" s="553" t="str">
        <f>IF(AE21="Yes",(IFERROR(VLOOKUP('2. Inputs'!J21,'Emission Factors &lt;HIDE&gt;'!$B$46:$C$168,2,0)*'2. Inputs'!K21*'2. Inputs'!S21*'2. Inputs'!U21*0.67,0)+IFERROR(VLOOKUP('2. Inputs'!J21,'Emission Factors &lt;HIDE&gt;'!$B$46:$C$168,2,0)*'2. Inputs'!K21*'2. Inputs'!T21,0))/'Definitions and Conversions'!$C$42,"0")</f>
        <v>0</v>
      </c>
      <c r="AH21" s="553">
        <f t="shared" si="27"/>
        <v>0</v>
      </c>
      <c r="AI21" s="633">
        <f t="shared" si="28"/>
        <v>0</v>
      </c>
      <c r="AJ21" s="631" t="str">
        <f>IF(COUNTIF('Defaults &lt;HIDE&gt;'!$G$11:$G$75,'2. Inputs'!H21)&gt;0, "YES", "NO")</f>
        <v>NO</v>
      </c>
      <c r="AK21" s="533">
        <f>IF(AJ21="YES",'2. Inputs'!I21,0)</f>
        <v>0</v>
      </c>
      <c r="AL21" s="533" t="str">
        <f>IF(AJ21="Yes",(IFERROR(VLOOKUP('2. Inputs'!H21,'Emission Factors &lt;HIDE&gt;'!$B$46:$C$168,2,0)*'2. Inputs'!I21*'2. Inputs'!Q21*'2. Inputs'!U21,0)+IFERROR(VLOOKUP('2. Inputs'!H21,'Emission Factors &lt;HIDE&gt;'!$B$46:$C$168,2,0)*'2. Inputs'!I21*'2. Inputs'!R21,0))/'Definitions and Conversions'!$C$42,"0")</f>
        <v>0</v>
      </c>
      <c r="AM21" s="532" t="str">
        <f>IF(COUNTIF('Defaults &lt;HIDE&gt;'!$G$11:$G$75,'2. Inputs'!J21)&gt;0, "YES", "NO")</f>
        <v>NO</v>
      </c>
      <c r="AN21" s="533">
        <f>IF(AM21="YES",'2. Inputs'!K21,0)</f>
        <v>0</v>
      </c>
      <c r="AO21" s="533" t="str">
        <f>IF(AM21="Yes",(IFERROR(VLOOKUP('2. Inputs'!J21,'Emission Factors &lt;HIDE&gt;'!$B$46:$C$168,2,0)*'2. Inputs'!K21*'2. Inputs'!S21*'2. Inputs'!U21*0.67,0)+IFERROR(VLOOKUP('2. Inputs'!J21,'Emission Factors &lt;HIDE&gt;'!$B$46:$C$168,2,0)*'2. Inputs'!K21*'2. Inputs'!T21,0))/'Definitions and Conversions'!$C$42,"0")</f>
        <v>0</v>
      </c>
      <c r="AP21" s="532" t="str">
        <f>IF(COUNTIF('Defaults &lt;HIDE&gt;'!$G$11:$G$75,'2. Inputs'!O21)&gt;0, "YES", "NO")</f>
        <v>NO</v>
      </c>
      <c r="AQ21" s="533">
        <f>IF(AP21="YES",'2. Inputs'!N21,0)</f>
        <v>0</v>
      </c>
      <c r="AR21" s="533" t="str">
        <f>IF(AP21="Yes",(IFERROR(VLOOKUP('2. Inputs'!O21,'Emission Factors &lt;HIDE&gt;'!$B$46:$C$168,2,0)*'2. Inputs'!P21*'2. Inputs'!X21*'2. Inputs'!Z21*0.67,0)+IFERROR(VLOOKUP('2. Inputs'!O21,'Emission Factors &lt;HIDE&gt;'!$B$46:$C$168,2,0)*'2. Inputs'!P21*'2. Inputs'!Y21,0))/'Definitions and Conversions'!$C$42,"0")</f>
        <v>0</v>
      </c>
      <c r="AS21" s="533">
        <f t="shared" si="29"/>
        <v>0</v>
      </c>
      <c r="AT21" s="604">
        <f t="shared" si="30"/>
        <v>0</v>
      </c>
      <c r="AV21" s="527" t="str">
        <f t="shared" si="31"/>
        <v/>
      </c>
      <c r="AW21" s="52">
        <f t="shared" si="0"/>
        <v>0</v>
      </c>
      <c r="AX21" s="56">
        <f t="shared" si="1"/>
        <v>0</v>
      </c>
      <c r="AY21" s="56">
        <f t="shared" si="2"/>
        <v>0</v>
      </c>
      <c r="AZ21" s="56">
        <f t="shared" si="3"/>
        <v>0</v>
      </c>
      <c r="BA21" s="56">
        <f t="shared" si="4"/>
        <v>0</v>
      </c>
      <c r="BB21" s="56">
        <f t="shared" si="5"/>
        <v>0</v>
      </c>
      <c r="BC21" s="56">
        <f t="shared" si="6"/>
        <v>0</v>
      </c>
      <c r="BD21" s="56">
        <f t="shared" si="7"/>
        <v>0</v>
      </c>
      <c r="BE21" s="56">
        <f t="shared" si="8"/>
        <v>0</v>
      </c>
      <c r="BF21" s="56">
        <f t="shared" si="9"/>
        <v>0</v>
      </c>
      <c r="BG21" s="56">
        <f t="shared" si="10"/>
        <v>0</v>
      </c>
      <c r="BH21" s="56">
        <f t="shared" si="11"/>
        <v>0</v>
      </c>
      <c r="BI21" s="56">
        <f t="shared" si="12"/>
        <v>0</v>
      </c>
      <c r="BJ21" s="56">
        <f t="shared" si="13"/>
        <v>0</v>
      </c>
      <c r="BK21" s="56">
        <f t="shared" si="14"/>
        <v>0</v>
      </c>
      <c r="BL21" s="56">
        <f t="shared" si="15"/>
        <v>0</v>
      </c>
      <c r="BM21" s="56">
        <f t="shared" si="16"/>
        <v>0</v>
      </c>
      <c r="BN21" s="56">
        <f t="shared" si="17"/>
        <v>0</v>
      </c>
      <c r="BO21" s="591">
        <f t="shared" si="18"/>
        <v>0</v>
      </c>
      <c r="BP21" s="594">
        <f t="shared" si="19"/>
        <v>0</v>
      </c>
      <c r="BQ21" s="56">
        <f t="shared" si="20"/>
        <v>0</v>
      </c>
      <c r="BR21" s="56">
        <f t="shared" si="21"/>
        <v>0</v>
      </c>
      <c r="BS21" s="56">
        <f t="shared" si="32"/>
        <v>0</v>
      </c>
      <c r="BT21" s="56">
        <f t="shared" si="33"/>
        <v>0</v>
      </c>
      <c r="BU21" s="56">
        <f t="shared" si="34"/>
        <v>0</v>
      </c>
      <c r="BV21" s="587">
        <f t="shared" si="35"/>
        <v>0</v>
      </c>
      <c r="BX21" s="527" t="str">
        <f>IF('2. Inputs'!C21='Defaults &lt;HIDE&gt;'!$B$12,"Food Retail",IF('2. Inputs'!C21='Defaults &lt;HIDE&gt;'!$B$13,"Food Retail",IF('2. Inputs'!C21='Defaults &lt;HIDE&gt;'!$B$14,"Industrial",IF('2. Inputs'!C21='Defaults &lt;HIDE&gt;'!$B$15,"Cold Storage",IF('2. Inputs'!C21='Defaults &lt;HIDE&gt;'!$B$16,'Defaults &lt;HIDE&gt;'!$B$16,"")))))</f>
        <v/>
      </c>
      <c r="BY21" s="260">
        <f>'2. Inputs'!G21</f>
        <v>0</v>
      </c>
      <c r="BZ21" s="704" t="str">
        <f>IF('2. Inputs'!I21&gt;=2000,"2000+",IF('2. Inputs'!I21&gt;=200,"200-2000",IF('2. Inputs'!I21&gt;50,"50-200",IF('2. Inputs'!I21&gt;0,"0-50",""))))</f>
        <v/>
      </c>
      <c r="CA21" s="530" t="str" cm="1">
        <f t="array" ref="CA21">IF(BZ21&lt;&gt;"",INDEX(CM:CM,MATCH(1,(CJ:CJ=BX21)*(CK:CK=BY21)*(CL:CL=BZ21),0)),"")</f>
        <v/>
      </c>
      <c r="CB21" s="531" t="str">
        <f>IF('2. Inputs'!K21&gt;=2000,"2000+",IF('2. Inputs'!K21&gt;=200,"200-2000",IF('2. Inputs'!K21&gt;50,"50-200",IF('2. Inputs'!K21&gt;0,"0-50",""))))</f>
        <v/>
      </c>
      <c r="CC21" s="530" t="str" cm="1">
        <f t="array" ref="CC21">IF(CB21&lt;&gt;"",INDEX(CM:CM,MATCH(1,(CJ:CJ=BX21)*(CK:CK=BY21)*(CL:CL=CB21),0)),"")</f>
        <v/>
      </c>
      <c r="CD21" s="529">
        <f>'2. Inputs'!L21</f>
        <v>0</v>
      </c>
      <c r="CE21" s="729" t="str">
        <f>IF('2. Inputs'!L21='Defaults &lt;HIDE&gt;'!$D$15,"0+",IF('2. Inputs'!N21&gt;=2000,"2000+",IF('2. Inputs'!N21&gt;=200,"200-2000",IF('2. Inputs'!N21&gt;50,"50-200",IF('2. Inputs'!N21&gt;0,"0-50","")))))</f>
        <v/>
      </c>
      <c r="CF21" s="530" t="str" cm="1">
        <f t="array" ref="CF21">IF(CE21&lt;&gt;"",INDEX(CM:CM,MATCH(1,(CJ:CJ=BX21)*(CK:CK=CD21)*(CL:CL=CE21),0)),"")</f>
        <v/>
      </c>
      <c r="CG21" s="531" t="str">
        <f>IF('2. Inputs'!P21&gt;=2000,"2000+",IF('2. Inputs'!P21&gt;=200,"200-2000",IF('2. Inputs'!P21&gt;50,"50-200",IF('2. Inputs'!P21&gt;0,"0-50",""))))</f>
        <v/>
      </c>
      <c r="CH21" s="565" t="str" cm="1">
        <f t="array" ref="CH21">IF(CG21&lt;&gt;"",INDEX(CM:CM,MATCH(1,(CJ:CJ=BX21)*(CK:CK=CD21)*(CL:CL=CG21),0)),"")</f>
        <v/>
      </c>
      <c r="CJ21" s="719" t="s">
        <v>634</v>
      </c>
      <c r="CK21" s="720" t="s">
        <v>600</v>
      </c>
      <c r="CL21" s="704" t="s">
        <v>639</v>
      </c>
      <c r="CM21" s="705">
        <v>0.22900000000000001</v>
      </c>
    </row>
    <row r="22" spans="2:91" ht="15" customHeight="1" x14ac:dyDescent="0.25">
      <c r="B22" s="719" t="str">
        <f>IF('1. Project Info'!L22="","",'1. Project Info'!L22)</f>
        <v/>
      </c>
      <c r="C22" s="720">
        <f>IF('1. Project Info'!S22="","",'1. Project Info'!S22)</f>
        <v>1</v>
      </c>
      <c r="D22" s="52" t="str">
        <f>IF('1. Project Info'!O22="","",'1. Project Info'!O22)</f>
        <v/>
      </c>
      <c r="E22" s="624" t="str">
        <f>IFERROR('2. Inputs'!AD22,"")</f>
        <v/>
      </c>
      <c r="F22" s="621">
        <v>0</v>
      </c>
      <c r="G22" s="53">
        <v>0</v>
      </c>
      <c r="H22" s="53">
        <v>0</v>
      </c>
      <c r="I22" s="53">
        <v>0</v>
      </c>
      <c r="J22" s="53">
        <v>0</v>
      </c>
      <c r="K22" s="53" t="str">
        <f>IFERROR(#REF!*'Emission Factors &lt;HIDE&gt;'!$F$29,"")</f>
        <v/>
      </c>
      <c r="L22" s="53" t="str">
        <f>IFERROR(#REF!*'Emission Factors &lt;HIDE&gt;'!$F$30,"")</f>
        <v/>
      </c>
      <c r="M22" s="53" t="str">
        <f>IFERROR(#REF!*'Emission Factors &lt;HIDE&gt;'!$F$33,"")</f>
        <v/>
      </c>
      <c r="N22" s="53" t="str">
        <f>IFERROR(#REF!*'Emission Factors &lt;HIDE&gt;'!$F$32,"")</f>
        <v/>
      </c>
      <c r="O22" s="53">
        <v>0</v>
      </c>
      <c r="P22" s="53" t="str">
        <f t="shared" si="36"/>
        <v/>
      </c>
      <c r="Q22" s="53" t="str">
        <f t="shared" si="22"/>
        <v/>
      </c>
      <c r="R22" s="53" t="str">
        <f t="shared" si="23"/>
        <v/>
      </c>
      <c r="S22" s="53" t="str">
        <f t="shared" si="24"/>
        <v/>
      </c>
      <c r="T22" s="53">
        <v>0</v>
      </c>
      <c r="U22" s="53" t="str">
        <f>IFERROR(#REF!*'Fuel Prices &lt;HIDE&gt;'!$C$12,"")</f>
        <v/>
      </c>
      <c r="V22" s="54" t="str">
        <f>IFERROR(#REF!,"")</f>
        <v/>
      </c>
      <c r="W22" s="732">
        <f>IF(B22="",W21,'1. Project Info'!P22)</f>
        <v>0</v>
      </c>
      <c r="X22" s="55" t="str">
        <f>IF(AND(W22='Defaults &lt;HIDE&gt;'!$B$12,'2. Inputs'!I22+'2. Inputs'!K22&gt;50),1400,IF(AND(W22='Defaults &lt;HIDE&gt;'!$B$13,'2. Inputs'!I22+'2. Inputs'!K22&gt;50),1400,IF(W22='Defaults &lt;HIDE&gt;'!$B$14,2200,IF(W22='Defaults &lt;HIDE&gt;'!$B$15,1391,IF(W22='Defaults &lt;HIDE&gt;'!$B$16,"-","-")))))</f>
        <v>-</v>
      </c>
      <c r="Y22" s="53" t="str">
        <f>IFERROR(IF(X22="-","N/A",'2. Inputs'!AB22),"")</f>
        <v>N/A</v>
      </c>
      <c r="Z22" s="55" t="str">
        <f t="shared" si="25"/>
        <v>N/A</v>
      </c>
      <c r="AA22" s="629" t="str">
        <f t="shared" si="26"/>
        <v>N/A</v>
      </c>
      <c r="AB22" s="627" t="str">
        <f>IF(COUNTIF('Defaults &lt;HIDE&gt;'!$G$78:$G$106,'2. Inputs'!H22)&gt;0, "YES", "NO")</f>
        <v>NO</v>
      </c>
      <c r="AC22" s="553">
        <f>IF(AB22="YES",'2. Inputs'!I22,0)</f>
        <v>0</v>
      </c>
      <c r="AD22" s="553" t="str">
        <f>IF(AB22="Yes",(IFERROR(VLOOKUP('2. Inputs'!H22,'Emission Factors &lt;HIDE&gt;'!$B$46:$C$168,2,0)*'2. Inputs'!I22*'2. Inputs'!Q22*'2. Inputs'!U22,0)+IFERROR(VLOOKUP('2. Inputs'!H22,'Emission Factors &lt;HIDE&gt;'!$B$46:$C$168,2,0)*'2. Inputs'!I22*'2. Inputs'!R22,0))/'Definitions and Conversions'!$C$42,"0")</f>
        <v>0</v>
      </c>
      <c r="AE22" s="55" t="str">
        <f>IF(COUNTIF('Defaults &lt;HIDE&gt;'!$G$78:$G$106,'2. Inputs'!J22)&gt;0, "YES", "NO")</f>
        <v>NO</v>
      </c>
      <c r="AF22" s="553">
        <f>IF(AB22="YES",'2. Inputs'!K22,0)</f>
        <v>0</v>
      </c>
      <c r="AG22" s="553" t="str">
        <f>IF(AE22="Yes",(IFERROR(VLOOKUP('2. Inputs'!J22,'Emission Factors &lt;HIDE&gt;'!$B$46:$C$168,2,0)*'2. Inputs'!K22*'2. Inputs'!S22*'2. Inputs'!U22*0.67,0)+IFERROR(VLOOKUP('2. Inputs'!J22,'Emission Factors &lt;HIDE&gt;'!$B$46:$C$168,2,0)*'2. Inputs'!K22*'2. Inputs'!T22,0))/'Definitions and Conversions'!$C$42,"0")</f>
        <v>0</v>
      </c>
      <c r="AH22" s="553">
        <f t="shared" si="27"/>
        <v>0</v>
      </c>
      <c r="AI22" s="633">
        <f t="shared" si="28"/>
        <v>0</v>
      </c>
      <c r="AJ22" s="631" t="str">
        <f>IF(COUNTIF('Defaults &lt;HIDE&gt;'!$G$11:$G$75,'2. Inputs'!H22)&gt;0, "YES", "NO")</f>
        <v>NO</v>
      </c>
      <c r="AK22" s="533">
        <f>IF(AJ22="YES",'2. Inputs'!I22,0)</f>
        <v>0</v>
      </c>
      <c r="AL22" s="533" t="str">
        <f>IF(AJ22="Yes",(IFERROR(VLOOKUP('2. Inputs'!H22,'Emission Factors &lt;HIDE&gt;'!$B$46:$C$168,2,0)*'2. Inputs'!I22*'2. Inputs'!Q22*'2. Inputs'!U22,0)+IFERROR(VLOOKUP('2. Inputs'!H22,'Emission Factors &lt;HIDE&gt;'!$B$46:$C$168,2,0)*'2. Inputs'!I22*'2. Inputs'!R22,0))/'Definitions and Conversions'!$C$42,"0")</f>
        <v>0</v>
      </c>
      <c r="AM22" s="532" t="str">
        <f>IF(COUNTIF('Defaults &lt;HIDE&gt;'!$G$11:$G$75,'2. Inputs'!J22)&gt;0, "YES", "NO")</f>
        <v>NO</v>
      </c>
      <c r="AN22" s="533">
        <f>IF(AM22="YES",'2. Inputs'!K22,0)</f>
        <v>0</v>
      </c>
      <c r="AO22" s="533" t="str">
        <f>IF(AM22="Yes",(IFERROR(VLOOKUP('2. Inputs'!J22,'Emission Factors &lt;HIDE&gt;'!$B$46:$C$168,2,0)*'2. Inputs'!K22*'2. Inputs'!S22*'2. Inputs'!U22*0.67,0)+IFERROR(VLOOKUP('2. Inputs'!J22,'Emission Factors &lt;HIDE&gt;'!$B$46:$C$168,2,0)*'2. Inputs'!K22*'2. Inputs'!T22,0))/'Definitions and Conversions'!$C$42,"0")</f>
        <v>0</v>
      </c>
      <c r="AP22" s="532" t="str">
        <f>IF(COUNTIF('Defaults &lt;HIDE&gt;'!$G$11:$G$75,'2. Inputs'!O22)&gt;0, "YES", "NO")</f>
        <v>NO</v>
      </c>
      <c r="AQ22" s="533">
        <f>IF(AP22="YES",'2. Inputs'!N22,0)</f>
        <v>0</v>
      </c>
      <c r="AR22" s="533" t="str">
        <f>IF(AP22="Yes",(IFERROR(VLOOKUP('2. Inputs'!O22,'Emission Factors &lt;HIDE&gt;'!$B$46:$C$168,2,0)*'2. Inputs'!P22*'2. Inputs'!X22*'2. Inputs'!Z22*0.67,0)+IFERROR(VLOOKUP('2. Inputs'!O22,'Emission Factors &lt;HIDE&gt;'!$B$46:$C$168,2,0)*'2. Inputs'!P22*'2. Inputs'!Y22,0))/'Definitions and Conversions'!$C$42,"0")</f>
        <v>0</v>
      </c>
      <c r="AS22" s="533">
        <f t="shared" si="29"/>
        <v>0</v>
      </c>
      <c r="AT22" s="604">
        <f t="shared" si="30"/>
        <v>0</v>
      </c>
      <c r="AV22" s="527" t="str">
        <f t="shared" si="31"/>
        <v/>
      </c>
      <c r="AW22" s="52">
        <f t="shared" si="0"/>
        <v>0</v>
      </c>
      <c r="AX22" s="56">
        <f t="shared" si="1"/>
        <v>0</v>
      </c>
      <c r="AY22" s="56">
        <f t="shared" si="2"/>
        <v>0</v>
      </c>
      <c r="AZ22" s="56">
        <f t="shared" si="3"/>
        <v>0</v>
      </c>
      <c r="BA22" s="56">
        <f t="shared" si="4"/>
        <v>0</v>
      </c>
      <c r="BB22" s="56">
        <f t="shared" si="5"/>
        <v>0</v>
      </c>
      <c r="BC22" s="56">
        <f t="shared" si="6"/>
        <v>0</v>
      </c>
      <c r="BD22" s="56">
        <f t="shared" si="7"/>
        <v>0</v>
      </c>
      <c r="BE22" s="56">
        <f t="shared" si="8"/>
        <v>0</v>
      </c>
      <c r="BF22" s="56">
        <f t="shared" si="9"/>
        <v>0</v>
      </c>
      <c r="BG22" s="56">
        <f t="shared" si="10"/>
        <v>0</v>
      </c>
      <c r="BH22" s="56">
        <f t="shared" si="11"/>
        <v>0</v>
      </c>
      <c r="BI22" s="56">
        <f t="shared" si="12"/>
        <v>0</v>
      </c>
      <c r="BJ22" s="56">
        <f t="shared" si="13"/>
        <v>0</v>
      </c>
      <c r="BK22" s="56">
        <f t="shared" si="14"/>
        <v>0</v>
      </c>
      <c r="BL22" s="56">
        <f t="shared" si="15"/>
        <v>0</v>
      </c>
      <c r="BM22" s="56">
        <f t="shared" si="16"/>
        <v>0</v>
      </c>
      <c r="BN22" s="56">
        <f t="shared" si="17"/>
        <v>0</v>
      </c>
      <c r="BO22" s="591">
        <f t="shared" si="18"/>
        <v>0</v>
      </c>
      <c r="BP22" s="594">
        <f t="shared" si="19"/>
        <v>0</v>
      </c>
      <c r="BQ22" s="56">
        <f t="shared" si="20"/>
        <v>0</v>
      </c>
      <c r="BR22" s="56">
        <f t="shared" si="21"/>
        <v>0</v>
      </c>
      <c r="BS22" s="56">
        <f t="shared" si="32"/>
        <v>0</v>
      </c>
      <c r="BT22" s="56">
        <f t="shared" si="33"/>
        <v>0</v>
      </c>
      <c r="BU22" s="56">
        <f t="shared" si="34"/>
        <v>0</v>
      </c>
      <c r="BV22" s="587">
        <f t="shared" si="35"/>
        <v>0</v>
      </c>
      <c r="BX22" s="527" t="str">
        <f>IF('2. Inputs'!C22='Defaults &lt;HIDE&gt;'!$B$12,"Food Retail",IF('2. Inputs'!C22='Defaults &lt;HIDE&gt;'!$B$13,"Food Retail",IF('2. Inputs'!C22='Defaults &lt;HIDE&gt;'!$B$14,"Industrial",IF('2. Inputs'!C22='Defaults &lt;HIDE&gt;'!$B$15,"Cold Storage",IF('2. Inputs'!C22='Defaults &lt;HIDE&gt;'!$B$16,'Defaults &lt;HIDE&gt;'!$B$16,"")))))</f>
        <v/>
      </c>
      <c r="BY22" s="260">
        <f>'2. Inputs'!G22</f>
        <v>0</v>
      </c>
      <c r="BZ22" s="704" t="str">
        <f>IF('2. Inputs'!I22&gt;=2000,"2000+",IF('2. Inputs'!I22&gt;=200,"200-2000",IF('2. Inputs'!I22&gt;50,"50-200",IF('2. Inputs'!I22&gt;0,"0-50",""))))</f>
        <v/>
      </c>
      <c r="CA22" s="530" t="str" cm="1">
        <f t="array" ref="CA22">IF(BZ22&lt;&gt;"",INDEX(CM:CM,MATCH(1,(CJ:CJ=BX22)*(CK:CK=BY22)*(CL:CL=BZ22),0)),"")</f>
        <v/>
      </c>
      <c r="CB22" s="531" t="str">
        <f>IF('2. Inputs'!K22&gt;=2000,"2000+",IF('2. Inputs'!K22&gt;=200,"200-2000",IF('2. Inputs'!K22&gt;50,"50-200",IF('2. Inputs'!K22&gt;0,"0-50",""))))</f>
        <v/>
      </c>
      <c r="CC22" s="530" t="str" cm="1">
        <f t="array" ref="CC22">IF(CB22&lt;&gt;"",INDEX(CM:CM,MATCH(1,(CJ:CJ=BX22)*(CK:CK=BY22)*(CL:CL=CB22),0)),"")</f>
        <v/>
      </c>
      <c r="CD22" s="529">
        <f>'2. Inputs'!L22</f>
        <v>0</v>
      </c>
      <c r="CE22" s="729" t="str">
        <f>IF('2. Inputs'!L22='Defaults &lt;HIDE&gt;'!$D$15,"0+",IF('2. Inputs'!N22&gt;=2000,"2000+",IF('2. Inputs'!N22&gt;=200,"200-2000",IF('2. Inputs'!N22&gt;50,"50-200",IF('2. Inputs'!N22&gt;0,"0-50","")))))</f>
        <v/>
      </c>
      <c r="CF22" s="530" t="str" cm="1">
        <f t="array" ref="CF22">IF(CE22&lt;&gt;"",INDEX(CM:CM,MATCH(1,(CJ:CJ=BX22)*(CK:CK=CD22)*(CL:CL=CE22),0)),"")</f>
        <v/>
      </c>
      <c r="CG22" s="531" t="str">
        <f>IF('2. Inputs'!P22&gt;=2000,"2000+",IF('2. Inputs'!P22&gt;=200,"200-2000",IF('2. Inputs'!P22&gt;50,"50-200",IF('2. Inputs'!P22&gt;0,"0-50",""))))</f>
        <v/>
      </c>
      <c r="CH22" s="565" t="str" cm="1">
        <f t="array" ref="CH22">IF(CG22&lt;&gt;"",INDEX(CM:CM,MATCH(1,(CJ:CJ=BX22)*(CK:CK=CD22)*(CL:CL=CG22),0)),"")</f>
        <v/>
      </c>
      <c r="CJ22" s="719" t="s">
        <v>634</v>
      </c>
      <c r="CK22" s="720" t="s">
        <v>600</v>
      </c>
      <c r="CL22" s="704" t="s">
        <v>640</v>
      </c>
      <c r="CM22" s="705">
        <v>0.24199999999999999</v>
      </c>
    </row>
    <row r="23" spans="2:91" ht="15" customHeight="1" x14ac:dyDescent="0.25">
      <c r="B23" s="719" t="str">
        <f>IF('1. Project Info'!L23="","",'1. Project Info'!L23)</f>
        <v/>
      </c>
      <c r="C23" s="720">
        <f>IF('1. Project Info'!S23="","",'1. Project Info'!S23)</f>
        <v>1</v>
      </c>
      <c r="D23" s="52" t="str">
        <f>IF('1. Project Info'!O23="","",'1. Project Info'!O23)</f>
        <v/>
      </c>
      <c r="E23" s="624" t="str">
        <f>IFERROR('2. Inputs'!AD23,"")</f>
        <v/>
      </c>
      <c r="F23" s="621">
        <v>0</v>
      </c>
      <c r="G23" s="53">
        <v>0</v>
      </c>
      <c r="H23" s="53">
        <v>0</v>
      </c>
      <c r="I23" s="53">
        <v>0</v>
      </c>
      <c r="J23" s="53">
        <v>0</v>
      </c>
      <c r="K23" s="53" t="str">
        <f>IFERROR(#REF!*'Emission Factors &lt;HIDE&gt;'!$F$29,"")</f>
        <v/>
      </c>
      <c r="L23" s="53" t="str">
        <f>IFERROR(#REF!*'Emission Factors &lt;HIDE&gt;'!$F$30,"")</f>
        <v/>
      </c>
      <c r="M23" s="53" t="str">
        <f>IFERROR(#REF!*'Emission Factors &lt;HIDE&gt;'!$F$33,"")</f>
        <v/>
      </c>
      <c r="N23" s="53" t="str">
        <f>IFERROR(#REF!*'Emission Factors &lt;HIDE&gt;'!$F$32,"")</f>
        <v/>
      </c>
      <c r="O23" s="53">
        <v>0</v>
      </c>
      <c r="P23" s="53" t="str">
        <f t="shared" si="36"/>
        <v/>
      </c>
      <c r="Q23" s="53" t="str">
        <f t="shared" si="22"/>
        <v/>
      </c>
      <c r="R23" s="53" t="str">
        <f t="shared" si="23"/>
        <v/>
      </c>
      <c r="S23" s="53" t="str">
        <f t="shared" si="24"/>
        <v/>
      </c>
      <c r="T23" s="53">
        <v>0</v>
      </c>
      <c r="U23" s="53" t="str">
        <f>IFERROR(#REF!*'Fuel Prices &lt;HIDE&gt;'!$C$12,"")</f>
        <v/>
      </c>
      <c r="V23" s="54" t="str">
        <f>IFERROR(#REF!,"")</f>
        <v/>
      </c>
      <c r="W23" s="732">
        <f>IF(B23="",W22,'1. Project Info'!P23)</f>
        <v>0</v>
      </c>
      <c r="X23" s="55" t="str">
        <f>IF(AND(W23='Defaults &lt;HIDE&gt;'!$B$12,'2. Inputs'!I23+'2. Inputs'!K23&gt;50),1400,IF(AND(W23='Defaults &lt;HIDE&gt;'!$B$13,'2. Inputs'!I23+'2. Inputs'!K23&gt;50),1400,IF(W23='Defaults &lt;HIDE&gt;'!$B$14,2200,IF(W23='Defaults &lt;HIDE&gt;'!$B$15,1391,IF(W23='Defaults &lt;HIDE&gt;'!$B$16,"-","-")))))</f>
        <v>-</v>
      </c>
      <c r="Y23" s="53" t="str">
        <f>IFERROR(IF(X23="-","N/A",'2. Inputs'!AB23),"")</f>
        <v>N/A</v>
      </c>
      <c r="Z23" s="55" t="str">
        <f t="shared" si="25"/>
        <v>N/A</v>
      </c>
      <c r="AA23" s="629" t="str">
        <f t="shared" si="26"/>
        <v>N/A</v>
      </c>
      <c r="AB23" s="627" t="str">
        <f>IF(COUNTIF('Defaults &lt;HIDE&gt;'!$G$78:$G$106,'2. Inputs'!H23)&gt;0, "YES", "NO")</f>
        <v>NO</v>
      </c>
      <c r="AC23" s="553">
        <f>IF(AB23="YES",'2. Inputs'!I23,0)</f>
        <v>0</v>
      </c>
      <c r="AD23" s="553" t="str">
        <f>IF(AB23="Yes",(IFERROR(VLOOKUP('2. Inputs'!H23,'Emission Factors &lt;HIDE&gt;'!$B$46:$C$168,2,0)*'2. Inputs'!I23*'2. Inputs'!Q23*'2. Inputs'!U23,0)+IFERROR(VLOOKUP('2. Inputs'!H23,'Emission Factors &lt;HIDE&gt;'!$B$46:$C$168,2,0)*'2. Inputs'!I23*'2. Inputs'!R23,0))/'Definitions and Conversions'!$C$42,"0")</f>
        <v>0</v>
      </c>
      <c r="AE23" s="55" t="str">
        <f>IF(COUNTIF('Defaults &lt;HIDE&gt;'!$G$78:$G$106,'2. Inputs'!J23)&gt;0, "YES", "NO")</f>
        <v>NO</v>
      </c>
      <c r="AF23" s="553">
        <f>IF(AB23="YES",'2. Inputs'!K23,0)</f>
        <v>0</v>
      </c>
      <c r="AG23" s="553" t="str">
        <f>IF(AE23="Yes",(IFERROR(VLOOKUP('2. Inputs'!J23,'Emission Factors &lt;HIDE&gt;'!$B$46:$C$168,2,0)*'2. Inputs'!K23*'2. Inputs'!S23*'2. Inputs'!U23*0.67,0)+IFERROR(VLOOKUP('2. Inputs'!J23,'Emission Factors &lt;HIDE&gt;'!$B$46:$C$168,2,0)*'2. Inputs'!K23*'2. Inputs'!T23,0))/'Definitions and Conversions'!$C$42,"0")</f>
        <v>0</v>
      </c>
      <c r="AH23" s="553">
        <f t="shared" si="27"/>
        <v>0</v>
      </c>
      <c r="AI23" s="633">
        <f t="shared" si="28"/>
        <v>0</v>
      </c>
      <c r="AJ23" s="631" t="str">
        <f>IF(COUNTIF('Defaults &lt;HIDE&gt;'!$G$11:$G$75,'2. Inputs'!H23)&gt;0, "YES", "NO")</f>
        <v>NO</v>
      </c>
      <c r="AK23" s="533">
        <f>IF(AJ23="YES",'2. Inputs'!I23,0)</f>
        <v>0</v>
      </c>
      <c r="AL23" s="533" t="str">
        <f>IF(AJ23="Yes",(IFERROR(VLOOKUP('2. Inputs'!H23,'Emission Factors &lt;HIDE&gt;'!$B$46:$C$168,2,0)*'2. Inputs'!I23*'2. Inputs'!Q23*'2. Inputs'!U23,0)+IFERROR(VLOOKUP('2. Inputs'!H23,'Emission Factors &lt;HIDE&gt;'!$B$46:$C$168,2,0)*'2. Inputs'!I23*'2. Inputs'!R23,0))/'Definitions and Conversions'!$C$42,"0")</f>
        <v>0</v>
      </c>
      <c r="AM23" s="532" t="str">
        <f>IF(COUNTIF('Defaults &lt;HIDE&gt;'!$G$11:$G$75,'2. Inputs'!J23)&gt;0, "YES", "NO")</f>
        <v>NO</v>
      </c>
      <c r="AN23" s="533">
        <f>IF(AM23="YES",'2. Inputs'!K23,0)</f>
        <v>0</v>
      </c>
      <c r="AO23" s="533" t="str">
        <f>IF(AM23="Yes",(IFERROR(VLOOKUP('2. Inputs'!J23,'Emission Factors &lt;HIDE&gt;'!$B$46:$C$168,2,0)*'2. Inputs'!K23*'2. Inputs'!S23*'2. Inputs'!U23*0.67,0)+IFERROR(VLOOKUP('2. Inputs'!J23,'Emission Factors &lt;HIDE&gt;'!$B$46:$C$168,2,0)*'2. Inputs'!K23*'2. Inputs'!T23,0))/'Definitions and Conversions'!$C$42,"0")</f>
        <v>0</v>
      </c>
      <c r="AP23" s="532" t="str">
        <f>IF(COUNTIF('Defaults &lt;HIDE&gt;'!$G$11:$G$75,'2. Inputs'!O23)&gt;0, "YES", "NO")</f>
        <v>NO</v>
      </c>
      <c r="AQ23" s="533">
        <f>IF(AP23="YES",'2. Inputs'!N23,0)</f>
        <v>0</v>
      </c>
      <c r="AR23" s="533" t="str">
        <f>IF(AP23="Yes",(IFERROR(VLOOKUP('2. Inputs'!O23,'Emission Factors &lt;HIDE&gt;'!$B$46:$C$168,2,0)*'2. Inputs'!P23*'2. Inputs'!X23*'2. Inputs'!Z23*0.67,0)+IFERROR(VLOOKUP('2. Inputs'!O23,'Emission Factors &lt;HIDE&gt;'!$B$46:$C$168,2,0)*'2. Inputs'!P23*'2. Inputs'!Y23,0))/'Definitions and Conversions'!$C$42,"0")</f>
        <v>0</v>
      </c>
      <c r="AS23" s="533">
        <f t="shared" si="29"/>
        <v>0</v>
      </c>
      <c r="AT23" s="604">
        <f t="shared" si="30"/>
        <v>0</v>
      </c>
      <c r="AV23" s="527" t="str">
        <f t="shared" si="31"/>
        <v/>
      </c>
      <c r="AW23" s="52">
        <f t="shared" si="0"/>
        <v>0</v>
      </c>
      <c r="AX23" s="56">
        <f t="shared" si="1"/>
        <v>0</v>
      </c>
      <c r="AY23" s="56">
        <f t="shared" si="2"/>
        <v>0</v>
      </c>
      <c r="AZ23" s="56">
        <f t="shared" si="3"/>
        <v>0</v>
      </c>
      <c r="BA23" s="56">
        <f t="shared" si="4"/>
        <v>0</v>
      </c>
      <c r="BB23" s="56">
        <f t="shared" si="5"/>
        <v>0</v>
      </c>
      <c r="BC23" s="56">
        <f t="shared" si="6"/>
        <v>0</v>
      </c>
      <c r="BD23" s="56">
        <f t="shared" si="7"/>
        <v>0</v>
      </c>
      <c r="BE23" s="56">
        <f t="shared" si="8"/>
        <v>0</v>
      </c>
      <c r="BF23" s="56">
        <f t="shared" si="9"/>
        <v>0</v>
      </c>
      <c r="BG23" s="56">
        <f t="shared" si="10"/>
        <v>0</v>
      </c>
      <c r="BH23" s="56">
        <f t="shared" si="11"/>
        <v>0</v>
      </c>
      <c r="BI23" s="56">
        <f t="shared" si="12"/>
        <v>0</v>
      </c>
      <c r="BJ23" s="56">
        <f t="shared" si="13"/>
        <v>0</v>
      </c>
      <c r="BK23" s="56">
        <f t="shared" si="14"/>
        <v>0</v>
      </c>
      <c r="BL23" s="56">
        <f t="shared" si="15"/>
        <v>0</v>
      </c>
      <c r="BM23" s="56">
        <f t="shared" si="16"/>
        <v>0</v>
      </c>
      <c r="BN23" s="56">
        <f t="shared" si="17"/>
        <v>0</v>
      </c>
      <c r="BO23" s="591">
        <f t="shared" si="18"/>
        <v>0</v>
      </c>
      <c r="BP23" s="594">
        <f t="shared" si="19"/>
        <v>0</v>
      </c>
      <c r="BQ23" s="56">
        <f t="shared" si="20"/>
        <v>0</v>
      </c>
      <c r="BR23" s="56">
        <f t="shared" si="21"/>
        <v>0</v>
      </c>
      <c r="BS23" s="56">
        <f t="shared" si="32"/>
        <v>0</v>
      </c>
      <c r="BT23" s="56">
        <f t="shared" si="33"/>
        <v>0</v>
      </c>
      <c r="BU23" s="56">
        <f t="shared" si="34"/>
        <v>0</v>
      </c>
      <c r="BV23" s="587">
        <f t="shared" si="35"/>
        <v>0</v>
      </c>
      <c r="BX23" s="527" t="str">
        <f>IF('2. Inputs'!C23='Defaults &lt;HIDE&gt;'!$B$12,"Food Retail",IF('2. Inputs'!C23='Defaults &lt;HIDE&gt;'!$B$13,"Food Retail",IF('2. Inputs'!C23='Defaults &lt;HIDE&gt;'!$B$14,"Industrial",IF('2. Inputs'!C23='Defaults &lt;HIDE&gt;'!$B$15,"Cold Storage",IF('2. Inputs'!C23='Defaults &lt;HIDE&gt;'!$B$16,'Defaults &lt;HIDE&gt;'!$B$16,"")))))</f>
        <v/>
      </c>
      <c r="BY23" s="260">
        <f>'2. Inputs'!G23</f>
        <v>0</v>
      </c>
      <c r="BZ23" s="704" t="str">
        <f>IF('2. Inputs'!I23&gt;=2000,"2000+",IF('2. Inputs'!I23&gt;=200,"200-2000",IF('2. Inputs'!I23&gt;50,"50-200",IF('2. Inputs'!I23&gt;0,"0-50",""))))</f>
        <v/>
      </c>
      <c r="CA23" s="530" t="str" cm="1">
        <f t="array" ref="CA23">IF(BZ23&lt;&gt;"",INDEX(CM:CM,MATCH(1,(CJ:CJ=BX23)*(CK:CK=BY23)*(CL:CL=BZ23),0)),"")</f>
        <v/>
      </c>
      <c r="CB23" s="531" t="str">
        <f>IF('2. Inputs'!K23&gt;=2000,"2000+",IF('2. Inputs'!K23&gt;=200,"200-2000",IF('2. Inputs'!K23&gt;50,"50-200",IF('2. Inputs'!K23&gt;0,"0-50",""))))</f>
        <v/>
      </c>
      <c r="CC23" s="530" t="str" cm="1">
        <f t="array" ref="CC23">IF(CB23&lt;&gt;"",INDEX(CM:CM,MATCH(1,(CJ:CJ=BX23)*(CK:CK=BY23)*(CL:CL=CB23),0)),"")</f>
        <v/>
      </c>
      <c r="CD23" s="529">
        <f>'2. Inputs'!L23</f>
        <v>0</v>
      </c>
      <c r="CE23" s="729" t="str">
        <f>IF('2. Inputs'!L23='Defaults &lt;HIDE&gt;'!$D$15,"0+",IF('2. Inputs'!N23&gt;=2000,"2000+",IF('2. Inputs'!N23&gt;=200,"200-2000",IF('2. Inputs'!N23&gt;50,"50-200",IF('2. Inputs'!N23&gt;0,"0-50","")))))</f>
        <v/>
      </c>
      <c r="CF23" s="530" t="str" cm="1">
        <f t="array" ref="CF23">IF(CE23&lt;&gt;"",INDEX(CM:CM,MATCH(1,(CJ:CJ=BX23)*(CK:CK=CD23)*(CL:CL=CE23),0)),"")</f>
        <v/>
      </c>
      <c r="CG23" s="531" t="str">
        <f>IF('2. Inputs'!P23&gt;=2000,"2000+",IF('2. Inputs'!P23&gt;=200,"200-2000",IF('2. Inputs'!P23&gt;50,"50-200",IF('2. Inputs'!P23&gt;0,"0-50",""))))</f>
        <v/>
      </c>
      <c r="CH23" s="565" t="str" cm="1">
        <f t="array" ref="CH23">IF(CG23&lt;&gt;"",INDEX(CM:CM,MATCH(1,(CJ:CJ=BX23)*(CK:CK=CD23)*(CL:CL=CG23),0)),"")</f>
        <v/>
      </c>
      <c r="CJ23" s="719" t="s">
        <v>634</v>
      </c>
      <c r="CK23" s="720" t="s">
        <v>354</v>
      </c>
      <c r="CL23" s="704" t="s">
        <v>637</v>
      </c>
      <c r="CM23" s="705">
        <v>0.15</v>
      </c>
    </row>
    <row r="24" spans="2:91" x14ac:dyDescent="0.25">
      <c r="B24" s="719" t="str">
        <f>IF('1. Project Info'!L24="","",'1. Project Info'!L24)</f>
        <v/>
      </c>
      <c r="C24" s="720">
        <f>IF('1. Project Info'!S24="","",'1. Project Info'!S24)</f>
        <v>1</v>
      </c>
      <c r="D24" s="52" t="str">
        <f>IF('1. Project Info'!O24="","",'1. Project Info'!O24)</f>
        <v/>
      </c>
      <c r="E24" s="624" t="str">
        <f>IFERROR('2. Inputs'!AD24,"")</f>
        <v/>
      </c>
      <c r="F24" s="621">
        <v>0</v>
      </c>
      <c r="G24" s="53">
        <v>0</v>
      </c>
      <c r="H24" s="53">
        <v>0</v>
      </c>
      <c r="I24" s="53">
        <v>0</v>
      </c>
      <c r="J24" s="53">
        <v>0</v>
      </c>
      <c r="K24" s="53" t="str">
        <f>IFERROR(#REF!*'Emission Factors &lt;HIDE&gt;'!$F$29,"")</f>
        <v/>
      </c>
      <c r="L24" s="53" t="str">
        <f>IFERROR(#REF!*'Emission Factors &lt;HIDE&gt;'!$F$30,"")</f>
        <v/>
      </c>
      <c r="M24" s="53" t="str">
        <f>IFERROR(#REF!*'Emission Factors &lt;HIDE&gt;'!$F$33,"")</f>
        <v/>
      </c>
      <c r="N24" s="53" t="str">
        <f>IFERROR(#REF!*'Emission Factors &lt;HIDE&gt;'!$F$32,"")</f>
        <v/>
      </c>
      <c r="O24" s="53">
        <v>0</v>
      </c>
      <c r="P24" s="53" t="str">
        <f t="shared" si="36"/>
        <v/>
      </c>
      <c r="Q24" s="53" t="str">
        <f t="shared" si="22"/>
        <v/>
      </c>
      <c r="R24" s="53" t="str">
        <f t="shared" si="23"/>
        <v/>
      </c>
      <c r="S24" s="53" t="str">
        <f t="shared" si="24"/>
        <v/>
      </c>
      <c r="T24" s="53">
        <v>0</v>
      </c>
      <c r="U24" s="53" t="str">
        <f>IFERROR(#REF!*'Fuel Prices &lt;HIDE&gt;'!$C$12,"")</f>
        <v/>
      </c>
      <c r="V24" s="54" t="str">
        <f>IFERROR(#REF!,"")</f>
        <v/>
      </c>
      <c r="W24" s="732">
        <f>IF(B24="",W23,'1. Project Info'!P24)</f>
        <v>0</v>
      </c>
      <c r="X24" s="55" t="str">
        <f>IF(AND(W24='Defaults &lt;HIDE&gt;'!$B$12,'2. Inputs'!I24+'2. Inputs'!K24&gt;50),1400,IF(AND(W24='Defaults &lt;HIDE&gt;'!$B$13,'2. Inputs'!I24+'2. Inputs'!K24&gt;50),1400,IF(W24='Defaults &lt;HIDE&gt;'!$B$14,2200,IF(W24='Defaults &lt;HIDE&gt;'!$B$15,1391,IF(W24='Defaults &lt;HIDE&gt;'!$B$16,"-","-")))))</f>
        <v>-</v>
      </c>
      <c r="Y24" s="53" t="str">
        <f>IFERROR(IF(X24="-","N/A",'2. Inputs'!AB24),"")</f>
        <v>N/A</v>
      </c>
      <c r="Z24" s="55" t="str">
        <f t="shared" si="25"/>
        <v>N/A</v>
      </c>
      <c r="AA24" s="629" t="str">
        <f t="shared" si="26"/>
        <v>N/A</v>
      </c>
      <c r="AB24" s="627" t="str">
        <f>IF(COUNTIF('Defaults &lt;HIDE&gt;'!$G$78:$G$106,'2. Inputs'!H24)&gt;0, "YES", "NO")</f>
        <v>NO</v>
      </c>
      <c r="AC24" s="553">
        <f>IF(AB24="YES",'2. Inputs'!I24,0)</f>
        <v>0</v>
      </c>
      <c r="AD24" s="553" t="str">
        <f>IF(AB24="Yes",(IFERROR(VLOOKUP('2. Inputs'!H24,'Emission Factors &lt;HIDE&gt;'!$B$46:$C$168,2,0)*'2. Inputs'!I24*'2. Inputs'!Q24*'2. Inputs'!U24,0)+IFERROR(VLOOKUP('2. Inputs'!H24,'Emission Factors &lt;HIDE&gt;'!$B$46:$C$168,2,0)*'2. Inputs'!I24*'2. Inputs'!R24,0))/'Definitions and Conversions'!$C$42,"0")</f>
        <v>0</v>
      </c>
      <c r="AE24" s="55" t="str">
        <f>IF(COUNTIF('Defaults &lt;HIDE&gt;'!$G$78:$G$106,'2. Inputs'!J24)&gt;0, "YES", "NO")</f>
        <v>NO</v>
      </c>
      <c r="AF24" s="553">
        <f>IF(AB24="YES",'2. Inputs'!K24,0)</f>
        <v>0</v>
      </c>
      <c r="AG24" s="553" t="str">
        <f>IF(AE24="Yes",(IFERROR(VLOOKUP('2. Inputs'!J24,'Emission Factors &lt;HIDE&gt;'!$B$46:$C$168,2,0)*'2. Inputs'!K24*'2. Inputs'!S24*'2. Inputs'!U24*0.67,0)+IFERROR(VLOOKUP('2. Inputs'!J24,'Emission Factors &lt;HIDE&gt;'!$B$46:$C$168,2,0)*'2. Inputs'!K24*'2. Inputs'!T24,0))/'Definitions and Conversions'!$C$42,"0")</f>
        <v>0</v>
      </c>
      <c r="AH24" s="553">
        <f t="shared" si="27"/>
        <v>0</v>
      </c>
      <c r="AI24" s="633">
        <f t="shared" si="28"/>
        <v>0</v>
      </c>
      <c r="AJ24" s="631" t="str">
        <f>IF(COUNTIF('Defaults &lt;HIDE&gt;'!$G$11:$G$75,'2. Inputs'!H24)&gt;0, "YES", "NO")</f>
        <v>NO</v>
      </c>
      <c r="AK24" s="533">
        <f>IF(AJ24="YES",'2. Inputs'!I24,0)</f>
        <v>0</v>
      </c>
      <c r="AL24" s="533" t="str">
        <f>IF(AJ24="Yes",(IFERROR(VLOOKUP('2. Inputs'!H24,'Emission Factors &lt;HIDE&gt;'!$B$46:$C$168,2,0)*'2. Inputs'!I24*'2. Inputs'!Q24*'2. Inputs'!U24,0)+IFERROR(VLOOKUP('2. Inputs'!H24,'Emission Factors &lt;HIDE&gt;'!$B$46:$C$168,2,0)*'2. Inputs'!I24*'2. Inputs'!R24,0))/'Definitions and Conversions'!$C$42,"0")</f>
        <v>0</v>
      </c>
      <c r="AM24" s="532" t="str">
        <f>IF(COUNTIF('Defaults &lt;HIDE&gt;'!$G$11:$G$75,'2. Inputs'!J24)&gt;0, "YES", "NO")</f>
        <v>NO</v>
      </c>
      <c r="AN24" s="533">
        <f>IF(AM24="YES",'2. Inputs'!K24,0)</f>
        <v>0</v>
      </c>
      <c r="AO24" s="533" t="str">
        <f>IF(AM24="Yes",(IFERROR(VLOOKUP('2. Inputs'!J24,'Emission Factors &lt;HIDE&gt;'!$B$46:$C$168,2,0)*'2. Inputs'!K24*'2. Inputs'!S24*'2. Inputs'!U24*0.67,0)+IFERROR(VLOOKUP('2. Inputs'!J24,'Emission Factors &lt;HIDE&gt;'!$B$46:$C$168,2,0)*'2. Inputs'!K24*'2. Inputs'!T24,0))/'Definitions and Conversions'!$C$42,"0")</f>
        <v>0</v>
      </c>
      <c r="AP24" s="532" t="str">
        <f>IF(COUNTIF('Defaults &lt;HIDE&gt;'!$G$11:$G$75,'2. Inputs'!O24)&gt;0, "YES", "NO")</f>
        <v>NO</v>
      </c>
      <c r="AQ24" s="533">
        <f>IF(AP24="YES",'2. Inputs'!N24,0)</f>
        <v>0</v>
      </c>
      <c r="AR24" s="533" t="str">
        <f>IF(AP24="Yes",(IFERROR(VLOOKUP('2. Inputs'!O24,'Emission Factors &lt;HIDE&gt;'!$B$46:$C$168,2,0)*'2. Inputs'!P24*'2. Inputs'!X24*'2. Inputs'!Z24*0.67,0)+IFERROR(VLOOKUP('2. Inputs'!O24,'Emission Factors &lt;HIDE&gt;'!$B$46:$C$168,2,0)*'2. Inputs'!P24*'2. Inputs'!Y24,0))/'Definitions and Conversions'!$C$42,"0")</f>
        <v>0</v>
      </c>
      <c r="AS24" s="533">
        <f t="shared" si="29"/>
        <v>0</v>
      </c>
      <c r="AT24" s="604">
        <f t="shared" si="30"/>
        <v>0</v>
      </c>
      <c r="AV24" s="527" t="str">
        <f t="shared" si="31"/>
        <v/>
      </c>
      <c r="AW24" s="52">
        <f t="shared" si="0"/>
        <v>0</v>
      </c>
      <c r="AX24" s="56">
        <f t="shared" si="1"/>
        <v>0</v>
      </c>
      <c r="AY24" s="56">
        <f t="shared" si="2"/>
        <v>0</v>
      </c>
      <c r="AZ24" s="56">
        <f t="shared" si="3"/>
        <v>0</v>
      </c>
      <c r="BA24" s="56">
        <f t="shared" si="4"/>
        <v>0</v>
      </c>
      <c r="BB24" s="56">
        <f t="shared" si="5"/>
        <v>0</v>
      </c>
      <c r="BC24" s="56">
        <f t="shared" si="6"/>
        <v>0</v>
      </c>
      <c r="BD24" s="56">
        <f t="shared" si="7"/>
        <v>0</v>
      </c>
      <c r="BE24" s="56">
        <f t="shared" si="8"/>
        <v>0</v>
      </c>
      <c r="BF24" s="56">
        <f t="shared" si="9"/>
        <v>0</v>
      </c>
      <c r="BG24" s="56">
        <f t="shared" si="10"/>
        <v>0</v>
      </c>
      <c r="BH24" s="56">
        <f t="shared" si="11"/>
        <v>0</v>
      </c>
      <c r="BI24" s="56">
        <f t="shared" si="12"/>
        <v>0</v>
      </c>
      <c r="BJ24" s="56">
        <f t="shared" si="13"/>
        <v>0</v>
      </c>
      <c r="BK24" s="56">
        <f t="shared" si="14"/>
        <v>0</v>
      </c>
      <c r="BL24" s="56">
        <f t="shared" si="15"/>
        <v>0</v>
      </c>
      <c r="BM24" s="56">
        <f t="shared" si="16"/>
        <v>0</v>
      </c>
      <c r="BN24" s="56">
        <f t="shared" si="17"/>
        <v>0</v>
      </c>
      <c r="BO24" s="591">
        <f t="shared" si="18"/>
        <v>0</v>
      </c>
      <c r="BP24" s="594">
        <f t="shared" si="19"/>
        <v>0</v>
      </c>
      <c r="BQ24" s="56">
        <f t="shared" si="20"/>
        <v>0</v>
      </c>
      <c r="BR24" s="56">
        <f t="shared" si="21"/>
        <v>0</v>
      </c>
      <c r="BS24" s="56">
        <f t="shared" si="32"/>
        <v>0</v>
      </c>
      <c r="BT24" s="56">
        <f t="shared" si="33"/>
        <v>0</v>
      </c>
      <c r="BU24" s="56">
        <f t="shared" si="34"/>
        <v>0</v>
      </c>
      <c r="BV24" s="587">
        <f t="shared" si="35"/>
        <v>0</v>
      </c>
      <c r="BX24" s="527" t="str">
        <f>IF('2. Inputs'!C24='Defaults &lt;HIDE&gt;'!$B$12,"Food Retail",IF('2. Inputs'!C24='Defaults &lt;HIDE&gt;'!$B$13,"Food Retail",IF('2. Inputs'!C24='Defaults &lt;HIDE&gt;'!$B$14,"Industrial",IF('2. Inputs'!C24='Defaults &lt;HIDE&gt;'!$B$15,"Cold Storage",IF('2. Inputs'!C24='Defaults &lt;HIDE&gt;'!$B$16,'Defaults &lt;HIDE&gt;'!$B$16,"")))))</f>
        <v/>
      </c>
      <c r="BY24" s="260">
        <f>'2. Inputs'!G24</f>
        <v>0</v>
      </c>
      <c r="BZ24" s="704" t="str">
        <f>IF('2. Inputs'!I24&gt;=2000,"2000+",IF('2. Inputs'!I24&gt;=200,"200-2000",IF('2. Inputs'!I24&gt;50,"50-200",IF('2. Inputs'!I24&gt;0,"0-50",""))))</f>
        <v/>
      </c>
      <c r="CA24" s="530" t="str" cm="1">
        <f t="array" ref="CA24">IF(BZ24&lt;&gt;"",INDEX(CM:CM,MATCH(1,(CJ:CJ=BX24)*(CK:CK=BY24)*(CL:CL=BZ24),0)),"")</f>
        <v/>
      </c>
      <c r="CB24" s="531" t="str">
        <f>IF('2. Inputs'!K24&gt;=2000,"2000+",IF('2. Inputs'!K24&gt;=200,"200-2000",IF('2. Inputs'!K24&gt;50,"50-200",IF('2. Inputs'!K24&gt;0,"0-50",""))))</f>
        <v/>
      </c>
      <c r="CC24" s="530" t="str" cm="1">
        <f t="array" ref="CC24">IF(CB24&lt;&gt;"",INDEX(CM:CM,MATCH(1,(CJ:CJ=BX24)*(CK:CK=BY24)*(CL:CL=CB24),0)),"")</f>
        <v/>
      </c>
      <c r="CD24" s="529">
        <f>'2. Inputs'!L24</f>
        <v>0</v>
      </c>
      <c r="CE24" s="729" t="str">
        <f>IF('2. Inputs'!L24='Defaults &lt;HIDE&gt;'!$D$15,"0+",IF('2. Inputs'!N24&gt;=2000,"2000+",IF('2. Inputs'!N24&gt;=200,"200-2000",IF('2. Inputs'!N24&gt;50,"50-200",IF('2. Inputs'!N24&gt;0,"0-50","")))))</f>
        <v/>
      </c>
      <c r="CF24" s="530" t="str" cm="1">
        <f t="array" ref="CF24">IF(CE24&lt;&gt;"",INDEX(CM:CM,MATCH(1,(CJ:CJ=BX24)*(CK:CK=CD24)*(CL:CL=CE24),0)),"")</f>
        <v/>
      </c>
      <c r="CG24" s="531" t="str">
        <f>IF('2. Inputs'!P24&gt;=2000,"2000+",IF('2. Inputs'!P24&gt;=200,"200-2000",IF('2. Inputs'!P24&gt;50,"50-200",IF('2. Inputs'!P24&gt;0,"0-50",""))))</f>
        <v/>
      </c>
      <c r="CH24" s="565" t="str" cm="1">
        <f t="array" ref="CH24">IF(CG24&lt;&gt;"",INDEX(CM:CM,MATCH(1,(CJ:CJ=BX24)*(CK:CK=CD24)*(CL:CL=CG24),0)),"")</f>
        <v/>
      </c>
      <c r="CJ24" s="719" t="s">
        <v>634</v>
      </c>
      <c r="CK24" s="720" t="s">
        <v>354</v>
      </c>
      <c r="CL24" s="704" t="s">
        <v>638</v>
      </c>
      <c r="CM24" s="705">
        <v>0.156</v>
      </c>
    </row>
    <row r="25" spans="2:91" x14ac:dyDescent="0.25">
      <c r="B25" s="719" t="str">
        <f>IF('1. Project Info'!L25="","",'1. Project Info'!L25)</f>
        <v/>
      </c>
      <c r="C25" s="720">
        <f>IF('1. Project Info'!S25="","",'1. Project Info'!S25)</f>
        <v>1</v>
      </c>
      <c r="D25" s="52" t="str">
        <f>IF('1. Project Info'!O25="","",'1. Project Info'!O25)</f>
        <v/>
      </c>
      <c r="E25" s="624" t="str">
        <f>IFERROR('2. Inputs'!AD25,"")</f>
        <v/>
      </c>
      <c r="F25" s="621">
        <v>0</v>
      </c>
      <c r="G25" s="53">
        <v>0</v>
      </c>
      <c r="H25" s="53">
        <v>0</v>
      </c>
      <c r="I25" s="53">
        <v>0</v>
      </c>
      <c r="J25" s="53">
        <v>0</v>
      </c>
      <c r="K25" s="53" t="str">
        <f>IFERROR(#REF!*'Emission Factors &lt;HIDE&gt;'!$F$29,"")</f>
        <v/>
      </c>
      <c r="L25" s="53" t="str">
        <f>IFERROR(#REF!*'Emission Factors &lt;HIDE&gt;'!$F$30,"")</f>
        <v/>
      </c>
      <c r="M25" s="53" t="str">
        <f>IFERROR(#REF!*'Emission Factors &lt;HIDE&gt;'!$F$33,"")</f>
        <v/>
      </c>
      <c r="N25" s="53" t="str">
        <f>IFERROR(#REF!*'Emission Factors &lt;HIDE&gt;'!$F$32,"")</f>
        <v/>
      </c>
      <c r="O25" s="53">
        <v>0</v>
      </c>
      <c r="P25" s="53" t="str">
        <f t="shared" si="36"/>
        <v/>
      </c>
      <c r="Q25" s="53" t="str">
        <f t="shared" si="22"/>
        <v/>
      </c>
      <c r="R25" s="53" t="str">
        <f t="shared" si="23"/>
        <v/>
      </c>
      <c r="S25" s="53" t="str">
        <f t="shared" si="24"/>
        <v/>
      </c>
      <c r="T25" s="53">
        <v>0</v>
      </c>
      <c r="U25" s="53" t="str">
        <f>IFERROR(#REF!*'Fuel Prices &lt;HIDE&gt;'!$C$12,"")</f>
        <v/>
      </c>
      <c r="V25" s="54" t="str">
        <f>IFERROR(#REF!,"")</f>
        <v/>
      </c>
      <c r="W25" s="732">
        <f>IF(B25="",W24,'1. Project Info'!P25)</f>
        <v>0</v>
      </c>
      <c r="X25" s="55" t="str">
        <f>IF(AND(W25='Defaults &lt;HIDE&gt;'!$B$12,'2. Inputs'!I25+'2. Inputs'!K25&gt;50),1400,IF(AND(W25='Defaults &lt;HIDE&gt;'!$B$13,'2. Inputs'!I25+'2. Inputs'!K25&gt;50),1400,IF(W25='Defaults &lt;HIDE&gt;'!$B$14,2200,IF(W25='Defaults &lt;HIDE&gt;'!$B$15,1391,IF(W25='Defaults &lt;HIDE&gt;'!$B$16,"-","-")))))</f>
        <v>-</v>
      </c>
      <c r="Y25" s="53" t="str">
        <f>IFERROR(IF(X25="-","N/A",'2. Inputs'!AB25),"")</f>
        <v>N/A</v>
      </c>
      <c r="Z25" s="55" t="str">
        <f t="shared" si="25"/>
        <v>N/A</v>
      </c>
      <c r="AA25" s="629" t="str">
        <f t="shared" si="26"/>
        <v>N/A</v>
      </c>
      <c r="AB25" s="627" t="str">
        <f>IF(COUNTIF('Defaults &lt;HIDE&gt;'!$G$78:$G$106,'2. Inputs'!H25)&gt;0, "YES", "NO")</f>
        <v>NO</v>
      </c>
      <c r="AC25" s="553">
        <f>IF(AB25="YES",'2. Inputs'!I25,0)</f>
        <v>0</v>
      </c>
      <c r="AD25" s="553" t="str">
        <f>IF(AB25="Yes",(IFERROR(VLOOKUP('2. Inputs'!H25,'Emission Factors &lt;HIDE&gt;'!$B$46:$C$168,2,0)*'2. Inputs'!I25*'2. Inputs'!Q25*'2. Inputs'!U25,0)+IFERROR(VLOOKUP('2. Inputs'!H25,'Emission Factors &lt;HIDE&gt;'!$B$46:$C$168,2,0)*'2. Inputs'!I25*'2. Inputs'!R25,0))/'Definitions and Conversions'!$C$42,"0")</f>
        <v>0</v>
      </c>
      <c r="AE25" s="55" t="str">
        <f>IF(COUNTIF('Defaults &lt;HIDE&gt;'!$G$78:$G$106,'2. Inputs'!J25)&gt;0, "YES", "NO")</f>
        <v>NO</v>
      </c>
      <c r="AF25" s="553">
        <f>IF(AB25="YES",'2. Inputs'!K25,0)</f>
        <v>0</v>
      </c>
      <c r="AG25" s="553" t="str">
        <f>IF(AE25="Yes",(IFERROR(VLOOKUP('2. Inputs'!J25,'Emission Factors &lt;HIDE&gt;'!$B$46:$C$168,2,0)*'2. Inputs'!K25*'2. Inputs'!S25*'2. Inputs'!U25*0.67,0)+IFERROR(VLOOKUP('2. Inputs'!J25,'Emission Factors &lt;HIDE&gt;'!$B$46:$C$168,2,0)*'2. Inputs'!K25*'2. Inputs'!T25,0))/'Definitions and Conversions'!$C$42,"0")</f>
        <v>0</v>
      </c>
      <c r="AH25" s="553">
        <f t="shared" si="27"/>
        <v>0</v>
      </c>
      <c r="AI25" s="633">
        <f t="shared" si="28"/>
        <v>0</v>
      </c>
      <c r="AJ25" s="631" t="str">
        <f>IF(COUNTIF('Defaults &lt;HIDE&gt;'!$G$11:$G$75,'2. Inputs'!H25)&gt;0, "YES", "NO")</f>
        <v>NO</v>
      </c>
      <c r="AK25" s="533">
        <f>IF(AJ25="YES",'2. Inputs'!I25,0)</f>
        <v>0</v>
      </c>
      <c r="AL25" s="533" t="str">
        <f>IF(AJ25="Yes",(IFERROR(VLOOKUP('2. Inputs'!H25,'Emission Factors &lt;HIDE&gt;'!$B$46:$C$168,2,0)*'2. Inputs'!I25*'2. Inputs'!Q25*'2. Inputs'!U25,0)+IFERROR(VLOOKUP('2. Inputs'!H25,'Emission Factors &lt;HIDE&gt;'!$B$46:$C$168,2,0)*'2. Inputs'!I25*'2. Inputs'!R25,0))/'Definitions and Conversions'!$C$42,"0")</f>
        <v>0</v>
      </c>
      <c r="AM25" s="532" t="str">
        <f>IF(COUNTIF('Defaults &lt;HIDE&gt;'!$G$11:$G$75,'2. Inputs'!J25)&gt;0, "YES", "NO")</f>
        <v>NO</v>
      </c>
      <c r="AN25" s="533">
        <f>IF(AM25="YES",'2. Inputs'!K25,0)</f>
        <v>0</v>
      </c>
      <c r="AO25" s="533" t="str">
        <f>IF(AM25="Yes",(IFERROR(VLOOKUP('2. Inputs'!J25,'Emission Factors &lt;HIDE&gt;'!$B$46:$C$168,2,0)*'2. Inputs'!K25*'2. Inputs'!S25*'2. Inputs'!U25*0.67,0)+IFERROR(VLOOKUP('2. Inputs'!J25,'Emission Factors &lt;HIDE&gt;'!$B$46:$C$168,2,0)*'2. Inputs'!K25*'2. Inputs'!T25,0))/'Definitions and Conversions'!$C$42,"0")</f>
        <v>0</v>
      </c>
      <c r="AP25" s="532" t="str">
        <f>IF(COUNTIF('Defaults &lt;HIDE&gt;'!$G$11:$G$75,'2. Inputs'!O25)&gt;0, "YES", "NO")</f>
        <v>NO</v>
      </c>
      <c r="AQ25" s="533">
        <f>IF(AP25="YES",'2. Inputs'!N25,0)</f>
        <v>0</v>
      </c>
      <c r="AR25" s="533" t="str">
        <f>IF(AP25="Yes",(IFERROR(VLOOKUP('2. Inputs'!O25,'Emission Factors &lt;HIDE&gt;'!$B$46:$C$168,2,0)*'2. Inputs'!P25*'2. Inputs'!X25*'2. Inputs'!Z25*0.67,0)+IFERROR(VLOOKUP('2. Inputs'!O25,'Emission Factors &lt;HIDE&gt;'!$B$46:$C$168,2,0)*'2. Inputs'!P25*'2. Inputs'!Y25,0))/'Definitions and Conversions'!$C$42,"0")</f>
        <v>0</v>
      </c>
      <c r="AS25" s="533">
        <f t="shared" si="29"/>
        <v>0</v>
      </c>
      <c r="AT25" s="604">
        <f t="shared" si="30"/>
        <v>0</v>
      </c>
      <c r="AV25" s="527" t="str">
        <f t="shared" si="31"/>
        <v/>
      </c>
      <c r="AW25" s="52">
        <f t="shared" si="0"/>
        <v>0</v>
      </c>
      <c r="AX25" s="56">
        <f t="shared" si="1"/>
        <v>0</v>
      </c>
      <c r="AY25" s="56">
        <f t="shared" si="2"/>
        <v>0</v>
      </c>
      <c r="AZ25" s="56">
        <f t="shared" si="3"/>
        <v>0</v>
      </c>
      <c r="BA25" s="56">
        <f t="shared" si="4"/>
        <v>0</v>
      </c>
      <c r="BB25" s="56">
        <f t="shared" si="5"/>
        <v>0</v>
      </c>
      <c r="BC25" s="56">
        <f t="shared" si="6"/>
        <v>0</v>
      </c>
      <c r="BD25" s="56">
        <f t="shared" si="7"/>
        <v>0</v>
      </c>
      <c r="BE25" s="56">
        <f t="shared" si="8"/>
        <v>0</v>
      </c>
      <c r="BF25" s="56">
        <f t="shared" si="9"/>
        <v>0</v>
      </c>
      <c r="BG25" s="56">
        <f t="shared" si="10"/>
        <v>0</v>
      </c>
      <c r="BH25" s="56">
        <f t="shared" si="11"/>
        <v>0</v>
      </c>
      <c r="BI25" s="56">
        <f t="shared" si="12"/>
        <v>0</v>
      </c>
      <c r="BJ25" s="56">
        <f t="shared" si="13"/>
        <v>0</v>
      </c>
      <c r="BK25" s="56">
        <f t="shared" si="14"/>
        <v>0</v>
      </c>
      <c r="BL25" s="56">
        <f t="shared" si="15"/>
        <v>0</v>
      </c>
      <c r="BM25" s="56">
        <f t="shared" si="16"/>
        <v>0</v>
      </c>
      <c r="BN25" s="56">
        <f t="shared" si="17"/>
        <v>0</v>
      </c>
      <c r="BO25" s="591">
        <f t="shared" si="18"/>
        <v>0</v>
      </c>
      <c r="BP25" s="594">
        <f t="shared" si="19"/>
        <v>0</v>
      </c>
      <c r="BQ25" s="56">
        <f t="shared" si="20"/>
        <v>0</v>
      </c>
      <c r="BR25" s="56">
        <f t="shared" si="21"/>
        <v>0</v>
      </c>
      <c r="BS25" s="56">
        <f t="shared" si="32"/>
        <v>0</v>
      </c>
      <c r="BT25" s="56">
        <f t="shared" si="33"/>
        <v>0</v>
      </c>
      <c r="BU25" s="56">
        <f t="shared" si="34"/>
        <v>0</v>
      </c>
      <c r="BV25" s="587">
        <f t="shared" si="35"/>
        <v>0</v>
      </c>
      <c r="BX25" s="527" t="str">
        <f>IF('2. Inputs'!C25='Defaults &lt;HIDE&gt;'!$B$12,"Food Retail",IF('2. Inputs'!C25='Defaults &lt;HIDE&gt;'!$B$13,"Food Retail",IF('2. Inputs'!C25='Defaults &lt;HIDE&gt;'!$B$14,"Industrial",IF('2. Inputs'!C25='Defaults &lt;HIDE&gt;'!$B$15,"Cold Storage",IF('2. Inputs'!C25='Defaults &lt;HIDE&gt;'!$B$16,'Defaults &lt;HIDE&gt;'!$B$16,"")))))</f>
        <v/>
      </c>
      <c r="BY25" s="260">
        <f>'2. Inputs'!G25</f>
        <v>0</v>
      </c>
      <c r="BZ25" s="704" t="str">
        <f>IF('2. Inputs'!I25&gt;=2000,"2000+",IF('2. Inputs'!I25&gt;=200,"200-2000",IF('2. Inputs'!I25&gt;50,"50-200",IF('2. Inputs'!I25&gt;0,"0-50",""))))</f>
        <v/>
      </c>
      <c r="CA25" s="530" t="str" cm="1">
        <f t="array" ref="CA25">IF(BZ25&lt;&gt;"",INDEX(CM:CM,MATCH(1,(CJ:CJ=BX25)*(CK:CK=BY25)*(CL:CL=BZ25),0)),"")</f>
        <v/>
      </c>
      <c r="CB25" s="531" t="str">
        <f>IF('2. Inputs'!K25&gt;=2000,"2000+",IF('2. Inputs'!K25&gt;=200,"200-2000",IF('2. Inputs'!K25&gt;50,"50-200",IF('2. Inputs'!K25&gt;0,"0-50",""))))</f>
        <v/>
      </c>
      <c r="CC25" s="530" t="str" cm="1">
        <f t="array" ref="CC25">IF(CB25&lt;&gt;"",INDEX(CM:CM,MATCH(1,(CJ:CJ=BX25)*(CK:CK=BY25)*(CL:CL=CB25),0)),"")</f>
        <v/>
      </c>
      <c r="CD25" s="529">
        <f>'2. Inputs'!L25</f>
        <v>0</v>
      </c>
      <c r="CE25" s="729" t="str">
        <f>IF('2. Inputs'!L25='Defaults &lt;HIDE&gt;'!$D$15,"0+",IF('2. Inputs'!N25&gt;=2000,"2000+",IF('2. Inputs'!N25&gt;=200,"200-2000",IF('2. Inputs'!N25&gt;50,"50-200",IF('2. Inputs'!N25&gt;0,"0-50","")))))</f>
        <v/>
      </c>
      <c r="CF25" s="530" t="str" cm="1">
        <f t="array" ref="CF25">IF(CE25&lt;&gt;"",INDEX(CM:CM,MATCH(1,(CJ:CJ=BX25)*(CK:CK=CD25)*(CL:CL=CE25),0)),"")</f>
        <v/>
      </c>
      <c r="CG25" s="531" t="str">
        <f>IF('2. Inputs'!P25&gt;=2000,"2000+",IF('2. Inputs'!P25&gt;=200,"200-2000",IF('2. Inputs'!P25&gt;50,"50-200",IF('2. Inputs'!P25&gt;0,"0-50",""))))</f>
        <v/>
      </c>
      <c r="CH25" s="565" t="str" cm="1">
        <f t="array" ref="CH25">IF(CG25&lt;&gt;"",INDEX(CM:CM,MATCH(1,(CJ:CJ=BX25)*(CK:CK=CD25)*(CL:CL=CG25),0)),"")</f>
        <v/>
      </c>
      <c r="CJ25" s="719" t="s">
        <v>634</v>
      </c>
      <c r="CK25" s="720" t="s">
        <v>354</v>
      </c>
      <c r="CL25" s="704" t="s">
        <v>639</v>
      </c>
      <c r="CM25" s="705">
        <v>0.22900000000000001</v>
      </c>
    </row>
    <row r="26" spans="2:91" x14ac:dyDescent="0.25">
      <c r="B26" s="719" t="str">
        <f>IF('1. Project Info'!L26="","",'1. Project Info'!L26)</f>
        <v/>
      </c>
      <c r="C26" s="720">
        <f>IF('1. Project Info'!S26="","",'1. Project Info'!S26)</f>
        <v>1</v>
      </c>
      <c r="D26" s="52" t="str">
        <f>IF('1. Project Info'!O26="","",'1. Project Info'!O26)</f>
        <v/>
      </c>
      <c r="E26" s="624" t="str">
        <f>IFERROR('2. Inputs'!AD26,"")</f>
        <v/>
      </c>
      <c r="F26" s="621">
        <v>0</v>
      </c>
      <c r="G26" s="53">
        <v>0</v>
      </c>
      <c r="H26" s="53">
        <v>0</v>
      </c>
      <c r="I26" s="53">
        <v>0</v>
      </c>
      <c r="J26" s="53">
        <v>0</v>
      </c>
      <c r="K26" s="53" t="str">
        <f>IFERROR(#REF!*'Emission Factors &lt;HIDE&gt;'!$F$29,"")</f>
        <v/>
      </c>
      <c r="L26" s="53" t="str">
        <f>IFERROR(#REF!*'Emission Factors &lt;HIDE&gt;'!$F$30,"")</f>
        <v/>
      </c>
      <c r="M26" s="53" t="str">
        <f>IFERROR(#REF!*'Emission Factors &lt;HIDE&gt;'!$F$33,"")</f>
        <v/>
      </c>
      <c r="N26" s="53" t="str">
        <f>IFERROR(#REF!*'Emission Factors &lt;HIDE&gt;'!$F$32,"")</f>
        <v/>
      </c>
      <c r="O26" s="53">
        <v>0</v>
      </c>
      <c r="P26" s="53" t="str">
        <f t="shared" si="36"/>
        <v/>
      </c>
      <c r="Q26" s="53" t="str">
        <f t="shared" si="22"/>
        <v/>
      </c>
      <c r="R26" s="53" t="str">
        <f t="shared" si="23"/>
        <v/>
      </c>
      <c r="S26" s="53" t="str">
        <f t="shared" si="24"/>
        <v/>
      </c>
      <c r="T26" s="53">
        <v>0</v>
      </c>
      <c r="U26" s="53" t="str">
        <f>IFERROR(#REF!*'Fuel Prices &lt;HIDE&gt;'!$C$12,"")</f>
        <v/>
      </c>
      <c r="V26" s="54" t="str">
        <f>IFERROR(#REF!,"")</f>
        <v/>
      </c>
      <c r="W26" s="732">
        <f>IF(B26="",W25,'1. Project Info'!P26)</f>
        <v>0</v>
      </c>
      <c r="X26" s="55" t="str">
        <f>IF(AND(W26='Defaults &lt;HIDE&gt;'!$B$12,'2. Inputs'!I26+'2. Inputs'!K26&gt;50),1400,IF(AND(W26='Defaults &lt;HIDE&gt;'!$B$13,'2. Inputs'!I26+'2. Inputs'!K26&gt;50),1400,IF(W26='Defaults &lt;HIDE&gt;'!$B$14,2200,IF(W26='Defaults &lt;HIDE&gt;'!$B$15,1391,IF(W26='Defaults &lt;HIDE&gt;'!$B$16,"-","-")))))</f>
        <v>-</v>
      </c>
      <c r="Y26" s="53" t="str">
        <f>IFERROR(IF(X26="-","N/A",'2. Inputs'!AB26),"")</f>
        <v>N/A</v>
      </c>
      <c r="Z26" s="55" t="str">
        <f t="shared" si="25"/>
        <v>N/A</v>
      </c>
      <c r="AA26" s="629" t="str">
        <f t="shared" si="26"/>
        <v>N/A</v>
      </c>
      <c r="AB26" s="627" t="str">
        <f>IF(COUNTIF('Defaults &lt;HIDE&gt;'!$G$78:$G$106,'2. Inputs'!H26)&gt;0, "YES", "NO")</f>
        <v>NO</v>
      </c>
      <c r="AC26" s="553">
        <f>IF(AB26="YES",'2. Inputs'!I26,0)</f>
        <v>0</v>
      </c>
      <c r="AD26" s="553" t="str">
        <f>IF(AB26="Yes",(IFERROR(VLOOKUP('2. Inputs'!H26,'Emission Factors &lt;HIDE&gt;'!$B$46:$C$168,2,0)*'2. Inputs'!I26*'2. Inputs'!Q26*'2. Inputs'!U26,0)+IFERROR(VLOOKUP('2. Inputs'!H26,'Emission Factors &lt;HIDE&gt;'!$B$46:$C$168,2,0)*'2. Inputs'!I26*'2. Inputs'!R26,0))/'Definitions and Conversions'!$C$42,"0")</f>
        <v>0</v>
      </c>
      <c r="AE26" s="55" t="str">
        <f>IF(COUNTIF('Defaults &lt;HIDE&gt;'!$G$78:$G$106,'2. Inputs'!J26)&gt;0, "YES", "NO")</f>
        <v>NO</v>
      </c>
      <c r="AF26" s="553">
        <f>IF(AB26="YES",'2. Inputs'!K26,0)</f>
        <v>0</v>
      </c>
      <c r="AG26" s="553" t="str">
        <f>IF(AE26="Yes",(IFERROR(VLOOKUP('2. Inputs'!J26,'Emission Factors &lt;HIDE&gt;'!$B$46:$C$168,2,0)*'2. Inputs'!K26*'2. Inputs'!S26*'2. Inputs'!U26*0.67,0)+IFERROR(VLOOKUP('2. Inputs'!J26,'Emission Factors &lt;HIDE&gt;'!$B$46:$C$168,2,0)*'2. Inputs'!K26*'2. Inputs'!T26,0))/'Definitions and Conversions'!$C$42,"0")</f>
        <v>0</v>
      </c>
      <c r="AH26" s="553">
        <f t="shared" si="27"/>
        <v>0</v>
      </c>
      <c r="AI26" s="633">
        <f t="shared" si="28"/>
        <v>0</v>
      </c>
      <c r="AJ26" s="631" t="str">
        <f>IF(COUNTIF('Defaults &lt;HIDE&gt;'!$G$11:$G$75,'2. Inputs'!H26)&gt;0, "YES", "NO")</f>
        <v>NO</v>
      </c>
      <c r="AK26" s="533">
        <f>IF(AJ26="YES",'2. Inputs'!I26,0)</f>
        <v>0</v>
      </c>
      <c r="AL26" s="533" t="str">
        <f>IF(AJ26="Yes",(IFERROR(VLOOKUP('2. Inputs'!H26,'Emission Factors &lt;HIDE&gt;'!$B$46:$C$168,2,0)*'2. Inputs'!I26*'2. Inputs'!Q26*'2. Inputs'!U26,0)+IFERROR(VLOOKUP('2. Inputs'!H26,'Emission Factors &lt;HIDE&gt;'!$B$46:$C$168,2,0)*'2. Inputs'!I26*'2. Inputs'!R26,0))/'Definitions and Conversions'!$C$42,"0")</f>
        <v>0</v>
      </c>
      <c r="AM26" s="532" t="str">
        <f>IF(COUNTIF('Defaults &lt;HIDE&gt;'!$G$11:$G$75,'2. Inputs'!J26)&gt;0, "YES", "NO")</f>
        <v>NO</v>
      </c>
      <c r="AN26" s="533">
        <f>IF(AM26="YES",'2. Inputs'!K26,0)</f>
        <v>0</v>
      </c>
      <c r="AO26" s="533" t="str">
        <f>IF(AM26="Yes",(IFERROR(VLOOKUP('2. Inputs'!J26,'Emission Factors &lt;HIDE&gt;'!$B$46:$C$168,2,0)*'2. Inputs'!K26*'2. Inputs'!S26*'2. Inputs'!U26*0.67,0)+IFERROR(VLOOKUP('2. Inputs'!J26,'Emission Factors &lt;HIDE&gt;'!$B$46:$C$168,2,0)*'2. Inputs'!K26*'2. Inputs'!T26,0))/'Definitions and Conversions'!$C$42,"0")</f>
        <v>0</v>
      </c>
      <c r="AP26" s="532" t="str">
        <f>IF(COUNTIF('Defaults &lt;HIDE&gt;'!$G$11:$G$75,'2. Inputs'!O26)&gt;0, "YES", "NO")</f>
        <v>NO</v>
      </c>
      <c r="AQ26" s="533">
        <f>IF(AP26="YES",'2. Inputs'!N26,0)</f>
        <v>0</v>
      </c>
      <c r="AR26" s="533" t="str">
        <f>IF(AP26="Yes",(IFERROR(VLOOKUP('2. Inputs'!O26,'Emission Factors &lt;HIDE&gt;'!$B$46:$C$168,2,0)*'2. Inputs'!P26*'2. Inputs'!X26*'2. Inputs'!Z26*0.67,0)+IFERROR(VLOOKUP('2. Inputs'!O26,'Emission Factors &lt;HIDE&gt;'!$B$46:$C$168,2,0)*'2. Inputs'!P26*'2. Inputs'!Y26,0))/'Definitions and Conversions'!$C$42,"0")</f>
        <v>0</v>
      </c>
      <c r="AS26" s="533">
        <f t="shared" si="29"/>
        <v>0</v>
      </c>
      <c r="AT26" s="604">
        <f t="shared" si="30"/>
        <v>0</v>
      </c>
      <c r="AV26" s="527" t="str">
        <f t="shared" si="31"/>
        <v/>
      </c>
      <c r="AW26" s="52">
        <f t="shared" si="0"/>
        <v>0</v>
      </c>
      <c r="AX26" s="56">
        <f t="shared" si="1"/>
        <v>0</v>
      </c>
      <c r="AY26" s="56">
        <f t="shared" si="2"/>
        <v>0</v>
      </c>
      <c r="AZ26" s="56">
        <f t="shared" si="3"/>
        <v>0</v>
      </c>
      <c r="BA26" s="56">
        <f t="shared" si="4"/>
        <v>0</v>
      </c>
      <c r="BB26" s="56">
        <f t="shared" si="5"/>
        <v>0</v>
      </c>
      <c r="BC26" s="56">
        <f t="shared" si="6"/>
        <v>0</v>
      </c>
      <c r="BD26" s="56">
        <f t="shared" si="7"/>
        <v>0</v>
      </c>
      <c r="BE26" s="56">
        <f t="shared" si="8"/>
        <v>0</v>
      </c>
      <c r="BF26" s="56">
        <f t="shared" si="9"/>
        <v>0</v>
      </c>
      <c r="BG26" s="56">
        <f t="shared" si="10"/>
        <v>0</v>
      </c>
      <c r="BH26" s="56">
        <f t="shared" si="11"/>
        <v>0</v>
      </c>
      <c r="BI26" s="56">
        <f t="shared" si="12"/>
        <v>0</v>
      </c>
      <c r="BJ26" s="56">
        <f t="shared" si="13"/>
        <v>0</v>
      </c>
      <c r="BK26" s="56">
        <f t="shared" si="14"/>
        <v>0</v>
      </c>
      <c r="BL26" s="56">
        <f t="shared" si="15"/>
        <v>0</v>
      </c>
      <c r="BM26" s="56">
        <f t="shared" si="16"/>
        <v>0</v>
      </c>
      <c r="BN26" s="56">
        <f t="shared" si="17"/>
        <v>0</v>
      </c>
      <c r="BO26" s="591">
        <f t="shared" si="18"/>
        <v>0</v>
      </c>
      <c r="BP26" s="594">
        <f t="shared" si="19"/>
        <v>0</v>
      </c>
      <c r="BQ26" s="56">
        <f t="shared" si="20"/>
        <v>0</v>
      </c>
      <c r="BR26" s="56">
        <f t="shared" si="21"/>
        <v>0</v>
      </c>
      <c r="BS26" s="56">
        <f t="shared" si="32"/>
        <v>0</v>
      </c>
      <c r="BT26" s="56">
        <f t="shared" si="33"/>
        <v>0</v>
      </c>
      <c r="BU26" s="56">
        <f t="shared" si="34"/>
        <v>0</v>
      </c>
      <c r="BV26" s="587">
        <f t="shared" si="35"/>
        <v>0</v>
      </c>
      <c r="BX26" s="527" t="str">
        <f>IF('2. Inputs'!C26='Defaults &lt;HIDE&gt;'!$B$12,"Food Retail",IF('2. Inputs'!C26='Defaults &lt;HIDE&gt;'!$B$13,"Food Retail",IF('2. Inputs'!C26='Defaults &lt;HIDE&gt;'!$B$14,"Industrial",IF('2. Inputs'!C26='Defaults &lt;HIDE&gt;'!$B$15,"Cold Storage",IF('2. Inputs'!C26='Defaults &lt;HIDE&gt;'!$B$16,'Defaults &lt;HIDE&gt;'!$B$16,"")))))</f>
        <v/>
      </c>
      <c r="BY26" s="260">
        <f>'2. Inputs'!G26</f>
        <v>0</v>
      </c>
      <c r="BZ26" s="704" t="str">
        <f>IF('2. Inputs'!I26&gt;=2000,"2000+",IF('2. Inputs'!I26&gt;=200,"200-2000",IF('2. Inputs'!I26&gt;50,"50-200",IF('2. Inputs'!I26&gt;0,"0-50",""))))</f>
        <v/>
      </c>
      <c r="CA26" s="530" t="str" cm="1">
        <f t="array" ref="CA26">IF(BZ26&lt;&gt;"",INDEX(CM:CM,MATCH(1,(CJ:CJ=BX26)*(CK:CK=BY26)*(CL:CL=BZ26),0)),"")</f>
        <v/>
      </c>
      <c r="CB26" s="531" t="str">
        <f>IF('2. Inputs'!K26&gt;=2000,"2000+",IF('2. Inputs'!K26&gt;=200,"200-2000",IF('2. Inputs'!K26&gt;50,"50-200",IF('2. Inputs'!K26&gt;0,"0-50",""))))</f>
        <v/>
      </c>
      <c r="CC26" s="530" t="str" cm="1">
        <f t="array" ref="CC26">IF(CB26&lt;&gt;"",INDEX(CM:CM,MATCH(1,(CJ:CJ=BX26)*(CK:CK=BY26)*(CL:CL=CB26),0)),"")</f>
        <v/>
      </c>
      <c r="CD26" s="529">
        <f>'2. Inputs'!L26</f>
        <v>0</v>
      </c>
      <c r="CE26" s="729" t="str">
        <f>IF('2. Inputs'!L26='Defaults &lt;HIDE&gt;'!$D$15,"0+",IF('2. Inputs'!N26&gt;=2000,"2000+",IF('2. Inputs'!N26&gt;=200,"200-2000",IF('2. Inputs'!N26&gt;50,"50-200",IF('2. Inputs'!N26&gt;0,"0-50","")))))</f>
        <v/>
      </c>
      <c r="CF26" s="530" t="str" cm="1">
        <f t="array" ref="CF26">IF(CE26&lt;&gt;"",INDEX(CM:CM,MATCH(1,(CJ:CJ=BX26)*(CK:CK=CD26)*(CL:CL=CE26),0)),"")</f>
        <v/>
      </c>
      <c r="CG26" s="531" t="str">
        <f>IF('2. Inputs'!P26&gt;=2000,"2000+",IF('2. Inputs'!P26&gt;=200,"200-2000",IF('2. Inputs'!P26&gt;50,"50-200",IF('2. Inputs'!P26&gt;0,"0-50",""))))</f>
        <v/>
      </c>
      <c r="CH26" s="565" t="str" cm="1">
        <f t="array" ref="CH26">IF(CG26&lt;&gt;"",INDEX(CM:CM,MATCH(1,(CJ:CJ=BX26)*(CK:CK=CD26)*(CL:CL=CG26),0)),"")</f>
        <v/>
      </c>
      <c r="CJ26" s="719" t="s">
        <v>634</v>
      </c>
      <c r="CK26" s="720" t="s">
        <v>354</v>
      </c>
      <c r="CL26" s="704" t="s">
        <v>640</v>
      </c>
      <c r="CM26" s="705">
        <v>0.24199999999999999</v>
      </c>
    </row>
    <row r="27" spans="2:91" x14ac:dyDescent="0.25">
      <c r="B27" s="719" t="str">
        <f>IF('1. Project Info'!L27="","",'1. Project Info'!L27)</f>
        <v/>
      </c>
      <c r="C27" s="720">
        <f>IF('1. Project Info'!S27="","",'1. Project Info'!S27)</f>
        <v>1</v>
      </c>
      <c r="D27" s="52" t="str">
        <f>IF('1. Project Info'!O27="","",'1. Project Info'!O27)</f>
        <v/>
      </c>
      <c r="E27" s="624" t="str">
        <f>IFERROR('2. Inputs'!AD27,"")</f>
        <v/>
      </c>
      <c r="F27" s="621">
        <v>0</v>
      </c>
      <c r="G27" s="53">
        <v>0</v>
      </c>
      <c r="H27" s="53">
        <v>0</v>
      </c>
      <c r="I27" s="53">
        <v>0</v>
      </c>
      <c r="J27" s="53">
        <v>0</v>
      </c>
      <c r="K27" s="53" t="str">
        <f>IFERROR(#REF!*'Emission Factors &lt;HIDE&gt;'!$F$29,"")</f>
        <v/>
      </c>
      <c r="L27" s="53" t="str">
        <f>IFERROR(#REF!*'Emission Factors &lt;HIDE&gt;'!$F$30,"")</f>
        <v/>
      </c>
      <c r="M27" s="53" t="str">
        <f>IFERROR(#REF!*'Emission Factors &lt;HIDE&gt;'!$F$33,"")</f>
        <v/>
      </c>
      <c r="N27" s="53" t="str">
        <f>IFERROR(#REF!*'Emission Factors &lt;HIDE&gt;'!$F$32,"")</f>
        <v/>
      </c>
      <c r="O27" s="53">
        <v>0</v>
      </c>
      <c r="P27" s="53" t="str">
        <f t="shared" si="36"/>
        <v/>
      </c>
      <c r="Q27" s="53" t="str">
        <f t="shared" si="22"/>
        <v/>
      </c>
      <c r="R27" s="53" t="str">
        <f t="shared" si="23"/>
        <v/>
      </c>
      <c r="S27" s="53" t="str">
        <f t="shared" si="24"/>
        <v/>
      </c>
      <c r="T27" s="53">
        <v>0</v>
      </c>
      <c r="U27" s="53" t="str">
        <f>IFERROR(#REF!*'Fuel Prices &lt;HIDE&gt;'!$C$12,"")</f>
        <v/>
      </c>
      <c r="V27" s="54" t="str">
        <f>IFERROR(#REF!,"")</f>
        <v/>
      </c>
      <c r="W27" s="732">
        <f>IF(B27="",W26,'1. Project Info'!P27)</f>
        <v>0</v>
      </c>
      <c r="X27" s="55" t="str">
        <f>IF(AND(W27='Defaults &lt;HIDE&gt;'!$B$12,'2. Inputs'!I27+'2. Inputs'!K27&gt;50),1400,IF(AND(W27='Defaults &lt;HIDE&gt;'!$B$13,'2. Inputs'!I27+'2. Inputs'!K27&gt;50),1400,IF(W27='Defaults &lt;HIDE&gt;'!$B$14,2200,IF(W27='Defaults &lt;HIDE&gt;'!$B$15,1391,IF(W27='Defaults &lt;HIDE&gt;'!$B$16,"-","-")))))</f>
        <v>-</v>
      </c>
      <c r="Y27" s="53" t="str">
        <f>IFERROR(IF(X27="-","N/A",'2. Inputs'!AB27),"")</f>
        <v>N/A</v>
      </c>
      <c r="Z27" s="55" t="str">
        <f t="shared" si="25"/>
        <v>N/A</v>
      </c>
      <c r="AA27" s="629" t="str">
        <f t="shared" si="26"/>
        <v>N/A</v>
      </c>
      <c r="AB27" s="627" t="str">
        <f>IF(COUNTIF('Defaults &lt;HIDE&gt;'!$G$78:$G$106,'2. Inputs'!H27)&gt;0, "YES", "NO")</f>
        <v>NO</v>
      </c>
      <c r="AC27" s="553">
        <f>IF(AB27="YES",'2. Inputs'!I27,0)</f>
        <v>0</v>
      </c>
      <c r="AD27" s="553" t="str">
        <f>IF(AB27="Yes",(IFERROR(VLOOKUP('2. Inputs'!H27,'Emission Factors &lt;HIDE&gt;'!$B$46:$C$168,2,0)*'2. Inputs'!I27*'2. Inputs'!Q27*'2. Inputs'!U27,0)+IFERROR(VLOOKUP('2. Inputs'!H27,'Emission Factors &lt;HIDE&gt;'!$B$46:$C$168,2,0)*'2. Inputs'!I27*'2. Inputs'!R27,0))/'Definitions and Conversions'!$C$42,"0")</f>
        <v>0</v>
      </c>
      <c r="AE27" s="55" t="str">
        <f>IF(COUNTIF('Defaults &lt;HIDE&gt;'!$G$78:$G$106,'2. Inputs'!J27)&gt;0, "YES", "NO")</f>
        <v>NO</v>
      </c>
      <c r="AF27" s="553">
        <f>IF(AB27="YES",'2. Inputs'!K27,0)</f>
        <v>0</v>
      </c>
      <c r="AG27" s="553" t="str">
        <f>IF(AE27="Yes",(IFERROR(VLOOKUP('2. Inputs'!J27,'Emission Factors &lt;HIDE&gt;'!$B$46:$C$168,2,0)*'2. Inputs'!K27*'2. Inputs'!S27*'2. Inputs'!U27*0.67,0)+IFERROR(VLOOKUP('2. Inputs'!J27,'Emission Factors &lt;HIDE&gt;'!$B$46:$C$168,2,0)*'2. Inputs'!K27*'2. Inputs'!T27,0))/'Definitions and Conversions'!$C$42,"0")</f>
        <v>0</v>
      </c>
      <c r="AH27" s="553">
        <f t="shared" si="27"/>
        <v>0</v>
      </c>
      <c r="AI27" s="633">
        <f t="shared" si="28"/>
        <v>0</v>
      </c>
      <c r="AJ27" s="631" t="str">
        <f>IF(COUNTIF('Defaults &lt;HIDE&gt;'!$G$11:$G$75,'2. Inputs'!H27)&gt;0, "YES", "NO")</f>
        <v>NO</v>
      </c>
      <c r="AK27" s="533">
        <f>IF(AJ27="YES",'2. Inputs'!I27,0)</f>
        <v>0</v>
      </c>
      <c r="AL27" s="533" t="str">
        <f>IF(AJ27="Yes",(IFERROR(VLOOKUP('2. Inputs'!H27,'Emission Factors &lt;HIDE&gt;'!$B$46:$C$168,2,0)*'2. Inputs'!I27*'2. Inputs'!Q27*'2. Inputs'!U27,0)+IFERROR(VLOOKUP('2. Inputs'!H27,'Emission Factors &lt;HIDE&gt;'!$B$46:$C$168,2,0)*'2. Inputs'!I27*'2. Inputs'!R27,0))/'Definitions and Conversions'!$C$42,"0")</f>
        <v>0</v>
      </c>
      <c r="AM27" s="532" t="str">
        <f>IF(COUNTIF('Defaults &lt;HIDE&gt;'!$G$11:$G$75,'2. Inputs'!J27)&gt;0, "YES", "NO")</f>
        <v>NO</v>
      </c>
      <c r="AN27" s="533">
        <f>IF(AM27="YES",'2. Inputs'!K27,0)</f>
        <v>0</v>
      </c>
      <c r="AO27" s="533" t="str">
        <f>IF(AM27="Yes",(IFERROR(VLOOKUP('2. Inputs'!J27,'Emission Factors &lt;HIDE&gt;'!$B$46:$C$168,2,0)*'2. Inputs'!K27*'2. Inputs'!S27*'2. Inputs'!U27*0.67,0)+IFERROR(VLOOKUP('2. Inputs'!J27,'Emission Factors &lt;HIDE&gt;'!$B$46:$C$168,2,0)*'2. Inputs'!K27*'2. Inputs'!T27,0))/'Definitions and Conversions'!$C$42,"0")</f>
        <v>0</v>
      </c>
      <c r="AP27" s="532" t="str">
        <f>IF(COUNTIF('Defaults &lt;HIDE&gt;'!$G$11:$G$75,'2. Inputs'!O27)&gt;0, "YES", "NO")</f>
        <v>NO</v>
      </c>
      <c r="AQ27" s="533">
        <f>IF(AP27="YES",'2. Inputs'!N27,0)</f>
        <v>0</v>
      </c>
      <c r="AR27" s="533" t="str">
        <f>IF(AP27="Yes",(IFERROR(VLOOKUP('2. Inputs'!O27,'Emission Factors &lt;HIDE&gt;'!$B$46:$C$168,2,0)*'2. Inputs'!P27*'2. Inputs'!X27*'2. Inputs'!Z27*0.67,0)+IFERROR(VLOOKUP('2. Inputs'!O27,'Emission Factors &lt;HIDE&gt;'!$B$46:$C$168,2,0)*'2. Inputs'!P27*'2. Inputs'!Y27,0))/'Definitions and Conversions'!$C$42,"0")</f>
        <v>0</v>
      </c>
      <c r="AS27" s="533">
        <f t="shared" si="29"/>
        <v>0</v>
      </c>
      <c r="AT27" s="604">
        <f t="shared" si="30"/>
        <v>0</v>
      </c>
      <c r="AV27" s="527" t="str">
        <f t="shared" si="31"/>
        <v/>
      </c>
      <c r="AW27" s="52">
        <f t="shared" si="0"/>
        <v>0</v>
      </c>
      <c r="AX27" s="56">
        <f t="shared" si="1"/>
        <v>0</v>
      </c>
      <c r="AY27" s="56">
        <f t="shared" si="2"/>
        <v>0</v>
      </c>
      <c r="AZ27" s="56">
        <f t="shared" si="3"/>
        <v>0</v>
      </c>
      <c r="BA27" s="56">
        <f t="shared" si="4"/>
        <v>0</v>
      </c>
      <c r="BB27" s="56">
        <f t="shared" si="5"/>
        <v>0</v>
      </c>
      <c r="BC27" s="56">
        <f t="shared" si="6"/>
        <v>0</v>
      </c>
      <c r="BD27" s="56">
        <f t="shared" si="7"/>
        <v>0</v>
      </c>
      <c r="BE27" s="56">
        <f t="shared" si="8"/>
        <v>0</v>
      </c>
      <c r="BF27" s="56">
        <f t="shared" si="9"/>
        <v>0</v>
      </c>
      <c r="BG27" s="56">
        <f t="shared" si="10"/>
        <v>0</v>
      </c>
      <c r="BH27" s="56">
        <f t="shared" si="11"/>
        <v>0</v>
      </c>
      <c r="BI27" s="56">
        <f t="shared" si="12"/>
        <v>0</v>
      </c>
      <c r="BJ27" s="56">
        <f t="shared" si="13"/>
        <v>0</v>
      </c>
      <c r="BK27" s="56">
        <f t="shared" si="14"/>
        <v>0</v>
      </c>
      <c r="BL27" s="56">
        <f t="shared" si="15"/>
        <v>0</v>
      </c>
      <c r="BM27" s="56">
        <f t="shared" si="16"/>
        <v>0</v>
      </c>
      <c r="BN27" s="56">
        <f t="shared" si="17"/>
        <v>0</v>
      </c>
      <c r="BO27" s="591">
        <f t="shared" si="18"/>
        <v>0</v>
      </c>
      <c r="BP27" s="594">
        <f t="shared" si="19"/>
        <v>0</v>
      </c>
      <c r="BQ27" s="56">
        <f t="shared" si="20"/>
        <v>0</v>
      </c>
      <c r="BR27" s="56">
        <f t="shared" si="21"/>
        <v>0</v>
      </c>
      <c r="BS27" s="56">
        <f t="shared" si="32"/>
        <v>0</v>
      </c>
      <c r="BT27" s="56">
        <f t="shared" si="33"/>
        <v>0</v>
      </c>
      <c r="BU27" s="56">
        <f t="shared" si="34"/>
        <v>0</v>
      </c>
      <c r="BV27" s="587">
        <f t="shared" si="35"/>
        <v>0</v>
      </c>
      <c r="BX27" s="527" t="str">
        <f>IF('2. Inputs'!C27='Defaults &lt;HIDE&gt;'!$B$12,"Food Retail",IF('2. Inputs'!C27='Defaults &lt;HIDE&gt;'!$B$13,"Food Retail",IF('2. Inputs'!C27='Defaults &lt;HIDE&gt;'!$B$14,"Industrial",IF('2. Inputs'!C27='Defaults &lt;HIDE&gt;'!$B$15,"Cold Storage",IF('2. Inputs'!C27='Defaults &lt;HIDE&gt;'!$B$16,'Defaults &lt;HIDE&gt;'!$B$16,"")))))</f>
        <v/>
      </c>
      <c r="BY27" s="260">
        <f>'2. Inputs'!G27</f>
        <v>0</v>
      </c>
      <c r="BZ27" s="704" t="str">
        <f>IF('2. Inputs'!I27&gt;=2000,"2000+",IF('2. Inputs'!I27&gt;=200,"200-2000",IF('2. Inputs'!I27&gt;50,"50-200",IF('2. Inputs'!I27&gt;0,"0-50",""))))</f>
        <v/>
      </c>
      <c r="CA27" s="530" t="str" cm="1">
        <f t="array" ref="CA27">IF(BZ27&lt;&gt;"",INDEX(CM:CM,MATCH(1,(CJ:CJ=BX27)*(CK:CK=BY27)*(CL:CL=BZ27),0)),"")</f>
        <v/>
      </c>
      <c r="CB27" s="531" t="str">
        <f>IF('2. Inputs'!K27&gt;=2000,"2000+",IF('2. Inputs'!K27&gt;=200,"200-2000",IF('2. Inputs'!K27&gt;50,"50-200",IF('2. Inputs'!K27&gt;0,"0-50",""))))</f>
        <v/>
      </c>
      <c r="CC27" s="530" t="str" cm="1">
        <f t="array" ref="CC27">IF(CB27&lt;&gt;"",INDEX(CM:CM,MATCH(1,(CJ:CJ=BX27)*(CK:CK=BY27)*(CL:CL=CB27),0)),"")</f>
        <v/>
      </c>
      <c r="CD27" s="529">
        <f>'2. Inputs'!L27</f>
        <v>0</v>
      </c>
      <c r="CE27" s="729" t="str">
        <f>IF('2. Inputs'!L27='Defaults &lt;HIDE&gt;'!$D$15,"0+",IF('2. Inputs'!N27&gt;=2000,"2000+",IF('2. Inputs'!N27&gt;=200,"200-2000",IF('2. Inputs'!N27&gt;50,"50-200",IF('2. Inputs'!N27&gt;0,"0-50","")))))</f>
        <v/>
      </c>
      <c r="CF27" s="530" t="str" cm="1">
        <f t="array" ref="CF27">IF(CE27&lt;&gt;"",INDEX(CM:CM,MATCH(1,(CJ:CJ=BX27)*(CK:CK=CD27)*(CL:CL=CE27),0)),"")</f>
        <v/>
      </c>
      <c r="CG27" s="531" t="str">
        <f>IF('2. Inputs'!P27&gt;=2000,"2000+",IF('2. Inputs'!P27&gt;=200,"200-2000",IF('2. Inputs'!P27&gt;50,"50-200",IF('2. Inputs'!P27&gt;0,"0-50",""))))</f>
        <v/>
      </c>
      <c r="CH27" s="565" t="str" cm="1">
        <f t="array" ref="CH27">IF(CG27&lt;&gt;"",INDEX(CM:CM,MATCH(1,(CJ:CJ=BX27)*(CK:CK=CD27)*(CL:CL=CG27),0)),"")</f>
        <v/>
      </c>
      <c r="CJ27" s="719" t="s">
        <v>634</v>
      </c>
      <c r="CK27" s="720" t="s">
        <v>357</v>
      </c>
      <c r="CL27" s="704" t="s">
        <v>637</v>
      </c>
      <c r="CM27" s="706">
        <v>0.15</v>
      </c>
    </row>
    <row r="28" spans="2:91" x14ac:dyDescent="0.25">
      <c r="B28" s="719" t="str">
        <f>IF('1. Project Info'!L28="","",'1. Project Info'!L28)</f>
        <v/>
      </c>
      <c r="C28" s="720">
        <f>IF('1. Project Info'!S28="","",'1. Project Info'!S28)</f>
        <v>1</v>
      </c>
      <c r="D28" s="52" t="str">
        <f>IF('1. Project Info'!O28="","",'1. Project Info'!O28)</f>
        <v/>
      </c>
      <c r="E28" s="624" t="str">
        <f>IFERROR('2. Inputs'!AD28,"")</f>
        <v/>
      </c>
      <c r="F28" s="621">
        <v>0</v>
      </c>
      <c r="G28" s="53">
        <v>0</v>
      </c>
      <c r="H28" s="53">
        <v>0</v>
      </c>
      <c r="I28" s="53">
        <v>0</v>
      </c>
      <c r="J28" s="53">
        <v>0</v>
      </c>
      <c r="K28" s="53" t="str">
        <f>IFERROR(#REF!*'Emission Factors &lt;HIDE&gt;'!$F$29,"")</f>
        <v/>
      </c>
      <c r="L28" s="53" t="str">
        <f>IFERROR(#REF!*'Emission Factors &lt;HIDE&gt;'!$F$30,"")</f>
        <v/>
      </c>
      <c r="M28" s="53" t="str">
        <f>IFERROR(#REF!*'Emission Factors &lt;HIDE&gt;'!$F$33,"")</f>
        <v/>
      </c>
      <c r="N28" s="53" t="str">
        <f>IFERROR(#REF!*'Emission Factors &lt;HIDE&gt;'!$F$32,"")</f>
        <v/>
      </c>
      <c r="O28" s="53">
        <v>0</v>
      </c>
      <c r="P28" s="53" t="str">
        <f t="shared" si="36"/>
        <v/>
      </c>
      <c r="Q28" s="53" t="str">
        <f t="shared" si="22"/>
        <v/>
      </c>
      <c r="R28" s="53" t="str">
        <f t="shared" si="23"/>
        <v/>
      </c>
      <c r="S28" s="53" t="str">
        <f t="shared" si="24"/>
        <v/>
      </c>
      <c r="T28" s="53">
        <v>0</v>
      </c>
      <c r="U28" s="53" t="str">
        <f>IFERROR(#REF!*'Fuel Prices &lt;HIDE&gt;'!$C$12,"")</f>
        <v/>
      </c>
      <c r="V28" s="54" t="str">
        <f>IFERROR(#REF!,"")</f>
        <v/>
      </c>
      <c r="W28" s="732">
        <f>IF(B28="",W27,'1. Project Info'!P28)</f>
        <v>0</v>
      </c>
      <c r="X28" s="55" t="str">
        <f>IF(AND(W28='Defaults &lt;HIDE&gt;'!$B$12,'2. Inputs'!I28+'2. Inputs'!K28&gt;50),1400,IF(AND(W28='Defaults &lt;HIDE&gt;'!$B$13,'2. Inputs'!I28+'2. Inputs'!K28&gt;50),1400,IF(W28='Defaults &lt;HIDE&gt;'!$B$14,2200,IF(W28='Defaults &lt;HIDE&gt;'!$B$15,1391,IF(W28='Defaults &lt;HIDE&gt;'!$B$16,"-","-")))))</f>
        <v>-</v>
      </c>
      <c r="Y28" s="53" t="str">
        <f>IFERROR(IF(X28="-","N/A",'2. Inputs'!AB28),"")</f>
        <v>N/A</v>
      </c>
      <c r="Z28" s="55" t="str">
        <f t="shared" si="25"/>
        <v>N/A</v>
      </c>
      <c r="AA28" s="629" t="str">
        <f t="shared" si="26"/>
        <v>N/A</v>
      </c>
      <c r="AB28" s="627" t="str">
        <f>IF(COUNTIF('Defaults &lt;HIDE&gt;'!$G$78:$G$106,'2. Inputs'!H28)&gt;0, "YES", "NO")</f>
        <v>NO</v>
      </c>
      <c r="AC28" s="553">
        <f>IF(AB28="YES",'2. Inputs'!I28,0)</f>
        <v>0</v>
      </c>
      <c r="AD28" s="553" t="str">
        <f>IF(AB28="Yes",(IFERROR(VLOOKUP('2. Inputs'!H28,'Emission Factors &lt;HIDE&gt;'!$B$46:$C$168,2,0)*'2. Inputs'!I28*'2. Inputs'!Q28*'2. Inputs'!U28,0)+IFERROR(VLOOKUP('2. Inputs'!H28,'Emission Factors &lt;HIDE&gt;'!$B$46:$C$168,2,0)*'2. Inputs'!I28*'2. Inputs'!R28,0))/'Definitions and Conversions'!$C$42,"0")</f>
        <v>0</v>
      </c>
      <c r="AE28" s="55" t="str">
        <f>IF(COUNTIF('Defaults &lt;HIDE&gt;'!$G$78:$G$106,'2. Inputs'!J28)&gt;0, "YES", "NO")</f>
        <v>NO</v>
      </c>
      <c r="AF28" s="553">
        <f>IF(AB28="YES",'2. Inputs'!K28,0)</f>
        <v>0</v>
      </c>
      <c r="AG28" s="553" t="str">
        <f>IF(AE28="Yes",(IFERROR(VLOOKUP('2. Inputs'!J28,'Emission Factors &lt;HIDE&gt;'!$B$46:$C$168,2,0)*'2. Inputs'!K28*'2. Inputs'!S28*'2. Inputs'!U28*0.67,0)+IFERROR(VLOOKUP('2. Inputs'!J28,'Emission Factors &lt;HIDE&gt;'!$B$46:$C$168,2,0)*'2. Inputs'!K28*'2. Inputs'!T28,0))/'Definitions and Conversions'!$C$42,"0")</f>
        <v>0</v>
      </c>
      <c r="AH28" s="553">
        <f t="shared" si="27"/>
        <v>0</v>
      </c>
      <c r="AI28" s="633">
        <f t="shared" si="28"/>
        <v>0</v>
      </c>
      <c r="AJ28" s="631" t="str">
        <f>IF(COUNTIF('Defaults &lt;HIDE&gt;'!$G$11:$G$75,'2. Inputs'!H28)&gt;0, "YES", "NO")</f>
        <v>NO</v>
      </c>
      <c r="AK28" s="533">
        <f>IF(AJ28="YES",'2. Inputs'!I28,0)</f>
        <v>0</v>
      </c>
      <c r="AL28" s="533" t="str">
        <f>IF(AJ28="Yes",(IFERROR(VLOOKUP('2. Inputs'!H28,'Emission Factors &lt;HIDE&gt;'!$B$46:$C$168,2,0)*'2. Inputs'!I28*'2. Inputs'!Q28*'2. Inputs'!U28,0)+IFERROR(VLOOKUP('2. Inputs'!H28,'Emission Factors &lt;HIDE&gt;'!$B$46:$C$168,2,0)*'2. Inputs'!I28*'2. Inputs'!R28,0))/'Definitions and Conversions'!$C$42,"0")</f>
        <v>0</v>
      </c>
      <c r="AM28" s="532" t="str">
        <f>IF(COUNTIF('Defaults &lt;HIDE&gt;'!$G$11:$G$75,'2. Inputs'!J28)&gt;0, "YES", "NO")</f>
        <v>NO</v>
      </c>
      <c r="AN28" s="533">
        <f>IF(AM28="YES",'2. Inputs'!K28,0)</f>
        <v>0</v>
      </c>
      <c r="AO28" s="533" t="str">
        <f>IF(AM28="Yes",(IFERROR(VLOOKUP('2. Inputs'!J28,'Emission Factors &lt;HIDE&gt;'!$B$46:$C$168,2,0)*'2. Inputs'!K28*'2. Inputs'!S28*'2. Inputs'!U28*0.67,0)+IFERROR(VLOOKUP('2. Inputs'!J28,'Emission Factors &lt;HIDE&gt;'!$B$46:$C$168,2,0)*'2. Inputs'!K28*'2. Inputs'!T28,0))/'Definitions and Conversions'!$C$42,"0")</f>
        <v>0</v>
      </c>
      <c r="AP28" s="532" t="str">
        <f>IF(COUNTIF('Defaults &lt;HIDE&gt;'!$G$11:$G$75,'2. Inputs'!O28)&gt;0, "YES", "NO")</f>
        <v>NO</v>
      </c>
      <c r="AQ28" s="533">
        <f>IF(AP28="YES",'2. Inputs'!N28,0)</f>
        <v>0</v>
      </c>
      <c r="AR28" s="533" t="str">
        <f>IF(AP28="Yes",(IFERROR(VLOOKUP('2. Inputs'!O28,'Emission Factors &lt;HIDE&gt;'!$B$46:$C$168,2,0)*'2. Inputs'!P28*'2. Inputs'!X28*'2. Inputs'!Z28*0.67,0)+IFERROR(VLOOKUP('2. Inputs'!O28,'Emission Factors &lt;HIDE&gt;'!$B$46:$C$168,2,0)*'2. Inputs'!P28*'2. Inputs'!Y28,0))/'Definitions and Conversions'!$C$42,"0")</f>
        <v>0</v>
      </c>
      <c r="AS28" s="533">
        <f t="shared" si="29"/>
        <v>0</v>
      </c>
      <c r="AT28" s="604">
        <f t="shared" si="30"/>
        <v>0</v>
      </c>
      <c r="AV28" s="527" t="str">
        <f t="shared" si="31"/>
        <v/>
      </c>
      <c r="AW28" s="52">
        <f t="shared" si="0"/>
        <v>0</v>
      </c>
      <c r="AX28" s="56">
        <f t="shared" si="1"/>
        <v>0</v>
      </c>
      <c r="AY28" s="56">
        <f t="shared" si="2"/>
        <v>0</v>
      </c>
      <c r="AZ28" s="56">
        <f t="shared" si="3"/>
        <v>0</v>
      </c>
      <c r="BA28" s="56">
        <f t="shared" si="4"/>
        <v>0</v>
      </c>
      <c r="BB28" s="56">
        <f t="shared" si="5"/>
        <v>0</v>
      </c>
      <c r="BC28" s="56">
        <f t="shared" si="6"/>
        <v>0</v>
      </c>
      <c r="BD28" s="56">
        <f t="shared" si="7"/>
        <v>0</v>
      </c>
      <c r="BE28" s="56">
        <f t="shared" si="8"/>
        <v>0</v>
      </c>
      <c r="BF28" s="56">
        <f t="shared" si="9"/>
        <v>0</v>
      </c>
      <c r="BG28" s="56">
        <f t="shared" si="10"/>
        <v>0</v>
      </c>
      <c r="BH28" s="56">
        <f t="shared" si="11"/>
        <v>0</v>
      </c>
      <c r="BI28" s="56">
        <f t="shared" si="12"/>
        <v>0</v>
      </c>
      <c r="BJ28" s="56">
        <f t="shared" si="13"/>
        <v>0</v>
      </c>
      <c r="BK28" s="56">
        <f t="shared" si="14"/>
        <v>0</v>
      </c>
      <c r="BL28" s="56">
        <f t="shared" si="15"/>
        <v>0</v>
      </c>
      <c r="BM28" s="56">
        <f t="shared" si="16"/>
        <v>0</v>
      </c>
      <c r="BN28" s="56">
        <f t="shared" si="17"/>
        <v>0</v>
      </c>
      <c r="BO28" s="591">
        <f t="shared" si="18"/>
        <v>0</v>
      </c>
      <c r="BP28" s="594">
        <f t="shared" si="19"/>
        <v>0</v>
      </c>
      <c r="BQ28" s="56">
        <f t="shared" si="20"/>
        <v>0</v>
      </c>
      <c r="BR28" s="56">
        <f t="shared" si="21"/>
        <v>0</v>
      </c>
      <c r="BS28" s="56">
        <f t="shared" si="32"/>
        <v>0</v>
      </c>
      <c r="BT28" s="56">
        <f t="shared" si="33"/>
        <v>0</v>
      </c>
      <c r="BU28" s="56">
        <f t="shared" si="34"/>
        <v>0</v>
      </c>
      <c r="BV28" s="587">
        <f t="shared" si="35"/>
        <v>0</v>
      </c>
      <c r="BX28" s="527" t="str">
        <f>IF('2. Inputs'!C28='Defaults &lt;HIDE&gt;'!$B$12,"Food Retail",IF('2. Inputs'!C28='Defaults &lt;HIDE&gt;'!$B$13,"Food Retail",IF('2. Inputs'!C28='Defaults &lt;HIDE&gt;'!$B$14,"Industrial",IF('2. Inputs'!C28='Defaults &lt;HIDE&gt;'!$B$15,"Cold Storage",IF('2. Inputs'!C28='Defaults &lt;HIDE&gt;'!$B$16,'Defaults &lt;HIDE&gt;'!$B$16,"")))))</f>
        <v/>
      </c>
      <c r="BY28" s="260">
        <f>'2. Inputs'!G28</f>
        <v>0</v>
      </c>
      <c r="BZ28" s="704" t="str">
        <f>IF('2. Inputs'!I28&gt;=2000,"2000+",IF('2. Inputs'!I28&gt;=200,"200-2000",IF('2. Inputs'!I28&gt;50,"50-200",IF('2. Inputs'!I28&gt;0,"0-50",""))))</f>
        <v/>
      </c>
      <c r="CA28" s="530" t="str" cm="1">
        <f t="array" ref="CA28">IF(BZ28&lt;&gt;"",INDEX(CM:CM,MATCH(1,(CJ:CJ=BX28)*(CK:CK=BY28)*(CL:CL=BZ28),0)),"")</f>
        <v/>
      </c>
      <c r="CB28" s="531" t="str">
        <f>IF('2. Inputs'!K28&gt;=2000,"2000+",IF('2. Inputs'!K28&gt;=200,"200-2000",IF('2. Inputs'!K28&gt;50,"50-200",IF('2. Inputs'!K28&gt;0,"0-50",""))))</f>
        <v/>
      </c>
      <c r="CC28" s="530" t="str" cm="1">
        <f t="array" ref="CC28">IF(CB28&lt;&gt;"",INDEX(CM:CM,MATCH(1,(CJ:CJ=BX28)*(CK:CK=BY28)*(CL:CL=CB28),0)),"")</f>
        <v/>
      </c>
      <c r="CD28" s="529">
        <f>'2. Inputs'!L28</f>
        <v>0</v>
      </c>
      <c r="CE28" s="729" t="str">
        <f>IF('2. Inputs'!L28='Defaults &lt;HIDE&gt;'!$D$15,"0+",IF('2. Inputs'!N28&gt;=2000,"2000+",IF('2. Inputs'!N28&gt;=200,"200-2000",IF('2. Inputs'!N28&gt;50,"50-200",IF('2. Inputs'!N28&gt;0,"0-50","")))))</f>
        <v/>
      </c>
      <c r="CF28" s="530" t="str" cm="1">
        <f t="array" ref="CF28">IF(CE28&lt;&gt;"",INDEX(CM:CM,MATCH(1,(CJ:CJ=BX28)*(CK:CK=CD28)*(CL:CL=CE28),0)),"")</f>
        <v/>
      </c>
      <c r="CG28" s="531" t="str">
        <f>IF('2. Inputs'!P28&gt;=2000,"2000+",IF('2. Inputs'!P28&gt;=200,"200-2000",IF('2. Inputs'!P28&gt;50,"50-200",IF('2. Inputs'!P28&gt;0,"0-50",""))))</f>
        <v/>
      </c>
      <c r="CH28" s="565" t="str" cm="1">
        <f t="array" ref="CH28">IF(CG28&lt;&gt;"",INDEX(CM:CM,MATCH(1,(CJ:CJ=BX28)*(CK:CK=CD28)*(CL:CL=CG28),0)),"")</f>
        <v/>
      </c>
      <c r="CJ28" s="719" t="s">
        <v>634</v>
      </c>
      <c r="CK28" s="720" t="s">
        <v>357</v>
      </c>
      <c r="CL28" s="704" t="s">
        <v>638</v>
      </c>
      <c r="CM28" s="706">
        <v>0.156</v>
      </c>
    </row>
    <row r="29" spans="2:91" x14ac:dyDescent="0.25">
      <c r="B29" s="719" t="str">
        <f>IF('1. Project Info'!L29="","",'1. Project Info'!L29)</f>
        <v/>
      </c>
      <c r="C29" s="720">
        <f>IF('1. Project Info'!S29="","",'1. Project Info'!S29)</f>
        <v>1</v>
      </c>
      <c r="D29" s="52" t="str">
        <f>IF('1. Project Info'!O29="","",'1. Project Info'!O29)</f>
        <v/>
      </c>
      <c r="E29" s="624" t="str">
        <f>IFERROR('2. Inputs'!AD29,"")</f>
        <v/>
      </c>
      <c r="F29" s="621">
        <v>0</v>
      </c>
      <c r="G29" s="53">
        <v>0</v>
      </c>
      <c r="H29" s="53">
        <v>0</v>
      </c>
      <c r="I29" s="53">
        <v>0</v>
      </c>
      <c r="J29" s="53">
        <v>0</v>
      </c>
      <c r="K29" s="53" t="str">
        <f>IFERROR(#REF!*'Emission Factors &lt;HIDE&gt;'!$F$29,"")</f>
        <v/>
      </c>
      <c r="L29" s="53" t="str">
        <f>IFERROR(#REF!*'Emission Factors &lt;HIDE&gt;'!$F$30,"")</f>
        <v/>
      </c>
      <c r="M29" s="53" t="str">
        <f>IFERROR(#REF!*'Emission Factors &lt;HIDE&gt;'!$F$33,"")</f>
        <v/>
      </c>
      <c r="N29" s="53" t="str">
        <f>IFERROR(#REF!*'Emission Factors &lt;HIDE&gt;'!$F$32,"")</f>
        <v/>
      </c>
      <c r="O29" s="53">
        <v>0</v>
      </c>
      <c r="P29" s="53" t="str">
        <f t="shared" si="36"/>
        <v/>
      </c>
      <c r="Q29" s="53" t="str">
        <f t="shared" si="22"/>
        <v/>
      </c>
      <c r="R29" s="53" t="str">
        <f t="shared" si="23"/>
        <v/>
      </c>
      <c r="S29" s="53" t="str">
        <f t="shared" si="24"/>
        <v/>
      </c>
      <c r="T29" s="53">
        <v>0</v>
      </c>
      <c r="U29" s="53" t="str">
        <f>IFERROR(#REF!*'Fuel Prices &lt;HIDE&gt;'!$C$12,"")</f>
        <v/>
      </c>
      <c r="V29" s="54" t="str">
        <f>IFERROR(#REF!,"")</f>
        <v/>
      </c>
      <c r="W29" s="732">
        <f>IF(B29="",W28,'1. Project Info'!P29)</f>
        <v>0</v>
      </c>
      <c r="X29" s="55" t="str">
        <f>IF(AND(W29='Defaults &lt;HIDE&gt;'!$B$12,'2. Inputs'!I29+'2. Inputs'!K29&gt;50),1400,IF(AND(W29='Defaults &lt;HIDE&gt;'!$B$13,'2. Inputs'!I29+'2. Inputs'!K29&gt;50),1400,IF(W29='Defaults &lt;HIDE&gt;'!$B$14,2200,IF(W29='Defaults &lt;HIDE&gt;'!$B$15,1391,IF(W29='Defaults &lt;HIDE&gt;'!$B$16,"-","-")))))</f>
        <v>-</v>
      </c>
      <c r="Y29" s="53" t="str">
        <f>IFERROR(IF(X29="-","N/A",'2. Inputs'!AB29),"")</f>
        <v>N/A</v>
      </c>
      <c r="Z29" s="55" t="str">
        <f t="shared" si="25"/>
        <v>N/A</v>
      </c>
      <c r="AA29" s="629" t="str">
        <f t="shared" si="26"/>
        <v>N/A</v>
      </c>
      <c r="AB29" s="627" t="str">
        <f>IF(COUNTIF('Defaults &lt;HIDE&gt;'!$G$78:$G$106,'2. Inputs'!H29)&gt;0, "YES", "NO")</f>
        <v>NO</v>
      </c>
      <c r="AC29" s="553">
        <f>IF(AB29="YES",'2. Inputs'!I29,0)</f>
        <v>0</v>
      </c>
      <c r="AD29" s="553" t="str">
        <f>IF(AB29="Yes",(IFERROR(VLOOKUP('2. Inputs'!H29,'Emission Factors &lt;HIDE&gt;'!$B$46:$C$168,2,0)*'2. Inputs'!I29*'2. Inputs'!Q29*'2. Inputs'!U29,0)+IFERROR(VLOOKUP('2. Inputs'!H29,'Emission Factors &lt;HIDE&gt;'!$B$46:$C$168,2,0)*'2. Inputs'!I29*'2. Inputs'!R29,0))/'Definitions and Conversions'!$C$42,"0")</f>
        <v>0</v>
      </c>
      <c r="AE29" s="55" t="str">
        <f>IF(COUNTIF('Defaults &lt;HIDE&gt;'!$G$78:$G$106,'2. Inputs'!J29)&gt;0, "YES", "NO")</f>
        <v>NO</v>
      </c>
      <c r="AF29" s="553">
        <f>IF(AB29="YES",'2. Inputs'!K29,0)</f>
        <v>0</v>
      </c>
      <c r="AG29" s="553" t="str">
        <f>IF(AE29="Yes",(IFERROR(VLOOKUP('2. Inputs'!J29,'Emission Factors &lt;HIDE&gt;'!$B$46:$C$168,2,0)*'2. Inputs'!K29*'2. Inputs'!S29*'2. Inputs'!U29*0.67,0)+IFERROR(VLOOKUP('2. Inputs'!J29,'Emission Factors &lt;HIDE&gt;'!$B$46:$C$168,2,0)*'2. Inputs'!K29*'2. Inputs'!T29,0))/'Definitions and Conversions'!$C$42,"0")</f>
        <v>0</v>
      </c>
      <c r="AH29" s="553">
        <f t="shared" si="27"/>
        <v>0</v>
      </c>
      <c r="AI29" s="633">
        <f t="shared" si="28"/>
        <v>0</v>
      </c>
      <c r="AJ29" s="631" t="str">
        <f>IF(COUNTIF('Defaults &lt;HIDE&gt;'!$G$11:$G$75,'2. Inputs'!H29)&gt;0, "YES", "NO")</f>
        <v>NO</v>
      </c>
      <c r="AK29" s="533">
        <f>IF(AJ29="YES",'2. Inputs'!I29,0)</f>
        <v>0</v>
      </c>
      <c r="AL29" s="533" t="str">
        <f>IF(AJ29="Yes",(IFERROR(VLOOKUP('2. Inputs'!H29,'Emission Factors &lt;HIDE&gt;'!$B$46:$C$168,2,0)*'2. Inputs'!I29*'2. Inputs'!Q29*'2. Inputs'!U29,0)+IFERROR(VLOOKUP('2. Inputs'!H29,'Emission Factors &lt;HIDE&gt;'!$B$46:$C$168,2,0)*'2. Inputs'!I29*'2. Inputs'!R29,0))/'Definitions and Conversions'!$C$42,"0")</f>
        <v>0</v>
      </c>
      <c r="AM29" s="532" t="str">
        <f>IF(COUNTIF('Defaults &lt;HIDE&gt;'!$G$11:$G$75,'2. Inputs'!J29)&gt;0, "YES", "NO")</f>
        <v>NO</v>
      </c>
      <c r="AN29" s="533">
        <f>IF(AM29="YES",'2. Inputs'!K29,0)</f>
        <v>0</v>
      </c>
      <c r="AO29" s="533" t="str">
        <f>IF(AM29="Yes",(IFERROR(VLOOKUP('2. Inputs'!J29,'Emission Factors &lt;HIDE&gt;'!$B$46:$C$168,2,0)*'2. Inputs'!K29*'2. Inputs'!S29*'2. Inputs'!U29*0.67,0)+IFERROR(VLOOKUP('2. Inputs'!J29,'Emission Factors &lt;HIDE&gt;'!$B$46:$C$168,2,0)*'2. Inputs'!K29*'2. Inputs'!T29,0))/'Definitions and Conversions'!$C$42,"0")</f>
        <v>0</v>
      </c>
      <c r="AP29" s="532" t="str">
        <f>IF(COUNTIF('Defaults &lt;HIDE&gt;'!$G$11:$G$75,'2. Inputs'!O29)&gt;0, "YES", "NO")</f>
        <v>NO</v>
      </c>
      <c r="AQ29" s="533">
        <f>IF(AP29="YES",'2. Inputs'!N29,0)</f>
        <v>0</v>
      </c>
      <c r="AR29" s="533" t="str">
        <f>IF(AP29="Yes",(IFERROR(VLOOKUP('2. Inputs'!O29,'Emission Factors &lt;HIDE&gt;'!$B$46:$C$168,2,0)*'2. Inputs'!P29*'2. Inputs'!X29*'2. Inputs'!Z29*0.67,0)+IFERROR(VLOOKUP('2. Inputs'!O29,'Emission Factors &lt;HIDE&gt;'!$B$46:$C$168,2,0)*'2. Inputs'!P29*'2. Inputs'!Y29,0))/'Definitions and Conversions'!$C$42,"0")</f>
        <v>0</v>
      </c>
      <c r="AS29" s="533">
        <f t="shared" si="29"/>
        <v>0</v>
      </c>
      <c r="AT29" s="604">
        <f t="shared" si="30"/>
        <v>0</v>
      </c>
      <c r="AV29" s="527" t="str">
        <f t="shared" si="31"/>
        <v/>
      </c>
      <c r="AW29" s="52">
        <f t="shared" si="0"/>
        <v>0</v>
      </c>
      <c r="AX29" s="56">
        <f t="shared" si="1"/>
        <v>0</v>
      </c>
      <c r="AY29" s="56">
        <f t="shared" si="2"/>
        <v>0</v>
      </c>
      <c r="AZ29" s="56">
        <f t="shared" si="3"/>
        <v>0</v>
      </c>
      <c r="BA29" s="56">
        <f t="shared" si="4"/>
        <v>0</v>
      </c>
      <c r="BB29" s="56">
        <f t="shared" si="5"/>
        <v>0</v>
      </c>
      <c r="BC29" s="56">
        <f t="shared" si="6"/>
        <v>0</v>
      </c>
      <c r="BD29" s="56">
        <f t="shared" si="7"/>
        <v>0</v>
      </c>
      <c r="BE29" s="56">
        <f t="shared" si="8"/>
        <v>0</v>
      </c>
      <c r="BF29" s="56">
        <f t="shared" si="9"/>
        <v>0</v>
      </c>
      <c r="BG29" s="56">
        <f t="shared" si="10"/>
        <v>0</v>
      </c>
      <c r="BH29" s="56">
        <f t="shared" si="11"/>
        <v>0</v>
      </c>
      <c r="BI29" s="56">
        <f t="shared" si="12"/>
        <v>0</v>
      </c>
      <c r="BJ29" s="56">
        <f t="shared" si="13"/>
        <v>0</v>
      </c>
      <c r="BK29" s="56">
        <f t="shared" si="14"/>
        <v>0</v>
      </c>
      <c r="BL29" s="56">
        <f t="shared" si="15"/>
        <v>0</v>
      </c>
      <c r="BM29" s="56">
        <f t="shared" si="16"/>
        <v>0</v>
      </c>
      <c r="BN29" s="56">
        <f t="shared" si="17"/>
        <v>0</v>
      </c>
      <c r="BO29" s="591">
        <f t="shared" si="18"/>
        <v>0</v>
      </c>
      <c r="BP29" s="594">
        <f t="shared" si="19"/>
        <v>0</v>
      </c>
      <c r="BQ29" s="56">
        <f t="shared" si="20"/>
        <v>0</v>
      </c>
      <c r="BR29" s="56">
        <f t="shared" si="21"/>
        <v>0</v>
      </c>
      <c r="BS29" s="56">
        <f t="shared" si="32"/>
        <v>0</v>
      </c>
      <c r="BT29" s="56">
        <f t="shared" si="33"/>
        <v>0</v>
      </c>
      <c r="BU29" s="56">
        <f t="shared" si="34"/>
        <v>0</v>
      </c>
      <c r="BV29" s="587">
        <f t="shared" si="35"/>
        <v>0</v>
      </c>
      <c r="BX29" s="527" t="str">
        <f>IF('2. Inputs'!C29='Defaults &lt;HIDE&gt;'!$B$12,"Food Retail",IF('2. Inputs'!C29='Defaults &lt;HIDE&gt;'!$B$13,"Food Retail",IF('2. Inputs'!C29='Defaults &lt;HIDE&gt;'!$B$14,"Industrial",IF('2. Inputs'!C29='Defaults &lt;HIDE&gt;'!$B$15,"Cold Storage",IF('2. Inputs'!C29='Defaults &lt;HIDE&gt;'!$B$16,'Defaults &lt;HIDE&gt;'!$B$16,"")))))</f>
        <v/>
      </c>
      <c r="BY29" s="260">
        <f>'2. Inputs'!G29</f>
        <v>0</v>
      </c>
      <c r="BZ29" s="704" t="str">
        <f>IF('2. Inputs'!I29&gt;=2000,"2000+",IF('2. Inputs'!I29&gt;=200,"200-2000",IF('2. Inputs'!I29&gt;50,"50-200",IF('2. Inputs'!I29&gt;0,"0-50",""))))</f>
        <v/>
      </c>
      <c r="CA29" s="530" t="str" cm="1">
        <f t="array" ref="CA29">IF(BZ29&lt;&gt;"",INDEX(CM:CM,MATCH(1,(CJ:CJ=BX29)*(CK:CK=BY29)*(CL:CL=BZ29),0)),"")</f>
        <v/>
      </c>
      <c r="CB29" s="531" t="str">
        <f>IF('2. Inputs'!K29&gt;=2000,"2000+",IF('2. Inputs'!K29&gt;=200,"200-2000",IF('2. Inputs'!K29&gt;50,"50-200",IF('2. Inputs'!K29&gt;0,"0-50",""))))</f>
        <v/>
      </c>
      <c r="CC29" s="530" t="str" cm="1">
        <f t="array" ref="CC29">IF(CB29&lt;&gt;"",INDEX(CM:CM,MATCH(1,(CJ:CJ=BX29)*(CK:CK=BY29)*(CL:CL=CB29),0)),"")</f>
        <v/>
      </c>
      <c r="CD29" s="529">
        <f>'2. Inputs'!L29</f>
        <v>0</v>
      </c>
      <c r="CE29" s="729" t="str">
        <f>IF('2. Inputs'!L29='Defaults &lt;HIDE&gt;'!$D$15,"0+",IF('2. Inputs'!N29&gt;=2000,"2000+",IF('2. Inputs'!N29&gt;=200,"200-2000",IF('2. Inputs'!N29&gt;50,"50-200",IF('2. Inputs'!N29&gt;0,"0-50","")))))</f>
        <v/>
      </c>
      <c r="CF29" s="530" t="str" cm="1">
        <f t="array" ref="CF29">IF(CE29&lt;&gt;"",INDEX(CM:CM,MATCH(1,(CJ:CJ=BX29)*(CK:CK=CD29)*(CL:CL=CE29),0)),"")</f>
        <v/>
      </c>
      <c r="CG29" s="531" t="str">
        <f>IF('2. Inputs'!P29&gt;=2000,"2000+",IF('2. Inputs'!P29&gt;=200,"200-2000",IF('2. Inputs'!P29&gt;50,"50-200",IF('2. Inputs'!P29&gt;0,"0-50",""))))</f>
        <v/>
      </c>
      <c r="CH29" s="565" t="str" cm="1">
        <f t="array" ref="CH29">IF(CG29&lt;&gt;"",INDEX(CM:CM,MATCH(1,(CJ:CJ=BX29)*(CK:CK=CD29)*(CL:CL=CG29),0)),"")</f>
        <v/>
      </c>
      <c r="CJ29" s="719" t="s">
        <v>634</v>
      </c>
      <c r="CK29" s="720" t="s">
        <v>357</v>
      </c>
      <c r="CL29" s="704" t="s">
        <v>639</v>
      </c>
      <c r="CM29" s="706">
        <v>0.22900000000000001</v>
      </c>
    </row>
    <row r="30" spans="2:91" x14ac:dyDescent="0.25">
      <c r="B30" s="719" t="str">
        <f>IF('1. Project Info'!L30="","",'1. Project Info'!L30)</f>
        <v/>
      </c>
      <c r="C30" s="720">
        <f>IF('1. Project Info'!S35="","",'1. Project Info'!S35)</f>
        <v>1</v>
      </c>
      <c r="D30" s="52" t="str">
        <f>IF('1. Project Info'!O30="","",'1. Project Info'!O30)</f>
        <v/>
      </c>
      <c r="E30" s="624" t="str">
        <f>IFERROR('2. Inputs'!AD30,"")</f>
        <v/>
      </c>
      <c r="F30" s="621">
        <v>0</v>
      </c>
      <c r="G30" s="53">
        <v>0</v>
      </c>
      <c r="H30" s="53">
        <v>0</v>
      </c>
      <c r="I30" s="53">
        <v>0</v>
      </c>
      <c r="J30" s="53">
        <v>0</v>
      </c>
      <c r="K30" s="53" t="str">
        <f>IFERROR(#REF!*'Emission Factors &lt;HIDE&gt;'!$F$29,"")</f>
        <v/>
      </c>
      <c r="L30" s="53" t="str">
        <f>IFERROR(#REF!*'Emission Factors &lt;HIDE&gt;'!$F$30,"")</f>
        <v/>
      </c>
      <c r="M30" s="53" t="str">
        <f>IFERROR(#REF!*'Emission Factors &lt;HIDE&gt;'!$F$33,"")</f>
        <v/>
      </c>
      <c r="N30" s="53" t="str">
        <f>IFERROR(#REF!*'Emission Factors &lt;HIDE&gt;'!$F$32,"")</f>
        <v/>
      </c>
      <c r="O30" s="53">
        <v>0</v>
      </c>
      <c r="P30" s="53" t="str">
        <f t="shared" si="36"/>
        <v/>
      </c>
      <c r="Q30" s="53" t="str">
        <f t="shared" si="22"/>
        <v/>
      </c>
      <c r="R30" s="53" t="str">
        <f t="shared" si="23"/>
        <v/>
      </c>
      <c r="S30" s="53" t="str">
        <f t="shared" si="24"/>
        <v/>
      </c>
      <c r="T30" s="53">
        <v>0</v>
      </c>
      <c r="U30" s="53" t="str">
        <f>IFERROR(#REF!*'Fuel Prices &lt;HIDE&gt;'!$C$12,"")</f>
        <v/>
      </c>
      <c r="V30" s="54" t="str">
        <f>IFERROR(#REF!,"")</f>
        <v/>
      </c>
      <c r="W30" s="732">
        <f>IF(B30="",W29,'1. Project Info'!P30)</f>
        <v>0</v>
      </c>
      <c r="X30" s="55" t="str">
        <f>IF(AND(W30='Defaults &lt;HIDE&gt;'!$B$12,'2. Inputs'!I30+'2. Inputs'!K30&gt;50),1400,IF(AND(W30='Defaults &lt;HIDE&gt;'!$B$13,'2. Inputs'!I30+'2. Inputs'!K30&gt;50),1400,IF(W30='Defaults &lt;HIDE&gt;'!$B$14,2200,IF(W30='Defaults &lt;HIDE&gt;'!$B$15,1391,IF(W30='Defaults &lt;HIDE&gt;'!$B$16,"-","-")))))</f>
        <v>-</v>
      </c>
      <c r="Y30" s="53" t="str">
        <f>IFERROR(IF(X30="-","N/A",'2. Inputs'!AB30),"")</f>
        <v>N/A</v>
      </c>
      <c r="Z30" s="55" t="str">
        <f t="shared" si="25"/>
        <v>N/A</v>
      </c>
      <c r="AA30" s="629" t="str">
        <f t="shared" si="26"/>
        <v>N/A</v>
      </c>
      <c r="AB30" s="627" t="str">
        <f>IF(COUNTIF('Defaults &lt;HIDE&gt;'!$G$78:$G$106,'2. Inputs'!H30)&gt;0, "YES", "NO")</f>
        <v>NO</v>
      </c>
      <c r="AC30" s="553">
        <f>IF(AB30="YES",'2. Inputs'!I30,0)</f>
        <v>0</v>
      </c>
      <c r="AD30" s="553" t="str">
        <f>IF(AB30="Yes",(IFERROR(VLOOKUP('2. Inputs'!H30,'Emission Factors &lt;HIDE&gt;'!$B$46:$C$168,2,0)*'2. Inputs'!I30*'2. Inputs'!Q30*'2. Inputs'!U30,0)+IFERROR(VLOOKUP('2. Inputs'!H30,'Emission Factors &lt;HIDE&gt;'!$B$46:$C$168,2,0)*'2. Inputs'!I30*'2. Inputs'!R30,0))/'Definitions and Conversions'!$C$42,"0")</f>
        <v>0</v>
      </c>
      <c r="AE30" s="55" t="str">
        <f>IF(COUNTIF('Defaults &lt;HIDE&gt;'!$G$78:$G$106,'2. Inputs'!J30)&gt;0, "YES", "NO")</f>
        <v>NO</v>
      </c>
      <c r="AF30" s="553">
        <f>IF(AB30="YES",'2. Inputs'!K30,0)</f>
        <v>0</v>
      </c>
      <c r="AG30" s="553" t="str">
        <f>IF(AE30="Yes",(IFERROR(VLOOKUP('2. Inputs'!J30,'Emission Factors &lt;HIDE&gt;'!$B$46:$C$168,2,0)*'2. Inputs'!K30*'2. Inputs'!S30*'2. Inputs'!U30*0.67,0)+IFERROR(VLOOKUP('2. Inputs'!J30,'Emission Factors &lt;HIDE&gt;'!$B$46:$C$168,2,0)*'2. Inputs'!K30*'2. Inputs'!T30,0))/'Definitions and Conversions'!$C$42,"0")</f>
        <v>0</v>
      </c>
      <c r="AH30" s="553">
        <f t="shared" si="27"/>
        <v>0</v>
      </c>
      <c r="AI30" s="633">
        <f t="shared" si="28"/>
        <v>0</v>
      </c>
      <c r="AJ30" s="631" t="str">
        <f>IF(COUNTIF('Defaults &lt;HIDE&gt;'!$G$11:$G$75,'2. Inputs'!H30)&gt;0, "YES", "NO")</f>
        <v>NO</v>
      </c>
      <c r="AK30" s="533">
        <f>IF(AJ30="YES",'2. Inputs'!I30,0)</f>
        <v>0</v>
      </c>
      <c r="AL30" s="533" t="str">
        <f>IF(AJ30="Yes",(IFERROR(VLOOKUP('2. Inputs'!H30,'Emission Factors &lt;HIDE&gt;'!$B$46:$C$168,2,0)*'2. Inputs'!I30*'2. Inputs'!Q30*'2. Inputs'!U30,0)+IFERROR(VLOOKUP('2. Inputs'!H30,'Emission Factors &lt;HIDE&gt;'!$B$46:$C$168,2,0)*'2. Inputs'!I30*'2. Inputs'!R30,0))/'Definitions and Conversions'!$C$42,"0")</f>
        <v>0</v>
      </c>
      <c r="AM30" s="532" t="str">
        <f>IF(COUNTIF('Defaults &lt;HIDE&gt;'!$G$11:$G$75,'2. Inputs'!J30)&gt;0, "YES", "NO")</f>
        <v>NO</v>
      </c>
      <c r="AN30" s="533">
        <f>IF(AM30="YES",'2. Inputs'!K30,0)</f>
        <v>0</v>
      </c>
      <c r="AO30" s="533" t="str">
        <f>IF(AM30="Yes",(IFERROR(VLOOKUP('2. Inputs'!J30,'Emission Factors &lt;HIDE&gt;'!$B$46:$C$168,2,0)*'2. Inputs'!K30*'2. Inputs'!S30*'2. Inputs'!U30*0.67,0)+IFERROR(VLOOKUP('2. Inputs'!J30,'Emission Factors &lt;HIDE&gt;'!$B$46:$C$168,2,0)*'2. Inputs'!K30*'2. Inputs'!T30,0))/'Definitions and Conversions'!$C$42,"0")</f>
        <v>0</v>
      </c>
      <c r="AP30" s="532" t="str">
        <f>IF(COUNTIF('Defaults &lt;HIDE&gt;'!$G$11:$G$75,'2. Inputs'!O30)&gt;0, "YES", "NO")</f>
        <v>NO</v>
      </c>
      <c r="AQ30" s="533">
        <f>IF(AP30="YES",'2. Inputs'!N30,0)</f>
        <v>0</v>
      </c>
      <c r="AR30" s="533" t="str">
        <f>IF(AP30="Yes",(IFERROR(VLOOKUP('2. Inputs'!O30,'Emission Factors &lt;HIDE&gt;'!$B$46:$C$168,2,0)*'2. Inputs'!P30*'2. Inputs'!X30*'2. Inputs'!Z30*0.67,0)+IFERROR(VLOOKUP('2. Inputs'!O30,'Emission Factors &lt;HIDE&gt;'!$B$46:$C$168,2,0)*'2. Inputs'!P30*'2. Inputs'!Y30,0))/'Definitions and Conversions'!$C$42,"0")</f>
        <v>0</v>
      </c>
      <c r="AS30" s="533">
        <f t="shared" si="29"/>
        <v>0</v>
      </c>
      <c r="AT30" s="604">
        <f t="shared" si="30"/>
        <v>0</v>
      </c>
      <c r="AV30" s="527" t="str">
        <f t="shared" si="31"/>
        <v/>
      </c>
      <c r="AW30" s="52">
        <f t="shared" si="0"/>
        <v>0</v>
      </c>
      <c r="AX30" s="56">
        <f t="shared" si="1"/>
        <v>0</v>
      </c>
      <c r="AY30" s="56">
        <f t="shared" si="2"/>
        <v>0</v>
      </c>
      <c r="AZ30" s="56">
        <f t="shared" si="3"/>
        <v>0</v>
      </c>
      <c r="BA30" s="56">
        <f t="shared" si="4"/>
        <v>0</v>
      </c>
      <c r="BB30" s="56">
        <f t="shared" si="5"/>
        <v>0</v>
      </c>
      <c r="BC30" s="56">
        <f t="shared" si="6"/>
        <v>0</v>
      </c>
      <c r="BD30" s="56">
        <f t="shared" si="7"/>
        <v>0</v>
      </c>
      <c r="BE30" s="56">
        <f t="shared" si="8"/>
        <v>0</v>
      </c>
      <c r="BF30" s="56">
        <f t="shared" si="9"/>
        <v>0</v>
      </c>
      <c r="BG30" s="56">
        <f t="shared" si="10"/>
        <v>0</v>
      </c>
      <c r="BH30" s="56">
        <f t="shared" si="11"/>
        <v>0</v>
      </c>
      <c r="BI30" s="56">
        <f t="shared" si="12"/>
        <v>0</v>
      </c>
      <c r="BJ30" s="56">
        <f t="shared" si="13"/>
        <v>0</v>
      </c>
      <c r="BK30" s="56">
        <f t="shared" si="14"/>
        <v>0</v>
      </c>
      <c r="BL30" s="56">
        <f t="shared" si="15"/>
        <v>0</v>
      </c>
      <c r="BM30" s="56">
        <f t="shared" si="16"/>
        <v>0</v>
      </c>
      <c r="BN30" s="56">
        <f t="shared" si="17"/>
        <v>0</v>
      </c>
      <c r="BO30" s="591">
        <f t="shared" si="18"/>
        <v>0</v>
      </c>
      <c r="BP30" s="594">
        <f t="shared" si="19"/>
        <v>0</v>
      </c>
      <c r="BQ30" s="56">
        <f t="shared" si="20"/>
        <v>0</v>
      </c>
      <c r="BR30" s="56">
        <f t="shared" si="21"/>
        <v>0</v>
      </c>
      <c r="BS30" s="56">
        <f t="shared" si="32"/>
        <v>0</v>
      </c>
      <c r="BT30" s="56">
        <f t="shared" si="33"/>
        <v>0</v>
      </c>
      <c r="BU30" s="56">
        <f t="shared" si="34"/>
        <v>0</v>
      </c>
      <c r="BV30" s="587">
        <f t="shared" si="35"/>
        <v>0</v>
      </c>
      <c r="BX30" s="527" t="str">
        <f>IF('2. Inputs'!C30='Defaults &lt;HIDE&gt;'!$B$12,"Food Retail",IF('2. Inputs'!C30='Defaults &lt;HIDE&gt;'!$B$13,"Food Retail",IF('2. Inputs'!C30='Defaults &lt;HIDE&gt;'!$B$14,"Industrial",IF('2. Inputs'!C30='Defaults &lt;HIDE&gt;'!$B$15,"Cold Storage",IF('2. Inputs'!C30='Defaults &lt;HIDE&gt;'!$B$16,'Defaults &lt;HIDE&gt;'!$B$16,"")))))</f>
        <v/>
      </c>
      <c r="BY30" s="260">
        <f>'2. Inputs'!G30</f>
        <v>0</v>
      </c>
      <c r="BZ30" s="704" t="str">
        <f>IF('2. Inputs'!I30&gt;=2000,"2000+",IF('2. Inputs'!I30&gt;=200,"200-2000",IF('2. Inputs'!I30&gt;50,"50-200",IF('2. Inputs'!I30&gt;0,"0-50",""))))</f>
        <v/>
      </c>
      <c r="CA30" s="530" t="str" cm="1">
        <f t="array" ref="CA30">IF(BZ30&lt;&gt;"",INDEX(CM:CM,MATCH(1,(CJ:CJ=BX30)*(CK:CK=BY30)*(CL:CL=BZ30),0)),"")</f>
        <v/>
      </c>
      <c r="CB30" s="531" t="str">
        <f>IF('2. Inputs'!K30&gt;=2000,"2000+",IF('2. Inputs'!K30&gt;=200,"200-2000",IF('2. Inputs'!K30&gt;50,"50-200",IF('2. Inputs'!K30&gt;0,"0-50",""))))</f>
        <v/>
      </c>
      <c r="CC30" s="530" t="str" cm="1">
        <f t="array" ref="CC30">IF(CB30&lt;&gt;"",INDEX(CM:CM,MATCH(1,(CJ:CJ=BX30)*(CK:CK=BY30)*(CL:CL=CB30),0)),"")</f>
        <v/>
      </c>
      <c r="CD30" s="529">
        <f>'2. Inputs'!L30</f>
        <v>0</v>
      </c>
      <c r="CE30" s="729" t="str">
        <f>IF('2. Inputs'!L30='Defaults &lt;HIDE&gt;'!$D$15,"0+",IF('2. Inputs'!N30&gt;=2000,"2000+",IF('2. Inputs'!N30&gt;=200,"200-2000",IF('2. Inputs'!N30&gt;50,"50-200",IF('2. Inputs'!N30&gt;0,"0-50","")))))</f>
        <v/>
      </c>
      <c r="CF30" s="530" t="str" cm="1">
        <f t="array" ref="CF30">IF(CE30&lt;&gt;"",INDEX(CM:CM,MATCH(1,(CJ:CJ=BX30)*(CK:CK=CD30)*(CL:CL=CE30),0)),"")</f>
        <v/>
      </c>
      <c r="CG30" s="531" t="str">
        <f>IF('2. Inputs'!P30&gt;=2000,"2000+",IF('2. Inputs'!P30&gt;=200,"200-2000",IF('2. Inputs'!P30&gt;50,"50-200",IF('2. Inputs'!P30&gt;0,"0-50",""))))</f>
        <v/>
      </c>
      <c r="CH30" s="565" t="str" cm="1">
        <f t="array" ref="CH30">IF(CG30&lt;&gt;"",INDEX(CM:CM,MATCH(1,(CJ:CJ=BX30)*(CK:CK=CD30)*(CL:CL=CG30),0)),"")</f>
        <v/>
      </c>
      <c r="CJ30" s="719" t="s">
        <v>634</v>
      </c>
      <c r="CK30" s="720" t="s">
        <v>357</v>
      </c>
      <c r="CL30" s="704" t="s">
        <v>640</v>
      </c>
      <c r="CM30" s="706">
        <v>0.24199999999999999</v>
      </c>
    </row>
    <row r="31" spans="2:91" x14ac:dyDescent="0.25">
      <c r="B31" s="719" t="str">
        <f>IF('1. Project Info'!L31="","",'1. Project Info'!L31)</f>
        <v/>
      </c>
      <c r="C31" s="720">
        <f>IF('1. Project Info'!S36="","",'1. Project Info'!S36)</f>
        <v>1</v>
      </c>
      <c r="D31" s="52" t="str">
        <f>IF('1. Project Info'!O31="","",'1. Project Info'!O31)</f>
        <v/>
      </c>
      <c r="E31" s="624" t="str">
        <f>IFERROR('2. Inputs'!AD31,"")</f>
        <v/>
      </c>
      <c r="F31" s="621">
        <v>0</v>
      </c>
      <c r="G31" s="53">
        <v>0</v>
      </c>
      <c r="H31" s="53">
        <v>0</v>
      </c>
      <c r="I31" s="53">
        <v>0</v>
      </c>
      <c r="J31" s="53">
        <v>0</v>
      </c>
      <c r="K31" s="53" t="str">
        <f>IFERROR(#REF!*'Emission Factors &lt;HIDE&gt;'!$F$29,"")</f>
        <v/>
      </c>
      <c r="L31" s="53" t="str">
        <f>IFERROR(#REF!*'Emission Factors &lt;HIDE&gt;'!$F$30,"")</f>
        <v/>
      </c>
      <c r="M31" s="53" t="str">
        <f>IFERROR(#REF!*'Emission Factors &lt;HIDE&gt;'!$F$33,"")</f>
        <v/>
      </c>
      <c r="N31" s="53" t="str">
        <f>IFERROR(#REF!*'Emission Factors &lt;HIDE&gt;'!$F$32,"")</f>
        <v/>
      </c>
      <c r="O31" s="53">
        <v>0</v>
      </c>
      <c r="P31" s="53" t="str">
        <f t="shared" si="36"/>
        <v/>
      </c>
      <c r="Q31" s="53" t="str">
        <f t="shared" si="22"/>
        <v/>
      </c>
      <c r="R31" s="53" t="str">
        <f t="shared" si="23"/>
        <v/>
      </c>
      <c r="S31" s="53" t="str">
        <f t="shared" si="24"/>
        <v/>
      </c>
      <c r="T31" s="53">
        <v>0</v>
      </c>
      <c r="U31" s="53" t="str">
        <f>IFERROR(#REF!*'Fuel Prices &lt;HIDE&gt;'!$C$12,"")</f>
        <v/>
      </c>
      <c r="V31" s="54" t="str">
        <f>IFERROR(#REF!,"")</f>
        <v/>
      </c>
      <c r="W31" s="732">
        <f>IF(B31="",W30,'1. Project Info'!P31)</f>
        <v>0</v>
      </c>
      <c r="X31" s="55" t="str">
        <f>IF(AND(W31='Defaults &lt;HIDE&gt;'!$B$12,'2. Inputs'!I31+'2. Inputs'!K31&gt;50),1400,IF(AND(W31='Defaults &lt;HIDE&gt;'!$B$13,'2. Inputs'!I31+'2. Inputs'!K31&gt;50),1400,IF(W31='Defaults &lt;HIDE&gt;'!$B$14,2200,IF(W31='Defaults &lt;HIDE&gt;'!$B$15,1391,IF(W31='Defaults &lt;HIDE&gt;'!$B$16,"-","-")))))</f>
        <v>-</v>
      </c>
      <c r="Y31" s="53" t="str">
        <f>IFERROR(IF(X31="-","N/A",'2. Inputs'!AB31),"")</f>
        <v>N/A</v>
      </c>
      <c r="Z31" s="55" t="str">
        <f t="shared" si="25"/>
        <v>N/A</v>
      </c>
      <c r="AA31" s="629" t="str">
        <f t="shared" si="26"/>
        <v>N/A</v>
      </c>
      <c r="AB31" s="627" t="str">
        <f>IF(COUNTIF('Defaults &lt;HIDE&gt;'!$G$78:$G$106,'2. Inputs'!H31)&gt;0, "YES", "NO")</f>
        <v>NO</v>
      </c>
      <c r="AC31" s="553">
        <f>IF(AB31="YES",'2. Inputs'!I31,0)</f>
        <v>0</v>
      </c>
      <c r="AD31" s="553" t="str">
        <f>IF(AB31="Yes",(IFERROR(VLOOKUP('2. Inputs'!H31,'Emission Factors &lt;HIDE&gt;'!$B$46:$C$168,2,0)*'2. Inputs'!I31*'2. Inputs'!Q31*'2. Inputs'!U31,0)+IFERROR(VLOOKUP('2. Inputs'!H31,'Emission Factors &lt;HIDE&gt;'!$B$46:$C$168,2,0)*'2. Inputs'!I31*'2. Inputs'!R31,0))/'Definitions and Conversions'!$C$42,"0")</f>
        <v>0</v>
      </c>
      <c r="AE31" s="55" t="str">
        <f>IF(COUNTIF('Defaults &lt;HIDE&gt;'!$G$78:$G$106,'2. Inputs'!J31)&gt;0, "YES", "NO")</f>
        <v>NO</v>
      </c>
      <c r="AF31" s="553">
        <f>IF(AB31="YES",'2. Inputs'!K31,0)</f>
        <v>0</v>
      </c>
      <c r="AG31" s="553" t="str">
        <f>IF(AE31="Yes",(IFERROR(VLOOKUP('2. Inputs'!J31,'Emission Factors &lt;HIDE&gt;'!$B$46:$C$168,2,0)*'2. Inputs'!K31*'2. Inputs'!S31*'2. Inputs'!U31*0.67,0)+IFERROR(VLOOKUP('2. Inputs'!J31,'Emission Factors &lt;HIDE&gt;'!$B$46:$C$168,2,0)*'2. Inputs'!K31*'2. Inputs'!T31,0))/'Definitions and Conversions'!$C$42,"0")</f>
        <v>0</v>
      </c>
      <c r="AH31" s="553">
        <f t="shared" si="27"/>
        <v>0</v>
      </c>
      <c r="AI31" s="633">
        <f t="shared" si="28"/>
        <v>0</v>
      </c>
      <c r="AJ31" s="631" t="str">
        <f>IF(COUNTIF('Defaults &lt;HIDE&gt;'!$G$11:$G$75,'2. Inputs'!H31)&gt;0, "YES", "NO")</f>
        <v>NO</v>
      </c>
      <c r="AK31" s="533">
        <f>IF(AJ31="YES",'2. Inputs'!I31,0)</f>
        <v>0</v>
      </c>
      <c r="AL31" s="533" t="str">
        <f>IF(AJ31="Yes",(IFERROR(VLOOKUP('2. Inputs'!H31,'Emission Factors &lt;HIDE&gt;'!$B$46:$C$168,2,0)*'2. Inputs'!I31*'2. Inputs'!Q31*'2. Inputs'!U31,0)+IFERROR(VLOOKUP('2. Inputs'!H31,'Emission Factors &lt;HIDE&gt;'!$B$46:$C$168,2,0)*'2. Inputs'!I31*'2. Inputs'!R31,0))/'Definitions and Conversions'!$C$42,"0")</f>
        <v>0</v>
      </c>
      <c r="AM31" s="532" t="str">
        <f>IF(COUNTIF('Defaults &lt;HIDE&gt;'!$G$11:$G$75,'2. Inputs'!J31)&gt;0, "YES", "NO")</f>
        <v>NO</v>
      </c>
      <c r="AN31" s="533">
        <f>IF(AM31="YES",'2. Inputs'!K31,0)</f>
        <v>0</v>
      </c>
      <c r="AO31" s="533" t="str">
        <f>IF(AM31="Yes",(IFERROR(VLOOKUP('2. Inputs'!J31,'Emission Factors &lt;HIDE&gt;'!$B$46:$C$168,2,0)*'2. Inputs'!K31*'2. Inputs'!S31*'2. Inputs'!U31*0.67,0)+IFERROR(VLOOKUP('2. Inputs'!J31,'Emission Factors &lt;HIDE&gt;'!$B$46:$C$168,2,0)*'2. Inputs'!K31*'2. Inputs'!T31,0))/'Definitions and Conversions'!$C$42,"0")</f>
        <v>0</v>
      </c>
      <c r="AP31" s="532" t="str">
        <f>IF(COUNTIF('Defaults &lt;HIDE&gt;'!$G$11:$G$75,'2. Inputs'!O31)&gt;0, "YES", "NO")</f>
        <v>NO</v>
      </c>
      <c r="AQ31" s="533">
        <f>IF(AP31="YES",'2. Inputs'!N31,0)</f>
        <v>0</v>
      </c>
      <c r="AR31" s="533" t="str">
        <f>IF(AP31="Yes",(IFERROR(VLOOKUP('2. Inputs'!O31,'Emission Factors &lt;HIDE&gt;'!$B$46:$C$168,2,0)*'2. Inputs'!P31*'2. Inputs'!X31*'2. Inputs'!Z31*0.67,0)+IFERROR(VLOOKUP('2. Inputs'!O31,'Emission Factors &lt;HIDE&gt;'!$B$46:$C$168,2,0)*'2. Inputs'!P31*'2. Inputs'!Y31,0))/'Definitions and Conversions'!$C$42,"0")</f>
        <v>0</v>
      </c>
      <c r="AS31" s="533">
        <f t="shared" si="29"/>
        <v>0</v>
      </c>
      <c r="AT31" s="604">
        <f t="shared" si="30"/>
        <v>0</v>
      </c>
      <c r="AV31" s="527" t="str">
        <f t="shared" si="31"/>
        <v/>
      </c>
      <c r="AW31" s="52">
        <f t="shared" si="0"/>
        <v>0</v>
      </c>
      <c r="AX31" s="56">
        <f t="shared" si="1"/>
        <v>0</v>
      </c>
      <c r="AY31" s="56">
        <f t="shared" si="2"/>
        <v>0</v>
      </c>
      <c r="AZ31" s="56">
        <f t="shared" si="3"/>
        <v>0</v>
      </c>
      <c r="BA31" s="56">
        <f t="shared" si="4"/>
        <v>0</v>
      </c>
      <c r="BB31" s="56">
        <f t="shared" si="5"/>
        <v>0</v>
      </c>
      <c r="BC31" s="56">
        <f t="shared" si="6"/>
        <v>0</v>
      </c>
      <c r="BD31" s="56">
        <f t="shared" si="7"/>
        <v>0</v>
      </c>
      <c r="BE31" s="56">
        <f t="shared" si="8"/>
        <v>0</v>
      </c>
      <c r="BF31" s="56">
        <f t="shared" si="9"/>
        <v>0</v>
      </c>
      <c r="BG31" s="56">
        <f t="shared" si="10"/>
        <v>0</v>
      </c>
      <c r="BH31" s="56">
        <f t="shared" si="11"/>
        <v>0</v>
      </c>
      <c r="BI31" s="56">
        <f t="shared" si="12"/>
        <v>0</v>
      </c>
      <c r="BJ31" s="56">
        <f t="shared" si="13"/>
        <v>0</v>
      </c>
      <c r="BK31" s="56">
        <f t="shared" si="14"/>
        <v>0</v>
      </c>
      <c r="BL31" s="56">
        <f t="shared" si="15"/>
        <v>0</v>
      </c>
      <c r="BM31" s="56">
        <f t="shared" si="16"/>
        <v>0</v>
      </c>
      <c r="BN31" s="56">
        <f t="shared" si="17"/>
        <v>0</v>
      </c>
      <c r="BO31" s="591">
        <f t="shared" si="18"/>
        <v>0</v>
      </c>
      <c r="BP31" s="594">
        <f t="shared" si="19"/>
        <v>0</v>
      </c>
      <c r="BQ31" s="56">
        <f t="shared" si="20"/>
        <v>0</v>
      </c>
      <c r="BR31" s="56">
        <f t="shared" si="21"/>
        <v>0</v>
      </c>
      <c r="BS31" s="56">
        <f t="shared" si="32"/>
        <v>0</v>
      </c>
      <c r="BT31" s="56">
        <f t="shared" si="33"/>
        <v>0</v>
      </c>
      <c r="BU31" s="56">
        <f t="shared" si="34"/>
        <v>0</v>
      </c>
      <c r="BV31" s="587">
        <f t="shared" si="35"/>
        <v>0</v>
      </c>
      <c r="BX31" s="527" t="str">
        <f>IF('2. Inputs'!C31='Defaults &lt;HIDE&gt;'!$B$12,"Food Retail",IF('2. Inputs'!C31='Defaults &lt;HIDE&gt;'!$B$13,"Food Retail",IF('2. Inputs'!C31='Defaults &lt;HIDE&gt;'!$B$14,"Industrial",IF('2. Inputs'!C31='Defaults &lt;HIDE&gt;'!$B$15,"Cold Storage",IF('2. Inputs'!C31='Defaults &lt;HIDE&gt;'!$B$16,'Defaults &lt;HIDE&gt;'!$B$16,"")))))</f>
        <v/>
      </c>
      <c r="BY31" s="260">
        <f>'2. Inputs'!G31</f>
        <v>0</v>
      </c>
      <c r="BZ31" s="704" t="str">
        <f>IF('2. Inputs'!I31&gt;=2000,"2000+",IF('2. Inputs'!I31&gt;=200,"200-2000",IF('2. Inputs'!I31&gt;50,"50-200",IF('2. Inputs'!I31&gt;0,"0-50",""))))</f>
        <v/>
      </c>
      <c r="CA31" s="530" t="str" cm="1">
        <f t="array" ref="CA31">IF(BZ31&lt;&gt;"",INDEX(CM:CM,MATCH(1,(CJ:CJ=BX31)*(CK:CK=BY31)*(CL:CL=BZ31),0)),"")</f>
        <v/>
      </c>
      <c r="CB31" s="531" t="str">
        <f>IF('2. Inputs'!K31&gt;=2000,"2000+",IF('2. Inputs'!K31&gt;=200,"200-2000",IF('2. Inputs'!K31&gt;50,"50-200",IF('2. Inputs'!K31&gt;0,"0-50",""))))</f>
        <v/>
      </c>
      <c r="CC31" s="530" t="str" cm="1">
        <f t="array" ref="CC31">IF(CB31&lt;&gt;"",INDEX(CM:CM,MATCH(1,(CJ:CJ=BX31)*(CK:CK=BY31)*(CL:CL=CB31),0)),"")</f>
        <v/>
      </c>
      <c r="CD31" s="529">
        <f>'2. Inputs'!L31</f>
        <v>0</v>
      </c>
      <c r="CE31" s="729" t="str">
        <f>IF('2. Inputs'!L31='Defaults &lt;HIDE&gt;'!$D$15,"0+",IF('2. Inputs'!N31&gt;=2000,"2000+",IF('2. Inputs'!N31&gt;=200,"200-2000",IF('2. Inputs'!N31&gt;50,"50-200",IF('2. Inputs'!N31&gt;0,"0-50","")))))</f>
        <v/>
      </c>
      <c r="CF31" s="530" t="str" cm="1">
        <f t="array" ref="CF31">IF(CE31&lt;&gt;"",INDEX(CM:CM,MATCH(1,(CJ:CJ=BX31)*(CK:CK=CD31)*(CL:CL=CE31),0)),"")</f>
        <v/>
      </c>
      <c r="CG31" s="531" t="str">
        <f>IF('2. Inputs'!P31&gt;=2000,"2000+",IF('2. Inputs'!P31&gt;=200,"200-2000",IF('2. Inputs'!P31&gt;50,"50-200",IF('2. Inputs'!P31&gt;0,"0-50",""))))</f>
        <v/>
      </c>
      <c r="CH31" s="565" t="str" cm="1">
        <f t="array" ref="CH31">IF(CG31&lt;&gt;"",INDEX(CM:CM,MATCH(1,(CJ:CJ=BX31)*(CK:CK=CD31)*(CL:CL=CG31),0)),"")</f>
        <v/>
      </c>
      <c r="CJ31" s="719" t="s">
        <v>634</v>
      </c>
      <c r="CK31" s="720" t="s">
        <v>612</v>
      </c>
      <c r="CL31" s="704" t="s">
        <v>637</v>
      </c>
      <c r="CM31" s="706">
        <v>0.15</v>
      </c>
    </row>
    <row r="32" spans="2:91" x14ac:dyDescent="0.25">
      <c r="B32" s="719" t="str">
        <f>IF('1. Project Info'!L32="","",'1. Project Info'!L32)</f>
        <v/>
      </c>
      <c r="C32" s="720">
        <f>IF('1. Project Info'!S37="","",'1. Project Info'!S37)</f>
        <v>1</v>
      </c>
      <c r="D32" s="52" t="str">
        <f>IF('1. Project Info'!O32="","",'1. Project Info'!O32)</f>
        <v/>
      </c>
      <c r="E32" s="624" t="str">
        <f>IFERROR('2. Inputs'!AD32,"")</f>
        <v/>
      </c>
      <c r="F32" s="621">
        <v>0</v>
      </c>
      <c r="G32" s="53">
        <v>0</v>
      </c>
      <c r="H32" s="53">
        <v>0</v>
      </c>
      <c r="I32" s="53">
        <v>0</v>
      </c>
      <c r="J32" s="53">
        <v>0</v>
      </c>
      <c r="K32" s="53" t="str">
        <f>IFERROR(#REF!*'Emission Factors &lt;HIDE&gt;'!$F$29,"")</f>
        <v/>
      </c>
      <c r="L32" s="53" t="str">
        <f>IFERROR(#REF!*'Emission Factors &lt;HIDE&gt;'!$F$30,"")</f>
        <v/>
      </c>
      <c r="M32" s="53" t="str">
        <f>IFERROR(#REF!*'Emission Factors &lt;HIDE&gt;'!$F$33,"")</f>
        <v/>
      </c>
      <c r="N32" s="53" t="str">
        <f>IFERROR(#REF!*'Emission Factors &lt;HIDE&gt;'!$F$32,"")</f>
        <v/>
      </c>
      <c r="O32" s="53">
        <v>0</v>
      </c>
      <c r="P32" s="53" t="str">
        <f t="shared" si="36"/>
        <v/>
      </c>
      <c r="Q32" s="53" t="str">
        <f t="shared" si="22"/>
        <v/>
      </c>
      <c r="R32" s="53" t="str">
        <f t="shared" si="23"/>
        <v/>
      </c>
      <c r="S32" s="53" t="str">
        <f t="shared" si="24"/>
        <v/>
      </c>
      <c r="T32" s="53">
        <v>0</v>
      </c>
      <c r="U32" s="53" t="str">
        <f>IFERROR(#REF!*'Fuel Prices &lt;HIDE&gt;'!$C$12,"")</f>
        <v/>
      </c>
      <c r="V32" s="54" t="str">
        <f>IFERROR(#REF!,"")</f>
        <v/>
      </c>
      <c r="W32" s="732">
        <f>IF(B32="",W31,'1. Project Info'!P32)</f>
        <v>0</v>
      </c>
      <c r="X32" s="55" t="str">
        <f>IF(AND(W32='Defaults &lt;HIDE&gt;'!$B$12,'2. Inputs'!I32+'2. Inputs'!K32&gt;50),1400,IF(AND(W32='Defaults &lt;HIDE&gt;'!$B$13,'2. Inputs'!I32+'2. Inputs'!K32&gt;50),1400,IF(W32='Defaults &lt;HIDE&gt;'!$B$14,2200,IF(W32='Defaults &lt;HIDE&gt;'!$B$15,1391,IF(W32='Defaults &lt;HIDE&gt;'!$B$16,"-","-")))))</f>
        <v>-</v>
      </c>
      <c r="Y32" s="53" t="str">
        <f>IFERROR(IF(X32="-","N/A",'2. Inputs'!AB32),"")</f>
        <v>N/A</v>
      </c>
      <c r="Z32" s="55" t="str">
        <f t="shared" si="25"/>
        <v>N/A</v>
      </c>
      <c r="AA32" s="629" t="str">
        <f t="shared" si="26"/>
        <v>N/A</v>
      </c>
      <c r="AB32" s="627" t="str">
        <f>IF(COUNTIF('Defaults &lt;HIDE&gt;'!$G$78:$G$106,'2. Inputs'!H32)&gt;0, "YES", "NO")</f>
        <v>NO</v>
      </c>
      <c r="AC32" s="553">
        <f>IF(AB32="YES",'2. Inputs'!I32,0)</f>
        <v>0</v>
      </c>
      <c r="AD32" s="553" t="str">
        <f>IF(AB32="Yes",(IFERROR(VLOOKUP('2. Inputs'!H32,'Emission Factors &lt;HIDE&gt;'!$B$46:$C$168,2,0)*'2. Inputs'!I32*'2. Inputs'!Q32*'2. Inputs'!U32,0)+IFERROR(VLOOKUP('2. Inputs'!H32,'Emission Factors &lt;HIDE&gt;'!$B$46:$C$168,2,0)*'2. Inputs'!I32*'2. Inputs'!R32,0))/'Definitions and Conversions'!$C$42,"0")</f>
        <v>0</v>
      </c>
      <c r="AE32" s="55" t="str">
        <f>IF(COUNTIF('Defaults &lt;HIDE&gt;'!$G$78:$G$106,'2. Inputs'!J32)&gt;0, "YES", "NO")</f>
        <v>NO</v>
      </c>
      <c r="AF32" s="553">
        <f>IF(AB32="YES",'2. Inputs'!K32,0)</f>
        <v>0</v>
      </c>
      <c r="AG32" s="553" t="str">
        <f>IF(AE32="Yes",(IFERROR(VLOOKUP('2. Inputs'!J32,'Emission Factors &lt;HIDE&gt;'!$B$46:$C$168,2,0)*'2. Inputs'!K32*'2. Inputs'!S32*'2. Inputs'!U32*0.67,0)+IFERROR(VLOOKUP('2. Inputs'!J32,'Emission Factors &lt;HIDE&gt;'!$B$46:$C$168,2,0)*'2. Inputs'!K32*'2. Inputs'!T32,0))/'Definitions and Conversions'!$C$42,"0")</f>
        <v>0</v>
      </c>
      <c r="AH32" s="553">
        <f t="shared" si="27"/>
        <v>0</v>
      </c>
      <c r="AI32" s="633">
        <f t="shared" si="28"/>
        <v>0</v>
      </c>
      <c r="AJ32" s="631" t="str">
        <f>IF(COUNTIF('Defaults &lt;HIDE&gt;'!$G$11:$G$75,'2. Inputs'!H32)&gt;0, "YES", "NO")</f>
        <v>NO</v>
      </c>
      <c r="AK32" s="533">
        <f>IF(AJ32="YES",'2. Inputs'!I32,0)</f>
        <v>0</v>
      </c>
      <c r="AL32" s="533" t="str">
        <f>IF(AJ32="Yes",(IFERROR(VLOOKUP('2. Inputs'!H32,'Emission Factors &lt;HIDE&gt;'!$B$46:$C$168,2,0)*'2. Inputs'!I32*'2. Inputs'!Q32*'2. Inputs'!U32,0)+IFERROR(VLOOKUP('2. Inputs'!H32,'Emission Factors &lt;HIDE&gt;'!$B$46:$C$168,2,0)*'2. Inputs'!I32*'2. Inputs'!R32,0))/'Definitions and Conversions'!$C$42,"0")</f>
        <v>0</v>
      </c>
      <c r="AM32" s="532" t="str">
        <f>IF(COUNTIF('Defaults &lt;HIDE&gt;'!$G$11:$G$75,'2. Inputs'!J32)&gt;0, "YES", "NO")</f>
        <v>NO</v>
      </c>
      <c r="AN32" s="533">
        <f>IF(AM32="YES",'2. Inputs'!K32,0)</f>
        <v>0</v>
      </c>
      <c r="AO32" s="533" t="str">
        <f>IF(AM32="Yes",(IFERROR(VLOOKUP('2. Inputs'!J32,'Emission Factors &lt;HIDE&gt;'!$B$46:$C$168,2,0)*'2. Inputs'!K32*'2. Inputs'!S32*'2. Inputs'!U32*0.67,0)+IFERROR(VLOOKUP('2. Inputs'!J32,'Emission Factors &lt;HIDE&gt;'!$B$46:$C$168,2,0)*'2. Inputs'!K32*'2. Inputs'!T32,0))/'Definitions and Conversions'!$C$42,"0")</f>
        <v>0</v>
      </c>
      <c r="AP32" s="532" t="str">
        <f>IF(COUNTIF('Defaults &lt;HIDE&gt;'!$G$11:$G$75,'2. Inputs'!O32)&gt;0, "YES", "NO")</f>
        <v>NO</v>
      </c>
      <c r="AQ32" s="533">
        <f>IF(AP32="YES",'2. Inputs'!N32,0)</f>
        <v>0</v>
      </c>
      <c r="AR32" s="533" t="str">
        <f>IF(AP32="Yes",(IFERROR(VLOOKUP('2. Inputs'!O32,'Emission Factors &lt;HIDE&gt;'!$B$46:$C$168,2,0)*'2. Inputs'!P32*'2. Inputs'!X32*'2. Inputs'!Z32*0.67,0)+IFERROR(VLOOKUP('2. Inputs'!O32,'Emission Factors &lt;HIDE&gt;'!$B$46:$C$168,2,0)*'2. Inputs'!P32*'2. Inputs'!Y32,0))/'Definitions and Conversions'!$C$42,"0")</f>
        <v>0</v>
      </c>
      <c r="AS32" s="533">
        <f t="shared" si="29"/>
        <v>0</v>
      </c>
      <c r="AT32" s="604">
        <f t="shared" si="30"/>
        <v>0</v>
      </c>
      <c r="AV32" s="527" t="str">
        <f t="shared" si="31"/>
        <v/>
      </c>
      <c r="AW32" s="52">
        <f t="shared" si="0"/>
        <v>0</v>
      </c>
      <c r="AX32" s="56">
        <f t="shared" si="1"/>
        <v>0</v>
      </c>
      <c r="AY32" s="56">
        <f t="shared" si="2"/>
        <v>0</v>
      </c>
      <c r="AZ32" s="56">
        <f t="shared" si="3"/>
        <v>0</v>
      </c>
      <c r="BA32" s="56">
        <f t="shared" si="4"/>
        <v>0</v>
      </c>
      <c r="BB32" s="56">
        <f t="shared" si="5"/>
        <v>0</v>
      </c>
      <c r="BC32" s="56">
        <f t="shared" si="6"/>
        <v>0</v>
      </c>
      <c r="BD32" s="56">
        <f t="shared" si="7"/>
        <v>0</v>
      </c>
      <c r="BE32" s="56">
        <f t="shared" si="8"/>
        <v>0</v>
      </c>
      <c r="BF32" s="56">
        <f t="shared" si="9"/>
        <v>0</v>
      </c>
      <c r="BG32" s="56">
        <f t="shared" si="10"/>
        <v>0</v>
      </c>
      <c r="BH32" s="56">
        <f t="shared" si="11"/>
        <v>0</v>
      </c>
      <c r="BI32" s="56">
        <f t="shared" si="12"/>
        <v>0</v>
      </c>
      <c r="BJ32" s="56">
        <f t="shared" si="13"/>
        <v>0</v>
      </c>
      <c r="BK32" s="56">
        <f t="shared" si="14"/>
        <v>0</v>
      </c>
      <c r="BL32" s="56">
        <f t="shared" si="15"/>
        <v>0</v>
      </c>
      <c r="BM32" s="56">
        <f t="shared" si="16"/>
        <v>0</v>
      </c>
      <c r="BN32" s="56">
        <f t="shared" si="17"/>
        <v>0</v>
      </c>
      <c r="BO32" s="591">
        <f t="shared" si="18"/>
        <v>0</v>
      </c>
      <c r="BP32" s="594">
        <f t="shared" si="19"/>
        <v>0</v>
      </c>
      <c r="BQ32" s="56">
        <f t="shared" si="20"/>
        <v>0</v>
      </c>
      <c r="BR32" s="56">
        <f t="shared" si="21"/>
        <v>0</v>
      </c>
      <c r="BS32" s="56">
        <f t="shared" si="32"/>
        <v>0</v>
      </c>
      <c r="BT32" s="56">
        <f t="shared" si="33"/>
        <v>0</v>
      </c>
      <c r="BU32" s="56">
        <f t="shared" si="34"/>
        <v>0</v>
      </c>
      <c r="BV32" s="587">
        <f t="shared" si="35"/>
        <v>0</v>
      </c>
      <c r="BX32" s="527" t="str">
        <f>IF('2. Inputs'!C32='Defaults &lt;HIDE&gt;'!$B$12,"Food Retail",IF('2. Inputs'!C32='Defaults &lt;HIDE&gt;'!$B$13,"Food Retail",IF('2. Inputs'!C32='Defaults &lt;HIDE&gt;'!$B$14,"Industrial",IF('2. Inputs'!C32='Defaults &lt;HIDE&gt;'!$B$15,"Cold Storage",IF('2. Inputs'!C32='Defaults &lt;HIDE&gt;'!$B$16,'Defaults &lt;HIDE&gt;'!$B$16,"")))))</f>
        <v/>
      </c>
      <c r="BY32" s="260">
        <f>'2. Inputs'!G32</f>
        <v>0</v>
      </c>
      <c r="BZ32" s="704" t="str">
        <f>IF('2. Inputs'!I32&gt;=2000,"2000+",IF('2. Inputs'!I32&gt;=200,"200-2000",IF('2. Inputs'!I32&gt;50,"50-200",IF('2. Inputs'!I32&gt;0,"0-50",""))))</f>
        <v/>
      </c>
      <c r="CA32" s="530" t="str" cm="1">
        <f t="array" ref="CA32">IF(BZ32&lt;&gt;"",INDEX(CM:CM,MATCH(1,(CJ:CJ=BX32)*(CK:CK=BY32)*(CL:CL=BZ32),0)),"")</f>
        <v/>
      </c>
      <c r="CB32" s="531" t="str">
        <f>IF('2. Inputs'!K32&gt;=2000,"2000+",IF('2. Inputs'!K32&gt;=200,"200-2000",IF('2. Inputs'!K32&gt;50,"50-200",IF('2. Inputs'!K32&gt;0,"0-50",""))))</f>
        <v/>
      </c>
      <c r="CC32" s="530" t="str" cm="1">
        <f t="array" ref="CC32">IF(CB32&lt;&gt;"",INDEX(CM:CM,MATCH(1,(CJ:CJ=BX32)*(CK:CK=BY32)*(CL:CL=CB32),0)),"")</f>
        <v/>
      </c>
      <c r="CD32" s="529">
        <f>'2. Inputs'!L32</f>
        <v>0</v>
      </c>
      <c r="CE32" s="729" t="str">
        <f>IF('2. Inputs'!L32='Defaults &lt;HIDE&gt;'!$D$15,"0+",IF('2. Inputs'!N32&gt;=2000,"2000+",IF('2. Inputs'!N32&gt;=200,"200-2000",IF('2. Inputs'!N32&gt;50,"50-200",IF('2. Inputs'!N32&gt;0,"0-50","")))))</f>
        <v/>
      </c>
      <c r="CF32" s="530" t="str" cm="1">
        <f t="array" ref="CF32">IF(CE32&lt;&gt;"",INDEX(CM:CM,MATCH(1,(CJ:CJ=BX32)*(CK:CK=CD32)*(CL:CL=CE32),0)),"")</f>
        <v/>
      </c>
      <c r="CG32" s="531" t="str">
        <f>IF('2. Inputs'!P32&gt;=2000,"2000+",IF('2. Inputs'!P32&gt;=200,"200-2000",IF('2. Inputs'!P32&gt;50,"50-200",IF('2. Inputs'!P32&gt;0,"0-50",""))))</f>
        <v/>
      </c>
      <c r="CH32" s="565" t="str" cm="1">
        <f t="array" ref="CH32">IF(CG32&lt;&gt;"",INDEX(CM:CM,MATCH(1,(CJ:CJ=BX32)*(CK:CK=CD32)*(CL:CL=CG32),0)),"")</f>
        <v/>
      </c>
      <c r="CJ32" s="719" t="s">
        <v>634</v>
      </c>
      <c r="CK32" s="720" t="s">
        <v>612</v>
      </c>
      <c r="CL32" s="704" t="s">
        <v>638</v>
      </c>
      <c r="CM32" s="706">
        <v>0.156</v>
      </c>
    </row>
    <row r="33" spans="2:91" x14ac:dyDescent="0.25">
      <c r="B33" s="719" t="str">
        <f>IF('1. Project Info'!L33="","",'1. Project Info'!L33)</f>
        <v/>
      </c>
      <c r="C33" s="720">
        <f>IF('1. Project Info'!S38="","",'1. Project Info'!S38)</f>
        <v>1</v>
      </c>
      <c r="D33" s="52" t="str">
        <f>IF('1. Project Info'!O33="","",'1. Project Info'!O33)</f>
        <v/>
      </c>
      <c r="E33" s="624" t="str">
        <f>IFERROR('2. Inputs'!AD33,"")</f>
        <v/>
      </c>
      <c r="F33" s="621">
        <v>0</v>
      </c>
      <c r="G33" s="53">
        <v>0</v>
      </c>
      <c r="H33" s="53">
        <v>0</v>
      </c>
      <c r="I33" s="53">
        <v>0</v>
      </c>
      <c r="J33" s="53">
        <v>0</v>
      </c>
      <c r="K33" s="53" t="str">
        <f>IFERROR(#REF!*'Emission Factors &lt;HIDE&gt;'!$F$29,"")</f>
        <v/>
      </c>
      <c r="L33" s="53" t="str">
        <f>IFERROR(#REF!*'Emission Factors &lt;HIDE&gt;'!$F$30,"")</f>
        <v/>
      </c>
      <c r="M33" s="53" t="str">
        <f>IFERROR(#REF!*'Emission Factors &lt;HIDE&gt;'!$F$33,"")</f>
        <v/>
      </c>
      <c r="N33" s="53" t="str">
        <f>IFERROR(#REF!*'Emission Factors &lt;HIDE&gt;'!$F$32,"")</f>
        <v/>
      </c>
      <c r="O33" s="53">
        <v>0</v>
      </c>
      <c r="P33" s="53" t="str">
        <f t="shared" si="36"/>
        <v/>
      </c>
      <c r="Q33" s="53" t="str">
        <f t="shared" si="22"/>
        <v/>
      </c>
      <c r="R33" s="53" t="str">
        <f t="shared" si="23"/>
        <v/>
      </c>
      <c r="S33" s="53" t="str">
        <f t="shared" si="24"/>
        <v/>
      </c>
      <c r="T33" s="53">
        <v>0</v>
      </c>
      <c r="U33" s="53" t="str">
        <f>IFERROR(#REF!*'Fuel Prices &lt;HIDE&gt;'!$C$12,"")</f>
        <v/>
      </c>
      <c r="V33" s="54" t="str">
        <f>IFERROR(#REF!,"")</f>
        <v/>
      </c>
      <c r="W33" s="732">
        <f>IF(B33="",W32,'1. Project Info'!P33)</f>
        <v>0</v>
      </c>
      <c r="X33" s="55" t="str">
        <f>IF(AND(W33='Defaults &lt;HIDE&gt;'!$B$12,'2. Inputs'!I33+'2. Inputs'!K33&gt;50),1400,IF(AND(W33='Defaults &lt;HIDE&gt;'!$B$13,'2. Inputs'!I33+'2. Inputs'!K33&gt;50),1400,IF(W33='Defaults &lt;HIDE&gt;'!$B$14,2200,IF(W33='Defaults &lt;HIDE&gt;'!$B$15,1391,IF(W33='Defaults &lt;HIDE&gt;'!$B$16,"-","-")))))</f>
        <v>-</v>
      </c>
      <c r="Y33" s="53" t="str">
        <f>IFERROR(IF(X33="-","N/A",'2. Inputs'!AB33),"")</f>
        <v>N/A</v>
      </c>
      <c r="Z33" s="55" t="str">
        <f t="shared" si="25"/>
        <v>N/A</v>
      </c>
      <c r="AA33" s="629" t="str">
        <f t="shared" si="26"/>
        <v>N/A</v>
      </c>
      <c r="AB33" s="627" t="str">
        <f>IF(COUNTIF('Defaults &lt;HIDE&gt;'!$G$78:$G$106,'2. Inputs'!H33)&gt;0, "YES", "NO")</f>
        <v>NO</v>
      </c>
      <c r="AC33" s="553">
        <f>IF(AB33="YES",'2. Inputs'!I33,0)</f>
        <v>0</v>
      </c>
      <c r="AD33" s="553" t="str">
        <f>IF(AB33="Yes",(IFERROR(VLOOKUP('2. Inputs'!H33,'Emission Factors &lt;HIDE&gt;'!$B$46:$C$168,2,0)*'2. Inputs'!I33*'2. Inputs'!Q33*'2. Inputs'!U33,0)+IFERROR(VLOOKUP('2. Inputs'!H33,'Emission Factors &lt;HIDE&gt;'!$B$46:$C$168,2,0)*'2. Inputs'!I33*'2. Inputs'!R33,0))/'Definitions and Conversions'!$C$42,"0")</f>
        <v>0</v>
      </c>
      <c r="AE33" s="55" t="str">
        <f>IF(COUNTIF('Defaults &lt;HIDE&gt;'!$G$78:$G$106,'2. Inputs'!J33)&gt;0, "YES", "NO")</f>
        <v>NO</v>
      </c>
      <c r="AF33" s="553">
        <f>IF(AB33="YES",'2. Inputs'!K33,0)</f>
        <v>0</v>
      </c>
      <c r="AG33" s="553" t="str">
        <f>IF(AE33="Yes",(IFERROR(VLOOKUP('2. Inputs'!J33,'Emission Factors &lt;HIDE&gt;'!$B$46:$C$168,2,0)*'2. Inputs'!K33*'2. Inputs'!S33*'2. Inputs'!U33*0.67,0)+IFERROR(VLOOKUP('2. Inputs'!J33,'Emission Factors &lt;HIDE&gt;'!$B$46:$C$168,2,0)*'2. Inputs'!K33*'2. Inputs'!T33,0))/'Definitions and Conversions'!$C$42,"0")</f>
        <v>0</v>
      </c>
      <c r="AH33" s="553">
        <f t="shared" si="27"/>
        <v>0</v>
      </c>
      <c r="AI33" s="633">
        <f t="shared" si="28"/>
        <v>0</v>
      </c>
      <c r="AJ33" s="631" t="str">
        <f>IF(COUNTIF('Defaults &lt;HIDE&gt;'!$G$11:$G$75,'2. Inputs'!H33)&gt;0, "YES", "NO")</f>
        <v>NO</v>
      </c>
      <c r="AK33" s="533">
        <f>IF(AJ33="YES",'2. Inputs'!I33,0)</f>
        <v>0</v>
      </c>
      <c r="AL33" s="533" t="str">
        <f>IF(AJ33="Yes",(IFERROR(VLOOKUP('2. Inputs'!H33,'Emission Factors &lt;HIDE&gt;'!$B$46:$C$168,2,0)*'2. Inputs'!I33*'2. Inputs'!Q33*'2. Inputs'!U33,0)+IFERROR(VLOOKUP('2. Inputs'!H33,'Emission Factors &lt;HIDE&gt;'!$B$46:$C$168,2,0)*'2. Inputs'!I33*'2. Inputs'!R33,0))/'Definitions and Conversions'!$C$42,"0")</f>
        <v>0</v>
      </c>
      <c r="AM33" s="532" t="str">
        <f>IF(COUNTIF('Defaults &lt;HIDE&gt;'!$G$11:$G$75,'2. Inputs'!J33)&gt;0, "YES", "NO")</f>
        <v>NO</v>
      </c>
      <c r="AN33" s="533">
        <f>IF(AM33="YES",'2. Inputs'!K33,0)</f>
        <v>0</v>
      </c>
      <c r="AO33" s="533" t="str">
        <f>IF(AM33="Yes",(IFERROR(VLOOKUP('2. Inputs'!J33,'Emission Factors &lt;HIDE&gt;'!$B$46:$C$168,2,0)*'2. Inputs'!K33*'2. Inputs'!S33*'2. Inputs'!U33*0.67,0)+IFERROR(VLOOKUP('2. Inputs'!J33,'Emission Factors &lt;HIDE&gt;'!$B$46:$C$168,2,0)*'2. Inputs'!K33*'2. Inputs'!T33,0))/'Definitions and Conversions'!$C$42,"0")</f>
        <v>0</v>
      </c>
      <c r="AP33" s="532" t="str">
        <f>IF(COUNTIF('Defaults &lt;HIDE&gt;'!$G$11:$G$75,'2. Inputs'!O33)&gt;0, "YES", "NO")</f>
        <v>NO</v>
      </c>
      <c r="AQ33" s="533">
        <f>IF(AP33="YES",'2. Inputs'!N33,0)</f>
        <v>0</v>
      </c>
      <c r="AR33" s="533" t="str">
        <f>IF(AP33="Yes",(IFERROR(VLOOKUP('2. Inputs'!O33,'Emission Factors &lt;HIDE&gt;'!$B$46:$C$168,2,0)*'2. Inputs'!P33*'2. Inputs'!X33*'2. Inputs'!Z33*0.67,0)+IFERROR(VLOOKUP('2. Inputs'!O33,'Emission Factors &lt;HIDE&gt;'!$B$46:$C$168,2,0)*'2. Inputs'!P33*'2. Inputs'!Y33,0))/'Definitions and Conversions'!$C$42,"0")</f>
        <v>0</v>
      </c>
      <c r="AS33" s="533">
        <f t="shared" si="29"/>
        <v>0</v>
      </c>
      <c r="AT33" s="604">
        <f t="shared" si="30"/>
        <v>0</v>
      </c>
      <c r="AV33" s="527" t="str">
        <f t="shared" si="31"/>
        <v/>
      </c>
      <c r="AW33" s="52">
        <f t="shared" si="0"/>
        <v>0</v>
      </c>
      <c r="AX33" s="56">
        <f t="shared" si="1"/>
        <v>0</v>
      </c>
      <c r="AY33" s="56">
        <f t="shared" si="2"/>
        <v>0</v>
      </c>
      <c r="AZ33" s="56">
        <f t="shared" si="3"/>
        <v>0</v>
      </c>
      <c r="BA33" s="56">
        <f t="shared" si="4"/>
        <v>0</v>
      </c>
      <c r="BB33" s="56">
        <f t="shared" si="5"/>
        <v>0</v>
      </c>
      <c r="BC33" s="56">
        <f t="shared" si="6"/>
        <v>0</v>
      </c>
      <c r="BD33" s="56">
        <f t="shared" si="7"/>
        <v>0</v>
      </c>
      <c r="BE33" s="56">
        <f t="shared" si="8"/>
        <v>0</v>
      </c>
      <c r="BF33" s="56">
        <f t="shared" si="9"/>
        <v>0</v>
      </c>
      <c r="BG33" s="56">
        <f t="shared" si="10"/>
        <v>0</v>
      </c>
      <c r="BH33" s="56">
        <f t="shared" si="11"/>
        <v>0</v>
      </c>
      <c r="BI33" s="56">
        <f t="shared" si="12"/>
        <v>0</v>
      </c>
      <c r="BJ33" s="56">
        <f t="shared" si="13"/>
        <v>0</v>
      </c>
      <c r="BK33" s="56">
        <f t="shared" si="14"/>
        <v>0</v>
      </c>
      <c r="BL33" s="56">
        <f t="shared" si="15"/>
        <v>0</v>
      </c>
      <c r="BM33" s="56">
        <f t="shared" si="16"/>
        <v>0</v>
      </c>
      <c r="BN33" s="56">
        <f t="shared" si="17"/>
        <v>0</v>
      </c>
      <c r="BO33" s="591">
        <f t="shared" si="18"/>
        <v>0</v>
      </c>
      <c r="BP33" s="594">
        <f t="shared" si="19"/>
        <v>0</v>
      </c>
      <c r="BQ33" s="56">
        <f t="shared" si="20"/>
        <v>0</v>
      </c>
      <c r="BR33" s="56">
        <f t="shared" si="21"/>
        <v>0</v>
      </c>
      <c r="BS33" s="56">
        <f t="shared" si="32"/>
        <v>0</v>
      </c>
      <c r="BT33" s="56">
        <f t="shared" si="33"/>
        <v>0</v>
      </c>
      <c r="BU33" s="56">
        <f t="shared" si="34"/>
        <v>0</v>
      </c>
      <c r="BV33" s="587">
        <f t="shared" si="35"/>
        <v>0</v>
      </c>
      <c r="BX33" s="527" t="str">
        <f>IF('2. Inputs'!C33='Defaults &lt;HIDE&gt;'!$B$12,"Food Retail",IF('2. Inputs'!C33='Defaults &lt;HIDE&gt;'!$B$13,"Food Retail",IF('2. Inputs'!C33='Defaults &lt;HIDE&gt;'!$B$14,"Industrial",IF('2. Inputs'!C33='Defaults &lt;HIDE&gt;'!$B$15,"Cold Storage",IF('2. Inputs'!C33='Defaults &lt;HIDE&gt;'!$B$16,'Defaults &lt;HIDE&gt;'!$B$16,"")))))</f>
        <v/>
      </c>
      <c r="BY33" s="260">
        <f>'2. Inputs'!G33</f>
        <v>0</v>
      </c>
      <c r="BZ33" s="704" t="str">
        <f>IF('2. Inputs'!I33&gt;=2000,"2000+",IF('2. Inputs'!I33&gt;=200,"200-2000",IF('2. Inputs'!I33&gt;50,"50-200",IF('2. Inputs'!I33&gt;0,"0-50",""))))</f>
        <v/>
      </c>
      <c r="CA33" s="530" t="str" cm="1">
        <f t="array" ref="CA33">IF(BZ33&lt;&gt;"",INDEX(CM:CM,MATCH(1,(CJ:CJ=BX33)*(CK:CK=BY33)*(CL:CL=BZ33),0)),"")</f>
        <v/>
      </c>
      <c r="CB33" s="531" t="str">
        <f>IF('2. Inputs'!K33&gt;=2000,"2000+",IF('2. Inputs'!K33&gt;=200,"200-2000",IF('2. Inputs'!K33&gt;50,"50-200",IF('2. Inputs'!K33&gt;0,"0-50",""))))</f>
        <v/>
      </c>
      <c r="CC33" s="530" t="str" cm="1">
        <f t="array" ref="CC33">IF(CB33&lt;&gt;"",INDEX(CM:CM,MATCH(1,(CJ:CJ=BX33)*(CK:CK=BY33)*(CL:CL=CB33),0)),"")</f>
        <v/>
      </c>
      <c r="CD33" s="529">
        <f>'2. Inputs'!L33</f>
        <v>0</v>
      </c>
      <c r="CE33" s="729" t="str">
        <f>IF('2. Inputs'!L33='Defaults &lt;HIDE&gt;'!$D$15,"0+",IF('2. Inputs'!N33&gt;=2000,"2000+",IF('2. Inputs'!N33&gt;=200,"200-2000",IF('2. Inputs'!N33&gt;50,"50-200",IF('2. Inputs'!N33&gt;0,"0-50","")))))</f>
        <v/>
      </c>
      <c r="CF33" s="530" t="str" cm="1">
        <f t="array" ref="CF33">IF(CE33&lt;&gt;"",INDEX(CM:CM,MATCH(1,(CJ:CJ=BX33)*(CK:CK=CD33)*(CL:CL=CE33),0)),"")</f>
        <v/>
      </c>
      <c r="CG33" s="531" t="str">
        <f>IF('2. Inputs'!P33&gt;=2000,"2000+",IF('2. Inputs'!P33&gt;=200,"200-2000",IF('2. Inputs'!P33&gt;50,"50-200",IF('2. Inputs'!P33&gt;0,"0-50",""))))</f>
        <v/>
      </c>
      <c r="CH33" s="565" t="str" cm="1">
        <f t="array" ref="CH33">IF(CG33&lt;&gt;"",INDEX(CM:CM,MATCH(1,(CJ:CJ=BX33)*(CK:CK=CD33)*(CL:CL=CG33),0)),"")</f>
        <v/>
      </c>
      <c r="CJ33" s="719" t="s">
        <v>634</v>
      </c>
      <c r="CK33" s="720" t="s">
        <v>612</v>
      </c>
      <c r="CL33" s="704" t="s">
        <v>639</v>
      </c>
      <c r="CM33" s="706">
        <v>0.22900000000000001</v>
      </c>
    </row>
    <row r="34" spans="2:91" x14ac:dyDescent="0.25">
      <c r="B34" s="719" t="str">
        <f>IF('1. Project Info'!L34="","",'1. Project Info'!L34)</f>
        <v/>
      </c>
      <c r="C34" s="720">
        <f>IF('1. Project Info'!S39="","",'1. Project Info'!S39)</f>
        <v>1</v>
      </c>
      <c r="D34" s="52" t="str">
        <f>IF('1. Project Info'!O34="","",'1. Project Info'!O34)</f>
        <v/>
      </c>
      <c r="E34" s="624" t="str">
        <f>IFERROR('2. Inputs'!AD34,"")</f>
        <v/>
      </c>
      <c r="F34" s="621">
        <v>0</v>
      </c>
      <c r="G34" s="53">
        <v>0</v>
      </c>
      <c r="H34" s="53">
        <v>0</v>
      </c>
      <c r="I34" s="53">
        <v>0</v>
      </c>
      <c r="J34" s="53">
        <v>0</v>
      </c>
      <c r="K34" s="53" t="str">
        <f>IFERROR(#REF!*'Emission Factors &lt;HIDE&gt;'!$F$29,"")</f>
        <v/>
      </c>
      <c r="L34" s="53" t="str">
        <f>IFERROR(#REF!*'Emission Factors &lt;HIDE&gt;'!$F$30,"")</f>
        <v/>
      </c>
      <c r="M34" s="53" t="str">
        <f>IFERROR(#REF!*'Emission Factors &lt;HIDE&gt;'!$F$33,"")</f>
        <v/>
      </c>
      <c r="N34" s="53" t="str">
        <f>IFERROR(#REF!*'Emission Factors &lt;HIDE&gt;'!$F$32,"")</f>
        <v/>
      </c>
      <c r="O34" s="53">
        <v>0</v>
      </c>
      <c r="P34" s="53" t="str">
        <f t="shared" si="36"/>
        <v/>
      </c>
      <c r="Q34" s="53" t="str">
        <f t="shared" si="22"/>
        <v/>
      </c>
      <c r="R34" s="53" t="str">
        <f t="shared" si="23"/>
        <v/>
      </c>
      <c r="S34" s="53" t="str">
        <f t="shared" si="24"/>
        <v/>
      </c>
      <c r="T34" s="53">
        <v>0</v>
      </c>
      <c r="U34" s="53" t="str">
        <f>IFERROR(#REF!*'Fuel Prices &lt;HIDE&gt;'!$C$12,"")</f>
        <v/>
      </c>
      <c r="V34" s="54" t="str">
        <f>IFERROR(#REF!,"")</f>
        <v/>
      </c>
      <c r="W34" s="732">
        <f>IF(B34="",W33,'1. Project Info'!P34)</f>
        <v>0</v>
      </c>
      <c r="X34" s="55" t="str">
        <f>IF(AND(W34='Defaults &lt;HIDE&gt;'!$B$12,'2. Inputs'!I34+'2. Inputs'!K34&gt;50),1400,IF(AND(W34='Defaults &lt;HIDE&gt;'!$B$13,'2. Inputs'!I34+'2. Inputs'!K34&gt;50),1400,IF(W34='Defaults &lt;HIDE&gt;'!$B$14,2200,IF(W34='Defaults &lt;HIDE&gt;'!$B$15,1391,IF(W34='Defaults &lt;HIDE&gt;'!$B$16,"-","-")))))</f>
        <v>-</v>
      </c>
      <c r="Y34" s="53" t="str">
        <f>IFERROR(IF(X34="-","N/A",'2. Inputs'!AB34),"")</f>
        <v>N/A</v>
      </c>
      <c r="Z34" s="55" t="str">
        <f t="shared" si="25"/>
        <v>N/A</v>
      </c>
      <c r="AA34" s="629" t="str">
        <f t="shared" si="26"/>
        <v>N/A</v>
      </c>
      <c r="AB34" s="627" t="str">
        <f>IF(COUNTIF('Defaults &lt;HIDE&gt;'!$G$78:$G$106,'2. Inputs'!H34)&gt;0, "YES", "NO")</f>
        <v>NO</v>
      </c>
      <c r="AC34" s="553">
        <f>IF(AB34="YES",'2. Inputs'!I34,0)</f>
        <v>0</v>
      </c>
      <c r="AD34" s="553" t="str">
        <f>IF(AB34="Yes",(IFERROR(VLOOKUP('2. Inputs'!H34,'Emission Factors &lt;HIDE&gt;'!$B$46:$C$168,2,0)*'2. Inputs'!I34*'2. Inputs'!Q34*'2. Inputs'!U34,0)+IFERROR(VLOOKUP('2. Inputs'!H34,'Emission Factors &lt;HIDE&gt;'!$B$46:$C$168,2,0)*'2. Inputs'!I34*'2. Inputs'!R34,0))/'Definitions and Conversions'!$C$42,"0")</f>
        <v>0</v>
      </c>
      <c r="AE34" s="55" t="str">
        <f>IF(COUNTIF('Defaults &lt;HIDE&gt;'!$G$78:$G$106,'2. Inputs'!J34)&gt;0, "YES", "NO")</f>
        <v>NO</v>
      </c>
      <c r="AF34" s="553">
        <f>IF(AB34="YES",'2. Inputs'!K34,0)</f>
        <v>0</v>
      </c>
      <c r="AG34" s="553" t="str">
        <f>IF(AE34="Yes",(IFERROR(VLOOKUP('2. Inputs'!J34,'Emission Factors &lt;HIDE&gt;'!$B$46:$C$168,2,0)*'2. Inputs'!K34*'2. Inputs'!S34*'2. Inputs'!U34*0.67,0)+IFERROR(VLOOKUP('2. Inputs'!J34,'Emission Factors &lt;HIDE&gt;'!$B$46:$C$168,2,0)*'2. Inputs'!K34*'2. Inputs'!T34,0))/'Definitions and Conversions'!$C$42,"0")</f>
        <v>0</v>
      </c>
      <c r="AH34" s="553">
        <f t="shared" si="27"/>
        <v>0</v>
      </c>
      <c r="AI34" s="633">
        <f t="shared" si="28"/>
        <v>0</v>
      </c>
      <c r="AJ34" s="631" t="str">
        <f>IF(COUNTIF('Defaults &lt;HIDE&gt;'!$G$11:$G$75,'2. Inputs'!H34)&gt;0, "YES", "NO")</f>
        <v>NO</v>
      </c>
      <c r="AK34" s="533">
        <f>IF(AJ34="YES",'2. Inputs'!I34,0)</f>
        <v>0</v>
      </c>
      <c r="AL34" s="533" t="str">
        <f>IF(AJ34="Yes",(IFERROR(VLOOKUP('2. Inputs'!H34,'Emission Factors &lt;HIDE&gt;'!$B$46:$C$168,2,0)*'2. Inputs'!I34*'2. Inputs'!Q34*'2. Inputs'!U34,0)+IFERROR(VLOOKUP('2. Inputs'!H34,'Emission Factors &lt;HIDE&gt;'!$B$46:$C$168,2,0)*'2. Inputs'!I34*'2. Inputs'!R34,0))/'Definitions and Conversions'!$C$42,"0")</f>
        <v>0</v>
      </c>
      <c r="AM34" s="532" t="str">
        <f>IF(COUNTIF('Defaults &lt;HIDE&gt;'!$G$11:$G$75,'2. Inputs'!J34)&gt;0, "YES", "NO")</f>
        <v>NO</v>
      </c>
      <c r="AN34" s="533">
        <f>IF(AM34="YES",'2. Inputs'!K34,0)</f>
        <v>0</v>
      </c>
      <c r="AO34" s="533" t="str">
        <f>IF(AM34="Yes",(IFERROR(VLOOKUP('2. Inputs'!J34,'Emission Factors &lt;HIDE&gt;'!$B$46:$C$168,2,0)*'2. Inputs'!K34*'2. Inputs'!S34*'2. Inputs'!U34*0.67,0)+IFERROR(VLOOKUP('2. Inputs'!J34,'Emission Factors &lt;HIDE&gt;'!$B$46:$C$168,2,0)*'2. Inputs'!K34*'2. Inputs'!T34,0))/'Definitions and Conversions'!$C$42,"0")</f>
        <v>0</v>
      </c>
      <c r="AP34" s="532" t="str">
        <f>IF(COUNTIF('Defaults &lt;HIDE&gt;'!$G$11:$G$75,'2. Inputs'!O34)&gt;0, "YES", "NO")</f>
        <v>NO</v>
      </c>
      <c r="AQ34" s="533">
        <f>IF(AP34="YES",'2. Inputs'!N34,0)</f>
        <v>0</v>
      </c>
      <c r="AR34" s="533" t="str">
        <f>IF(AP34="Yes",(IFERROR(VLOOKUP('2. Inputs'!O34,'Emission Factors &lt;HIDE&gt;'!$B$46:$C$168,2,0)*'2. Inputs'!P34*'2. Inputs'!X34*'2. Inputs'!Z34*0.67,0)+IFERROR(VLOOKUP('2. Inputs'!O34,'Emission Factors &lt;HIDE&gt;'!$B$46:$C$168,2,0)*'2. Inputs'!P34*'2. Inputs'!Y34,0))/'Definitions and Conversions'!$C$42,"0")</f>
        <v>0</v>
      </c>
      <c r="AS34" s="533">
        <f t="shared" si="29"/>
        <v>0</v>
      </c>
      <c r="AT34" s="604">
        <f t="shared" si="30"/>
        <v>0</v>
      </c>
      <c r="AV34" s="527" t="str">
        <f t="shared" si="31"/>
        <v/>
      </c>
      <c r="AW34" s="52">
        <f t="shared" si="0"/>
        <v>0</v>
      </c>
      <c r="AX34" s="56">
        <f t="shared" si="1"/>
        <v>0</v>
      </c>
      <c r="AY34" s="56">
        <f t="shared" si="2"/>
        <v>0</v>
      </c>
      <c r="AZ34" s="56">
        <f t="shared" si="3"/>
        <v>0</v>
      </c>
      <c r="BA34" s="56">
        <f t="shared" si="4"/>
        <v>0</v>
      </c>
      <c r="BB34" s="56">
        <f t="shared" si="5"/>
        <v>0</v>
      </c>
      <c r="BC34" s="56">
        <f t="shared" si="6"/>
        <v>0</v>
      </c>
      <c r="BD34" s="56">
        <f t="shared" si="7"/>
        <v>0</v>
      </c>
      <c r="BE34" s="56">
        <f t="shared" si="8"/>
        <v>0</v>
      </c>
      <c r="BF34" s="56">
        <f t="shared" si="9"/>
        <v>0</v>
      </c>
      <c r="BG34" s="56">
        <f t="shared" si="10"/>
        <v>0</v>
      </c>
      <c r="BH34" s="56">
        <f t="shared" si="11"/>
        <v>0</v>
      </c>
      <c r="BI34" s="56">
        <f t="shared" si="12"/>
        <v>0</v>
      </c>
      <c r="BJ34" s="56">
        <f t="shared" si="13"/>
        <v>0</v>
      </c>
      <c r="BK34" s="56">
        <f t="shared" si="14"/>
        <v>0</v>
      </c>
      <c r="BL34" s="56">
        <f t="shared" si="15"/>
        <v>0</v>
      </c>
      <c r="BM34" s="56">
        <f t="shared" si="16"/>
        <v>0</v>
      </c>
      <c r="BN34" s="56">
        <f t="shared" si="17"/>
        <v>0</v>
      </c>
      <c r="BO34" s="591">
        <f t="shared" si="18"/>
        <v>0</v>
      </c>
      <c r="BP34" s="594">
        <f t="shared" si="19"/>
        <v>0</v>
      </c>
      <c r="BQ34" s="56">
        <f t="shared" si="20"/>
        <v>0</v>
      </c>
      <c r="BR34" s="56">
        <f t="shared" si="21"/>
        <v>0</v>
      </c>
      <c r="BS34" s="56">
        <f t="shared" si="32"/>
        <v>0</v>
      </c>
      <c r="BT34" s="56">
        <f t="shared" si="33"/>
        <v>0</v>
      </c>
      <c r="BU34" s="56">
        <f t="shared" si="34"/>
        <v>0</v>
      </c>
      <c r="BV34" s="587">
        <f t="shared" si="35"/>
        <v>0</v>
      </c>
      <c r="BX34" s="527" t="str">
        <f>IF('2. Inputs'!C34='Defaults &lt;HIDE&gt;'!$B$12,"Food Retail",IF('2. Inputs'!C34='Defaults &lt;HIDE&gt;'!$B$13,"Food Retail",IF('2. Inputs'!C34='Defaults &lt;HIDE&gt;'!$B$14,"Industrial",IF('2. Inputs'!C34='Defaults &lt;HIDE&gt;'!$B$15,"Cold Storage",IF('2. Inputs'!C34='Defaults &lt;HIDE&gt;'!$B$16,'Defaults &lt;HIDE&gt;'!$B$16,"")))))</f>
        <v/>
      </c>
      <c r="BY34" s="260">
        <f>'2. Inputs'!G34</f>
        <v>0</v>
      </c>
      <c r="BZ34" s="704" t="str">
        <f>IF('2. Inputs'!I34&gt;=2000,"2000+",IF('2. Inputs'!I34&gt;=200,"200-2000",IF('2. Inputs'!I34&gt;50,"50-200",IF('2. Inputs'!I34&gt;0,"0-50",""))))</f>
        <v/>
      </c>
      <c r="CA34" s="530" t="str" cm="1">
        <f t="array" ref="CA34">IF(BZ34&lt;&gt;"",INDEX(CM:CM,MATCH(1,(CJ:CJ=BX34)*(CK:CK=BY34)*(CL:CL=BZ34),0)),"")</f>
        <v/>
      </c>
      <c r="CB34" s="531" t="str">
        <f>IF('2. Inputs'!K34&gt;=2000,"2000+",IF('2. Inputs'!K34&gt;=200,"200-2000",IF('2. Inputs'!K34&gt;50,"50-200",IF('2. Inputs'!K34&gt;0,"0-50",""))))</f>
        <v/>
      </c>
      <c r="CC34" s="530" t="str" cm="1">
        <f t="array" ref="CC34">IF(CB34&lt;&gt;"",INDEX(CM:CM,MATCH(1,(CJ:CJ=BX34)*(CK:CK=BY34)*(CL:CL=CB34),0)),"")</f>
        <v/>
      </c>
      <c r="CD34" s="529">
        <f>'2. Inputs'!L34</f>
        <v>0</v>
      </c>
      <c r="CE34" s="729" t="str">
        <f>IF('2. Inputs'!L34='Defaults &lt;HIDE&gt;'!$D$15,"0+",IF('2. Inputs'!N34&gt;=2000,"2000+",IF('2. Inputs'!N34&gt;=200,"200-2000",IF('2. Inputs'!N34&gt;50,"50-200",IF('2. Inputs'!N34&gt;0,"0-50","")))))</f>
        <v/>
      </c>
      <c r="CF34" s="530" t="str" cm="1">
        <f t="array" ref="CF34">IF(CE34&lt;&gt;"",INDEX(CM:CM,MATCH(1,(CJ:CJ=BX34)*(CK:CK=CD34)*(CL:CL=CE34),0)),"")</f>
        <v/>
      </c>
      <c r="CG34" s="531" t="str">
        <f>IF('2. Inputs'!P34&gt;=2000,"2000+",IF('2. Inputs'!P34&gt;=200,"200-2000",IF('2. Inputs'!P34&gt;50,"50-200",IF('2. Inputs'!P34&gt;0,"0-50",""))))</f>
        <v/>
      </c>
      <c r="CH34" s="565" t="str" cm="1">
        <f t="array" ref="CH34">IF(CG34&lt;&gt;"",INDEX(CM:CM,MATCH(1,(CJ:CJ=BX34)*(CK:CK=CD34)*(CL:CL=CG34),0)),"")</f>
        <v/>
      </c>
      <c r="CJ34" s="719" t="s">
        <v>634</v>
      </c>
      <c r="CK34" s="720" t="s">
        <v>612</v>
      </c>
      <c r="CL34" s="704" t="s">
        <v>640</v>
      </c>
      <c r="CM34" s="706">
        <v>0.24199999999999999</v>
      </c>
    </row>
    <row r="35" spans="2:91" x14ac:dyDescent="0.25">
      <c r="B35" s="719" t="str">
        <f>IF('1. Project Info'!L35="","",'1. Project Info'!L35)</f>
        <v/>
      </c>
      <c r="C35" s="720">
        <f>IF('1. Project Info'!S35="","",'1. Project Info'!S35)</f>
        <v>1</v>
      </c>
      <c r="D35" s="52" t="str">
        <f>IF('1. Project Info'!O35="","",'1. Project Info'!O35)</f>
        <v/>
      </c>
      <c r="E35" s="624" t="str">
        <f>IFERROR('2. Inputs'!AD35,"")</f>
        <v/>
      </c>
      <c r="F35" s="621">
        <v>0</v>
      </c>
      <c r="G35" s="53">
        <v>0</v>
      </c>
      <c r="H35" s="53">
        <v>0</v>
      </c>
      <c r="I35" s="53">
        <v>0</v>
      </c>
      <c r="J35" s="53">
        <v>0</v>
      </c>
      <c r="K35" s="53" t="str">
        <f>IFERROR(#REF!*'Emission Factors &lt;HIDE&gt;'!$F$29,"")</f>
        <v/>
      </c>
      <c r="L35" s="53" t="str">
        <f>IFERROR(#REF!*'Emission Factors &lt;HIDE&gt;'!$F$30,"")</f>
        <v/>
      </c>
      <c r="M35" s="53" t="str">
        <f>IFERROR(#REF!*'Emission Factors &lt;HIDE&gt;'!$F$33,"")</f>
        <v/>
      </c>
      <c r="N35" s="53" t="str">
        <f>IFERROR(#REF!*'Emission Factors &lt;HIDE&gt;'!$F$32,"")</f>
        <v/>
      </c>
      <c r="O35" s="53">
        <v>0</v>
      </c>
      <c r="P35" s="53" t="str">
        <f>IFERROR(F35+K35,"")</f>
        <v/>
      </c>
      <c r="Q35" s="53" t="str">
        <f>IFERROR(G35+L35,"")</f>
        <v/>
      </c>
      <c r="R35" s="53" t="str">
        <f>IFERROR(H35+M35,"")</f>
        <v/>
      </c>
      <c r="S35" s="53" t="str">
        <f>IFERROR(I35+N35,"")</f>
        <v/>
      </c>
      <c r="T35" s="53">
        <v>0</v>
      </c>
      <c r="U35" s="53" t="str">
        <f>IFERROR(#REF!*'Fuel Prices &lt;HIDE&gt;'!$C$12,"")</f>
        <v/>
      </c>
      <c r="V35" s="54" t="str">
        <f>IFERROR(#REF!,"")</f>
        <v/>
      </c>
      <c r="W35" s="732">
        <f>IF(B35="",W34,'1. Project Info'!P35)</f>
        <v>0</v>
      </c>
      <c r="X35" s="55" t="str">
        <f>IF(AND(W35='Defaults &lt;HIDE&gt;'!$B$12,'2. Inputs'!I35+'2. Inputs'!K35&gt;50),1400,IF(AND(W35='Defaults &lt;HIDE&gt;'!$B$13,'2. Inputs'!I35+'2. Inputs'!K35&gt;50),1400,IF(W35='Defaults &lt;HIDE&gt;'!$B$14,2200,IF(W35='Defaults &lt;HIDE&gt;'!$B$15,1391,IF(W35='Defaults &lt;HIDE&gt;'!$B$16,"-","-")))))</f>
        <v>-</v>
      </c>
      <c r="Y35" s="53" t="str">
        <f>IFERROR(IF(X35="-","N/A",'2. Inputs'!AB35),"")</f>
        <v>N/A</v>
      </c>
      <c r="Z35" s="55" t="str">
        <f t="shared" si="25"/>
        <v>N/A</v>
      </c>
      <c r="AA35" s="629" t="str">
        <f t="shared" si="26"/>
        <v>N/A</v>
      </c>
      <c r="AB35" s="627" t="str">
        <f>IF(COUNTIF('Defaults &lt;HIDE&gt;'!$G$78:$G$106,'2. Inputs'!H35)&gt;0, "YES", "NO")</f>
        <v>NO</v>
      </c>
      <c r="AC35" s="553">
        <f>IF(AB35="YES",'2. Inputs'!I35,0)</f>
        <v>0</v>
      </c>
      <c r="AD35" s="553" t="str">
        <f>IF(AB35="Yes",(IFERROR(VLOOKUP('2. Inputs'!H35,'Emission Factors &lt;HIDE&gt;'!$B$46:$C$168,2,0)*'2. Inputs'!I35*'2. Inputs'!Q35*'2. Inputs'!U35,0)+IFERROR(VLOOKUP('2. Inputs'!H35,'Emission Factors &lt;HIDE&gt;'!$B$46:$C$168,2,0)*'2. Inputs'!I35*'2. Inputs'!R35,0))/'Definitions and Conversions'!$C$42,"0")</f>
        <v>0</v>
      </c>
      <c r="AE35" s="55" t="str">
        <f>IF(COUNTIF('Defaults &lt;HIDE&gt;'!$G$78:$G$106,'2. Inputs'!J35)&gt;0, "YES", "NO")</f>
        <v>NO</v>
      </c>
      <c r="AF35" s="553">
        <f>IF(AB35="YES",'2. Inputs'!K35,0)</f>
        <v>0</v>
      </c>
      <c r="AG35" s="553" t="str">
        <f>IF(AE35="Yes",(IFERROR(VLOOKUP('2. Inputs'!J35,'Emission Factors &lt;HIDE&gt;'!$B$46:$C$168,2,0)*'2. Inputs'!K35*'2. Inputs'!S35*'2. Inputs'!U35*0.67,0)+IFERROR(VLOOKUP('2. Inputs'!J35,'Emission Factors &lt;HIDE&gt;'!$B$46:$C$168,2,0)*'2. Inputs'!K35*'2. Inputs'!T35,0))/'Definitions and Conversions'!$C$42,"0")</f>
        <v>0</v>
      </c>
      <c r="AH35" s="553">
        <f t="shared" si="27"/>
        <v>0</v>
      </c>
      <c r="AI35" s="633">
        <f t="shared" si="28"/>
        <v>0</v>
      </c>
      <c r="AJ35" s="631" t="str">
        <f>IF(COUNTIF('Defaults &lt;HIDE&gt;'!$G$11:$G$75,'2. Inputs'!H35)&gt;0, "YES", "NO")</f>
        <v>NO</v>
      </c>
      <c r="AK35" s="533">
        <f>IF(AJ35="YES",'2. Inputs'!I35,0)</f>
        <v>0</v>
      </c>
      <c r="AL35" s="533" t="str">
        <f>IF(AJ35="Yes",(IFERROR(VLOOKUP('2. Inputs'!H35,'Emission Factors &lt;HIDE&gt;'!$B$46:$C$168,2,0)*'2. Inputs'!I35*'2. Inputs'!Q35*'2. Inputs'!U35,0)+IFERROR(VLOOKUP('2. Inputs'!H35,'Emission Factors &lt;HIDE&gt;'!$B$46:$C$168,2,0)*'2. Inputs'!I35*'2. Inputs'!R35,0))/'Definitions and Conversions'!$C$42,"0")</f>
        <v>0</v>
      </c>
      <c r="AM35" s="532" t="str">
        <f>IF(COUNTIF('Defaults &lt;HIDE&gt;'!$G$11:$G$75,'2. Inputs'!J35)&gt;0, "YES", "NO")</f>
        <v>NO</v>
      </c>
      <c r="AN35" s="533">
        <f>IF(AM35="YES",'2. Inputs'!K35,0)</f>
        <v>0</v>
      </c>
      <c r="AO35" s="533" t="str">
        <f>IF(AM35="Yes",(IFERROR(VLOOKUP('2. Inputs'!J35,'Emission Factors &lt;HIDE&gt;'!$B$46:$C$168,2,0)*'2. Inputs'!K35*'2. Inputs'!S35*'2. Inputs'!U35*0.67,0)+IFERROR(VLOOKUP('2. Inputs'!J35,'Emission Factors &lt;HIDE&gt;'!$B$46:$C$168,2,0)*'2. Inputs'!K35*'2. Inputs'!T35,0))/'Definitions and Conversions'!$C$42,"0")</f>
        <v>0</v>
      </c>
      <c r="AP35" s="532" t="str">
        <f>IF(COUNTIF('Defaults &lt;HIDE&gt;'!$G$11:$G$75,'2. Inputs'!O35)&gt;0, "YES", "NO")</f>
        <v>NO</v>
      </c>
      <c r="AQ35" s="533">
        <f>IF(AP35="YES",'2. Inputs'!N35,0)</f>
        <v>0</v>
      </c>
      <c r="AR35" s="533" t="str">
        <f>IF(AP35="Yes",(IFERROR(VLOOKUP('2. Inputs'!O35,'Emission Factors &lt;HIDE&gt;'!$B$46:$C$168,2,0)*'2. Inputs'!P35*'2. Inputs'!X35*'2. Inputs'!Z35*0.67,0)+IFERROR(VLOOKUP('2. Inputs'!O35,'Emission Factors &lt;HIDE&gt;'!$B$46:$C$168,2,0)*'2. Inputs'!P35*'2. Inputs'!Y35,0))/'Definitions and Conversions'!$C$42,"0")</f>
        <v>0</v>
      </c>
      <c r="AS35" s="533">
        <f t="shared" si="29"/>
        <v>0</v>
      </c>
      <c r="AT35" s="604">
        <f t="shared" si="30"/>
        <v>0</v>
      </c>
      <c r="AV35" s="527" t="str">
        <f t="shared" si="31"/>
        <v/>
      </c>
      <c r="AW35" s="52">
        <f t="shared" si="0"/>
        <v>0</v>
      </c>
      <c r="AX35" s="56">
        <f t="shared" si="1"/>
        <v>0</v>
      </c>
      <c r="AY35" s="56">
        <f t="shared" si="2"/>
        <v>0</v>
      </c>
      <c r="AZ35" s="56">
        <f t="shared" si="3"/>
        <v>0</v>
      </c>
      <c r="BA35" s="56">
        <f t="shared" si="4"/>
        <v>0</v>
      </c>
      <c r="BB35" s="56">
        <f t="shared" si="5"/>
        <v>0</v>
      </c>
      <c r="BC35" s="56">
        <f t="shared" si="6"/>
        <v>0</v>
      </c>
      <c r="BD35" s="56">
        <f t="shared" si="7"/>
        <v>0</v>
      </c>
      <c r="BE35" s="56">
        <f t="shared" si="8"/>
        <v>0</v>
      </c>
      <c r="BF35" s="56">
        <f t="shared" si="9"/>
        <v>0</v>
      </c>
      <c r="BG35" s="56">
        <f t="shared" si="10"/>
        <v>0</v>
      </c>
      <c r="BH35" s="56">
        <f t="shared" si="11"/>
        <v>0</v>
      </c>
      <c r="BI35" s="56">
        <f t="shared" si="12"/>
        <v>0</v>
      </c>
      <c r="BJ35" s="56">
        <f t="shared" si="13"/>
        <v>0</v>
      </c>
      <c r="BK35" s="56">
        <f t="shared" si="14"/>
        <v>0</v>
      </c>
      <c r="BL35" s="56">
        <f t="shared" si="15"/>
        <v>0</v>
      </c>
      <c r="BM35" s="56">
        <f t="shared" si="16"/>
        <v>0</v>
      </c>
      <c r="BN35" s="56">
        <f t="shared" si="17"/>
        <v>0</v>
      </c>
      <c r="BO35" s="591">
        <f t="shared" si="18"/>
        <v>0</v>
      </c>
      <c r="BP35" s="594">
        <f t="shared" si="19"/>
        <v>0</v>
      </c>
      <c r="BQ35" s="56">
        <f t="shared" si="20"/>
        <v>0</v>
      </c>
      <c r="BR35" s="56">
        <f t="shared" si="21"/>
        <v>0</v>
      </c>
      <c r="BS35" s="56">
        <f t="shared" si="32"/>
        <v>0</v>
      </c>
      <c r="BT35" s="56">
        <f t="shared" si="33"/>
        <v>0</v>
      </c>
      <c r="BU35" s="56">
        <f t="shared" si="34"/>
        <v>0</v>
      </c>
      <c r="BV35" s="587">
        <f t="shared" si="35"/>
        <v>0</v>
      </c>
      <c r="BX35" s="527" t="str">
        <f>IF('2. Inputs'!C35='Defaults &lt;HIDE&gt;'!$B$12,"Food Retail",IF('2. Inputs'!C35='Defaults &lt;HIDE&gt;'!$B$13,"Food Retail",IF('2. Inputs'!C35='Defaults &lt;HIDE&gt;'!$B$14,"Industrial",IF('2. Inputs'!C35='Defaults &lt;HIDE&gt;'!$B$15,"Cold Storage",IF('2. Inputs'!C35='Defaults &lt;HIDE&gt;'!$B$16,'Defaults &lt;HIDE&gt;'!$B$16,"")))))</f>
        <v/>
      </c>
      <c r="BY35" s="260">
        <f>'2. Inputs'!G35</f>
        <v>0</v>
      </c>
      <c r="BZ35" s="704" t="str">
        <f>IF('2. Inputs'!I35&gt;=2000,"2000+",IF('2. Inputs'!I35&gt;=200,"200-2000",IF('2. Inputs'!I35&gt;50,"50-200",IF('2. Inputs'!I35&gt;0,"0-50",""))))</f>
        <v/>
      </c>
      <c r="CA35" s="530" t="str" cm="1">
        <f t="array" ref="CA35">IF(BZ35&lt;&gt;"",INDEX(CM:CM,MATCH(1,(CJ:CJ=BX35)*(CK:CK=BY35)*(CL:CL=BZ35),0)),"")</f>
        <v/>
      </c>
      <c r="CB35" s="531" t="str">
        <f>IF('2. Inputs'!K35&gt;=2000,"2000+",IF('2. Inputs'!K35&gt;=200,"200-2000",IF('2. Inputs'!K35&gt;50,"50-200",IF('2. Inputs'!K35&gt;0,"0-50",""))))</f>
        <v/>
      </c>
      <c r="CC35" s="530" t="str" cm="1">
        <f t="array" ref="CC35">IF(CB35&lt;&gt;"",INDEX(CM:CM,MATCH(1,(CJ:CJ=BX35)*(CK:CK=BY35)*(CL:CL=CB35),0)),"")</f>
        <v/>
      </c>
      <c r="CD35" s="529">
        <f>'2. Inputs'!L35</f>
        <v>0</v>
      </c>
      <c r="CE35" s="729" t="str">
        <f>IF('2. Inputs'!L35='Defaults &lt;HIDE&gt;'!$D$15,"0+",IF('2. Inputs'!N35&gt;=2000,"2000+",IF('2. Inputs'!N35&gt;=200,"200-2000",IF('2. Inputs'!N35&gt;50,"50-200",IF('2. Inputs'!N35&gt;0,"0-50","")))))</f>
        <v/>
      </c>
      <c r="CF35" s="530" t="str" cm="1">
        <f t="array" ref="CF35">IF(CE35&lt;&gt;"",INDEX(CM:CM,MATCH(1,(CJ:CJ=BX35)*(CK:CK=CD35)*(CL:CL=CE35),0)),"")</f>
        <v/>
      </c>
      <c r="CG35" s="531" t="str">
        <f>IF('2. Inputs'!P35&gt;=2000,"2000+",IF('2. Inputs'!P35&gt;=200,"200-2000",IF('2. Inputs'!P35&gt;50,"50-200",IF('2. Inputs'!P35&gt;0,"0-50",""))))</f>
        <v/>
      </c>
      <c r="CH35" s="565" t="str" cm="1">
        <f t="array" ref="CH35">IF(CG35&lt;&gt;"",INDEX(CM:CM,MATCH(1,(CJ:CJ=BX35)*(CK:CK=CD35)*(CL:CL=CG35),0)),"")</f>
        <v/>
      </c>
      <c r="CJ35" s="719" t="s">
        <v>634</v>
      </c>
      <c r="CK35" s="720" t="s">
        <v>363</v>
      </c>
      <c r="CL35" s="704" t="s">
        <v>637</v>
      </c>
      <c r="CM35" s="706">
        <v>0.15</v>
      </c>
    </row>
    <row r="36" spans="2:91" x14ac:dyDescent="0.25">
      <c r="B36" s="719" t="str">
        <f>IF('1. Project Info'!L36="","",'1. Project Info'!L36)</f>
        <v/>
      </c>
      <c r="C36" s="720">
        <f>IF('1. Project Info'!S36="","",'1. Project Info'!S36)</f>
        <v>1</v>
      </c>
      <c r="D36" s="52" t="str">
        <f>IF('1. Project Info'!O36="","",'1. Project Info'!O36)</f>
        <v/>
      </c>
      <c r="E36" s="624" t="str">
        <f>IFERROR('2. Inputs'!AD36,"")</f>
        <v/>
      </c>
      <c r="F36" s="621">
        <v>0</v>
      </c>
      <c r="G36" s="53">
        <v>0</v>
      </c>
      <c r="H36" s="53">
        <v>0</v>
      </c>
      <c r="I36" s="53">
        <v>0</v>
      </c>
      <c r="J36" s="53">
        <v>0</v>
      </c>
      <c r="K36" s="53" t="str">
        <f>IFERROR(#REF!*'Emission Factors &lt;HIDE&gt;'!$F$29,"")</f>
        <v/>
      </c>
      <c r="L36" s="53" t="str">
        <f>IFERROR(#REF!*'Emission Factors &lt;HIDE&gt;'!$F$30,"")</f>
        <v/>
      </c>
      <c r="M36" s="53" t="str">
        <f>IFERROR(#REF!*'Emission Factors &lt;HIDE&gt;'!$F$33,"")</f>
        <v/>
      </c>
      <c r="N36" s="53" t="str">
        <f>IFERROR(#REF!*'Emission Factors &lt;HIDE&gt;'!$F$32,"")</f>
        <v/>
      </c>
      <c r="O36" s="53">
        <v>0</v>
      </c>
      <c r="P36" s="53" t="str">
        <f t="shared" ref="P36:P39" si="37">IFERROR(F36+K36,"")</f>
        <v/>
      </c>
      <c r="Q36" s="53" t="str">
        <f t="shared" ref="Q36:Q39" si="38">IFERROR(G36+L36,"")</f>
        <v/>
      </c>
      <c r="R36" s="53" t="str">
        <f t="shared" ref="R36:R39" si="39">IFERROR(H36+M36,"")</f>
        <v/>
      </c>
      <c r="S36" s="53" t="str">
        <f t="shared" ref="S36:S39" si="40">IFERROR(I36+N36,"")</f>
        <v/>
      </c>
      <c r="T36" s="53">
        <v>0</v>
      </c>
      <c r="U36" s="53" t="str">
        <f>IFERROR(#REF!*'Fuel Prices &lt;HIDE&gt;'!$C$12,"")</f>
        <v/>
      </c>
      <c r="V36" s="54" t="str">
        <f>IFERROR(#REF!,"")</f>
        <v/>
      </c>
      <c r="W36" s="732">
        <f>IF(B36="",W35,'1. Project Info'!P36)</f>
        <v>0</v>
      </c>
      <c r="X36" s="55" t="str">
        <f>IF(AND(W36='Defaults &lt;HIDE&gt;'!$B$12,'2. Inputs'!I36+'2. Inputs'!K36&gt;50),1400,IF(AND(W36='Defaults &lt;HIDE&gt;'!$B$13,'2. Inputs'!I36+'2. Inputs'!K36&gt;50),1400,IF(W36='Defaults &lt;HIDE&gt;'!$B$14,2200,IF(W36='Defaults &lt;HIDE&gt;'!$B$15,1391,IF(W36='Defaults &lt;HIDE&gt;'!$B$16,"-","-")))))</f>
        <v>-</v>
      </c>
      <c r="Y36" s="53" t="str">
        <f>IFERROR(IF(X36="-","N/A",'2. Inputs'!AB36),"")</f>
        <v>N/A</v>
      </c>
      <c r="Z36" s="55" t="str">
        <f t="shared" si="25"/>
        <v>N/A</v>
      </c>
      <c r="AA36" s="629" t="str">
        <f t="shared" si="26"/>
        <v>N/A</v>
      </c>
      <c r="AB36" s="627" t="str">
        <f>IF(COUNTIF('Defaults &lt;HIDE&gt;'!$G$78:$G$106,'2. Inputs'!H36)&gt;0, "YES", "NO")</f>
        <v>NO</v>
      </c>
      <c r="AC36" s="553">
        <f>IF(AB36="YES",'2. Inputs'!I36,0)</f>
        <v>0</v>
      </c>
      <c r="AD36" s="553" t="str">
        <f>IF(AB36="Yes",(IFERROR(VLOOKUP('2. Inputs'!H36,'Emission Factors &lt;HIDE&gt;'!$B$46:$C$168,2,0)*'2. Inputs'!I36*'2. Inputs'!Q36*'2. Inputs'!U36,0)+IFERROR(VLOOKUP('2. Inputs'!H36,'Emission Factors &lt;HIDE&gt;'!$B$46:$C$168,2,0)*'2. Inputs'!I36*'2. Inputs'!R36,0))/'Definitions and Conversions'!$C$42,"0")</f>
        <v>0</v>
      </c>
      <c r="AE36" s="55" t="str">
        <f>IF(COUNTIF('Defaults &lt;HIDE&gt;'!$G$78:$G$106,'2. Inputs'!J36)&gt;0, "YES", "NO")</f>
        <v>NO</v>
      </c>
      <c r="AF36" s="553">
        <f>IF(AB36="YES",'2. Inputs'!K36,0)</f>
        <v>0</v>
      </c>
      <c r="AG36" s="553" t="str">
        <f>IF(AE36="Yes",(IFERROR(VLOOKUP('2. Inputs'!J36,'Emission Factors &lt;HIDE&gt;'!$B$46:$C$168,2,0)*'2. Inputs'!K36*'2. Inputs'!S36*'2. Inputs'!U36*0.67,0)+IFERROR(VLOOKUP('2. Inputs'!J36,'Emission Factors &lt;HIDE&gt;'!$B$46:$C$168,2,0)*'2. Inputs'!K36*'2. Inputs'!T36,0))/'Definitions and Conversions'!$C$42,"0")</f>
        <v>0</v>
      </c>
      <c r="AH36" s="553">
        <f t="shared" si="27"/>
        <v>0</v>
      </c>
      <c r="AI36" s="633">
        <f t="shared" si="28"/>
        <v>0</v>
      </c>
      <c r="AJ36" s="631" t="str">
        <f>IF(COUNTIF('Defaults &lt;HIDE&gt;'!$G$11:$G$75,'2. Inputs'!H36)&gt;0, "YES", "NO")</f>
        <v>NO</v>
      </c>
      <c r="AK36" s="533">
        <f>IF(AJ36="YES",'2. Inputs'!I36,0)</f>
        <v>0</v>
      </c>
      <c r="AL36" s="533" t="str">
        <f>IF(AJ36="Yes",(IFERROR(VLOOKUP('2. Inputs'!H36,'Emission Factors &lt;HIDE&gt;'!$B$46:$C$168,2,0)*'2. Inputs'!I36*'2. Inputs'!Q36*'2. Inputs'!U36,0)+IFERROR(VLOOKUP('2. Inputs'!H36,'Emission Factors &lt;HIDE&gt;'!$B$46:$C$168,2,0)*'2. Inputs'!I36*'2. Inputs'!R36,0))/'Definitions and Conversions'!$C$42,"0")</f>
        <v>0</v>
      </c>
      <c r="AM36" s="532" t="str">
        <f>IF(COUNTIF('Defaults &lt;HIDE&gt;'!$G$11:$G$75,'2. Inputs'!J36)&gt;0, "YES", "NO")</f>
        <v>NO</v>
      </c>
      <c r="AN36" s="533">
        <f>IF(AM36="YES",'2. Inputs'!K36,0)</f>
        <v>0</v>
      </c>
      <c r="AO36" s="533" t="str">
        <f>IF(AM36="Yes",(IFERROR(VLOOKUP('2. Inputs'!J36,'Emission Factors &lt;HIDE&gt;'!$B$46:$C$168,2,0)*'2. Inputs'!K36*'2. Inputs'!S36*'2. Inputs'!U36*0.67,0)+IFERROR(VLOOKUP('2. Inputs'!J36,'Emission Factors &lt;HIDE&gt;'!$B$46:$C$168,2,0)*'2. Inputs'!K36*'2. Inputs'!T36,0))/'Definitions and Conversions'!$C$42,"0")</f>
        <v>0</v>
      </c>
      <c r="AP36" s="532" t="str">
        <f>IF(COUNTIF('Defaults &lt;HIDE&gt;'!$G$11:$G$75,'2. Inputs'!O36)&gt;0, "YES", "NO")</f>
        <v>NO</v>
      </c>
      <c r="AQ36" s="533">
        <f>IF(AP36="YES",'2. Inputs'!N36,0)</f>
        <v>0</v>
      </c>
      <c r="AR36" s="533" t="str">
        <f>IF(AP36="Yes",(IFERROR(VLOOKUP('2. Inputs'!O36,'Emission Factors &lt;HIDE&gt;'!$B$46:$C$168,2,0)*'2. Inputs'!P36*'2. Inputs'!X36*'2. Inputs'!Z36*0.67,0)+IFERROR(VLOOKUP('2. Inputs'!O36,'Emission Factors &lt;HIDE&gt;'!$B$46:$C$168,2,0)*'2. Inputs'!P36*'2. Inputs'!Y36,0))/'Definitions and Conversions'!$C$42,"0")</f>
        <v>0</v>
      </c>
      <c r="AS36" s="533">
        <f t="shared" si="29"/>
        <v>0</v>
      </c>
      <c r="AT36" s="604">
        <f t="shared" si="30"/>
        <v>0</v>
      </c>
      <c r="AV36" s="527" t="str">
        <f t="shared" si="31"/>
        <v/>
      </c>
      <c r="AW36" s="52">
        <f t="shared" si="0"/>
        <v>0</v>
      </c>
      <c r="AX36" s="56">
        <f t="shared" si="1"/>
        <v>0</v>
      </c>
      <c r="AY36" s="56">
        <f t="shared" si="2"/>
        <v>0</v>
      </c>
      <c r="AZ36" s="56">
        <f t="shared" si="3"/>
        <v>0</v>
      </c>
      <c r="BA36" s="56">
        <f t="shared" si="4"/>
        <v>0</v>
      </c>
      <c r="BB36" s="56">
        <f t="shared" si="5"/>
        <v>0</v>
      </c>
      <c r="BC36" s="56">
        <f t="shared" si="6"/>
        <v>0</v>
      </c>
      <c r="BD36" s="56">
        <f t="shared" si="7"/>
        <v>0</v>
      </c>
      <c r="BE36" s="56">
        <f t="shared" si="8"/>
        <v>0</v>
      </c>
      <c r="BF36" s="56">
        <f t="shared" si="9"/>
        <v>0</v>
      </c>
      <c r="BG36" s="56">
        <f t="shared" si="10"/>
        <v>0</v>
      </c>
      <c r="BH36" s="56">
        <f t="shared" si="11"/>
        <v>0</v>
      </c>
      <c r="BI36" s="56">
        <f t="shared" si="12"/>
        <v>0</v>
      </c>
      <c r="BJ36" s="56">
        <f t="shared" si="13"/>
        <v>0</v>
      </c>
      <c r="BK36" s="56">
        <f t="shared" si="14"/>
        <v>0</v>
      </c>
      <c r="BL36" s="56">
        <f t="shared" si="15"/>
        <v>0</v>
      </c>
      <c r="BM36" s="56">
        <f t="shared" si="16"/>
        <v>0</v>
      </c>
      <c r="BN36" s="56">
        <f t="shared" si="17"/>
        <v>0</v>
      </c>
      <c r="BO36" s="591">
        <f t="shared" si="18"/>
        <v>0</v>
      </c>
      <c r="BP36" s="594">
        <f t="shared" si="19"/>
        <v>0</v>
      </c>
      <c r="BQ36" s="56">
        <f t="shared" si="20"/>
        <v>0</v>
      </c>
      <c r="BR36" s="56">
        <f t="shared" si="21"/>
        <v>0</v>
      </c>
      <c r="BS36" s="56">
        <f t="shared" si="32"/>
        <v>0</v>
      </c>
      <c r="BT36" s="56">
        <f t="shared" si="33"/>
        <v>0</v>
      </c>
      <c r="BU36" s="56">
        <f t="shared" si="34"/>
        <v>0</v>
      </c>
      <c r="BV36" s="587">
        <f t="shared" si="35"/>
        <v>0</v>
      </c>
      <c r="BX36" s="527" t="str">
        <f>IF('2. Inputs'!C36='Defaults &lt;HIDE&gt;'!$B$12,"Food Retail",IF('2. Inputs'!C36='Defaults &lt;HIDE&gt;'!$B$13,"Food Retail",IF('2. Inputs'!C36='Defaults &lt;HIDE&gt;'!$B$14,"Industrial",IF('2. Inputs'!C36='Defaults &lt;HIDE&gt;'!$B$15,"Cold Storage",IF('2. Inputs'!C36='Defaults &lt;HIDE&gt;'!$B$16,'Defaults &lt;HIDE&gt;'!$B$16,"")))))</f>
        <v/>
      </c>
      <c r="BY36" s="260">
        <f>'2. Inputs'!G36</f>
        <v>0</v>
      </c>
      <c r="BZ36" s="704" t="str">
        <f>IF('2. Inputs'!I36&gt;=2000,"2000+",IF('2. Inputs'!I36&gt;=200,"200-2000",IF('2. Inputs'!I36&gt;50,"50-200",IF('2. Inputs'!I36&gt;0,"0-50",""))))</f>
        <v/>
      </c>
      <c r="CA36" s="530" t="str" cm="1">
        <f t="array" ref="CA36">IF(BZ36&lt;&gt;"",INDEX(CM:CM,MATCH(1,(CJ:CJ=BX36)*(CK:CK=BY36)*(CL:CL=BZ36),0)),"")</f>
        <v/>
      </c>
      <c r="CB36" s="531" t="str">
        <f>IF('2. Inputs'!K36&gt;=2000,"2000+",IF('2. Inputs'!K36&gt;=200,"200-2000",IF('2. Inputs'!K36&gt;50,"50-200",IF('2. Inputs'!K36&gt;0,"0-50",""))))</f>
        <v/>
      </c>
      <c r="CC36" s="530" t="str" cm="1">
        <f t="array" ref="CC36">IF(CB36&lt;&gt;"",INDEX(CM:CM,MATCH(1,(CJ:CJ=BX36)*(CK:CK=BY36)*(CL:CL=CB36),0)),"")</f>
        <v/>
      </c>
      <c r="CD36" s="529">
        <f>'2. Inputs'!L36</f>
        <v>0</v>
      </c>
      <c r="CE36" s="729" t="str">
        <f>IF('2. Inputs'!L36='Defaults &lt;HIDE&gt;'!$D$15,"0+",IF('2. Inputs'!N36&gt;=2000,"2000+",IF('2. Inputs'!N36&gt;=200,"200-2000",IF('2. Inputs'!N36&gt;50,"50-200",IF('2. Inputs'!N36&gt;0,"0-50","")))))</f>
        <v/>
      </c>
      <c r="CF36" s="530" t="str" cm="1">
        <f t="array" ref="CF36">IF(CE36&lt;&gt;"",INDEX(CM:CM,MATCH(1,(CJ:CJ=BX36)*(CK:CK=CD36)*(CL:CL=CE36),0)),"")</f>
        <v/>
      </c>
      <c r="CG36" s="531" t="str">
        <f>IF('2. Inputs'!P36&gt;=2000,"2000+",IF('2. Inputs'!P36&gt;=200,"200-2000",IF('2. Inputs'!P36&gt;50,"50-200",IF('2. Inputs'!P36&gt;0,"0-50",""))))</f>
        <v/>
      </c>
      <c r="CH36" s="565" t="str" cm="1">
        <f t="array" ref="CH36">IF(CG36&lt;&gt;"",INDEX(CM:CM,MATCH(1,(CJ:CJ=BX36)*(CK:CK=CD36)*(CL:CL=CG36),0)),"")</f>
        <v/>
      </c>
      <c r="CJ36" s="719" t="s">
        <v>634</v>
      </c>
      <c r="CK36" s="720" t="s">
        <v>363</v>
      </c>
      <c r="CL36" s="704" t="s">
        <v>638</v>
      </c>
      <c r="CM36" s="706">
        <v>0.156</v>
      </c>
    </row>
    <row r="37" spans="2:91" x14ac:dyDescent="0.25">
      <c r="B37" s="719" t="str">
        <f>IF('1. Project Info'!L37="","",'1. Project Info'!L37)</f>
        <v/>
      </c>
      <c r="C37" s="720">
        <f>IF('1. Project Info'!S37="","",'1. Project Info'!S37)</f>
        <v>1</v>
      </c>
      <c r="D37" s="52" t="str">
        <f>IF('1. Project Info'!O37="","",'1. Project Info'!O37)</f>
        <v/>
      </c>
      <c r="E37" s="624" t="str">
        <f>IFERROR('2. Inputs'!AD37,"")</f>
        <v/>
      </c>
      <c r="F37" s="621">
        <v>0</v>
      </c>
      <c r="G37" s="53">
        <v>0</v>
      </c>
      <c r="H37" s="53">
        <v>0</v>
      </c>
      <c r="I37" s="53">
        <v>0</v>
      </c>
      <c r="J37" s="53">
        <v>0</v>
      </c>
      <c r="K37" s="53" t="str">
        <f>IFERROR(#REF!*'Emission Factors &lt;HIDE&gt;'!$F$29,"")</f>
        <v/>
      </c>
      <c r="L37" s="53" t="str">
        <f>IFERROR(#REF!*'Emission Factors &lt;HIDE&gt;'!$F$30,"")</f>
        <v/>
      </c>
      <c r="M37" s="53" t="str">
        <f>IFERROR(#REF!*'Emission Factors &lt;HIDE&gt;'!$F$33,"")</f>
        <v/>
      </c>
      <c r="N37" s="53" t="str">
        <f>IFERROR(#REF!*'Emission Factors &lt;HIDE&gt;'!$F$32,"")</f>
        <v/>
      </c>
      <c r="O37" s="53">
        <v>0</v>
      </c>
      <c r="P37" s="53" t="str">
        <f t="shared" si="37"/>
        <v/>
      </c>
      <c r="Q37" s="53" t="str">
        <f t="shared" si="38"/>
        <v/>
      </c>
      <c r="R37" s="53" t="str">
        <f t="shared" si="39"/>
        <v/>
      </c>
      <c r="S37" s="53" t="str">
        <f t="shared" si="40"/>
        <v/>
      </c>
      <c r="T37" s="53">
        <v>0</v>
      </c>
      <c r="U37" s="53" t="str">
        <f>IFERROR(#REF!*'Fuel Prices &lt;HIDE&gt;'!$C$12,"")</f>
        <v/>
      </c>
      <c r="V37" s="54" t="str">
        <f>IFERROR(#REF!,"")</f>
        <v/>
      </c>
      <c r="W37" s="732">
        <f>IF(B37="",W36,'1. Project Info'!P37)</f>
        <v>0</v>
      </c>
      <c r="X37" s="55" t="str">
        <f>IF(AND(W37='Defaults &lt;HIDE&gt;'!$B$12,'2. Inputs'!I37+'2. Inputs'!K37&gt;50),1400,IF(AND(W37='Defaults &lt;HIDE&gt;'!$B$13,'2. Inputs'!I37+'2. Inputs'!K37&gt;50),1400,IF(W37='Defaults &lt;HIDE&gt;'!$B$14,2200,IF(W37='Defaults &lt;HIDE&gt;'!$B$15,1391,IF(W37='Defaults &lt;HIDE&gt;'!$B$16,"-","-")))))</f>
        <v>-</v>
      </c>
      <c r="Y37" s="53" t="str">
        <f>IFERROR(IF(X37="-","N/A",'2. Inputs'!AB37),"")</f>
        <v>N/A</v>
      </c>
      <c r="Z37" s="55" t="str">
        <f t="shared" si="25"/>
        <v>N/A</v>
      </c>
      <c r="AA37" s="629" t="str">
        <f t="shared" si="26"/>
        <v>N/A</v>
      </c>
      <c r="AB37" s="627" t="str">
        <f>IF(COUNTIF('Defaults &lt;HIDE&gt;'!$G$78:$G$106,'2. Inputs'!H37)&gt;0, "YES", "NO")</f>
        <v>NO</v>
      </c>
      <c r="AC37" s="553">
        <f>IF(AB37="YES",'2. Inputs'!I37,0)</f>
        <v>0</v>
      </c>
      <c r="AD37" s="553" t="str">
        <f>IF(AB37="Yes",(IFERROR(VLOOKUP('2. Inputs'!H37,'Emission Factors &lt;HIDE&gt;'!$B$46:$C$168,2,0)*'2. Inputs'!I37*'2. Inputs'!Q37*'2. Inputs'!U37,0)+IFERROR(VLOOKUP('2. Inputs'!H37,'Emission Factors &lt;HIDE&gt;'!$B$46:$C$168,2,0)*'2. Inputs'!I37*'2. Inputs'!R37,0))/'Definitions and Conversions'!$C$42,"0")</f>
        <v>0</v>
      </c>
      <c r="AE37" s="55" t="str">
        <f>IF(COUNTIF('Defaults &lt;HIDE&gt;'!$G$78:$G$106,'2. Inputs'!J37)&gt;0, "YES", "NO")</f>
        <v>NO</v>
      </c>
      <c r="AF37" s="553">
        <f>IF(AB37="YES",'2. Inputs'!K37,0)</f>
        <v>0</v>
      </c>
      <c r="AG37" s="553" t="str">
        <f>IF(AE37="Yes",(IFERROR(VLOOKUP('2. Inputs'!J37,'Emission Factors &lt;HIDE&gt;'!$B$46:$C$168,2,0)*'2. Inputs'!K37*'2. Inputs'!S37*'2. Inputs'!U37*0.67,0)+IFERROR(VLOOKUP('2. Inputs'!J37,'Emission Factors &lt;HIDE&gt;'!$B$46:$C$168,2,0)*'2. Inputs'!K37*'2. Inputs'!T37,0))/'Definitions and Conversions'!$C$42,"0")</f>
        <v>0</v>
      </c>
      <c r="AH37" s="553">
        <f t="shared" si="27"/>
        <v>0</v>
      </c>
      <c r="AI37" s="633">
        <f t="shared" si="28"/>
        <v>0</v>
      </c>
      <c r="AJ37" s="631" t="str">
        <f>IF(COUNTIF('Defaults &lt;HIDE&gt;'!$G$11:$G$75,'2. Inputs'!H37)&gt;0, "YES", "NO")</f>
        <v>NO</v>
      </c>
      <c r="AK37" s="533">
        <f>IF(AJ37="YES",'2. Inputs'!I37,0)</f>
        <v>0</v>
      </c>
      <c r="AL37" s="533" t="str">
        <f>IF(AJ37="Yes",(IFERROR(VLOOKUP('2. Inputs'!H37,'Emission Factors &lt;HIDE&gt;'!$B$46:$C$168,2,0)*'2. Inputs'!I37*'2. Inputs'!Q37*'2. Inputs'!U37,0)+IFERROR(VLOOKUP('2. Inputs'!H37,'Emission Factors &lt;HIDE&gt;'!$B$46:$C$168,2,0)*'2. Inputs'!I37*'2. Inputs'!R37,0))/'Definitions and Conversions'!$C$42,"0")</f>
        <v>0</v>
      </c>
      <c r="AM37" s="532" t="str">
        <f>IF(COUNTIF('Defaults &lt;HIDE&gt;'!$G$11:$G$75,'2. Inputs'!J37)&gt;0, "YES", "NO")</f>
        <v>NO</v>
      </c>
      <c r="AN37" s="533">
        <f>IF(AM37="YES",'2. Inputs'!K37,0)</f>
        <v>0</v>
      </c>
      <c r="AO37" s="533" t="str">
        <f>IF(AM37="Yes",(IFERROR(VLOOKUP('2. Inputs'!J37,'Emission Factors &lt;HIDE&gt;'!$B$46:$C$168,2,0)*'2. Inputs'!K37*'2. Inputs'!S37*'2. Inputs'!U37*0.67,0)+IFERROR(VLOOKUP('2. Inputs'!J37,'Emission Factors &lt;HIDE&gt;'!$B$46:$C$168,2,0)*'2. Inputs'!K37*'2. Inputs'!T37,0))/'Definitions and Conversions'!$C$42,"0")</f>
        <v>0</v>
      </c>
      <c r="AP37" s="532" t="str">
        <f>IF(COUNTIF('Defaults &lt;HIDE&gt;'!$G$11:$G$75,'2. Inputs'!O37)&gt;0, "YES", "NO")</f>
        <v>NO</v>
      </c>
      <c r="AQ37" s="533">
        <f>IF(AP37="YES",'2. Inputs'!N37,0)</f>
        <v>0</v>
      </c>
      <c r="AR37" s="533" t="str">
        <f>IF(AP37="Yes",(IFERROR(VLOOKUP('2. Inputs'!O37,'Emission Factors &lt;HIDE&gt;'!$B$46:$C$168,2,0)*'2. Inputs'!P37*'2. Inputs'!X37*'2. Inputs'!Z37*0.67,0)+IFERROR(VLOOKUP('2. Inputs'!O37,'Emission Factors &lt;HIDE&gt;'!$B$46:$C$168,2,0)*'2. Inputs'!P37*'2. Inputs'!Y37,0))/'Definitions and Conversions'!$C$42,"0")</f>
        <v>0</v>
      </c>
      <c r="AS37" s="533">
        <f t="shared" si="29"/>
        <v>0</v>
      </c>
      <c r="AT37" s="604">
        <f t="shared" si="30"/>
        <v>0</v>
      </c>
      <c r="AV37" s="527" t="str">
        <f t="shared" si="31"/>
        <v/>
      </c>
      <c r="AW37" s="52">
        <f t="shared" si="0"/>
        <v>0</v>
      </c>
      <c r="AX37" s="56">
        <f t="shared" si="1"/>
        <v>0</v>
      </c>
      <c r="AY37" s="56">
        <f t="shared" si="2"/>
        <v>0</v>
      </c>
      <c r="AZ37" s="56">
        <f t="shared" si="3"/>
        <v>0</v>
      </c>
      <c r="BA37" s="56">
        <f t="shared" si="4"/>
        <v>0</v>
      </c>
      <c r="BB37" s="56">
        <f t="shared" si="5"/>
        <v>0</v>
      </c>
      <c r="BC37" s="56">
        <f t="shared" si="6"/>
        <v>0</v>
      </c>
      <c r="BD37" s="56">
        <f t="shared" si="7"/>
        <v>0</v>
      </c>
      <c r="BE37" s="56">
        <f t="shared" si="8"/>
        <v>0</v>
      </c>
      <c r="BF37" s="56">
        <f t="shared" si="9"/>
        <v>0</v>
      </c>
      <c r="BG37" s="56">
        <f t="shared" si="10"/>
        <v>0</v>
      </c>
      <c r="BH37" s="56">
        <f t="shared" si="11"/>
        <v>0</v>
      </c>
      <c r="BI37" s="56">
        <f t="shared" si="12"/>
        <v>0</v>
      </c>
      <c r="BJ37" s="56">
        <f t="shared" si="13"/>
        <v>0</v>
      </c>
      <c r="BK37" s="56">
        <f t="shared" si="14"/>
        <v>0</v>
      </c>
      <c r="BL37" s="56">
        <f t="shared" si="15"/>
        <v>0</v>
      </c>
      <c r="BM37" s="56">
        <f t="shared" si="16"/>
        <v>0</v>
      </c>
      <c r="BN37" s="56">
        <f t="shared" si="17"/>
        <v>0</v>
      </c>
      <c r="BO37" s="591">
        <f t="shared" si="18"/>
        <v>0</v>
      </c>
      <c r="BP37" s="594">
        <f t="shared" si="19"/>
        <v>0</v>
      </c>
      <c r="BQ37" s="56">
        <f t="shared" si="20"/>
        <v>0</v>
      </c>
      <c r="BR37" s="56">
        <f t="shared" si="21"/>
        <v>0</v>
      </c>
      <c r="BS37" s="56">
        <f t="shared" si="32"/>
        <v>0</v>
      </c>
      <c r="BT37" s="56">
        <f t="shared" si="33"/>
        <v>0</v>
      </c>
      <c r="BU37" s="56">
        <f t="shared" si="34"/>
        <v>0</v>
      </c>
      <c r="BV37" s="587">
        <f t="shared" si="35"/>
        <v>0</v>
      </c>
      <c r="BX37" s="527" t="str">
        <f>IF('2. Inputs'!C37='Defaults &lt;HIDE&gt;'!$B$12,"Food Retail",IF('2. Inputs'!C37='Defaults &lt;HIDE&gt;'!$B$13,"Food Retail",IF('2. Inputs'!C37='Defaults &lt;HIDE&gt;'!$B$14,"Industrial",IF('2. Inputs'!C37='Defaults &lt;HIDE&gt;'!$B$15,"Cold Storage",IF('2. Inputs'!C37='Defaults &lt;HIDE&gt;'!$B$16,'Defaults &lt;HIDE&gt;'!$B$16,"")))))</f>
        <v/>
      </c>
      <c r="BY37" s="260">
        <f>'2. Inputs'!G37</f>
        <v>0</v>
      </c>
      <c r="BZ37" s="704" t="str">
        <f>IF('2. Inputs'!I37&gt;=2000,"2000+",IF('2. Inputs'!I37&gt;=200,"200-2000",IF('2. Inputs'!I37&gt;50,"50-200",IF('2. Inputs'!I37&gt;0,"0-50",""))))</f>
        <v/>
      </c>
      <c r="CA37" s="530" t="str" cm="1">
        <f t="array" ref="CA37">IF(BZ37&lt;&gt;"",INDEX(CM:CM,MATCH(1,(CJ:CJ=BX37)*(CK:CK=BY37)*(CL:CL=BZ37),0)),"")</f>
        <v/>
      </c>
      <c r="CB37" s="531" t="str">
        <f>IF('2. Inputs'!K37&gt;=2000,"2000+",IF('2. Inputs'!K37&gt;=200,"200-2000",IF('2. Inputs'!K37&gt;50,"50-200",IF('2. Inputs'!K37&gt;0,"0-50",""))))</f>
        <v/>
      </c>
      <c r="CC37" s="530" t="str" cm="1">
        <f t="array" ref="CC37">IF(CB37&lt;&gt;"",INDEX(CM:CM,MATCH(1,(CJ:CJ=BX37)*(CK:CK=BY37)*(CL:CL=CB37),0)),"")</f>
        <v/>
      </c>
      <c r="CD37" s="529">
        <f>'2. Inputs'!L37</f>
        <v>0</v>
      </c>
      <c r="CE37" s="729" t="str">
        <f>IF('2. Inputs'!L37='Defaults &lt;HIDE&gt;'!$D$15,"0+",IF('2. Inputs'!N37&gt;=2000,"2000+",IF('2. Inputs'!N37&gt;=200,"200-2000",IF('2. Inputs'!N37&gt;50,"50-200",IF('2. Inputs'!N37&gt;0,"0-50","")))))</f>
        <v/>
      </c>
      <c r="CF37" s="530" t="str" cm="1">
        <f t="array" ref="CF37">IF(CE37&lt;&gt;"",INDEX(CM:CM,MATCH(1,(CJ:CJ=BX37)*(CK:CK=CD37)*(CL:CL=CE37),0)),"")</f>
        <v/>
      </c>
      <c r="CG37" s="531" t="str">
        <f>IF('2. Inputs'!P37&gt;=2000,"2000+",IF('2. Inputs'!P37&gt;=200,"200-2000",IF('2. Inputs'!P37&gt;50,"50-200",IF('2. Inputs'!P37&gt;0,"0-50",""))))</f>
        <v/>
      </c>
      <c r="CH37" s="565" t="str" cm="1">
        <f t="array" ref="CH37">IF(CG37&lt;&gt;"",INDEX(CM:CM,MATCH(1,(CJ:CJ=BX37)*(CK:CK=CD37)*(CL:CL=CG37),0)),"")</f>
        <v/>
      </c>
      <c r="CJ37" s="719" t="s">
        <v>634</v>
      </c>
      <c r="CK37" s="720" t="s">
        <v>363</v>
      </c>
      <c r="CL37" s="704" t="s">
        <v>639</v>
      </c>
      <c r="CM37" s="706">
        <v>0.22900000000000001</v>
      </c>
    </row>
    <row r="38" spans="2:91" x14ac:dyDescent="0.25">
      <c r="B38" s="719" t="str">
        <f>IF('1. Project Info'!L38="","",'1. Project Info'!L38)</f>
        <v/>
      </c>
      <c r="C38" s="720">
        <f>IF('1. Project Info'!S38="","",'1. Project Info'!S38)</f>
        <v>1</v>
      </c>
      <c r="D38" s="52" t="str">
        <f>IF('1. Project Info'!O38="","",'1. Project Info'!O38)</f>
        <v/>
      </c>
      <c r="E38" s="624" t="str">
        <f>IFERROR('2. Inputs'!AD38,"")</f>
        <v/>
      </c>
      <c r="F38" s="621">
        <v>0</v>
      </c>
      <c r="G38" s="53">
        <v>0</v>
      </c>
      <c r="H38" s="53">
        <v>0</v>
      </c>
      <c r="I38" s="53">
        <v>0</v>
      </c>
      <c r="J38" s="53">
        <v>0</v>
      </c>
      <c r="K38" s="53" t="str">
        <f>IFERROR(#REF!*'Emission Factors &lt;HIDE&gt;'!$F$29,"")</f>
        <v/>
      </c>
      <c r="L38" s="53" t="str">
        <f>IFERROR(#REF!*'Emission Factors &lt;HIDE&gt;'!$F$30,"")</f>
        <v/>
      </c>
      <c r="M38" s="53" t="str">
        <f>IFERROR(#REF!*'Emission Factors &lt;HIDE&gt;'!$F$33,"")</f>
        <v/>
      </c>
      <c r="N38" s="53" t="str">
        <f>IFERROR(#REF!*'Emission Factors &lt;HIDE&gt;'!$F$32,"")</f>
        <v/>
      </c>
      <c r="O38" s="53">
        <v>0</v>
      </c>
      <c r="P38" s="53" t="str">
        <f t="shared" si="37"/>
        <v/>
      </c>
      <c r="Q38" s="53" t="str">
        <f t="shared" si="38"/>
        <v/>
      </c>
      <c r="R38" s="53" t="str">
        <f t="shared" si="39"/>
        <v/>
      </c>
      <c r="S38" s="53" t="str">
        <f t="shared" si="40"/>
        <v/>
      </c>
      <c r="T38" s="53">
        <v>0</v>
      </c>
      <c r="U38" s="53" t="str">
        <f>IFERROR(#REF!*'Fuel Prices &lt;HIDE&gt;'!$C$12,"")</f>
        <v/>
      </c>
      <c r="V38" s="54" t="str">
        <f>IFERROR(#REF!,"")</f>
        <v/>
      </c>
      <c r="W38" s="732">
        <f>IF(B38="",W37,'1. Project Info'!P38)</f>
        <v>0</v>
      </c>
      <c r="X38" s="55" t="str">
        <f>IF(AND(W38='Defaults &lt;HIDE&gt;'!$B$12,'2. Inputs'!I38+'2. Inputs'!K38&gt;50),1400,IF(AND(W38='Defaults &lt;HIDE&gt;'!$B$13,'2. Inputs'!I38+'2. Inputs'!K38&gt;50),1400,IF(W38='Defaults &lt;HIDE&gt;'!$B$14,2200,IF(W38='Defaults &lt;HIDE&gt;'!$B$15,1391,IF(W38='Defaults &lt;HIDE&gt;'!$B$16,"-","-")))))</f>
        <v>-</v>
      </c>
      <c r="Y38" s="53" t="str">
        <f>IFERROR(IF(X38="-","N/A",'2. Inputs'!AB38),"")</f>
        <v>N/A</v>
      </c>
      <c r="Z38" s="55" t="str">
        <f t="shared" si="25"/>
        <v>N/A</v>
      </c>
      <c r="AA38" s="629" t="str">
        <f t="shared" si="26"/>
        <v>N/A</v>
      </c>
      <c r="AB38" s="627" t="str">
        <f>IF(COUNTIF('Defaults &lt;HIDE&gt;'!$G$78:$G$106,'2. Inputs'!H38)&gt;0, "YES", "NO")</f>
        <v>NO</v>
      </c>
      <c r="AC38" s="553">
        <f>IF(AB38="YES",'2. Inputs'!I38,0)</f>
        <v>0</v>
      </c>
      <c r="AD38" s="553" t="str">
        <f>IF(AB38="Yes",(IFERROR(VLOOKUP('2. Inputs'!H38,'Emission Factors &lt;HIDE&gt;'!$B$46:$C$168,2,0)*'2. Inputs'!I38*'2. Inputs'!Q38*'2. Inputs'!U38,0)+IFERROR(VLOOKUP('2. Inputs'!H38,'Emission Factors &lt;HIDE&gt;'!$B$46:$C$168,2,0)*'2. Inputs'!I38*'2. Inputs'!R38,0))/'Definitions and Conversions'!$C$42,"0")</f>
        <v>0</v>
      </c>
      <c r="AE38" s="55" t="str">
        <f>IF(COUNTIF('Defaults &lt;HIDE&gt;'!$G$78:$G$106,'2. Inputs'!J38)&gt;0, "YES", "NO")</f>
        <v>NO</v>
      </c>
      <c r="AF38" s="553">
        <f>IF(AB38="YES",'2. Inputs'!K38,0)</f>
        <v>0</v>
      </c>
      <c r="AG38" s="553" t="str">
        <f>IF(AE38="Yes",(IFERROR(VLOOKUP('2. Inputs'!J38,'Emission Factors &lt;HIDE&gt;'!$B$46:$C$168,2,0)*'2. Inputs'!K38*'2. Inputs'!S38*'2. Inputs'!U38*0.67,0)+IFERROR(VLOOKUP('2. Inputs'!J38,'Emission Factors &lt;HIDE&gt;'!$B$46:$C$168,2,0)*'2. Inputs'!K38*'2. Inputs'!T38,0))/'Definitions and Conversions'!$C$42,"0")</f>
        <v>0</v>
      </c>
      <c r="AH38" s="553">
        <f t="shared" si="27"/>
        <v>0</v>
      </c>
      <c r="AI38" s="633">
        <f t="shared" si="28"/>
        <v>0</v>
      </c>
      <c r="AJ38" s="631" t="str">
        <f>IF(COUNTIF('Defaults &lt;HIDE&gt;'!$G$11:$G$75,'2. Inputs'!H38)&gt;0, "YES", "NO")</f>
        <v>NO</v>
      </c>
      <c r="AK38" s="533">
        <f>IF(AJ38="YES",'2. Inputs'!I38,0)</f>
        <v>0</v>
      </c>
      <c r="AL38" s="533" t="str">
        <f>IF(AJ38="Yes",(IFERROR(VLOOKUP('2. Inputs'!H38,'Emission Factors &lt;HIDE&gt;'!$B$46:$C$168,2,0)*'2. Inputs'!I38*'2. Inputs'!Q38*'2. Inputs'!U38,0)+IFERROR(VLOOKUP('2. Inputs'!H38,'Emission Factors &lt;HIDE&gt;'!$B$46:$C$168,2,0)*'2. Inputs'!I38*'2. Inputs'!R38,0))/'Definitions and Conversions'!$C$42,"0")</f>
        <v>0</v>
      </c>
      <c r="AM38" s="532" t="str">
        <f>IF(COUNTIF('Defaults &lt;HIDE&gt;'!$G$11:$G$75,'2. Inputs'!J38)&gt;0, "YES", "NO")</f>
        <v>NO</v>
      </c>
      <c r="AN38" s="533">
        <f>IF(AM38="YES",'2. Inputs'!K38,0)</f>
        <v>0</v>
      </c>
      <c r="AO38" s="533" t="str">
        <f>IF(AM38="Yes",(IFERROR(VLOOKUP('2. Inputs'!J38,'Emission Factors &lt;HIDE&gt;'!$B$46:$C$168,2,0)*'2. Inputs'!K38*'2. Inputs'!S38*'2. Inputs'!U38*0.67,0)+IFERROR(VLOOKUP('2. Inputs'!J38,'Emission Factors &lt;HIDE&gt;'!$B$46:$C$168,2,0)*'2. Inputs'!K38*'2. Inputs'!T38,0))/'Definitions and Conversions'!$C$42,"0")</f>
        <v>0</v>
      </c>
      <c r="AP38" s="532" t="str">
        <f>IF(COUNTIF('Defaults &lt;HIDE&gt;'!$G$11:$G$75,'2. Inputs'!O38)&gt;0, "YES", "NO")</f>
        <v>NO</v>
      </c>
      <c r="AQ38" s="533">
        <f>IF(AP38="YES",'2. Inputs'!N38,0)</f>
        <v>0</v>
      </c>
      <c r="AR38" s="533" t="str">
        <f>IF(AP38="Yes",(IFERROR(VLOOKUP('2. Inputs'!O38,'Emission Factors &lt;HIDE&gt;'!$B$46:$C$168,2,0)*'2. Inputs'!P38*'2. Inputs'!X38*'2. Inputs'!Z38*0.67,0)+IFERROR(VLOOKUP('2. Inputs'!O38,'Emission Factors &lt;HIDE&gt;'!$B$46:$C$168,2,0)*'2. Inputs'!P38*'2. Inputs'!Y38,0))/'Definitions and Conversions'!$C$42,"0")</f>
        <v>0</v>
      </c>
      <c r="AS38" s="533">
        <f t="shared" si="29"/>
        <v>0</v>
      </c>
      <c r="AT38" s="604">
        <f t="shared" si="30"/>
        <v>0</v>
      </c>
      <c r="AV38" s="527" t="str">
        <f t="shared" si="31"/>
        <v/>
      </c>
      <c r="AW38" s="52">
        <f t="shared" si="0"/>
        <v>0</v>
      </c>
      <c r="AX38" s="56">
        <f t="shared" si="1"/>
        <v>0</v>
      </c>
      <c r="AY38" s="56">
        <f t="shared" si="2"/>
        <v>0</v>
      </c>
      <c r="AZ38" s="56">
        <f t="shared" si="3"/>
        <v>0</v>
      </c>
      <c r="BA38" s="56">
        <f t="shared" si="4"/>
        <v>0</v>
      </c>
      <c r="BB38" s="56">
        <f t="shared" si="5"/>
        <v>0</v>
      </c>
      <c r="BC38" s="56">
        <f t="shared" si="6"/>
        <v>0</v>
      </c>
      <c r="BD38" s="56">
        <f t="shared" si="7"/>
        <v>0</v>
      </c>
      <c r="BE38" s="56">
        <f t="shared" si="8"/>
        <v>0</v>
      </c>
      <c r="BF38" s="56">
        <f t="shared" si="9"/>
        <v>0</v>
      </c>
      <c r="BG38" s="56">
        <f t="shared" si="10"/>
        <v>0</v>
      </c>
      <c r="BH38" s="56">
        <f t="shared" si="11"/>
        <v>0</v>
      </c>
      <c r="BI38" s="56">
        <f t="shared" si="12"/>
        <v>0</v>
      </c>
      <c r="BJ38" s="56">
        <f t="shared" si="13"/>
        <v>0</v>
      </c>
      <c r="BK38" s="56">
        <f t="shared" si="14"/>
        <v>0</v>
      </c>
      <c r="BL38" s="56">
        <f t="shared" si="15"/>
        <v>0</v>
      </c>
      <c r="BM38" s="56">
        <f t="shared" si="16"/>
        <v>0</v>
      </c>
      <c r="BN38" s="56">
        <f t="shared" si="17"/>
        <v>0</v>
      </c>
      <c r="BO38" s="591">
        <f t="shared" si="18"/>
        <v>0</v>
      </c>
      <c r="BP38" s="594">
        <f t="shared" si="19"/>
        <v>0</v>
      </c>
      <c r="BQ38" s="56">
        <f t="shared" si="20"/>
        <v>0</v>
      </c>
      <c r="BR38" s="56">
        <f t="shared" si="21"/>
        <v>0</v>
      </c>
      <c r="BS38" s="56">
        <f t="shared" si="32"/>
        <v>0</v>
      </c>
      <c r="BT38" s="56">
        <f t="shared" si="33"/>
        <v>0</v>
      </c>
      <c r="BU38" s="56">
        <f t="shared" si="34"/>
        <v>0</v>
      </c>
      <c r="BV38" s="587">
        <f t="shared" si="35"/>
        <v>0</v>
      </c>
      <c r="BX38" s="527" t="str">
        <f>IF('2. Inputs'!C38='Defaults &lt;HIDE&gt;'!$B$12,"Food Retail",IF('2. Inputs'!C38='Defaults &lt;HIDE&gt;'!$B$13,"Food Retail",IF('2. Inputs'!C38='Defaults &lt;HIDE&gt;'!$B$14,"Industrial",IF('2. Inputs'!C38='Defaults &lt;HIDE&gt;'!$B$15,"Cold Storage",IF('2. Inputs'!C38='Defaults &lt;HIDE&gt;'!$B$16,'Defaults &lt;HIDE&gt;'!$B$16,"")))))</f>
        <v/>
      </c>
      <c r="BY38" s="260">
        <f>'2. Inputs'!G38</f>
        <v>0</v>
      </c>
      <c r="BZ38" s="704" t="str">
        <f>IF('2. Inputs'!I38&gt;=2000,"2000+",IF('2. Inputs'!I38&gt;=200,"200-2000",IF('2. Inputs'!I38&gt;50,"50-200",IF('2. Inputs'!I38&gt;0,"0-50",""))))</f>
        <v/>
      </c>
      <c r="CA38" s="530" t="str" cm="1">
        <f t="array" ref="CA38">IF(BZ38&lt;&gt;"",INDEX(CM:CM,MATCH(1,(CJ:CJ=BX38)*(CK:CK=BY38)*(CL:CL=BZ38),0)),"")</f>
        <v/>
      </c>
      <c r="CB38" s="531" t="str">
        <f>IF('2. Inputs'!K38&gt;=2000,"2000+",IF('2. Inputs'!K38&gt;=200,"200-2000",IF('2. Inputs'!K38&gt;50,"50-200",IF('2. Inputs'!K38&gt;0,"0-50",""))))</f>
        <v/>
      </c>
      <c r="CC38" s="530" t="str" cm="1">
        <f t="array" ref="CC38">IF(CB38&lt;&gt;"",INDEX(CM:CM,MATCH(1,(CJ:CJ=BX38)*(CK:CK=BY38)*(CL:CL=CB38),0)),"")</f>
        <v/>
      </c>
      <c r="CD38" s="529">
        <f>'2. Inputs'!L38</f>
        <v>0</v>
      </c>
      <c r="CE38" s="729" t="str">
        <f>IF('2. Inputs'!L38='Defaults &lt;HIDE&gt;'!$D$15,"0+",IF('2. Inputs'!N38&gt;=2000,"2000+",IF('2. Inputs'!N38&gt;=200,"200-2000",IF('2. Inputs'!N38&gt;50,"50-200",IF('2. Inputs'!N38&gt;0,"0-50","")))))</f>
        <v/>
      </c>
      <c r="CF38" s="530" t="str" cm="1">
        <f t="array" ref="CF38">IF(CE38&lt;&gt;"",INDEX(CM:CM,MATCH(1,(CJ:CJ=BX38)*(CK:CK=CD38)*(CL:CL=CE38),0)),"")</f>
        <v/>
      </c>
      <c r="CG38" s="531" t="str">
        <f>IF('2. Inputs'!P38&gt;=2000,"2000+",IF('2. Inputs'!P38&gt;=200,"200-2000",IF('2. Inputs'!P38&gt;50,"50-200",IF('2. Inputs'!P38&gt;0,"0-50",""))))</f>
        <v/>
      </c>
      <c r="CH38" s="565" t="str" cm="1">
        <f t="array" ref="CH38">IF(CG38&lt;&gt;"",INDEX(CM:CM,MATCH(1,(CJ:CJ=BX38)*(CK:CK=CD38)*(CL:CL=CG38),0)),"")</f>
        <v/>
      </c>
      <c r="CJ38" s="719" t="s">
        <v>634</v>
      </c>
      <c r="CK38" s="720" t="s">
        <v>363</v>
      </c>
      <c r="CL38" s="704" t="s">
        <v>640</v>
      </c>
      <c r="CM38" s="706">
        <v>0.24199999999999999</v>
      </c>
    </row>
    <row r="39" spans="2:91" ht="15.75" thickBot="1" x14ac:dyDescent="0.3">
      <c r="B39" s="721" t="str">
        <f>IF('1. Project Info'!L39="","",'1. Project Info'!L39)</f>
        <v/>
      </c>
      <c r="C39" s="722">
        <f>IF('1. Project Info'!S39="","",'1. Project Info'!S39)</f>
        <v>1</v>
      </c>
      <c r="D39" s="588" t="str">
        <f>IF('1. Project Info'!O39="","",'1. Project Info'!O39)</f>
        <v/>
      </c>
      <c r="E39" s="625" t="str">
        <f>IFERROR('2. Inputs'!AD39,"")</f>
        <v/>
      </c>
      <c r="F39" s="622">
        <v>0</v>
      </c>
      <c r="G39" s="613">
        <v>0</v>
      </c>
      <c r="H39" s="613">
        <v>0</v>
      </c>
      <c r="I39" s="613">
        <v>0</v>
      </c>
      <c r="J39" s="613">
        <v>0</v>
      </c>
      <c r="K39" s="613" t="str">
        <f>IFERROR(#REF!*'Emission Factors &lt;HIDE&gt;'!$F$29,"")</f>
        <v/>
      </c>
      <c r="L39" s="613" t="str">
        <f>IFERROR(#REF!*'Emission Factors &lt;HIDE&gt;'!$F$30,"")</f>
        <v/>
      </c>
      <c r="M39" s="613" t="str">
        <f>IFERROR(#REF!*'Emission Factors &lt;HIDE&gt;'!$F$33,"")</f>
        <v/>
      </c>
      <c r="N39" s="613" t="str">
        <f>IFERROR(#REF!*'Emission Factors &lt;HIDE&gt;'!$F$32,"")</f>
        <v/>
      </c>
      <c r="O39" s="613">
        <v>0</v>
      </c>
      <c r="P39" s="613" t="str">
        <f t="shared" si="37"/>
        <v/>
      </c>
      <c r="Q39" s="613" t="str">
        <f t="shared" si="38"/>
        <v/>
      </c>
      <c r="R39" s="613" t="str">
        <f t="shared" si="39"/>
        <v/>
      </c>
      <c r="S39" s="613" t="str">
        <f t="shared" si="40"/>
        <v/>
      </c>
      <c r="T39" s="613">
        <v>0</v>
      </c>
      <c r="U39" s="613" t="str">
        <f>IFERROR(#REF!*'Fuel Prices &lt;HIDE&gt;'!$C$12,"")</f>
        <v/>
      </c>
      <c r="V39" s="614" t="str">
        <f>IFERROR(#REF!,"")</f>
        <v/>
      </c>
      <c r="W39" s="733">
        <f>IF(B39="",W38,'1. Project Info'!P39)</f>
        <v>0</v>
      </c>
      <c r="X39" s="55" t="str">
        <f>IF(AND(W39='Defaults &lt;HIDE&gt;'!$B$12,'2. Inputs'!I39+'2. Inputs'!K39&gt;50),1400,IF(AND(W39='Defaults &lt;HIDE&gt;'!$B$13,'2. Inputs'!I39+'2. Inputs'!K39&gt;50),1400,IF(W39='Defaults &lt;HIDE&gt;'!$B$14,2200,IF(W39='Defaults &lt;HIDE&gt;'!$B$15,1391,IF(W39='Defaults &lt;HIDE&gt;'!$B$16,"-","-")))))</f>
        <v>-</v>
      </c>
      <c r="Y39" s="613" t="str">
        <f>IFERROR(IF(X39="-","N/A",'2. Inputs'!AB39),"")</f>
        <v>N/A</v>
      </c>
      <c r="Z39" s="615" t="str">
        <f t="shared" si="25"/>
        <v>N/A</v>
      </c>
      <c r="AA39" s="630" t="str">
        <f t="shared" si="26"/>
        <v>N/A</v>
      </c>
      <c r="AB39" s="628" t="str">
        <f>IF(COUNTIF('Defaults &lt;HIDE&gt;'!$G$78:$G$106,'2. Inputs'!H39)&gt;0, "YES", "NO")</f>
        <v>NO</v>
      </c>
      <c r="AC39" s="616">
        <f>IF(AB39="YES",'2. Inputs'!I39,0)</f>
        <v>0</v>
      </c>
      <c r="AD39" s="616" t="str">
        <f>IF(AB39="Yes",(IFERROR(VLOOKUP('2. Inputs'!H39,'Emission Factors &lt;HIDE&gt;'!$B$46:$C$168,2,0)*'2. Inputs'!I39*'2. Inputs'!Q39*'2. Inputs'!U39,0)+IFERROR(VLOOKUP('2. Inputs'!H39,'Emission Factors &lt;HIDE&gt;'!$B$46:$C$168,2,0)*'2. Inputs'!I39*'2. Inputs'!R39,0))/'Definitions and Conversions'!$C$42,"0")</f>
        <v>0</v>
      </c>
      <c r="AE39" s="615" t="str">
        <f>IF(COUNTIF('Defaults &lt;HIDE&gt;'!$G$78:$G$106,'2. Inputs'!J39)&gt;0, "YES", "NO")</f>
        <v>NO</v>
      </c>
      <c r="AF39" s="616">
        <f>IF(AB39="YES",'2. Inputs'!K39,0)</f>
        <v>0</v>
      </c>
      <c r="AG39" s="616" t="str">
        <f>IF(AE39="Yes",(IFERROR(VLOOKUP('2. Inputs'!J39,'Emission Factors &lt;HIDE&gt;'!$B$46:$C$168,2,0)*'2. Inputs'!K39*'2. Inputs'!S39*'2. Inputs'!U39*0.67,0)+IFERROR(VLOOKUP('2. Inputs'!J39,'Emission Factors &lt;HIDE&gt;'!$B$46:$C$168,2,0)*'2. Inputs'!K39*'2. Inputs'!T39,0))/'Definitions and Conversions'!$C$42,"0")</f>
        <v>0</v>
      </c>
      <c r="AH39" s="616">
        <f t="shared" si="27"/>
        <v>0</v>
      </c>
      <c r="AI39" s="634">
        <f t="shared" si="28"/>
        <v>0</v>
      </c>
      <c r="AJ39" s="632" t="str">
        <f>IF(COUNTIF('Defaults &lt;HIDE&gt;'!$G$11:$G$75,'2. Inputs'!H39)&gt;0, "YES", "NO")</f>
        <v>NO</v>
      </c>
      <c r="AK39" s="618">
        <f>IF(AJ39="YES",'2. Inputs'!I39,0)</f>
        <v>0</v>
      </c>
      <c r="AL39" s="533" t="str">
        <f>IF(AJ39="Yes",(IFERROR(VLOOKUP('2. Inputs'!H39,'Emission Factors &lt;HIDE&gt;'!$B$46:$C$168,2,0)*'2. Inputs'!I39*'2. Inputs'!Q39*'2. Inputs'!U39,0)+IFERROR(VLOOKUP('2. Inputs'!H39,'Emission Factors &lt;HIDE&gt;'!$B$46:$C$168,2,0)*'2. Inputs'!I39*'2. Inputs'!R39,0))/'Definitions and Conversions'!$C$42,"0")</f>
        <v>0</v>
      </c>
      <c r="AM39" s="617" t="str">
        <f>IF(COUNTIF('Defaults &lt;HIDE&gt;'!$G$11:$G$75,'2. Inputs'!J39)&gt;0, "YES", "NO")</f>
        <v>NO</v>
      </c>
      <c r="AN39" s="618">
        <f>IF(AM39="YES",'2. Inputs'!K39,0)</f>
        <v>0</v>
      </c>
      <c r="AO39" s="617" t="str">
        <f>IF(AM39="Yes",(IFERROR(VLOOKUP('2. Inputs'!J39,'Emission Factors &lt;HIDE&gt;'!$B$46:$C$168,2,0)*'2. Inputs'!K39*'2. Inputs'!S39*'2. Inputs'!U39*0.67,0)+IFERROR(VLOOKUP('2. Inputs'!J39,'Emission Factors &lt;HIDE&gt;'!$B$46:$C$168,2,0)*'2. Inputs'!K39*'2. Inputs'!T39,0))/'Definitions and Conversions'!$C$42,"0")</f>
        <v>0</v>
      </c>
      <c r="AP39" s="617" t="str">
        <f>IF(COUNTIF('Defaults &lt;HIDE&gt;'!$G$11:$G$75,'2. Inputs'!O39)&gt;0, "YES", "NO")</f>
        <v>NO</v>
      </c>
      <c r="AQ39" s="618">
        <f>IF(AP39="YES",'2. Inputs'!N39,0)</f>
        <v>0</v>
      </c>
      <c r="AR39" s="618" t="str">
        <f>IF(AP39="Yes",(IFERROR(VLOOKUP('2. Inputs'!O39,'Emission Factors &lt;HIDE&gt;'!$B$46:$C$168,2,0)*'2. Inputs'!P39*'2. Inputs'!X39*'2. Inputs'!Z39*0.67,0)+IFERROR(VLOOKUP('2. Inputs'!O39,'Emission Factors &lt;HIDE&gt;'!$B$46:$C$168,2,0)*'2. Inputs'!P39*'2. Inputs'!Y39,0))/'Definitions and Conversions'!$C$42,"0")</f>
        <v>0</v>
      </c>
      <c r="AS39" s="618">
        <f t="shared" si="29"/>
        <v>0</v>
      </c>
      <c r="AT39" s="619">
        <f t="shared" si="30"/>
        <v>0</v>
      </c>
      <c r="AV39" s="547" t="str">
        <f t="shared" si="31"/>
        <v/>
      </c>
      <c r="AW39" s="588">
        <f t="shared" si="0"/>
        <v>0</v>
      </c>
      <c r="AX39" s="589">
        <f t="shared" si="1"/>
        <v>0</v>
      </c>
      <c r="AY39" s="589">
        <f t="shared" si="2"/>
        <v>0</v>
      </c>
      <c r="AZ39" s="589">
        <f t="shared" si="3"/>
        <v>0</v>
      </c>
      <c r="BA39" s="589">
        <f t="shared" si="4"/>
        <v>0</v>
      </c>
      <c r="BB39" s="589">
        <f t="shared" si="5"/>
        <v>0</v>
      </c>
      <c r="BC39" s="589">
        <f t="shared" si="6"/>
        <v>0</v>
      </c>
      <c r="BD39" s="589">
        <f t="shared" si="7"/>
        <v>0</v>
      </c>
      <c r="BE39" s="589">
        <f t="shared" si="8"/>
        <v>0</v>
      </c>
      <c r="BF39" s="589">
        <f t="shared" si="9"/>
        <v>0</v>
      </c>
      <c r="BG39" s="589">
        <f t="shared" si="10"/>
        <v>0</v>
      </c>
      <c r="BH39" s="589">
        <f t="shared" si="11"/>
        <v>0</v>
      </c>
      <c r="BI39" s="589">
        <f t="shared" si="12"/>
        <v>0</v>
      </c>
      <c r="BJ39" s="589">
        <f t="shared" si="13"/>
        <v>0</v>
      </c>
      <c r="BK39" s="589">
        <f t="shared" si="14"/>
        <v>0</v>
      </c>
      <c r="BL39" s="589">
        <f t="shared" si="15"/>
        <v>0</v>
      </c>
      <c r="BM39" s="589">
        <f t="shared" si="16"/>
        <v>0</v>
      </c>
      <c r="BN39" s="589">
        <f t="shared" si="17"/>
        <v>0</v>
      </c>
      <c r="BO39" s="592">
        <f t="shared" si="18"/>
        <v>0</v>
      </c>
      <c r="BP39" s="595">
        <f t="shared" si="19"/>
        <v>0</v>
      </c>
      <c r="BQ39" s="589">
        <f t="shared" si="20"/>
        <v>0</v>
      </c>
      <c r="BR39" s="589">
        <f t="shared" si="21"/>
        <v>0</v>
      </c>
      <c r="BS39" s="589">
        <f t="shared" si="32"/>
        <v>0</v>
      </c>
      <c r="BT39" s="589">
        <f t="shared" si="33"/>
        <v>0</v>
      </c>
      <c r="BU39" s="589">
        <f t="shared" si="34"/>
        <v>0</v>
      </c>
      <c r="BV39" s="590">
        <f t="shared" si="35"/>
        <v>0</v>
      </c>
      <c r="BX39" s="547" t="str">
        <f>IF('2. Inputs'!C39='Defaults &lt;HIDE&gt;'!$B$12,"Food Retail",IF('2. Inputs'!C39='Defaults &lt;HIDE&gt;'!$B$13,"Food Retail",IF('2. Inputs'!C39='Defaults &lt;HIDE&gt;'!$B$14,"Industrial",IF('2. Inputs'!C39='Defaults &lt;HIDE&gt;'!$B$15,"Cold Storage",IF('2. Inputs'!C39='Defaults &lt;HIDE&gt;'!$B$16,'Defaults &lt;HIDE&gt;'!$B$16,"")))))</f>
        <v/>
      </c>
      <c r="BY39" s="548">
        <f>'2. Inputs'!G39</f>
        <v>0</v>
      </c>
      <c r="BZ39" s="707" t="str">
        <f>IF('2. Inputs'!I39&gt;=2000,"2000+",IF('2. Inputs'!I39&gt;=200,"200-2000",IF('2. Inputs'!I39&gt;50,"50-200",IF('2. Inputs'!I39&gt;0,"0-50",""))))</f>
        <v/>
      </c>
      <c r="CA39" s="566" t="str" cm="1">
        <f t="array" ref="CA39">IF(BZ39&lt;&gt;"",INDEX(CM:CM,MATCH(1,(CJ:CJ=BX39)*(CK:CK=BY39)*(CL:CL=BZ39),0)),"")</f>
        <v/>
      </c>
      <c r="CB39" s="567" t="str">
        <f>IF('2. Inputs'!K39&gt;=2000,"2000+",IF('2. Inputs'!K39&gt;=200,"200-2000",IF('2. Inputs'!K39&gt;50,"50-200",IF('2. Inputs'!K39&gt;0,"0-50",""))))</f>
        <v/>
      </c>
      <c r="CC39" s="566" t="str" cm="1">
        <f t="array" ref="CC39">IF(CB39&lt;&gt;"",INDEX(CM:CM,MATCH(1,(CJ:CJ=BX39)*(CK:CK=BY39)*(CL:CL=CB39),0)),"")</f>
        <v/>
      </c>
      <c r="CD39" s="568">
        <f>'2. Inputs'!L39</f>
        <v>0</v>
      </c>
      <c r="CE39" s="730" t="str">
        <f>IF('2. Inputs'!L39='Defaults &lt;HIDE&gt;'!$D$15,"0+",IF('2. Inputs'!N39&gt;=2000,"2000+",IF('2. Inputs'!N39&gt;=200,"200-2000",IF('2. Inputs'!N39&gt;50,"50-200",IF('2. Inputs'!N39&gt;0,"0-50","")))))</f>
        <v/>
      </c>
      <c r="CF39" s="566" t="str" cm="1">
        <f t="array" ref="CF39">IF(CE39&lt;&gt;"",INDEX(CM:CM,MATCH(1,(CJ:CJ=BX39)*(CK:CK=CD39)*(CL:CL=CE39),0)),"")</f>
        <v/>
      </c>
      <c r="CG39" s="567" t="str">
        <f>IF('2. Inputs'!P39&gt;=2000,"2000+",IF('2. Inputs'!P39&gt;=200,"200-2000",IF('2. Inputs'!P39&gt;50,"50-200",IF('2. Inputs'!P39&gt;0,"0-50",""))))</f>
        <v/>
      </c>
      <c r="CH39" s="569" t="str" cm="1">
        <f t="array" ref="CH39">IF(CG39&lt;&gt;"",INDEX(CM:CM,MATCH(1,(CJ:CJ=BX39)*(CK:CK=CD39)*(CL:CL=CG39),0)),"")</f>
        <v/>
      </c>
      <c r="CJ39" s="719" t="s">
        <v>634</v>
      </c>
      <c r="CK39" s="720" t="s">
        <v>611</v>
      </c>
      <c r="CL39" s="704" t="s">
        <v>637</v>
      </c>
      <c r="CM39" s="706">
        <v>0.15</v>
      </c>
    </row>
    <row r="40" spans="2:91" s="276" customFormat="1" ht="15.75" thickBot="1" x14ac:dyDescent="0.3">
      <c r="B40" s="610" t="s">
        <v>517</v>
      </c>
      <c r="C40" s="611"/>
      <c r="D40" s="605">
        <f>SUM(D15:D39)</f>
        <v>0</v>
      </c>
      <c r="E40" s="606">
        <f t="shared" ref="E40" si="41">SUM(E15:E39)</f>
        <v>0</v>
      </c>
      <c r="F40" s="606">
        <f t="shared" ref="F40:V40" si="42">SUM(F15:F39)</f>
        <v>0</v>
      </c>
      <c r="G40" s="606">
        <f t="shared" si="42"/>
        <v>0</v>
      </c>
      <c r="H40" s="606">
        <f t="shared" si="42"/>
        <v>0</v>
      </c>
      <c r="I40" s="606">
        <f t="shared" si="42"/>
        <v>0</v>
      </c>
      <c r="J40" s="606">
        <f t="shared" si="42"/>
        <v>0</v>
      </c>
      <c r="K40" s="606">
        <f t="shared" si="42"/>
        <v>0</v>
      </c>
      <c r="L40" s="606">
        <f t="shared" si="42"/>
        <v>0</v>
      </c>
      <c r="M40" s="606">
        <f t="shared" si="42"/>
        <v>0</v>
      </c>
      <c r="N40" s="606">
        <f t="shared" si="42"/>
        <v>0</v>
      </c>
      <c r="O40" s="606">
        <f t="shared" si="42"/>
        <v>0</v>
      </c>
      <c r="P40" s="606">
        <f t="shared" si="42"/>
        <v>0</v>
      </c>
      <c r="Q40" s="606">
        <f t="shared" si="42"/>
        <v>0</v>
      </c>
      <c r="R40" s="606">
        <f t="shared" si="42"/>
        <v>0</v>
      </c>
      <c r="S40" s="606">
        <f t="shared" si="42"/>
        <v>0</v>
      </c>
      <c r="T40" s="606">
        <f t="shared" si="42"/>
        <v>0</v>
      </c>
      <c r="U40" s="606">
        <f t="shared" si="42"/>
        <v>0</v>
      </c>
      <c r="V40" s="606">
        <f t="shared" si="42"/>
        <v>0</v>
      </c>
      <c r="W40" s="606"/>
      <c r="X40" s="612"/>
      <c r="Y40" s="612"/>
      <c r="Z40" s="612"/>
      <c r="AA40" s="612"/>
      <c r="AB40" s="612"/>
      <c r="AC40" s="612"/>
      <c r="AD40" s="612"/>
      <c r="AE40" s="607"/>
      <c r="AF40" s="607"/>
      <c r="AG40" s="607"/>
      <c r="AH40" s="607"/>
      <c r="AI40" s="607"/>
      <c r="AJ40" s="608"/>
      <c r="AK40" s="608"/>
      <c r="AL40" s="608"/>
      <c r="AM40" s="608"/>
      <c r="AN40" s="608"/>
      <c r="AO40" s="608"/>
      <c r="AP40" s="608"/>
      <c r="AQ40" s="608"/>
      <c r="AR40" s="608"/>
      <c r="AS40" s="608"/>
      <c r="AT40" s="609"/>
      <c r="CJ40" s="719" t="s">
        <v>634</v>
      </c>
      <c r="CK40" s="720" t="s">
        <v>611</v>
      </c>
      <c r="CL40" s="704" t="s">
        <v>638</v>
      </c>
      <c r="CM40" s="706">
        <v>0.156</v>
      </c>
    </row>
    <row r="41" spans="2:91" ht="15.75" x14ac:dyDescent="0.25">
      <c r="E41" s="132"/>
      <c r="CJ41" s="719" t="s">
        <v>634</v>
      </c>
      <c r="CK41" s="720" t="s">
        <v>611</v>
      </c>
      <c r="CL41" s="704" t="s">
        <v>639</v>
      </c>
      <c r="CM41" s="706">
        <v>0.22900000000000001</v>
      </c>
    </row>
    <row r="42" spans="2:91" ht="15.75" x14ac:dyDescent="0.25">
      <c r="E42" s="132"/>
      <c r="CJ42" s="719" t="s">
        <v>634</v>
      </c>
      <c r="CK42" s="720" t="s">
        <v>611</v>
      </c>
      <c r="CL42" s="704" t="s">
        <v>640</v>
      </c>
      <c r="CM42" s="706">
        <v>0.24199999999999999</v>
      </c>
    </row>
    <row r="43" spans="2:91" ht="16.5" thickBot="1" x14ac:dyDescent="0.3">
      <c r="E43" s="132"/>
      <c r="CJ43" s="721" t="s">
        <v>634</v>
      </c>
      <c r="CK43" s="722" t="s">
        <v>361</v>
      </c>
      <c r="CL43" s="707" t="s">
        <v>645</v>
      </c>
      <c r="CM43" s="708">
        <v>0.01</v>
      </c>
    </row>
    <row r="44" spans="2:91" ht="15.75" x14ac:dyDescent="0.25">
      <c r="E44" s="132"/>
      <c r="CJ44" s="723" t="s">
        <v>635</v>
      </c>
      <c r="CK44" s="724" t="s">
        <v>599</v>
      </c>
      <c r="CL44" s="709" t="s">
        <v>637</v>
      </c>
      <c r="CM44" s="710">
        <v>9.0999999999999998E-2</v>
      </c>
    </row>
    <row r="45" spans="2:91" ht="15.75" x14ac:dyDescent="0.25">
      <c r="E45" s="132"/>
      <c r="CJ45" s="719" t="s">
        <v>635</v>
      </c>
      <c r="CK45" s="720" t="s">
        <v>599</v>
      </c>
      <c r="CL45" s="704" t="s">
        <v>638</v>
      </c>
      <c r="CM45" s="706">
        <v>9.0999999999999998E-2</v>
      </c>
    </row>
    <row r="46" spans="2:91" ht="15.75" x14ac:dyDescent="0.25">
      <c r="E46" s="132"/>
      <c r="CJ46" s="719" t="s">
        <v>635</v>
      </c>
      <c r="CK46" s="720" t="s">
        <v>599</v>
      </c>
      <c r="CL46" s="704" t="s">
        <v>639</v>
      </c>
      <c r="CM46" s="706">
        <v>9.0999999999999998E-2</v>
      </c>
    </row>
    <row r="47" spans="2:91" ht="15.75" x14ac:dyDescent="0.25">
      <c r="E47" s="132"/>
      <c r="CJ47" s="719" t="s">
        <v>635</v>
      </c>
      <c r="CK47" s="720" t="s">
        <v>599</v>
      </c>
      <c r="CL47" s="704" t="s">
        <v>640</v>
      </c>
      <c r="CM47" s="706">
        <v>9.0999999999999998E-2</v>
      </c>
    </row>
    <row r="48" spans="2:91" ht="15.75" x14ac:dyDescent="0.25">
      <c r="E48" s="132"/>
      <c r="CJ48" s="719" t="s">
        <v>635</v>
      </c>
      <c r="CK48" s="720" t="s">
        <v>600</v>
      </c>
      <c r="CL48" s="704" t="s">
        <v>637</v>
      </c>
      <c r="CM48" s="706">
        <v>0.15</v>
      </c>
    </row>
    <row r="49" spans="5:91" ht="15.75" x14ac:dyDescent="0.25">
      <c r="E49" s="132"/>
      <c r="CJ49" s="719" t="s">
        <v>635</v>
      </c>
      <c r="CK49" s="720" t="s">
        <v>600</v>
      </c>
      <c r="CL49" s="704" t="s">
        <v>638</v>
      </c>
      <c r="CM49" s="706">
        <v>9.0999999999999998E-2</v>
      </c>
    </row>
    <row r="50" spans="5:91" ht="15.75" x14ac:dyDescent="0.25">
      <c r="E50" s="132"/>
      <c r="CJ50" s="719" t="s">
        <v>635</v>
      </c>
      <c r="CK50" s="720" t="s">
        <v>600</v>
      </c>
      <c r="CL50" s="704" t="s">
        <v>639</v>
      </c>
      <c r="CM50" s="706">
        <v>0.125</v>
      </c>
    </row>
    <row r="51" spans="5:91" ht="15.75" x14ac:dyDescent="0.25">
      <c r="E51" s="132"/>
      <c r="CJ51" s="719" t="s">
        <v>635</v>
      </c>
      <c r="CK51" s="720" t="s">
        <v>600</v>
      </c>
      <c r="CL51" s="704" t="s">
        <v>640</v>
      </c>
      <c r="CM51" s="706">
        <v>0.123</v>
      </c>
    </row>
    <row r="52" spans="5:91" ht="15.75" x14ac:dyDescent="0.25">
      <c r="E52" s="132"/>
      <c r="CJ52" s="719" t="s">
        <v>635</v>
      </c>
      <c r="CK52" s="720" t="s">
        <v>354</v>
      </c>
      <c r="CL52" s="704" t="s">
        <v>637</v>
      </c>
      <c r="CM52" s="706">
        <v>0.15</v>
      </c>
    </row>
    <row r="53" spans="5:91" ht="15.75" x14ac:dyDescent="0.25">
      <c r="E53" s="132"/>
      <c r="CJ53" s="719" t="s">
        <v>635</v>
      </c>
      <c r="CK53" s="720" t="s">
        <v>354</v>
      </c>
      <c r="CL53" s="704" t="s">
        <v>638</v>
      </c>
      <c r="CM53" s="706">
        <v>9.0999999999999998E-2</v>
      </c>
    </row>
    <row r="54" spans="5:91" ht="15.75" x14ac:dyDescent="0.25">
      <c r="E54" s="132"/>
      <c r="CJ54" s="719" t="s">
        <v>635</v>
      </c>
      <c r="CK54" s="720" t="s">
        <v>354</v>
      </c>
      <c r="CL54" s="704" t="s">
        <v>639</v>
      </c>
      <c r="CM54" s="706">
        <v>0.125</v>
      </c>
    </row>
    <row r="55" spans="5:91" ht="15.75" x14ac:dyDescent="0.25">
      <c r="E55" s="132"/>
      <c r="CJ55" s="719" t="s">
        <v>635</v>
      </c>
      <c r="CK55" s="720" t="s">
        <v>354</v>
      </c>
      <c r="CL55" s="704" t="s">
        <v>640</v>
      </c>
      <c r="CM55" s="706">
        <v>0.123</v>
      </c>
    </row>
    <row r="56" spans="5:91" ht="15.75" x14ac:dyDescent="0.25">
      <c r="E56" s="132"/>
      <c r="CJ56" s="719" t="s">
        <v>635</v>
      </c>
      <c r="CK56" s="720" t="s">
        <v>357</v>
      </c>
      <c r="CL56" s="704" t="s">
        <v>637</v>
      </c>
      <c r="CM56" s="706">
        <v>0.15</v>
      </c>
    </row>
    <row r="57" spans="5:91" ht="15.75" x14ac:dyDescent="0.25">
      <c r="E57" s="132"/>
      <c r="CJ57" s="719" t="s">
        <v>635</v>
      </c>
      <c r="CK57" s="720" t="s">
        <v>357</v>
      </c>
      <c r="CL57" s="704" t="s">
        <v>638</v>
      </c>
      <c r="CM57" s="706">
        <v>9.0999999999999998E-2</v>
      </c>
    </row>
    <row r="58" spans="5:91" ht="15.75" x14ac:dyDescent="0.25">
      <c r="E58" s="132"/>
      <c r="CJ58" s="719" t="s">
        <v>635</v>
      </c>
      <c r="CK58" s="720" t="s">
        <v>357</v>
      </c>
      <c r="CL58" s="704" t="s">
        <v>639</v>
      </c>
      <c r="CM58" s="706">
        <v>0.125</v>
      </c>
    </row>
    <row r="59" spans="5:91" ht="15.75" x14ac:dyDescent="0.25">
      <c r="E59" s="132"/>
      <c r="CJ59" s="719" t="s">
        <v>635</v>
      </c>
      <c r="CK59" s="720" t="s">
        <v>357</v>
      </c>
      <c r="CL59" s="704" t="s">
        <v>640</v>
      </c>
      <c r="CM59" s="706">
        <v>0.123</v>
      </c>
    </row>
    <row r="60" spans="5:91" ht="15.75" x14ac:dyDescent="0.25">
      <c r="E60" s="132"/>
      <c r="CJ60" s="719" t="s">
        <v>635</v>
      </c>
      <c r="CK60" s="720" t="s">
        <v>612</v>
      </c>
      <c r="CL60" s="704" t="s">
        <v>637</v>
      </c>
      <c r="CM60" s="706">
        <v>0.15</v>
      </c>
    </row>
    <row r="61" spans="5:91" ht="15.75" x14ac:dyDescent="0.25">
      <c r="E61" s="132"/>
      <c r="CJ61" s="719" t="s">
        <v>635</v>
      </c>
      <c r="CK61" s="720" t="s">
        <v>612</v>
      </c>
      <c r="CL61" s="704" t="s">
        <v>638</v>
      </c>
      <c r="CM61" s="706">
        <v>9.0999999999999998E-2</v>
      </c>
    </row>
    <row r="62" spans="5:91" ht="15.75" x14ac:dyDescent="0.25">
      <c r="E62" s="132"/>
      <c r="CJ62" s="719" t="s">
        <v>635</v>
      </c>
      <c r="CK62" s="720" t="s">
        <v>612</v>
      </c>
      <c r="CL62" s="704" t="s">
        <v>639</v>
      </c>
      <c r="CM62" s="706">
        <v>0.125</v>
      </c>
    </row>
    <row r="63" spans="5:91" ht="15.75" x14ac:dyDescent="0.25">
      <c r="E63" s="132"/>
      <c r="CJ63" s="719" t="s">
        <v>635</v>
      </c>
      <c r="CK63" s="720" t="s">
        <v>612</v>
      </c>
      <c r="CL63" s="704" t="s">
        <v>640</v>
      </c>
      <c r="CM63" s="706">
        <v>0.123</v>
      </c>
    </row>
    <row r="64" spans="5:91" ht="15.75" x14ac:dyDescent="0.25">
      <c r="E64" s="132"/>
      <c r="CJ64" s="719" t="s">
        <v>635</v>
      </c>
      <c r="CK64" s="720" t="s">
        <v>363</v>
      </c>
      <c r="CL64" s="704" t="s">
        <v>637</v>
      </c>
      <c r="CM64" s="706">
        <v>0.15</v>
      </c>
    </row>
    <row r="65" spans="5:91" ht="15.75" x14ac:dyDescent="0.25">
      <c r="E65" s="132"/>
      <c r="CJ65" s="719" t="s">
        <v>635</v>
      </c>
      <c r="CK65" s="720" t="s">
        <v>363</v>
      </c>
      <c r="CL65" s="704" t="s">
        <v>638</v>
      </c>
      <c r="CM65" s="706">
        <v>9.0999999999999998E-2</v>
      </c>
    </row>
    <row r="66" spans="5:91" ht="15.75" x14ac:dyDescent="0.25">
      <c r="E66" s="132"/>
      <c r="CJ66" s="719" t="s">
        <v>635</v>
      </c>
      <c r="CK66" s="720" t="s">
        <v>363</v>
      </c>
      <c r="CL66" s="704" t="s">
        <v>639</v>
      </c>
      <c r="CM66" s="706">
        <v>0.125</v>
      </c>
    </row>
    <row r="67" spans="5:91" ht="15.75" x14ac:dyDescent="0.25">
      <c r="E67" s="132"/>
      <c r="CJ67" s="719" t="s">
        <v>635</v>
      </c>
      <c r="CK67" s="720" t="s">
        <v>363</v>
      </c>
      <c r="CL67" s="704" t="s">
        <v>640</v>
      </c>
      <c r="CM67" s="706">
        <v>0.123</v>
      </c>
    </row>
    <row r="68" spans="5:91" ht="15.75" x14ac:dyDescent="0.25">
      <c r="E68" s="132"/>
      <c r="CJ68" s="719" t="s">
        <v>635</v>
      </c>
      <c r="CK68" s="720" t="s">
        <v>611</v>
      </c>
      <c r="CL68" s="704" t="s">
        <v>637</v>
      </c>
      <c r="CM68" s="706">
        <v>0.15</v>
      </c>
    </row>
    <row r="69" spans="5:91" ht="15.75" x14ac:dyDescent="0.25">
      <c r="E69" s="132"/>
      <c r="CJ69" s="719" t="s">
        <v>635</v>
      </c>
      <c r="CK69" s="720" t="s">
        <v>611</v>
      </c>
      <c r="CL69" s="704" t="s">
        <v>638</v>
      </c>
      <c r="CM69" s="706">
        <v>9.0999999999999998E-2</v>
      </c>
    </row>
    <row r="70" spans="5:91" ht="15.75" x14ac:dyDescent="0.25">
      <c r="E70" s="132"/>
      <c r="CJ70" s="719" t="s">
        <v>635</v>
      </c>
      <c r="CK70" s="720" t="s">
        <v>611</v>
      </c>
      <c r="CL70" s="704" t="s">
        <v>639</v>
      </c>
      <c r="CM70" s="706">
        <v>0.125</v>
      </c>
    </row>
    <row r="71" spans="5:91" ht="15.75" x14ac:dyDescent="0.25">
      <c r="E71" s="132"/>
      <c r="CJ71" s="719" t="s">
        <v>635</v>
      </c>
      <c r="CK71" s="720" t="s">
        <v>611</v>
      </c>
      <c r="CL71" s="704" t="s">
        <v>640</v>
      </c>
      <c r="CM71" s="706">
        <v>0.123</v>
      </c>
    </row>
    <row r="72" spans="5:91" ht="16.5" thickBot="1" x14ac:dyDescent="0.3">
      <c r="E72" s="132"/>
      <c r="CJ72" s="721" t="s">
        <v>635</v>
      </c>
      <c r="CK72" s="722" t="s">
        <v>361</v>
      </c>
      <c r="CL72" s="707" t="s">
        <v>645</v>
      </c>
      <c r="CM72" s="708">
        <v>0.01</v>
      </c>
    </row>
    <row r="73" spans="5:91" ht="15.75" x14ac:dyDescent="0.25">
      <c r="E73" s="132"/>
      <c r="CJ73" s="723" t="s">
        <v>636</v>
      </c>
      <c r="CK73" s="724" t="s">
        <v>599</v>
      </c>
      <c r="CL73" s="709" t="s">
        <v>637</v>
      </c>
      <c r="CM73" s="710">
        <v>3.6999999999999998E-2</v>
      </c>
    </row>
    <row r="74" spans="5:91" ht="15.75" x14ac:dyDescent="0.25">
      <c r="E74" s="132"/>
      <c r="CJ74" s="719" t="s">
        <v>636</v>
      </c>
      <c r="CK74" s="720" t="s">
        <v>599</v>
      </c>
      <c r="CL74" s="704" t="s">
        <v>638</v>
      </c>
      <c r="CM74" s="706">
        <v>3.6999999999999998E-2</v>
      </c>
    </row>
    <row r="75" spans="5:91" ht="15.75" x14ac:dyDescent="0.25">
      <c r="E75" s="132"/>
      <c r="CJ75" s="719" t="s">
        <v>636</v>
      </c>
      <c r="CK75" s="720" t="s">
        <v>599</v>
      </c>
      <c r="CL75" s="704" t="s">
        <v>639</v>
      </c>
      <c r="CM75" s="706">
        <v>3.6999999999999998E-2</v>
      </c>
    </row>
    <row r="76" spans="5:91" ht="15.75" x14ac:dyDescent="0.25">
      <c r="E76" s="132"/>
      <c r="CJ76" s="719" t="s">
        <v>636</v>
      </c>
      <c r="CK76" s="720" t="s">
        <v>599</v>
      </c>
      <c r="CL76" s="704" t="s">
        <v>640</v>
      </c>
      <c r="CM76" s="706">
        <v>3.6999999999999998E-2</v>
      </c>
    </row>
    <row r="77" spans="5:91" ht="15.75" x14ac:dyDescent="0.25">
      <c r="E77" s="132"/>
      <c r="CJ77" s="719" t="s">
        <v>636</v>
      </c>
      <c r="CK77" s="720" t="s">
        <v>600</v>
      </c>
      <c r="CL77" s="704" t="s">
        <v>637</v>
      </c>
      <c r="CM77" s="706">
        <v>0.15</v>
      </c>
    </row>
    <row r="78" spans="5:91" ht="15.75" x14ac:dyDescent="0.25">
      <c r="E78" s="132"/>
      <c r="CJ78" s="719" t="s">
        <v>636</v>
      </c>
      <c r="CK78" s="720" t="s">
        <v>600</v>
      </c>
      <c r="CL78" s="704" t="s">
        <v>638</v>
      </c>
      <c r="CM78" s="706">
        <v>3.6999999999999998E-2</v>
      </c>
    </row>
    <row r="79" spans="5:91" ht="15.75" x14ac:dyDescent="0.25">
      <c r="E79" s="132"/>
      <c r="CJ79" s="719" t="s">
        <v>636</v>
      </c>
      <c r="CK79" s="720" t="s">
        <v>600</v>
      </c>
      <c r="CL79" s="704" t="s">
        <v>639</v>
      </c>
      <c r="CM79" s="706">
        <v>0.10299999999999999</v>
      </c>
    </row>
    <row r="80" spans="5:91" ht="15.75" x14ac:dyDescent="0.25">
      <c r="E80" s="132"/>
      <c r="CJ80" s="719" t="s">
        <v>636</v>
      </c>
      <c r="CK80" s="720" t="s">
        <v>600</v>
      </c>
      <c r="CL80" s="704" t="s">
        <v>640</v>
      </c>
      <c r="CM80" s="706">
        <v>0.14799999999999999</v>
      </c>
    </row>
    <row r="81" spans="5:91" ht="15.75" x14ac:dyDescent="0.25">
      <c r="E81" s="132"/>
      <c r="CJ81" s="719" t="s">
        <v>636</v>
      </c>
      <c r="CK81" s="720" t="s">
        <v>354</v>
      </c>
      <c r="CL81" s="704" t="s">
        <v>637</v>
      </c>
      <c r="CM81" s="706">
        <v>0.15</v>
      </c>
    </row>
    <row r="82" spans="5:91" ht="15.75" x14ac:dyDescent="0.25">
      <c r="E82" s="132"/>
      <c r="CJ82" s="719" t="s">
        <v>636</v>
      </c>
      <c r="CK82" s="720" t="s">
        <v>354</v>
      </c>
      <c r="CL82" s="704" t="s">
        <v>638</v>
      </c>
      <c r="CM82" s="706">
        <v>3.6999999999999998E-2</v>
      </c>
    </row>
    <row r="83" spans="5:91" ht="15.75" x14ac:dyDescent="0.25">
      <c r="E83" s="132"/>
      <c r="CJ83" s="719" t="s">
        <v>636</v>
      </c>
      <c r="CK83" s="720" t="s">
        <v>354</v>
      </c>
      <c r="CL83" s="704" t="s">
        <v>639</v>
      </c>
      <c r="CM83" s="706">
        <v>0.10299999999999999</v>
      </c>
    </row>
    <row r="84" spans="5:91" ht="15.75" x14ac:dyDescent="0.25">
      <c r="E84" s="132"/>
      <c r="CJ84" s="719" t="s">
        <v>636</v>
      </c>
      <c r="CK84" s="720" t="s">
        <v>354</v>
      </c>
      <c r="CL84" s="704" t="s">
        <v>640</v>
      </c>
      <c r="CM84" s="706">
        <v>0.14799999999999999</v>
      </c>
    </row>
    <row r="85" spans="5:91" ht="15.75" x14ac:dyDescent="0.25">
      <c r="E85" s="132"/>
      <c r="CJ85" s="719" t="s">
        <v>636</v>
      </c>
      <c r="CK85" s="720" t="s">
        <v>357</v>
      </c>
      <c r="CL85" s="704" t="s">
        <v>637</v>
      </c>
      <c r="CM85" s="706">
        <v>0.15</v>
      </c>
    </row>
    <row r="86" spans="5:91" ht="15.75" x14ac:dyDescent="0.25">
      <c r="E86" s="132"/>
      <c r="CJ86" s="719" t="s">
        <v>636</v>
      </c>
      <c r="CK86" s="720" t="s">
        <v>357</v>
      </c>
      <c r="CL86" s="704" t="s">
        <v>638</v>
      </c>
      <c r="CM86" s="706">
        <v>3.6999999999999998E-2</v>
      </c>
    </row>
    <row r="87" spans="5:91" ht="15.75" x14ac:dyDescent="0.25">
      <c r="E87" s="132"/>
      <c r="CJ87" s="719" t="s">
        <v>636</v>
      </c>
      <c r="CK87" s="720" t="s">
        <v>357</v>
      </c>
      <c r="CL87" s="704" t="s">
        <v>639</v>
      </c>
      <c r="CM87" s="706">
        <v>0.10299999999999999</v>
      </c>
    </row>
    <row r="88" spans="5:91" ht="15.75" x14ac:dyDescent="0.25">
      <c r="E88" s="132"/>
      <c r="CJ88" s="719" t="s">
        <v>636</v>
      </c>
      <c r="CK88" s="720" t="s">
        <v>357</v>
      </c>
      <c r="CL88" s="704" t="s">
        <v>640</v>
      </c>
      <c r="CM88" s="706">
        <v>0.14799999999999999</v>
      </c>
    </row>
    <row r="89" spans="5:91" ht="15.75" x14ac:dyDescent="0.25">
      <c r="E89" s="132"/>
      <c r="CJ89" s="719" t="s">
        <v>636</v>
      </c>
      <c r="CK89" s="720" t="s">
        <v>612</v>
      </c>
      <c r="CL89" s="704" t="s">
        <v>637</v>
      </c>
      <c r="CM89" s="706">
        <v>0.15</v>
      </c>
    </row>
    <row r="90" spans="5:91" ht="15.75" x14ac:dyDescent="0.25">
      <c r="E90" s="132"/>
      <c r="CJ90" s="719" t="s">
        <v>636</v>
      </c>
      <c r="CK90" s="720" t="s">
        <v>612</v>
      </c>
      <c r="CL90" s="704" t="s">
        <v>638</v>
      </c>
      <c r="CM90" s="706">
        <v>3.6999999999999998E-2</v>
      </c>
    </row>
    <row r="91" spans="5:91" ht="15.75" x14ac:dyDescent="0.25">
      <c r="E91" s="132"/>
      <c r="CJ91" s="719" t="s">
        <v>636</v>
      </c>
      <c r="CK91" s="720" t="s">
        <v>612</v>
      </c>
      <c r="CL91" s="704" t="s">
        <v>639</v>
      </c>
      <c r="CM91" s="706">
        <v>0.10299999999999999</v>
      </c>
    </row>
    <row r="92" spans="5:91" ht="15.75" x14ac:dyDescent="0.25">
      <c r="E92" s="132"/>
      <c r="CJ92" s="719" t="s">
        <v>636</v>
      </c>
      <c r="CK92" s="720" t="s">
        <v>612</v>
      </c>
      <c r="CL92" s="704" t="s">
        <v>640</v>
      </c>
      <c r="CM92" s="706">
        <v>0.14799999999999999</v>
      </c>
    </row>
    <row r="93" spans="5:91" ht="15.75" x14ac:dyDescent="0.25">
      <c r="E93" s="132"/>
      <c r="CJ93" s="719" t="s">
        <v>636</v>
      </c>
      <c r="CK93" s="720" t="s">
        <v>363</v>
      </c>
      <c r="CL93" s="704" t="s">
        <v>637</v>
      </c>
      <c r="CM93" s="706">
        <v>0.15</v>
      </c>
    </row>
    <row r="94" spans="5:91" ht="15.75" x14ac:dyDescent="0.25">
      <c r="E94" s="132"/>
      <c r="CJ94" s="719" t="s">
        <v>636</v>
      </c>
      <c r="CK94" s="720" t="s">
        <v>363</v>
      </c>
      <c r="CL94" s="704" t="s">
        <v>638</v>
      </c>
      <c r="CM94" s="706">
        <v>3.6999999999999998E-2</v>
      </c>
    </row>
    <row r="95" spans="5:91" ht="15.75" x14ac:dyDescent="0.25">
      <c r="E95" s="132"/>
      <c r="CJ95" s="719" t="s">
        <v>636</v>
      </c>
      <c r="CK95" s="720" t="s">
        <v>363</v>
      </c>
      <c r="CL95" s="704" t="s">
        <v>639</v>
      </c>
      <c r="CM95" s="706">
        <v>0.10299999999999999</v>
      </c>
    </row>
    <row r="96" spans="5:91" ht="15.75" x14ac:dyDescent="0.25">
      <c r="E96" s="132"/>
      <c r="CJ96" s="719" t="s">
        <v>636</v>
      </c>
      <c r="CK96" s="720" t="s">
        <v>363</v>
      </c>
      <c r="CL96" s="704" t="s">
        <v>640</v>
      </c>
      <c r="CM96" s="706">
        <v>0.14799999999999999</v>
      </c>
    </row>
    <row r="97" spans="5:91" ht="15.75" x14ac:dyDescent="0.25">
      <c r="E97" s="132"/>
      <c r="CJ97" s="719" t="s">
        <v>636</v>
      </c>
      <c r="CK97" s="720" t="s">
        <v>611</v>
      </c>
      <c r="CL97" s="704" t="s">
        <v>637</v>
      </c>
      <c r="CM97" s="706">
        <v>0.15</v>
      </c>
    </row>
    <row r="98" spans="5:91" ht="15.75" x14ac:dyDescent="0.25">
      <c r="E98" s="132"/>
      <c r="CJ98" s="719" t="s">
        <v>636</v>
      </c>
      <c r="CK98" s="720" t="s">
        <v>611</v>
      </c>
      <c r="CL98" s="704" t="s">
        <v>638</v>
      </c>
      <c r="CM98" s="706">
        <v>3.6999999999999998E-2</v>
      </c>
    </row>
    <row r="99" spans="5:91" ht="15.75" x14ac:dyDescent="0.25">
      <c r="E99" s="132"/>
      <c r="CJ99" s="719" t="s">
        <v>636</v>
      </c>
      <c r="CK99" s="720" t="s">
        <v>611</v>
      </c>
      <c r="CL99" s="704" t="s">
        <v>639</v>
      </c>
      <c r="CM99" s="706">
        <v>0.10299999999999999</v>
      </c>
    </row>
    <row r="100" spans="5:91" ht="15.75" x14ac:dyDescent="0.25">
      <c r="E100" s="132"/>
      <c r="CJ100" s="719" t="s">
        <v>636</v>
      </c>
      <c r="CK100" s="720" t="s">
        <v>611</v>
      </c>
      <c r="CL100" s="704" t="s">
        <v>640</v>
      </c>
      <c r="CM100" s="706">
        <v>0.14799999999999999</v>
      </c>
    </row>
    <row r="101" spans="5:91" ht="16.5" thickBot="1" x14ac:dyDescent="0.3">
      <c r="E101" s="132"/>
      <c r="CJ101" s="725" t="s">
        <v>636</v>
      </c>
      <c r="CK101" s="726" t="s">
        <v>361</v>
      </c>
      <c r="CL101" s="711" t="s">
        <v>645</v>
      </c>
      <c r="CM101" s="712">
        <v>0.01</v>
      </c>
    </row>
    <row r="102" spans="5:91" x14ac:dyDescent="0.25">
      <c r="CJ102" s="727" t="s">
        <v>503</v>
      </c>
      <c r="CK102" s="728" t="s">
        <v>599</v>
      </c>
      <c r="CL102" s="713" t="s">
        <v>637</v>
      </c>
      <c r="CM102" s="714">
        <v>0.156</v>
      </c>
    </row>
    <row r="103" spans="5:91" x14ac:dyDescent="0.25">
      <c r="CJ103" s="719" t="s">
        <v>503</v>
      </c>
      <c r="CK103" s="720" t="s">
        <v>600</v>
      </c>
      <c r="CL103" s="704" t="s">
        <v>637</v>
      </c>
      <c r="CM103" s="706">
        <v>0.15</v>
      </c>
    </row>
    <row r="104" spans="5:91" x14ac:dyDescent="0.25">
      <c r="CJ104" s="719" t="s">
        <v>503</v>
      </c>
      <c r="CK104" s="720" t="s">
        <v>354</v>
      </c>
      <c r="CL104" s="704" t="s">
        <v>637</v>
      </c>
      <c r="CM104" s="706">
        <v>0.15</v>
      </c>
    </row>
    <row r="105" spans="5:91" x14ac:dyDescent="0.25">
      <c r="CJ105" s="719" t="s">
        <v>503</v>
      </c>
      <c r="CK105" s="720" t="s">
        <v>357</v>
      </c>
      <c r="CL105" s="704" t="s">
        <v>637</v>
      </c>
      <c r="CM105" s="706">
        <v>0.15</v>
      </c>
    </row>
    <row r="106" spans="5:91" x14ac:dyDescent="0.25">
      <c r="CJ106" s="719" t="s">
        <v>503</v>
      </c>
      <c r="CK106" s="720" t="s">
        <v>612</v>
      </c>
      <c r="CL106" s="704" t="s">
        <v>637</v>
      </c>
      <c r="CM106" s="706">
        <v>0.15</v>
      </c>
    </row>
    <row r="107" spans="5:91" x14ac:dyDescent="0.25">
      <c r="CJ107" s="719" t="s">
        <v>503</v>
      </c>
      <c r="CK107" s="720" t="s">
        <v>363</v>
      </c>
      <c r="CL107" s="704" t="s">
        <v>637</v>
      </c>
      <c r="CM107" s="706">
        <v>0.15</v>
      </c>
    </row>
    <row r="108" spans="5:91" x14ac:dyDescent="0.25">
      <c r="CJ108" s="719" t="s">
        <v>503</v>
      </c>
      <c r="CK108" s="720" t="s">
        <v>611</v>
      </c>
      <c r="CL108" s="704" t="s">
        <v>637</v>
      </c>
      <c r="CM108" s="706">
        <v>0.15</v>
      </c>
    </row>
    <row r="109" spans="5:91" ht="15.75" thickBot="1" x14ac:dyDescent="0.3">
      <c r="CJ109" s="721" t="s">
        <v>503</v>
      </c>
      <c r="CK109" s="722" t="s">
        <v>361</v>
      </c>
      <c r="CL109" s="707" t="s">
        <v>645</v>
      </c>
      <c r="CM109" s="708">
        <v>0.01</v>
      </c>
    </row>
  </sheetData>
  <sheetProtection algorithmName="SHA-512" hashValue="TPc+vPnwwvrfLWC/TkM12GQqxdtFjXFKLEoZnc9ADeYRfR12qhcZ+xJQjt0FBOgpRtCh8XxCVFq8gPYCvJrBJA==" saltValue="EEH5wmf2ucqmV/No/pmAbg==" spinCount="100000" sheet="1" objects="1" scenarios="1"/>
  <mergeCells count="10">
    <mergeCell ref="F12:T12"/>
    <mergeCell ref="F13:J13"/>
    <mergeCell ref="K13:O13"/>
    <mergeCell ref="P13:T13"/>
    <mergeCell ref="U12:V12"/>
    <mergeCell ref="AY12:BM12"/>
    <mergeCell ref="BN12:BO12"/>
    <mergeCell ref="AY13:BC13"/>
    <mergeCell ref="BD13:BH13"/>
    <mergeCell ref="BI13:BM13"/>
  </mergeCells>
  <pageMargins left="0.7" right="0.7" top="0.98479166666666662" bottom="0.75" header="0.3" footer="0.3"/>
  <pageSetup scale="71" fitToHeight="0" orientation="landscape" r:id="rId1"/>
  <headerFooter>
    <oddFooter>&amp;L&amp;"Avenir LT Std 55 Roman,Regular"&amp;12&amp;K000000Final November 6, 2024&amp;C&amp;"Avenir LT Std 55 Roman,Regular"&amp;12Page &amp;P of &amp;N&amp;R&amp;"Avenir LT Std 55 Roman,Regular"&amp;12&amp;K000000&amp;A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B1:Y384"/>
  <sheetViews>
    <sheetView showGridLines="0" zoomScale="80" zoomScaleNormal="80" workbookViewId="0"/>
  </sheetViews>
  <sheetFormatPr defaultColWidth="9.140625" defaultRowHeight="15" x14ac:dyDescent="0.25"/>
  <cols>
    <col min="1" max="1" width="4.28515625" style="73" customWidth="1"/>
    <col min="2" max="2" width="39.5703125" style="73" customWidth="1"/>
    <col min="3" max="3" width="21.28515625" style="73" bestFit="1" customWidth="1"/>
    <col min="4" max="4" width="22.85546875" style="73" bestFit="1" customWidth="1"/>
    <col min="5" max="5" width="20.7109375" style="73" customWidth="1"/>
    <col min="6" max="6" width="22" style="73" bestFit="1" customWidth="1"/>
    <col min="7" max="7" width="18.85546875" style="73" bestFit="1" customWidth="1"/>
    <col min="8" max="8" width="20.140625" style="73" bestFit="1" customWidth="1"/>
    <col min="9" max="9" width="34.5703125" style="73" bestFit="1" customWidth="1"/>
    <col min="10" max="12" width="20.7109375" style="73" hidden="1" customWidth="1"/>
    <col min="13" max="16384" width="9.140625" style="73"/>
  </cols>
  <sheetData>
    <row r="1" spans="2:25" ht="18.75" customHeight="1" x14ac:dyDescent="0.25">
      <c r="B1" s="72"/>
      <c r="C1" s="72"/>
      <c r="D1" s="72"/>
      <c r="E1" s="72"/>
      <c r="F1" s="72"/>
    </row>
    <row r="2" spans="2:25" ht="15" customHeight="1" x14ac:dyDescent="0.25"/>
    <row r="3" spans="2:25" ht="18.75" customHeight="1" x14ac:dyDescent="0.25">
      <c r="B3" s="72"/>
      <c r="C3" s="72"/>
      <c r="D3" s="72"/>
      <c r="E3" s="72"/>
      <c r="F3" s="72"/>
    </row>
    <row r="4" spans="2:25" ht="18.75" customHeight="1" x14ac:dyDescent="0.25">
      <c r="B4" s="74"/>
      <c r="C4" s="74"/>
      <c r="D4" s="74"/>
      <c r="E4" s="74"/>
      <c r="F4" s="74"/>
    </row>
    <row r="5" spans="2:25" ht="15" customHeight="1" x14ac:dyDescent="0.25">
      <c r="B5" s="75"/>
      <c r="C5" s="75"/>
      <c r="D5" s="75"/>
      <c r="E5" s="75"/>
      <c r="F5" s="75"/>
    </row>
    <row r="6" spans="2:25" ht="15" customHeight="1" x14ac:dyDescent="0.25">
      <c r="B6" s="76"/>
      <c r="C6" s="76"/>
      <c r="D6" s="76"/>
      <c r="E6" s="76"/>
      <c r="F6" s="76"/>
    </row>
    <row r="7" spans="2:25" ht="18.75" customHeight="1" x14ac:dyDescent="0.25">
      <c r="B7" s="72"/>
      <c r="C7" s="72"/>
      <c r="D7" s="72"/>
      <c r="E7" s="72"/>
      <c r="F7" s="72"/>
    </row>
    <row r="8" spans="2:25" ht="15" customHeight="1" x14ac:dyDescent="0.25"/>
    <row r="9" spans="2:25" ht="15" customHeight="1" thickBot="1" x14ac:dyDescent="0.3">
      <c r="B9" s="171"/>
      <c r="C9" s="171"/>
      <c r="D9" s="171"/>
      <c r="E9" s="171"/>
      <c r="F9" s="171"/>
    </row>
    <row r="10" spans="2:25" ht="15.75" x14ac:dyDescent="0.25">
      <c r="B10" s="283" t="s">
        <v>285</v>
      </c>
      <c r="C10" s="284"/>
      <c r="D10" s="285"/>
      <c r="E10" s="171"/>
      <c r="F10" s="286"/>
    </row>
    <row r="11" spans="2:25" ht="16.5" thickBot="1" x14ac:dyDescent="0.3">
      <c r="B11" s="287" t="s">
        <v>286</v>
      </c>
      <c r="C11" s="288" t="s">
        <v>287</v>
      </c>
      <c r="D11" s="289" t="s">
        <v>288</v>
      </c>
    </row>
    <row r="12" spans="2:25" ht="20.25" customHeight="1" x14ac:dyDescent="0.35">
      <c r="B12" s="290"/>
      <c r="C12" s="291">
        <v>0.21042791898763613</v>
      </c>
      <c r="D12" s="292" t="s">
        <v>289</v>
      </c>
    </row>
    <row r="13" spans="2:25" ht="20.25" customHeight="1" x14ac:dyDescent="0.35">
      <c r="B13" s="293" t="s">
        <v>290</v>
      </c>
      <c r="C13" s="294">
        <v>2.1042791898763613E-4</v>
      </c>
      <c r="D13" s="295" t="s">
        <v>291</v>
      </c>
      <c r="G13" s="132"/>
      <c r="H13" s="132"/>
      <c r="I13" s="132"/>
      <c r="J13" s="132"/>
      <c r="K13" s="132"/>
      <c r="L13" s="132"/>
      <c r="M13" s="132"/>
      <c r="N13" s="132"/>
      <c r="O13" s="132"/>
      <c r="P13" s="132"/>
      <c r="Q13" s="132"/>
      <c r="R13" s="132"/>
      <c r="S13" s="132"/>
      <c r="T13" s="132"/>
      <c r="U13" s="132"/>
      <c r="V13" s="132"/>
      <c r="W13" s="184"/>
      <c r="X13" s="184"/>
      <c r="Y13" s="132"/>
    </row>
    <row r="14" spans="2:25" ht="20.25" customHeight="1" x14ac:dyDescent="0.25">
      <c r="B14" s="293" t="s">
        <v>285</v>
      </c>
      <c r="C14" s="296">
        <v>463.91359875852237</v>
      </c>
      <c r="D14" s="295" t="s">
        <v>292</v>
      </c>
      <c r="G14" s="132"/>
      <c r="H14" s="132"/>
      <c r="I14" s="132"/>
      <c r="J14" s="132"/>
    </row>
    <row r="15" spans="2:25" ht="20.25" customHeight="1" thickBot="1" x14ac:dyDescent="0.3">
      <c r="B15" s="293"/>
      <c r="C15" s="297">
        <v>0.46391359875852234</v>
      </c>
      <c r="D15" s="298" t="s">
        <v>293</v>
      </c>
      <c r="G15" s="132"/>
      <c r="H15" s="132"/>
      <c r="I15" s="132"/>
      <c r="J15" s="132"/>
    </row>
    <row r="16" spans="2:25" ht="15.75" x14ac:dyDescent="0.25">
      <c r="B16" s="299" t="s">
        <v>294</v>
      </c>
      <c r="C16" s="300"/>
      <c r="D16" s="300"/>
      <c r="E16" s="300"/>
      <c r="F16" s="301"/>
      <c r="G16" s="132"/>
      <c r="H16" s="132"/>
      <c r="I16" s="132"/>
      <c r="J16" s="132"/>
    </row>
    <row r="17" spans="2:10" ht="15.75" x14ac:dyDescent="0.25">
      <c r="B17" s="302" t="s">
        <v>523</v>
      </c>
      <c r="C17" s="202"/>
      <c r="D17" s="202"/>
      <c r="E17" s="202"/>
      <c r="F17" s="303"/>
      <c r="G17" s="143"/>
      <c r="H17" s="143"/>
      <c r="I17" s="143"/>
      <c r="J17" s="143"/>
    </row>
    <row r="18" spans="2:10" ht="15.75" x14ac:dyDescent="0.25">
      <c r="B18" s="304" t="s">
        <v>524</v>
      </c>
      <c r="C18" s="202"/>
      <c r="D18" s="202"/>
      <c r="E18" s="202"/>
      <c r="F18" s="303"/>
      <c r="G18" s="143"/>
      <c r="H18" s="143"/>
      <c r="I18" s="143"/>
      <c r="J18" s="143"/>
    </row>
    <row r="19" spans="2:10" ht="15.75" x14ac:dyDescent="0.25">
      <c r="B19" s="302" t="s">
        <v>614</v>
      </c>
      <c r="C19" s="202"/>
      <c r="D19" s="202"/>
      <c r="E19" s="202"/>
      <c r="F19" s="303"/>
      <c r="G19" s="143"/>
      <c r="H19" s="143"/>
      <c r="I19" s="143"/>
      <c r="J19" s="143"/>
    </row>
    <row r="20" spans="2:10" s="307" customFormat="1" ht="15.75" customHeight="1" x14ac:dyDescent="0.25">
      <c r="B20" s="507" t="s">
        <v>613</v>
      </c>
      <c r="C20" s="30"/>
      <c r="D20" s="30"/>
      <c r="E20" s="30"/>
      <c r="F20" s="31"/>
      <c r="G20" s="306"/>
      <c r="H20" s="306"/>
      <c r="I20" s="306"/>
      <c r="J20" s="306"/>
    </row>
    <row r="21" spans="2:10" ht="6.75" customHeight="1" x14ac:dyDescent="0.25">
      <c r="B21" s="308"/>
      <c r="C21" s="81"/>
      <c r="D21" s="81"/>
      <c r="E21" s="81"/>
      <c r="F21" s="309"/>
      <c r="G21" s="81"/>
      <c r="H21" s="81"/>
      <c r="I21" s="81"/>
      <c r="J21" s="81"/>
    </row>
    <row r="22" spans="2:10" ht="15.75" customHeight="1" x14ac:dyDescent="0.25">
      <c r="B22" s="310" t="s">
        <v>615</v>
      </c>
      <c r="C22" s="81"/>
      <c r="D22" s="81"/>
      <c r="E22" s="81"/>
      <c r="F22" s="309"/>
      <c r="G22" s="81"/>
      <c r="H22" s="81"/>
      <c r="I22" s="81"/>
      <c r="J22" s="81"/>
    </row>
    <row r="23" spans="2:10" ht="15.75" x14ac:dyDescent="0.25">
      <c r="B23" s="311" t="s">
        <v>295</v>
      </c>
      <c r="C23" s="81"/>
      <c r="D23" s="81"/>
      <c r="E23" s="81"/>
      <c r="F23" s="309"/>
      <c r="G23" s="81"/>
      <c r="H23" s="81"/>
      <c r="I23" s="81"/>
      <c r="J23" s="81"/>
    </row>
    <row r="24" spans="2:10" ht="6.75" customHeight="1" thickBot="1" x14ac:dyDescent="0.3">
      <c r="B24" s="45"/>
      <c r="C24" s="46"/>
      <c r="D24" s="46"/>
      <c r="E24" s="46"/>
      <c r="F24" s="312"/>
      <c r="G24" s="132"/>
      <c r="H24" s="132"/>
      <c r="I24" s="132"/>
      <c r="J24" s="132"/>
    </row>
    <row r="25" spans="2:10" ht="15.75" x14ac:dyDescent="0.25">
      <c r="B25" s="12"/>
      <c r="C25" s="12"/>
      <c r="D25" s="12"/>
      <c r="E25" s="12"/>
      <c r="G25" s="132"/>
      <c r="H25" s="132"/>
      <c r="I25" s="132"/>
      <c r="J25" s="132"/>
    </row>
    <row r="26" spans="2:10" ht="15" customHeight="1" thickBot="1" x14ac:dyDescent="0.3">
      <c r="G26" s="132"/>
      <c r="H26" s="132"/>
      <c r="I26" s="132"/>
      <c r="J26" s="132"/>
    </row>
    <row r="27" spans="2:10" ht="20.25" customHeight="1" thickBot="1" x14ac:dyDescent="0.3">
      <c r="B27" s="313" t="s">
        <v>296</v>
      </c>
      <c r="C27" s="314"/>
      <c r="D27" s="314"/>
      <c r="E27" s="314"/>
      <c r="F27" s="315"/>
      <c r="G27" s="132"/>
      <c r="H27" s="132"/>
      <c r="I27" s="132"/>
      <c r="J27" s="132"/>
    </row>
    <row r="28" spans="2:10" ht="20.25" customHeight="1" x14ac:dyDescent="0.25">
      <c r="B28" s="316" t="s">
        <v>297</v>
      </c>
      <c r="C28" s="317" t="s">
        <v>298</v>
      </c>
      <c r="D28" s="317" t="s">
        <v>299</v>
      </c>
      <c r="E28" s="317" t="s">
        <v>292</v>
      </c>
      <c r="F28" s="318" t="s">
        <v>293</v>
      </c>
      <c r="G28" s="132"/>
      <c r="H28" s="132"/>
      <c r="I28" s="132"/>
      <c r="J28" s="132"/>
    </row>
    <row r="29" spans="2:10" ht="20.25" customHeight="1" x14ac:dyDescent="0.25">
      <c r="B29" s="319" t="s">
        <v>90</v>
      </c>
      <c r="C29" s="320">
        <v>6.9999999999999999E-6</v>
      </c>
      <c r="D29" s="321">
        <v>6.9999999999999998E-9</v>
      </c>
      <c r="E29" s="322">
        <v>1.6E-2</v>
      </c>
      <c r="F29" s="323">
        <v>1.5999999999999999E-5</v>
      </c>
      <c r="G29" s="132"/>
      <c r="H29" s="132"/>
      <c r="I29" s="132"/>
      <c r="J29" s="132"/>
    </row>
    <row r="30" spans="2:10" ht="20.25" customHeight="1" x14ac:dyDescent="0.25">
      <c r="B30" s="319" t="s">
        <v>82</v>
      </c>
      <c r="C30" s="320">
        <v>4.3999999999999999E-5</v>
      </c>
      <c r="D30" s="321">
        <v>4.3999999999999997E-8</v>
      </c>
      <c r="E30" s="322">
        <v>9.7600000000000006E-2</v>
      </c>
      <c r="F30" s="323">
        <v>9.7600000000000001E-5</v>
      </c>
      <c r="G30" s="132"/>
      <c r="H30" s="132"/>
      <c r="I30" s="132"/>
      <c r="J30" s="132"/>
    </row>
    <row r="31" spans="2:10" ht="20.25" customHeight="1" x14ac:dyDescent="0.25">
      <c r="B31" s="319" t="s">
        <v>300</v>
      </c>
      <c r="C31" s="320">
        <v>1.2E-5</v>
      </c>
      <c r="D31" s="321">
        <v>1.2E-8</v>
      </c>
      <c r="E31" s="322">
        <v>2.5899999999999999E-2</v>
      </c>
      <c r="F31" s="323">
        <v>2.5899999999999999E-5</v>
      </c>
      <c r="G31" s="132"/>
      <c r="H31" s="132"/>
      <c r="I31" s="132"/>
      <c r="J31" s="132"/>
    </row>
    <row r="32" spans="2:10" ht="20.25" customHeight="1" x14ac:dyDescent="0.25">
      <c r="B32" s="319" t="s">
        <v>301</v>
      </c>
      <c r="C32" s="320">
        <v>1.1E-5</v>
      </c>
      <c r="D32" s="321">
        <v>1.0999999999999999E-8</v>
      </c>
      <c r="E32" s="322">
        <v>2.4899999999999999E-2</v>
      </c>
      <c r="F32" s="323">
        <v>2.4899999999999999E-5</v>
      </c>
      <c r="G32" s="132"/>
      <c r="H32" s="132"/>
      <c r="I32" s="132"/>
      <c r="J32" s="132"/>
    </row>
    <row r="33" spans="2:12" ht="20.25" customHeight="1" thickBot="1" x14ac:dyDescent="0.3">
      <c r="B33" s="324" t="s">
        <v>84</v>
      </c>
      <c r="C33" s="325">
        <v>1.1E-5</v>
      </c>
      <c r="D33" s="326">
        <v>1.0999999999999999E-8</v>
      </c>
      <c r="E33" s="327">
        <v>2.35E-2</v>
      </c>
      <c r="F33" s="328">
        <v>2.3499999999999999E-5</v>
      </c>
      <c r="G33" s="132"/>
      <c r="H33" s="132"/>
      <c r="I33" s="132"/>
      <c r="J33" s="132"/>
    </row>
    <row r="34" spans="2:12" ht="20.25" customHeight="1" x14ac:dyDescent="0.25">
      <c r="B34" s="299" t="s">
        <v>294</v>
      </c>
      <c r="C34" s="300"/>
      <c r="D34" s="300"/>
      <c r="E34" s="300"/>
      <c r="F34" s="300"/>
      <c r="G34" s="300"/>
      <c r="H34" s="301"/>
      <c r="I34" s="132"/>
      <c r="J34" s="132"/>
    </row>
    <row r="35" spans="2:12" ht="15.75" customHeight="1" x14ac:dyDescent="0.25">
      <c r="B35" s="302" t="s">
        <v>554</v>
      </c>
      <c r="C35" s="329"/>
      <c r="D35" s="329"/>
      <c r="E35" s="329"/>
      <c r="F35" s="329"/>
      <c r="G35" s="329"/>
      <c r="H35" s="330"/>
      <c r="I35" s="143"/>
      <c r="J35" s="143"/>
    </row>
    <row r="36" spans="2:12" ht="15.75" x14ac:dyDescent="0.25">
      <c r="B36" s="302" t="s">
        <v>555</v>
      </c>
      <c r="C36" s="202"/>
      <c r="D36" s="202"/>
      <c r="E36" s="202"/>
      <c r="F36" s="202"/>
      <c r="G36" s="202"/>
      <c r="H36" s="303"/>
      <c r="I36" s="143"/>
      <c r="J36" s="143"/>
    </row>
    <row r="37" spans="2:12" ht="15.75" x14ac:dyDescent="0.25">
      <c r="B37" s="305" t="s">
        <v>552</v>
      </c>
      <c r="C37" s="30"/>
      <c r="D37" s="30"/>
      <c r="E37" s="30"/>
      <c r="F37" s="30"/>
      <c r="G37" s="30"/>
      <c r="H37" s="31"/>
      <c r="I37" s="81"/>
      <c r="J37" s="81"/>
    </row>
    <row r="38" spans="2:12" ht="6.75" customHeight="1" x14ac:dyDescent="0.25">
      <c r="B38" s="308"/>
      <c r="C38" s="81"/>
      <c r="D38" s="81"/>
      <c r="E38" s="81"/>
      <c r="F38" s="81"/>
      <c r="G38" s="81"/>
      <c r="H38" s="309"/>
      <c r="I38" s="81"/>
      <c r="J38" s="81"/>
    </row>
    <row r="39" spans="2:12" ht="15.75" x14ac:dyDescent="0.25">
      <c r="B39" s="310" t="s">
        <v>553</v>
      </c>
      <c r="C39" s="81"/>
      <c r="D39" s="81"/>
      <c r="E39" s="81"/>
      <c r="F39" s="81"/>
      <c r="G39" s="81"/>
      <c r="H39" s="309"/>
      <c r="I39" s="81"/>
      <c r="J39" s="81"/>
    </row>
    <row r="40" spans="2:12" ht="16.5" thickBot="1" x14ac:dyDescent="0.3">
      <c r="B40" s="331" t="s">
        <v>295</v>
      </c>
      <c r="C40" s="332"/>
      <c r="D40" s="333"/>
      <c r="E40" s="332"/>
      <c r="F40" s="332"/>
      <c r="G40" s="332"/>
      <c r="H40" s="334"/>
      <c r="I40" s="81"/>
      <c r="J40" s="81"/>
    </row>
    <row r="41" spans="2:12" ht="15.75" x14ac:dyDescent="0.25">
      <c r="B41" s="335"/>
      <c r="C41" s="336"/>
      <c r="D41" s="337"/>
      <c r="E41" s="338"/>
      <c r="F41" s="336"/>
      <c r="G41" s="132"/>
      <c r="H41" s="132"/>
      <c r="I41" s="132"/>
      <c r="J41" s="132"/>
    </row>
    <row r="42" spans="2:12" ht="16.5" thickBot="1" x14ac:dyDescent="0.3">
      <c r="B42" s="81"/>
      <c r="C42" s="81"/>
      <c r="D42" s="81"/>
      <c r="E42" s="81"/>
      <c r="F42" s="81"/>
      <c r="G42" s="132"/>
      <c r="H42" s="132"/>
      <c r="I42" s="132"/>
      <c r="J42" s="132"/>
    </row>
    <row r="43" spans="2:12" s="81" customFormat="1" ht="15" customHeight="1" thickBot="1" x14ac:dyDescent="0.3">
      <c r="B43" s="339" t="s">
        <v>302</v>
      </c>
      <c r="C43" s="340"/>
      <c r="D43" s="340"/>
      <c r="E43" s="340"/>
      <c r="F43" s="340"/>
      <c r="G43" s="340"/>
      <c r="H43" s="340"/>
      <c r="I43" s="341"/>
      <c r="J43" s="342"/>
      <c r="K43" s="342"/>
      <c r="L43" s="343"/>
    </row>
    <row r="44" spans="2:12" s="81" customFormat="1" ht="33.75" customHeight="1" x14ac:dyDescent="0.25">
      <c r="B44" s="344"/>
      <c r="C44" s="345" t="s">
        <v>303</v>
      </c>
      <c r="D44" s="346" t="s">
        <v>304</v>
      </c>
      <c r="E44" s="347" t="s">
        <v>294</v>
      </c>
      <c r="F44" s="347"/>
      <c r="G44" s="347"/>
      <c r="H44" s="347"/>
      <c r="I44" s="348"/>
      <c r="J44" s="349" t="s">
        <v>161</v>
      </c>
      <c r="K44" s="345" t="s">
        <v>162</v>
      </c>
      <c r="L44" s="350" t="s">
        <v>163</v>
      </c>
    </row>
    <row r="45" spans="2:12" s="81" customFormat="1" ht="18.75" x14ac:dyDescent="0.35">
      <c r="B45" s="351" t="s">
        <v>305</v>
      </c>
      <c r="C45" s="352">
        <v>3327.7550000000001</v>
      </c>
      <c r="D45" s="353" t="s">
        <v>556</v>
      </c>
      <c r="E45" s="354" t="s">
        <v>306</v>
      </c>
      <c r="F45" s="355"/>
      <c r="G45" s="355"/>
      <c r="H45" s="355"/>
      <c r="I45" s="356"/>
      <c r="J45" s="357" t="str">
        <f>IF(C45&lt;10,"Yes","No")</f>
        <v>No</v>
      </c>
      <c r="K45" s="358" t="str">
        <f>IF(C45&gt;3900,"Yes","No")</f>
        <v>No</v>
      </c>
      <c r="L45" s="295" t="str">
        <f>IF(C45&lt;1500,"Yes","No")</f>
        <v>No</v>
      </c>
    </row>
    <row r="46" spans="2:12" s="81" customFormat="1" ht="18.75" x14ac:dyDescent="0.35">
      <c r="B46" s="351" t="s">
        <v>169</v>
      </c>
      <c r="C46" s="352">
        <v>1810</v>
      </c>
      <c r="D46" s="353" t="s">
        <v>556</v>
      </c>
      <c r="E46" s="359" t="s">
        <v>307</v>
      </c>
      <c r="F46" s="360"/>
      <c r="G46" s="360"/>
      <c r="H46" s="360"/>
      <c r="I46" s="361"/>
      <c r="J46" s="357" t="str">
        <f t="shared" ref="J46:J110" si="0">IF(C46&lt;10,"Yes","No")</f>
        <v>No</v>
      </c>
      <c r="K46" s="358" t="str">
        <f t="shared" ref="K46:K110" si="1">IF(C46&gt;3900,"Yes","No")</f>
        <v>No</v>
      </c>
      <c r="L46" s="295" t="str">
        <f t="shared" ref="L46:L110" si="2">IF(C46&lt;1500,"Yes","No")</f>
        <v>No</v>
      </c>
    </row>
    <row r="47" spans="2:12" s="81" customFormat="1" ht="18.75" x14ac:dyDescent="0.35">
      <c r="B47" s="351" t="s">
        <v>192</v>
      </c>
      <c r="C47" s="352">
        <v>3</v>
      </c>
      <c r="D47" s="353" t="s">
        <v>556</v>
      </c>
      <c r="E47" s="359" t="s">
        <v>307</v>
      </c>
      <c r="F47" s="360"/>
      <c r="G47" s="360"/>
      <c r="H47" s="360"/>
      <c r="I47" s="361"/>
      <c r="J47" s="357" t="str">
        <f t="shared" si="0"/>
        <v>Yes</v>
      </c>
      <c r="K47" s="358" t="str">
        <f t="shared" si="1"/>
        <v>No</v>
      </c>
      <c r="L47" s="295" t="str">
        <f t="shared" si="2"/>
        <v>Yes</v>
      </c>
    </row>
    <row r="48" spans="2:12" s="81" customFormat="1" ht="18.75" x14ac:dyDescent="0.35">
      <c r="B48" s="351" t="s">
        <v>200</v>
      </c>
      <c r="C48" s="352">
        <v>3922</v>
      </c>
      <c r="D48" s="353" t="s">
        <v>556</v>
      </c>
      <c r="E48" s="359" t="s">
        <v>307</v>
      </c>
      <c r="F48" s="355"/>
      <c r="G48" s="355"/>
      <c r="H48" s="355"/>
      <c r="I48" s="356"/>
      <c r="J48" s="357" t="str">
        <f t="shared" si="0"/>
        <v>No</v>
      </c>
      <c r="K48" s="358" t="str">
        <f t="shared" si="1"/>
        <v>Yes</v>
      </c>
      <c r="L48" s="295" t="str">
        <f t="shared" si="2"/>
        <v>No</v>
      </c>
    </row>
    <row r="49" spans="2:12" s="81" customFormat="1" ht="18.75" x14ac:dyDescent="0.35">
      <c r="B49" s="351" t="s">
        <v>236</v>
      </c>
      <c r="C49" s="352">
        <v>1386</v>
      </c>
      <c r="D49" s="353" t="s">
        <v>556</v>
      </c>
      <c r="E49" s="359" t="s">
        <v>307</v>
      </c>
      <c r="F49" s="360"/>
      <c r="G49" s="360"/>
      <c r="H49" s="360"/>
      <c r="I49" s="361"/>
      <c r="J49" s="357" t="str">
        <f t="shared" si="0"/>
        <v>No</v>
      </c>
      <c r="K49" s="358" t="str">
        <f t="shared" si="1"/>
        <v>No</v>
      </c>
      <c r="L49" s="295" t="str">
        <f t="shared" si="2"/>
        <v>Yes</v>
      </c>
    </row>
    <row r="50" spans="2:12" s="81" customFormat="1" ht="18.75" x14ac:dyDescent="0.35">
      <c r="B50" s="351" t="s">
        <v>237</v>
      </c>
      <c r="C50" s="352">
        <v>1396</v>
      </c>
      <c r="D50" s="353" t="s">
        <v>556</v>
      </c>
      <c r="E50" s="359" t="s">
        <v>307</v>
      </c>
      <c r="F50" s="360"/>
      <c r="G50" s="360"/>
      <c r="H50" s="360"/>
      <c r="I50" s="361"/>
      <c r="J50" s="357" t="str">
        <f t="shared" si="0"/>
        <v>No</v>
      </c>
      <c r="K50" s="358" t="str">
        <f t="shared" si="1"/>
        <v>No</v>
      </c>
      <c r="L50" s="295" t="str">
        <f t="shared" si="2"/>
        <v>Yes</v>
      </c>
    </row>
    <row r="51" spans="2:12" s="81" customFormat="1" ht="18.75" x14ac:dyDescent="0.35">
      <c r="B51" s="351" t="s">
        <v>248</v>
      </c>
      <c r="C51" s="352">
        <v>3985</v>
      </c>
      <c r="D51" s="353" t="s">
        <v>556</v>
      </c>
      <c r="E51" s="359" t="s">
        <v>307</v>
      </c>
      <c r="F51" s="360"/>
      <c r="G51" s="360"/>
      <c r="H51" s="360"/>
      <c r="I51" s="361"/>
      <c r="J51" s="357" t="str">
        <f t="shared" si="0"/>
        <v>No</v>
      </c>
      <c r="K51" s="358" t="str">
        <f t="shared" si="1"/>
        <v>Yes</v>
      </c>
      <c r="L51" s="295" t="str">
        <f t="shared" si="2"/>
        <v>No</v>
      </c>
    </row>
    <row r="52" spans="2:12" s="81" customFormat="1" ht="18.75" x14ac:dyDescent="0.35">
      <c r="B52" s="351" t="s">
        <v>254</v>
      </c>
      <c r="C52" s="352">
        <v>0</v>
      </c>
      <c r="D52" s="353" t="s">
        <v>556</v>
      </c>
      <c r="E52" s="359" t="s">
        <v>307</v>
      </c>
      <c r="F52" s="360"/>
      <c r="G52" s="360"/>
      <c r="H52" s="360"/>
      <c r="I52" s="361"/>
      <c r="J52" s="357" t="str">
        <f t="shared" si="0"/>
        <v>Yes</v>
      </c>
      <c r="K52" s="358" t="str">
        <f t="shared" si="1"/>
        <v>No</v>
      </c>
      <c r="L52" s="295" t="str">
        <f t="shared" si="2"/>
        <v>Yes</v>
      </c>
    </row>
    <row r="53" spans="2:12" s="81" customFormat="1" ht="18.75" x14ac:dyDescent="0.35">
      <c r="B53" s="351" t="s">
        <v>255</v>
      </c>
      <c r="C53" s="352">
        <v>0</v>
      </c>
      <c r="D53" s="353" t="s">
        <v>556</v>
      </c>
      <c r="E53" s="359" t="s">
        <v>308</v>
      </c>
      <c r="F53" s="360"/>
      <c r="G53" s="360"/>
      <c r="H53" s="360"/>
      <c r="I53" s="362" t="s">
        <v>309</v>
      </c>
      <c r="J53" s="357" t="str">
        <f t="shared" si="0"/>
        <v>Yes</v>
      </c>
      <c r="K53" s="358" t="str">
        <f t="shared" si="1"/>
        <v>No</v>
      </c>
      <c r="L53" s="295" t="str">
        <f t="shared" si="2"/>
        <v>Yes</v>
      </c>
    </row>
    <row r="54" spans="2:12" s="81" customFormat="1" ht="18.75" x14ac:dyDescent="0.35">
      <c r="B54" s="351" t="s">
        <v>256</v>
      </c>
      <c r="C54" s="352">
        <v>0</v>
      </c>
      <c r="D54" s="353" t="s">
        <v>556</v>
      </c>
      <c r="E54" s="359" t="s">
        <v>308</v>
      </c>
      <c r="F54" s="360"/>
      <c r="G54" s="360"/>
      <c r="H54" s="360"/>
      <c r="I54" s="362" t="s">
        <v>309</v>
      </c>
      <c r="J54" s="357" t="str">
        <f t="shared" si="0"/>
        <v>Yes</v>
      </c>
      <c r="K54" s="358" t="str">
        <f t="shared" si="1"/>
        <v>No</v>
      </c>
      <c r="L54" s="295" t="str">
        <f t="shared" si="2"/>
        <v>Yes</v>
      </c>
    </row>
    <row r="55" spans="2:12" s="81" customFormat="1" ht="18.75" x14ac:dyDescent="0.35">
      <c r="B55" s="351" t="s">
        <v>257</v>
      </c>
      <c r="C55" s="352">
        <v>1</v>
      </c>
      <c r="D55" s="353" t="s">
        <v>556</v>
      </c>
      <c r="E55" s="359" t="s">
        <v>307</v>
      </c>
      <c r="F55" s="360"/>
      <c r="G55" s="360"/>
      <c r="H55" s="360"/>
      <c r="I55" s="361"/>
      <c r="J55" s="357" t="str">
        <f t="shared" si="0"/>
        <v>Yes</v>
      </c>
      <c r="K55" s="358" t="str">
        <f t="shared" si="1"/>
        <v>No</v>
      </c>
      <c r="L55" s="295" t="str">
        <f t="shared" si="2"/>
        <v>Yes</v>
      </c>
    </row>
    <row r="56" spans="2:12" s="81" customFormat="1" ht="18.75" x14ac:dyDescent="0.35">
      <c r="B56" s="351" t="s">
        <v>164</v>
      </c>
      <c r="C56" s="352">
        <v>4750</v>
      </c>
      <c r="D56" s="353" t="s">
        <v>556</v>
      </c>
      <c r="E56" s="359" t="s">
        <v>308</v>
      </c>
      <c r="F56" s="360"/>
      <c r="G56" s="360"/>
      <c r="H56" s="360"/>
      <c r="I56" s="361"/>
      <c r="J56" s="357" t="str">
        <f t="shared" si="0"/>
        <v>No</v>
      </c>
      <c r="K56" s="358" t="str">
        <f t="shared" si="1"/>
        <v>Yes</v>
      </c>
      <c r="L56" s="295" t="str">
        <f t="shared" si="2"/>
        <v>No</v>
      </c>
    </row>
    <row r="57" spans="2:12" s="81" customFormat="1" ht="18.75" x14ac:dyDescent="0.35">
      <c r="B57" s="351" t="s">
        <v>165</v>
      </c>
      <c r="C57" s="352">
        <v>10900</v>
      </c>
      <c r="D57" s="353" t="s">
        <v>556</v>
      </c>
      <c r="E57" s="359" t="s">
        <v>307</v>
      </c>
      <c r="F57" s="360"/>
      <c r="G57" s="360"/>
      <c r="H57" s="360"/>
      <c r="I57" s="361"/>
      <c r="J57" s="357" t="str">
        <f t="shared" si="0"/>
        <v>No</v>
      </c>
      <c r="K57" s="358" t="str">
        <f t="shared" si="1"/>
        <v>Yes</v>
      </c>
      <c r="L57" s="295" t="str">
        <f t="shared" si="2"/>
        <v>No</v>
      </c>
    </row>
    <row r="58" spans="2:12" s="81" customFormat="1" ht="18.75" x14ac:dyDescent="0.35">
      <c r="B58" s="351" t="s">
        <v>166</v>
      </c>
      <c r="C58" s="352">
        <v>14400</v>
      </c>
      <c r="D58" s="353" t="s">
        <v>556</v>
      </c>
      <c r="E58" s="359" t="s">
        <v>308</v>
      </c>
      <c r="F58" s="360"/>
      <c r="G58" s="360"/>
      <c r="H58" s="360"/>
      <c r="I58" s="361"/>
      <c r="J58" s="357" t="str">
        <f t="shared" si="0"/>
        <v>No</v>
      </c>
      <c r="K58" s="358" t="str">
        <f t="shared" si="1"/>
        <v>Yes</v>
      </c>
      <c r="L58" s="295" t="str">
        <f t="shared" si="2"/>
        <v>No</v>
      </c>
    </row>
    <row r="59" spans="2:12" s="81" customFormat="1" ht="18.75" x14ac:dyDescent="0.35">
      <c r="B59" s="351" t="s">
        <v>167</v>
      </c>
      <c r="C59" s="352">
        <v>7140</v>
      </c>
      <c r="D59" s="353" t="s">
        <v>556</v>
      </c>
      <c r="E59" s="359" t="s">
        <v>308</v>
      </c>
      <c r="F59" s="360"/>
      <c r="G59" s="360"/>
      <c r="H59" s="360"/>
      <c r="I59" s="361"/>
      <c r="J59" s="357" t="str">
        <f t="shared" si="0"/>
        <v>No</v>
      </c>
      <c r="K59" s="358" t="str">
        <f t="shared" si="1"/>
        <v>Yes</v>
      </c>
      <c r="L59" s="295" t="str">
        <f t="shared" si="2"/>
        <v>No</v>
      </c>
    </row>
    <row r="60" spans="2:12" s="81" customFormat="1" ht="18.75" x14ac:dyDescent="0.35">
      <c r="B60" s="351" t="s">
        <v>168</v>
      </c>
      <c r="C60" s="352">
        <v>7390</v>
      </c>
      <c r="D60" s="353" t="s">
        <v>556</v>
      </c>
      <c r="E60" s="359" t="s">
        <v>308</v>
      </c>
      <c r="F60" s="360"/>
      <c r="G60" s="360"/>
      <c r="H60" s="360"/>
      <c r="I60" s="361"/>
      <c r="J60" s="357" t="str">
        <f t="shared" si="0"/>
        <v>No</v>
      </c>
      <c r="K60" s="358" t="str">
        <f t="shared" si="1"/>
        <v>Yes</v>
      </c>
      <c r="L60" s="295" t="str">
        <f t="shared" si="2"/>
        <v>No</v>
      </c>
    </row>
    <row r="61" spans="2:12" s="81" customFormat="1" ht="18.75" x14ac:dyDescent="0.35">
      <c r="B61" s="351" t="s">
        <v>170</v>
      </c>
      <c r="C61" s="352">
        <v>14800</v>
      </c>
      <c r="D61" s="353" t="s">
        <v>556</v>
      </c>
      <c r="E61" s="354" t="s">
        <v>308</v>
      </c>
      <c r="F61" s="355"/>
      <c r="G61" s="355"/>
      <c r="H61" s="355"/>
      <c r="I61" s="356"/>
      <c r="J61" s="357" t="str">
        <f t="shared" si="0"/>
        <v>No</v>
      </c>
      <c r="K61" s="358" t="str">
        <f t="shared" si="1"/>
        <v>Yes</v>
      </c>
      <c r="L61" s="295" t="str">
        <f t="shared" si="2"/>
        <v>No</v>
      </c>
    </row>
    <row r="62" spans="2:12" s="81" customFormat="1" ht="18.75" x14ac:dyDescent="0.35">
      <c r="B62" s="351" t="s">
        <v>171</v>
      </c>
      <c r="C62" s="352">
        <v>675</v>
      </c>
      <c r="D62" s="353" t="s">
        <v>556</v>
      </c>
      <c r="E62" s="359" t="s">
        <v>308</v>
      </c>
      <c r="F62" s="360"/>
      <c r="G62" s="360"/>
      <c r="H62" s="360"/>
      <c r="I62" s="361"/>
      <c r="J62" s="357" t="str">
        <f t="shared" si="0"/>
        <v>No</v>
      </c>
      <c r="K62" s="358" t="str">
        <f t="shared" si="1"/>
        <v>No</v>
      </c>
      <c r="L62" s="295" t="str">
        <f t="shared" si="2"/>
        <v>Yes</v>
      </c>
    </row>
    <row r="63" spans="2:12" s="81" customFormat="1" ht="18.75" x14ac:dyDescent="0.35">
      <c r="B63" s="351" t="s">
        <v>172</v>
      </c>
      <c r="C63" s="352">
        <v>6130</v>
      </c>
      <c r="D63" s="353" t="s">
        <v>556</v>
      </c>
      <c r="E63" s="359" t="s">
        <v>308</v>
      </c>
      <c r="F63" s="360"/>
      <c r="G63" s="360"/>
      <c r="H63" s="360"/>
      <c r="I63" s="361"/>
      <c r="J63" s="357" t="str">
        <f t="shared" si="0"/>
        <v>No</v>
      </c>
      <c r="K63" s="358" t="str">
        <f t="shared" si="1"/>
        <v>Yes</v>
      </c>
      <c r="L63" s="295" t="str">
        <f t="shared" si="2"/>
        <v>No</v>
      </c>
    </row>
    <row r="64" spans="2:12" s="81" customFormat="1" ht="18.75" x14ac:dyDescent="0.35">
      <c r="B64" s="351" t="s">
        <v>173</v>
      </c>
      <c r="C64" s="352">
        <v>10000</v>
      </c>
      <c r="D64" s="353" t="s">
        <v>556</v>
      </c>
      <c r="E64" s="359" t="s">
        <v>308</v>
      </c>
      <c r="F64" s="360"/>
      <c r="G64" s="360"/>
      <c r="H64" s="360"/>
      <c r="I64" s="361"/>
      <c r="J64" s="357" t="str">
        <f t="shared" si="0"/>
        <v>No</v>
      </c>
      <c r="K64" s="358" t="str">
        <f t="shared" si="1"/>
        <v>Yes</v>
      </c>
      <c r="L64" s="295" t="str">
        <f t="shared" si="2"/>
        <v>No</v>
      </c>
    </row>
    <row r="65" spans="2:12" s="81" customFormat="1" ht="18.75" x14ac:dyDescent="0.35">
      <c r="B65" s="351" t="s">
        <v>174</v>
      </c>
      <c r="C65" s="352">
        <v>7370</v>
      </c>
      <c r="D65" s="353" t="s">
        <v>556</v>
      </c>
      <c r="E65" s="359" t="s">
        <v>308</v>
      </c>
      <c r="F65" s="360"/>
      <c r="G65" s="360"/>
      <c r="H65" s="360"/>
      <c r="I65" s="361"/>
      <c r="J65" s="357" t="str">
        <f t="shared" si="0"/>
        <v>No</v>
      </c>
      <c r="K65" s="358" t="str">
        <f t="shared" si="1"/>
        <v>Yes</v>
      </c>
      <c r="L65" s="295" t="str">
        <f t="shared" si="2"/>
        <v>No</v>
      </c>
    </row>
    <row r="66" spans="2:12" s="81" customFormat="1" ht="18.75" x14ac:dyDescent="0.35">
      <c r="B66" s="351" t="s">
        <v>175</v>
      </c>
      <c r="C66" s="352">
        <v>12200</v>
      </c>
      <c r="D66" s="353" t="s">
        <v>556</v>
      </c>
      <c r="E66" s="359" t="s">
        <v>308</v>
      </c>
      <c r="F66" s="360"/>
      <c r="G66" s="360"/>
      <c r="H66" s="360"/>
      <c r="I66" s="361"/>
      <c r="J66" s="357" t="str">
        <f t="shared" si="0"/>
        <v>No</v>
      </c>
      <c r="K66" s="358" t="str">
        <f t="shared" si="1"/>
        <v>Yes</v>
      </c>
      <c r="L66" s="295" t="str">
        <f t="shared" si="2"/>
        <v>No</v>
      </c>
    </row>
    <row r="67" spans="2:12" s="81" customFormat="1" ht="18.75" x14ac:dyDescent="0.35">
      <c r="B67" s="351" t="s">
        <v>176</v>
      </c>
      <c r="C67" s="352">
        <v>77</v>
      </c>
      <c r="D67" s="353" t="s">
        <v>556</v>
      </c>
      <c r="E67" s="359" t="s">
        <v>308</v>
      </c>
      <c r="F67" s="360"/>
      <c r="G67" s="360"/>
      <c r="H67" s="360"/>
      <c r="I67" s="361"/>
      <c r="J67" s="357" t="str">
        <f t="shared" si="0"/>
        <v>No</v>
      </c>
      <c r="K67" s="358" t="str">
        <f t="shared" si="1"/>
        <v>No</v>
      </c>
      <c r="L67" s="295" t="str">
        <f t="shared" si="2"/>
        <v>Yes</v>
      </c>
    </row>
    <row r="68" spans="2:12" s="81" customFormat="1" ht="18.75" x14ac:dyDescent="0.35">
      <c r="B68" s="351" t="s">
        <v>177</v>
      </c>
      <c r="C68" s="352">
        <v>609</v>
      </c>
      <c r="D68" s="353" t="s">
        <v>556</v>
      </c>
      <c r="E68" s="359" t="s">
        <v>308</v>
      </c>
      <c r="F68" s="360"/>
      <c r="G68" s="360"/>
      <c r="H68" s="360"/>
      <c r="I68" s="361"/>
      <c r="J68" s="357" t="str">
        <f t="shared" si="0"/>
        <v>No</v>
      </c>
      <c r="K68" s="358" t="str">
        <f t="shared" si="1"/>
        <v>No</v>
      </c>
      <c r="L68" s="295" t="str">
        <f t="shared" si="2"/>
        <v>Yes</v>
      </c>
    </row>
    <row r="69" spans="2:12" s="81" customFormat="1" ht="18.75" x14ac:dyDescent="0.35">
      <c r="B69" s="351" t="s">
        <v>178</v>
      </c>
      <c r="C69" s="352">
        <v>3500</v>
      </c>
      <c r="D69" s="353" t="s">
        <v>556</v>
      </c>
      <c r="E69" s="359" t="s">
        <v>308</v>
      </c>
      <c r="F69" s="360"/>
      <c r="G69" s="360"/>
      <c r="H69" s="360"/>
      <c r="I69" s="361"/>
      <c r="J69" s="357" t="str">
        <f t="shared" si="0"/>
        <v>No</v>
      </c>
      <c r="K69" s="358" t="str">
        <f t="shared" si="1"/>
        <v>No</v>
      </c>
      <c r="L69" s="295" t="str">
        <f t="shared" si="2"/>
        <v>No</v>
      </c>
    </row>
    <row r="70" spans="2:12" s="81" customFormat="1" ht="18.75" x14ac:dyDescent="0.35">
      <c r="B70" s="363" t="s">
        <v>587</v>
      </c>
      <c r="C70" s="352">
        <v>2533</v>
      </c>
      <c r="D70" s="353" t="s">
        <v>556</v>
      </c>
      <c r="E70" s="359" t="s">
        <v>308</v>
      </c>
      <c r="F70" s="360"/>
      <c r="G70" s="360"/>
      <c r="H70" s="360"/>
      <c r="I70" s="361"/>
      <c r="J70" s="357" t="str">
        <f t="shared" si="0"/>
        <v>No</v>
      </c>
      <c r="K70" s="358" t="str">
        <f t="shared" si="1"/>
        <v>No</v>
      </c>
      <c r="L70" s="295" t="str">
        <f t="shared" si="2"/>
        <v>No</v>
      </c>
    </row>
    <row r="71" spans="2:12" s="81" customFormat="1" ht="18.75" x14ac:dyDescent="0.35">
      <c r="B71" s="351" t="s">
        <v>179</v>
      </c>
      <c r="C71" s="352">
        <v>1430</v>
      </c>
      <c r="D71" s="353" t="s">
        <v>556</v>
      </c>
      <c r="E71" s="359" t="s">
        <v>310</v>
      </c>
      <c r="F71" s="360"/>
      <c r="G71" s="360"/>
      <c r="H71" s="360"/>
      <c r="I71" s="361"/>
      <c r="J71" s="357" t="str">
        <f t="shared" si="0"/>
        <v>No</v>
      </c>
      <c r="K71" s="358" t="str">
        <f t="shared" si="1"/>
        <v>No</v>
      </c>
      <c r="L71" s="295" t="str">
        <f t="shared" si="2"/>
        <v>Yes</v>
      </c>
    </row>
    <row r="72" spans="2:12" s="81" customFormat="1" ht="18.75" x14ac:dyDescent="0.35">
      <c r="B72" s="351" t="s">
        <v>180</v>
      </c>
      <c r="C72" s="352">
        <v>725</v>
      </c>
      <c r="D72" s="353" t="s">
        <v>556</v>
      </c>
      <c r="E72" s="359" t="s">
        <v>308</v>
      </c>
      <c r="F72" s="360"/>
      <c r="G72" s="360"/>
      <c r="H72" s="360"/>
      <c r="I72" s="361"/>
      <c r="J72" s="357" t="str">
        <f t="shared" si="0"/>
        <v>No</v>
      </c>
      <c r="K72" s="358" t="str">
        <f t="shared" si="1"/>
        <v>No</v>
      </c>
      <c r="L72" s="295" t="str">
        <f t="shared" si="2"/>
        <v>Yes</v>
      </c>
    </row>
    <row r="73" spans="2:12" s="81" customFormat="1" ht="18.75" x14ac:dyDescent="0.35">
      <c r="B73" s="351" t="s">
        <v>181</v>
      </c>
      <c r="C73" s="352">
        <v>2310</v>
      </c>
      <c r="D73" s="353" t="s">
        <v>556</v>
      </c>
      <c r="E73" s="359" t="s">
        <v>308</v>
      </c>
      <c r="F73" s="360"/>
      <c r="G73" s="360"/>
      <c r="H73" s="360"/>
      <c r="I73" s="361"/>
      <c r="J73" s="357" t="str">
        <f t="shared" si="0"/>
        <v>No</v>
      </c>
      <c r="K73" s="358" t="str">
        <f t="shared" si="1"/>
        <v>No</v>
      </c>
      <c r="L73" s="295" t="str">
        <f t="shared" si="2"/>
        <v>No</v>
      </c>
    </row>
    <row r="74" spans="2:12" s="81" customFormat="1" ht="18.75" x14ac:dyDescent="0.35">
      <c r="B74" s="351" t="s">
        <v>182</v>
      </c>
      <c r="C74" s="352">
        <v>4470</v>
      </c>
      <c r="D74" s="353" t="s">
        <v>556</v>
      </c>
      <c r="E74" s="359" t="s">
        <v>307</v>
      </c>
      <c r="F74" s="355"/>
      <c r="G74" s="355"/>
      <c r="H74" s="355"/>
      <c r="I74" s="356"/>
      <c r="J74" s="357" t="str">
        <f t="shared" si="0"/>
        <v>No</v>
      </c>
      <c r="K74" s="358" t="str">
        <f t="shared" si="1"/>
        <v>Yes</v>
      </c>
      <c r="L74" s="295" t="str">
        <f t="shared" si="2"/>
        <v>No</v>
      </c>
    </row>
    <row r="75" spans="2:12" s="81" customFormat="1" ht="18.75" x14ac:dyDescent="0.35">
      <c r="B75" s="351" t="s">
        <v>183</v>
      </c>
      <c r="C75" s="352">
        <v>124</v>
      </c>
      <c r="D75" s="353" t="s">
        <v>556</v>
      </c>
      <c r="E75" s="359" t="s">
        <v>308</v>
      </c>
      <c r="F75" s="360"/>
      <c r="G75" s="360"/>
      <c r="H75" s="360"/>
      <c r="I75" s="361"/>
      <c r="J75" s="357" t="str">
        <f t="shared" si="0"/>
        <v>No</v>
      </c>
      <c r="K75" s="358" t="str">
        <f t="shared" si="1"/>
        <v>No</v>
      </c>
      <c r="L75" s="295" t="str">
        <f t="shared" si="2"/>
        <v>Yes</v>
      </c>
    </row>
    <row r="76" spans="2:12" s="81" customFormat="1" ht="18.75" x14ac:dyDescent="0.35">
      <c r="B76" s="351" t="s">
        <v>184</v>
      </c>
      <c r="C76" s="352">
        <v>12</v>
      </c>
      <c r="D76" s="353" t="s">
        <v>556</v>
      </c>
      <c r="E76" s="359" t="s">
        <v>308</v>
      </c>
      <c r="F76" s="360"/>
      <c r="G76" s="360"/>
      <c r="H76" s="360"/>
      <c r="I76" s="361"/>
      <c r="J76" s="357" t="str">
        <f t="shared" si="0"/>
        <v>No</v>
      </c>
      <c r="K76" s="358" t="str">
        <f t="shared" si="1"/>
        <v>No</v>
      </c>
      <c r="L76" s="295" t="str">
        <f t="shared" si="2"/>
        <v>Yes</v>
      </c>
    </row>
    <row r="77" spans="2:12" s="81" customFormat="1" ht="18.75" x14ac:dyDescent="0.35">
      <c r="B77" s="351" t="s">
        <v>185</v>
      </c>
      <c r="C77" s="352">
        <v>6</v>
      </c>
      <c r="D77" s="353" t="s">
        <v>556</v>
      </c>
      <c r="E77" s="359" t="s">
        <v>308</v>
      </c>
      <c r="F77" s="360"/>
      <c r="G77" s="360"/>
      <c r="H77" s="360"/>
      <c r="I77" s="362" t="s">
        <v>309</v>
      </c>
      <c r="J77" s="357" t="str">
        <f t="shared" si="0"/>
        <v>Yes</v>
      </c>
      <c r="K77" s="358" t="str">
        <f t="shared" si="1"/>
        <v>No</v>
      </c>
      <c r="L77" s="295" t="str">
        <f t="shared" si="2"/>
        <v>Yes</v>
      </c>
    </row>
    <row r="78" spans="2:12" s="81" customFormat="1" ht="18.75" x14ac:dyDescent="0.35">
      <c r="B78" s="351" t="s">
        <v>186</v>
      </c>
      <c r="C78" s="352">
        <v>8830</v>
      </c>
      <c r="D78" s="353" t="s">
        <v>556</v>
      </c>
      <c r="E78" s="359" t="s">
        <v>308</v>
      </c>
      <c r="F78" s="360"/>
      <c r="G78" s="360"/>
      <c r="H78" s="360"/>
      <c r="I78" s="361"/>
      <c r="J78" s="357" t="str">
        <f t="shared" si="0"/>
        <v>No</v>
      </c>
      <c r="K78" s="358" t="str">
        <f t="shared" si="1"/>
        <v>Yes</v>
      </c>
      <c r="L78" s="295" t="str">
        <f t="shared" si="2"/>
        <v>No</v>
      </c>
    </row>
    <row r="79" spans="2:12" s="81" customFormat="1" ht="18.75" x14ac:dyDescent="0.35">
      <c r="B79" s="351" t="s">
        <v>187</v>
      </c>
      <c r="C79" s="352">
        <v>122</v>
      </c>
      <c r="D79" s="353" t="s">
        <v>556</v>
      </c>
      <c r="E79" s="359" t="s">
        <v>308</v>
      </c>
      <c r="F79" s="360"/>
      <c r="G79" s="360"/>
      <c r="H79" s="360"/>
      <c r="I79" s="361"/>
      <c r="J79" s="357" t="str">
        <f t="shared" si="0"/>
        <v>No</v>
      </c>
      <c r="K79" s="358" t="str">
        <f t="shared" si="1"/>
        <v>No</v>
      </c>
      <c r="L79" s="295" t="str">
        <f t="shared" si="2"/>
        <v>Yes</v>
      </c>
    </row>
    <row r="80" spans="2:12" s="81" customFormat="1" ht="18.75" x14ac:dyDescent="0.35">
      <c r="B80" s="351" t="s">
        <v>188</v>
      </c>
      <c r="C80" s="352">
        <v>595</v>
      </c>
      <c r="D80" s="353" t="s">
        <v>556</v>
      </c>
      <c r="E80" s="359" t="s">
        <v>308</v>
      </c>
      <c r="F80" s="360"/>
      <c r="G80" s="360"/>
      <c r="H80" s="360"/>
      <c r="I80" s="361"/>
      <c r="J80" s="357" t="str">
        <f t="shared" si="0"/>
        <v>No</v>
      </c>
      <c r="K80" s="358" t="str">
        <f t="shared" si="1"/>
        <v>No</v>
      </c>
      <c r="L80" s="295" t="str">
        <f t="shared" si="2"/>
        <v>Yes</v>
      </c>
    </row>
    <row r="81" spans="2:12" s="81" customFormat="1" ht="18.75" x14ac:dyDescent="0.35">
      <c r="B81" s="351" t="s">
        <v>189</v>
      </c>
      <c r="C81" s="352">
        <v>3220</v>
      </c>
      <c r="D81" s="353" t="s">
        <v>556</v>
      </c>
      <c r="E81" s="359" t="s">
        <v>308</v>
      </c>
      <c r="F81" s="360"/>
      <c r="G81" s="360"/>
      <c r="H81" s="360"/>
      <c r="I81" s="361"/>
      <c r="J81" s="357" t="str">
        <f t="shared" si="0"/>
        <v>No</v>
      </c>
      <c r="K81" s="358" t="str">
        <f t="shared" si="1"/>
        <v>No</v>
      </c>
      <c r="L81" s="295" t="str">
        <f t="shared" si="2"/>
        <v>No</v>
      </c>
    </row>
    <row r="82" spans="2:12" s="81" customFormat="1" ht="18.75" x14ac:dyDescent="0.35">
      <c r="B82" s="351" t="s">
        <v>190</v>
      </c>
      <c r="C82" s="352">
        <v>9810</v>
      </c>
      <c r="D82" s="353" t="s">
        <v>556</v>
      </c>
      <c r="E82" s="359" t="s">
        <v>308</v>
      </c>
      <c r="F82" s="360"/>
      <c r="G82" s="360"/>
      <c r="H82" s="360"/>
      <c r="I82" s="361"/>
      <c r="J82" s="357" t="str">
        <f t="shared" si="0"/>
        <v>No</v>
      </c>
      <c r="K82" s="358" t="str">
        <f t="shared" si="1"/>
        <v>Yes</v>
      </c>
      <c r="L82" s="295" t="str">
        <f t="shared" si="2"/>
        <v>No</v>
      </c>
    </row>
    <row r="83" spans="2:12" s="81" customFormat="1" ht="18.75" x14ac:dyDescent="0.35">
      <c r="B83" s="351" t="s">
        <v>191</v>
      </c>
      <c r="C83" s="352">
        <v>1030</v>
      </c>
      <c r="D83" s="353" t="s">
        <v>556</v>
      </c>
      <c r="E83" s="359" t="s">
        <v>308</v>
      </c>
      <c r="F83" s="360"/>
      <c r="G83" s="360"/>
      <c r="H83" s="360"/>
      <c r="I83" s="361"/>
      <c r="J83" s="357" t="str">
        <f t="shared" si="0"/>
        <v>No</v>
      </c>
      <c r="K83" s="358" t="str">
        <f t="shared" si="1"/>
        <v>No</v>
      </c>
      <c r="L83" s="295" t="str">
        <f t="shared" si="2"/>
        <v>Yes</v>
      </c>
    </row>
    <row r="84" spans="2:12" s="81" customFormat="1" ht="18.75" x14ac:dyDescent="0.35">
      <c r="B84" s="351" t="s">
        <v>311</v>
      </c>
      <c r="C84" s="352">
        <v>3</v>
      </c>
      <c r="D84" s="353" t="s">
        <v>556</v>
      </c>
      <c r="E84" s="359" t="s">
        <v>307</v>
      </c>
      <c r="F84" s="360"/>
      <c r="G84" s="360"/>
      <c r="H84" s="360"/>
      <c r="I84" s="361"/>
      <c r="J84" s="357" t="str">
        <f t="shared" si="0"/>
        <v>Yes</v>
      </c>
      <c r="K84" s="358" t="str">
        <f t="shared" si="1"/>
        <v>No</v>
      </c>
      <c r="L84" s="295" t="str">
        <f t="shared" si="2"/>
        <v>Yes</v>
      </c>
    </row>
    <row r="85" spans="2:12" s="81" customFormat="1" ht="18.75" x14ac:dyDescent="0.35">
      <c r="B85" s="351" t="s">
        <v>193</v>
      </c>
      <c r="C85" s="352">
        <v>794</v>
      </c>
      <c r="D85" s="353" t="s">
        <v>556</v>
      </c>
      <c r="E85" s="359" t="s">
        <v>308</v>
      </c>
      <c r="F85" s="360"/>
      <c r="G85" s="360"/>
      <c r="H85" s="360"/>
      <c r="I85" s="361"/>
      <c r="J85" s="357" t="str">
        <f t="shared" si="0"/>
        <v>No</v>
      </c>
      <c r="K85" s="358" t="str">
        <f t="shared" si="1"/>
        <v>No</v>
      </c>
      <c r="L85" s="295" t="str">
        <f t="shared" si="2"/>
        <v>Yes</v>
      </c>
    </row>
    <row r="86" spans="2:12" s="81" customFormat="1" ht="18.75" x14ac:dyDescent="0.35">
      <c r="B86" s="351" t="s">
        <v>194</v>
      </c>
      <c r="C86" s="352">
        <v>1182</v>
      </c>
      <c r="D86" s="353" t="s">
        <v>556</v>
      </c>
      <c r="E86" s="359" t="s">
        <v>307</v>
      </c>
      <c r="F86" s="360"/>
      <c r="G86" s="360"/>
      <c r="H86" s="360"/>
      <c r="I86" s="361"/>
      <c r="J86" s="357" t="str">
        <f t="shared" si="0"/>
        <v>No</v>
      </c>
      <c r="K86" s="358" t="str">
        <f t="shared" si="1"/>
        <v>No</v>
      </c>
      <c r="L86" s="295" t="str">
        <f t="shared" si="2"/>
        <v>Yes</v>
      </c>
    </row>
    <row r="87" spans="2:12" s="81" customFormat="1" ht="18.75" x14ac:dyDescent="0.35">
      <c r="B87" s="351" t="s">
        <v>195</v>
      </c>
      <c r="C87" s="352">
        <v>1288</v>
      </c>
      <c r="D87" s="353" t="s">
        <v>556</v>
      </c>
      <c r="E87" s="359" t="s">
        <v>307</v>
      </c>
      <c r="F87" s="360"/>
      <c r="G87" s="360"/>
      <c r="H87" s="360"/>
      <c r="I87" s="361"/>
      <c r="J87" s="357" t="str">
        <f t="shared" si="0"/>
        <v>No</v>
      </c>
      <c r="K87" s="358" t="str">
        <f t="shared" si="1"/>
        <v>No</v>
      </c>
      <c r="L87" s="295" t="str">
        <f t="shared" si="2"/>
        <v>Yes</v>
      </c>
    </row>
    <row r="88" spans="2:12" s="81" customFormat="1" ht="18.75" x14ac:dyDescent="0.35">
      <c r="B88" s="351" t="s">
        <v>196</v>
      </c>
      <c r="C88" s="352">
        <v>933</v>
      </c>
      <c r="D88" s="353" t="s">
        <v>556</v>
      </c>
      <c r="E88" s="359" t="s">
        <v>308</v>
      </c>
      <c r="F88" s="360"/>
      <c r="G88" s="360"/>
      <c r="H88" s="360"/>
      <c r="I88" s="361"/>
      <c r="J88" s="357" t="str">
        <f t="shared" si="0"/>
        <v>No</v>
      </c>
      <c r="K88" s="358" t="str">
        <f t="shared" si="1"/>
        <v>No</v>
      </c>
      <c r="L88" s="295" t="str">
        <f t="shared" si="2"/>
        <v>Yes</v>
      </c>
    </row>
    <row r="89" spans="2:12" s="81" customFormat="1" ht="18.75" x14ac:dyDescent="0.35">
      <c r="B89" s="351" t="s">
        <v>197</v>
      </c>
      <c r="C89" s="352">
        <v>2788</v>
      </c>
      <c r="D89" s="353" t="s">
        <v>556</v>
      </c>
      <c r="E89" s="359" t="s">
        <v>307</v>
      </c>
      <c r="F89" s="360"/>
      <c r="G89" s="360"/>
      <c r="H89" s="360"/>
      <c r="I89" s="361"/>
      <c r="J89" s="357" t="str">
        <f t="shared" si="0"/>
        <v>No</v>
      </c>
      <c r="K89" s="358" t="str">
        <f t="shared" si="1"/>
        <v>No</v>
      </c>
      <c r="L89" s="295" t="str">
        <f t="shared" si="2"/>
        <v>No</v>
      </c>
    </row>
    <row r="90" spans="2:12" s="81" customFormat="1" ht="18.75" x14ac:dyDescent="0.35">
      <c r="B90" s="351" t="s">
        <v>198</v>
      </c>
      <c r="C90" s="352">
        <v>2416</v>
      </c>
      <c r="D90" s="353" t="s">
        <v>556</v>
      </c>
      <c r="E90" s="359" t="s">
        <v>307</v>
      </c>
      <c r="F90" s="360"/>
      <c r="G90" s="360"/>
      <c r="H90" s="360"/>
      <c r="I90" s="361"/>
      <c r="J90" s="357" t="str">
        <f t="shared" si="0"/>
        <v>No</v>
      </c>
      <c r="K90" s="358" t="str">
        <f t="shared" si="1"/>
        <v>No</v>
      </c>
      <c r="L90" s="295" t="str">
        <f t="shared" si="2"/>
        <v>No</v>
      </c>
    </row>
    <row r="91" spans="2:12" s="81" customFormat="1" ht="18.75" x14ac:dyDescent="0.35">
      <c r="B91" s="351" t="s">
        <v>199</v>
      </c>
      <c r="C91" s="352">
        <v>4457.5</v>
      </c>
      <c r="D91" s="353" t="s">
        <v>556</v>
      </c>
      <c r="E91" s="359" t="s">
        <v>308</v>
      </c>
      <c r="F91" s="360"/>
      <c r="G91" s="360"/>
      <c r="H91" s="360"/>
      <c r="I91" s="361"/>
      <c r="J91" s="357" t="str">
        <f t="shared" si="0"/>
        <v>No</v>
      </c>
      <c r="K91" s="358" t="str">
        <f t="shared" si="1"/>
        <v>Yes</v>
      </c>
      <c r="L91" s="295" t="str">
        <f t="shared" si="2"/>
        <v>No</v>
      </c>
    </row>
    <row r="92" spans="2:12" s="81" customFormat="1" ht="18.75" x14ac:dyDescent="0.35">
      <c r="B92" s="351" t="s">
        <v>201</v>
      </c>
      <c r="C92" s="352">
        <v>1943</v>
      </c>
      <c r="D92" s="353" t="s">
        <v>556</v>
      </c>
      <c r="E92" s="359" t="s">
        <v>307</v>
      </c>
      <c r="F92" s="360"/>
      <c r="G92" s="360"/>
      <c r="H92" s="360"/>
      <c r="I92" s="361"/>
      <c r="J92" s="357" t="str">
        <f t="shared" si="0"/>
        <v>No</v>
      </c>
      <c r="K92" s="358" t="str">
        <f t="shared" si="1"/>
        <v>No</v>
      </c>
      <c r="L92" s="295" t="str">
        <f t="shared" si="2"/>
        <v>No</v>
      </c>
    </row>
    <row r="93" spans="2:12" s="81" customFormat="1" ht="18.75" x14ac:dyDescent="0.35">
      <c r="B93" s="351" t="s">
        <v>202</v>
      </c>
      <c r="C93" s="352">
        <v>2107</v>
      </c>
      <c r="D93" s="353" t="s">
        <v>556</v>
      </c>
      <c r="E93" s="359" t="s">
        <v>307</v>
      </c>
      <c r="F93" s="360"/>
      <c r="G93" s="360"/>
      <c r="H93" s="360"/>
      <c r="I93" s="361"/>
      <c r="J93" s="357" t="str">
        <f t="shared" si="0"/>
        <v>No</v>
      </c>
      <c r="K93" s="358" t="str">
        <f t="shared" si="1"/>
        <v>No</v>
      </c>
      <c r="L93" s="295" t="str">
        <f t="shared" si="2"/>
        <v>No</v>
      </c>
    </row>
    <row r="94" spans="2:12" s="81" customFormat="1" ht="18.75" x14ac:dyDescent="0.35">
      <c r="B94" s="351" t="s">
        <v>203</v>
      </c>
      <c r="C94" s="352">
        <v>2803</v>
      </c>
      <c r="D94" s="353" t="s">
        <v>556</v>
      </c>
      <c r="E94" s="359" t="s">
        <v>307</v>
      </c>
      <c r="F94" s="360"/>
      <c r="G94" s="360"/>
      <c r="H94" s="360"/>
      <c r="I94" s="361"/>
      <c r="J94" s="357" t="str">
        <f t="shared" si="0"/>
        <v>No</v>
      </c>
      <c r="K94" s="358" t="str">
        <f t="shared" si="1"/>
        <v>No</v>
      </c>
      <c r="L94" s="295" t="str">
        <f t="shared" si="2"/>
        <v>No</v>
      </c>
    </row>
    <row r="95" spans="2:12" s="81" customFormat="1" ht="18.75" x14ac:dyDescent="0.35">
      <c r="B95" s="351" t="s">
        <v>204</v>
      </c>
      <c r="C95" s="352">
        <v>1774</v>
      </c>
      <c r="D95" s="353" t="s">
        <v>556</v>
      </c>
      <c r="E95" s="359" t="s">
        <v>307</v>
      </c>
      <c r="F95" s="360"/>
      <c r="G95" s="360"/>
      <c r="H95" s="360"/>
      <c r="I95" s="361"/>
      <c r="J95" s="357" t="str">
        <f t="shared" si="0"/>
        <v>No</v>
      </c>
      <c r="K95" s="358" t="str">
        <f t="shared" si="1"/>
        <v>No</v>
      </c>
      <c r="L95" s="295" t="str">
        <f t="shared" si="2"/>
        <v>No</v>
      </c>
    </row>
    <row r="96" spans="2:12" s="81" customFormat="1" ht="18.75" x14ac:dyDescent="0.35">
      <c r="B96" s="351" t="s">
        <v>205</v>
      </c>
      <c r="C96" s="352">
        <v>1627</v>
      </c>
      <c r="D96" s="353" t="s">
        <v>556</v>
      </c>
      <c r="E96" s="359" t="s">
        <v>308</v>
      </c>
      <c r="F96" s="360"/>
      <c r="G96" s="360"/>
      <c r="H96" s="360"/>
      <c r="I96" s="361"/>
      <c r="J96" s="357" t="str">
        <f t="shared" si="0"/>
        <v>No</v>
      </c>
      <c r="K96" s="358" t="str">
        <f t="shared" si="1"/>
        <v>No</v>
      </c>
      <c r="L96" s="295" t="str">
        <f t="shared" si="2"/>
        <v>No</v>
      </c>
    </row>
    <row r="97" spans="2:12" s="81" customFormat="1" ht="18.75" x14ac:dyDescent="0.35">
      <c r="B97" s="351" t="s">
        <v>206</v>
      </c>
      <c r="C97" s="352">
        <v>1825</v>
      </c>
      <c r="D97" s="353" t="s">
        <v>556</v>
      </c>
      <c r="E97" s="359" t="s">
        <v>307</v>
      </c>
      <c r="F97" s="360"/>
      <c r="G97" s="360"/>
      <c r="H97" s="360"/>
      <c r="I97" s="361"/>
      <c r="J97" s="357" t="str">
        <f t="shared" si="0"/>
        <v>No</v>
      </c>
      <c r="K97" s="358" t="str">
        <f t="shared" si="1"/>
        <v>No</v>
      </c>
      <c r="L97" s="295" t="str">
        <f t="shared" si="2"/>
        <v>No</v>
      </c>
    </row>
    <row r="98" spans="2:12" s="81" customFormat="1" ht="18.75" x14ac:dyDescent="0.35">
      <c r="B98" s="351" t="s">
        <v>207</v>
      </c>
      <c r="C98" s="352">
        <v>1495</v>
      </c>
      <c r="D98" s="353" t="s">
        <v>556</v>
      </c>
      <c r="E98" s="359" t="s">
        <v>307</v>
      </c>
      <c r="F98" s="360"/>
      <c r="G98" s="360"/>
      <c r="H98" s="360"/>
      <c r="I98" s="361"/>
      <c r="J98" s="357" t="str">
        <f t="shared" si="0"/>
        <v>No</v>
      </c>
      <c r="K98" s="358" t="str">
        <f t="shared" si="1"/>
        <v>No</v>
      </c>
      <c r="L98" s="295" t="str">
        <f t="shared" si="2"/>
        <v>Yes</v>
      </c>
    </row>
    <row r="99" spans="2:12" s="81" customFormat="1" ht="18.75" x14ac:dyDescent="0.35">
      <c r="B99" s="351" t="s">
        <v>208</v>
      </c>
      <c r="C99" s="352">
        <v>3152</v>
      </c>
      <c r="D99" s="353" t="s">
        <v>556</v>
      </c>
      <c r="E99" s="359" t="s">
        <v>307</v>
      </c>
      <c r="F99" s="360"/>
      <c r="G99" s="360"/>
      <c r="H99" s="360"/>
      <c r="I99" s="361"/>
      <c r="J99" s="357" t="str">
        <f t="shared" si="0"/>
        <v>No</v>
      </c>
      <c r="K99" s="358" t="str">
        <f t="shared" si="1"/>
        <v>No</v>
      </c>
      <c r="L99" s="295" t="str">
        <f t="shared" si="2"/>
        <v>No</v>
      </c>
    </row>
    <row r="100" spans="2:12" s="81" customFormat="1" ht="18.75" x14ac:dyDescent="0.35">
      <c r="B100" s="351" t="s">
        <v>209</v>
      </c>
      <c r="C100" s="352">
        <v>1585</v>
      </c>
      <c r="D100" s="353" t="s">
        <v>556</v>
      </c>
      <c r="E100" s="359" t="s">
        <v>307</v>
      </c>
      <c r="F100" s="360"/>
      <c r="G100" s="360"/>
      <c r="H100" s="360"/>
      <c r="I100" s="361"/>
      <c r="J100" s="357" t="str">
        <f t="shared" si="0"/>
        <v>No</v>
      </c>
      <c r="K100" s="358" t="str">
        <f t="shared" si="1"/>
        <v>No</v>
      </c>
      <c r="L100" s="295" t="str">
        <f t="shared" si="2"/>
        <v>No</v>
      </c>
    </row>
    <row r="101" spans="2:12" s="81" customFormat="1" ht="18.75" x14ac:dyDescent="0.35">
      <c r="B101" s="351" t="s">
        <v>210</v>
      </c>
      <c r="C101" s="352">
        <v>2088</v>
      </c>
      <c r="D101" s="353" t="s">
        <v>556</v>
      </c>
      <c r="E101" s="359" t="s">
        <v>307</v>
      </c>
      <c r="F101" s="360"/>
      <c r="G101" s="360"/>
      <c r="H101" s="360"/>
      <c r="I101" s="361"/>
      <c r="J101" s="357" t="str">
        <f t="shared" si="0"/>
        <v>No</v>
      </c>
      <c r="K101" s="358" t="str">
        <f t="shared" si="1"/>
        <v>No</v>
      </c>
      <c r="L101" s="295" t="str">
        <f t="shared" si="2"/>
        <v>No</v>
      </c>
    </row>
    <row r="102" spans="2:12" s="81" customFormat="1" ht="18.75" x14ac:dyDescent="0.35">
      <c r="B102" s="351" t="s">
        <v>211</v>
      </c>
      <c r="C102" s="352">
        <v>2229</v>
      </c>
      <c r="D102" s="353" t="s">
        <v>556</v>
      </c>
      <c r="E102" s="359" t="s">
        <v>308</v>
      </c>
      <c r="F102" s="360"/>
      <c r="G102" s="360"/>
      <c r="H102" s="360"/>
      <c r="I102" s="361"/>
      <c r="J102" s="357" t="str">
        <f t="shared" si="0"/>
        <v>No</v>
      </c>
      <c r="K102" s="358" t="str">
        <f t="shared" si="1"/>
        <v>No</v>
      </c>
      <c r="L102" s="295" t="str">
        <f t="shared" si="2"/>
        <v>No</v>
      </c>
    </row>
    <row r="103" spans="2:12" s="81" customFormat="1" ht="18.75" x14ac:dyDescent="0.35">
      <c r="B103" s="351" t="s">
        <v>212</v>
      </c>
      <c r="C103" s="352">
        <v>1597</v>
      </c>
      <c r="D103" s="353" t="s">
        <v>556</v>
      </c>
      <c r="E103" s="359" t="s">
        <v>307</v>
      </c>
      <c r="F103" s="360"/>
      <c r="G103" s="360"/>
      <c r="H103" s="360"/>
      <c r="I103" s="361"/>
      <c r="J103" s="357" t="str">
        <f t="shared" si="0"/>
        <v>No</v>
      </c>
      <c r="K103" s="358" t="str">
        <f t="shared" si="1"/>
        <v>No</v>
      </c>
      <c r="L103" s="295" t="str">
        <f t="shared" si="2"/>
        <v>No</v>
      </c>
    </row>
    <row r="104" spans="2:12" s="81" customFormat="1" ht="18.75" x14ac:dyDescent="0.35">
      <c r="B104" s="351" t="s">
        <v>213</v>
      </c>
      <c r="C104" s="352">
        <v>1705</v>
      </c>
      <c r="D104" s="353" t="s">
        <v>556</v>
      </c>
      <c r="E104" s="359" t="s">
        <v>307</v>
      </c>
      <c r="F104" s="360"/>
      <c r="G104" s="360"/>
      <c r="H104" s="360"/>
      <c r="I104" s="361"/>
      <c r="J104" s="357" t="str">
        <f t="shared" si="0"/>
        <v>No</v>
      </c>
      <c r="K104" s="358" t="str">
        <f t="shared" si="1"/>
        <v>No</v>
      </c>
      <c r="L104" s="295" t="str">
        <f t="shared" si="2"/>
        <v>No</v>
      </c>
    </row>
    <row r="105" spans="2:12" s="81" customFormat="1" ht="18.75" x14ac:dyDescent="0.35">
      <c r="B105" s="351" t="s">
        <v>214</v>
      </c>
      <c r="C105" s="352">
        <v>2053.25</v>
      </c>
      <c r="D105" s="353" t="s">
        <v>556</v>
      </c>
      <c r="E105" s="359" t="s">
        <v>308</v>
      </c>
      <c r="F105" s="360"/>
      <c r="G105" s="360"/>
      <c r="H105" s="360"/>
      <c r="I105" s="361"/>
      <c r="J105" s="357" t="str">
        <f t="shared" si="0"/>
        <v>No</v>
      </c>
      <c r="K105" s="358" t="str">
        <f t="shared" si="1"/>
        <v>No</v>
      </c>
      <c r="L105" s="295" t="str">
        <f t="shared" si="2"/>
        <v>No</v>
      </c>
    </row>
    <row r="106" spans="2:12" s="81" customFormat="1" ht="18.75" x14ac:dyDescent="0.35">
      <c r="B106" s="351" t="s">
        <v>215</v>
      </c>
      <c r="C106" s="352">
        <v>1478</v>
      </c>
      <c r="D106" s="353" t="s">
        <v>556</v>
      </c>
      <c r="E106" s="359" t="s">
        <v>307</v>
      </c>
      <c r="F106" s="360"/>
      <c r="G106" s="360"/>
      <c r="H106" s="360"/>
      <c r="I106" s="361"/>
      <c r="J106" s="357" t="str">
        <f t="shared" si="0"/>
        <v>No</v>
      </c>
      <c r="K106" s="358" t="str">
        <f t="shared" si="1"/>
        <v>No</v>
      </c>
      <c r="L106" s="295" t="str">
        <f t="shared" si="2"/>
        <v>Yes</v>
      </c>
    </row>
    <row r="107" spans="2:12" s="81" customFormat="1" ht="18.75" x14ac:dyDescent="0.35">
      <c r="B107" s="351" t="s">
        <v>216</v>
      </c>
      <c r="C107" s="352">
        <v>1362</v>
      </c>
      <c r="D107" s="353" t="s">
        <v>556</v>
      </c>
      <c r="E107" s="359" t="s">
        <v>307</v>
      </c>
      <c r="F107" s="360"/>
      <c r="G107" s="360"/>
      <c r="H107" s="360"/>
      <c r="I107" s="361"/>
      <c r="J107" s="357" t="str">
        <f t="shared" si="0"/>
        <v>No</v>
      </c>
      <c r="K107" s="358" t="str">
        <f t="shared" si="1"/>
        <v>No</v>
      </c>
      <c r="L107" s="295" t="str">
        <f t="shared" si="2"/>
        <v>Yes</v>
      </c>
    </row>
    <row r="108" spans="2:12" s="81" customFormat="1" ht="18.75" x14ac:dyDescent="0.35">
      <c r="B108" s="351" t="s">
        <v>217</v>
      </c>
      <c r="C108" s="352">
        <v>1084</v>
      </c>
      <c r="D108" s="353" t="s">
        <v>556</v>
      </c>
      <c r="E108" s="359" t="s">
        <v>307</v>
      </c>
      <c r="F108" s="360"/>
      <c r="G108" s="360"/>
      <c r="H108" s="360"/>
      <c r="I108" s="361"/>
      <c r="J108" s="357" t="str">
        <f t="shared" si="0"/>
        <v>No</v>
      </c>
      <c r="K108" s="358" t="str">
        <f t="shared" si="1"/>
        <v>No</v>
      </c>
      <c r="L108" s="295" t="str">
        <f t="shared" si="2"/>
        <v>Yes</v>
      </c>
    </row>
    <row r="109" spans="2:12" s="81" customFormat="1" ht="18.75" x14ac:dyDescent="0.35">
      <c r="B109" s="351" t="s">
        <v>218</v>
      </c>
      <c r="C109" s="352">
        <v>2346</v>
      </c>
      <c r="D109" s="353" t="s">
        <v>556</v>
      </c>
      <c r="E109" s="359" t="s">
        <v>307</v>
      </c>
      <c r="F109" s="360"/>
      <c r="G109" s="360"/>
      <c r="H109" s="360"/>
      <c r="I109" s="361"/>
      <c r="J109" s="357" t="str">
        <f t="shared" si="0"/>
        <v>No</v>
      </c>
      <c r="K109" s="358" t="str">
        <f t="shared" si="1"/>
        <v>No</v>
      </c>
      <c r="L109" s="295" t="str">
        <f t="shared" si="2"/>
        <v>No</v>
      </c>
    </row>
    <row r="110" spans="2:12" s="81" customFormat="1" ht="18.75" x14ac:dyDescent="0.35">
      <c r="B110" s="351" t="s">
        <v>219</v>
      </c>
      <c r="C110" s="352">
        <v>1809</v>
      </c>
      <c r="D110" s="353" t="s">
        <v>556</v>
      </c>
      <c r="E110" s="359" t="s">
        <v>307</v>
      </c>
      <c r="F110" s="360"/>
      <c r="G110" s="360"/>
      <c r="H110" s="360"/>
      <c r="I110" s="361"/>
      <c r="J110" s="357" t="str">
        <f t="shared" si="0"/>
        <v>No</v>
      </c>
      <c r="K110" s="358" t="str">
        <f t="shared" si="1"/>
        <v>No</v>
      </c>
      <c r="L110" s="295" t="str">
        <f t="shared" si="2"/>
        <v>No</v>
      </c>
    </row>
    <row r="111" spans="2:12" s="81" customFormat="1" ht="18.75" x14ac:dyDescent="0.35">
      <c r="B111" s="351" t="s">
        <v>220</v>
      </c>
      <c r="C111" s="352">
        <v>1536</v>
      </c>
      <c r="D111" s="353" t="s">
        <v>556</v>
      </c>
      <c r="E111" s="359" t="s">
        <v>307</v>
      </c>
      <c r="F111" s="360"/>
      <c r="G111" s="360"/>
      <c r="H111" s="360"/>
      <c r="I111" s="361"/>
      <c r="J111" s="357" t="str">
        <f t="shared" ref="J111:J168" si="3">IF(C111&lt;10,"Yes","No")</f>
        <v>No</v>
      </c>
      <c r="K111" s="358" t="str">
        <f t="shared" ref="K111:K168" si="4">IF(C111&gt;3900,"Yes","No")</f>
        <v>No</v>
      </c>
      <c r="L111" s="295" t="str">
        <f t="shared" ref="L111:L168" si="5">IF(C111&lt;1500,"Yes","No")</f>
        <v>No</v>
      </c>
    </row>
    <row r="112" spans="2:12" s="81" customFormat="1" ht="18.75" x14ac:dyDescent="0.35">
      <c r="B112" s="351" t="s">
        <v>221</v>
      </c>
      <c r="C112" s="352">
        <v>2631</v>
      </c>
      <c r="D112" s="353" t="s">
        <v>556</v>
      </c>
      <c r="E112" s="359" t="s">
        <v>307</v>
      </c>
      <c r="F112" s="360"/>
      <c r="G112" s="360"/>
      <c r="H112" s="360"/>
      <c r="I112" s="361"/>
      <c r="J112" s="357" t="str">
        <f t="shared" si="3"/>
        <v>No</v>
      </c>
      <c r="K112" s="358" t="str">
        <f t="shared" si="4"/>
        <v>No</v>
      </c>
      <c r="L112" s="295" t="str">
        <f t="shared" si="5"/>
        <v>No</v>
      </c>
    </row>
    <row r="113" spans="2:12" s="81" customFormat="1" ht="18.75" x14ac:dyDescent="0.35">
      <c r="B113" s="351" t="s">
        <v>222</v>
      </c>
      <c r="C113" s="352">
        <v>3190</v>
      </c>
      <c r="D113" s="353" t="s">
        <v>556</v>
      </c>
      <c r="E113" s="359" t="s">
        <v>308</v>
      </c>
      <c r="F113" s="360"/>
      <c r="G113" s="360"/>
      <c r="H113" s="360"/>
      <c r="I113" s="361"/>
      <c r="J113" s="357" t="str">
        <f t="shared" si="3"/>
        <v>No</v>
      </c>
      <c r="K113" s="358" t="str">
        <f t="shared" si="4"/>
        <v>No</v>
      </c>
      <c r="L113" s="295" t="str">
        <f t="shared" si="5"/>
        <v>No</v>
      </c>
    </row>
    <row r="114" spans="2:12" s="81" customFormat="1" ht="18.75" x14ac:dyDescent="0.35">
      <c r="B114" s="351" t="s">
        <v>223</v>
      </c>
      <c r="C114" s="352">
        <v>3143.12</v>
      </c>
      <c r="D114" s="353" t="s">
        <v>556</v>
      </c>
      <c r="E114" s="359" t="s">
        <v>308</v>
      </c>
      <c r="F114" s="360"/>
      <c r="G114" s="360"/>
      <c r="H114" s="360"/>
      <c r="I114" s="361"/>
      <c r="J114" s="357" t="str">
        <f t="shared" si="3"/>
        <v>No</v>
      </c>
      <c r="K114" s="358" t="str">
        <f t="shared" si="4"/>
        <v>No</v>
      </c>
      <c r="L114" s="295" t="str">
        <f t="shared" si="5"/>
        <v>No</v>
      </c>
    </row>
    <row r="115" spans="2:12" s="81" customFormat="1" ht="18.75" x14ac:dyDescent="0.35">
      <c r="B115" s="351" t="s">
        <v>224</v>
      </c>
      <c r="C115" s="352">
        <v>2526</v>
      </c>
      <c r="D115" s="353" t="s">
        <v>556</v>
      </c>
      <c r="E115" s="359" t="s">
        <v>307</v>
      </c>
      <c r="F115" s="360"/>
      <c r="G115" s="360"/>
      <c r="H115" s="360"/>
      <c r="I115" s="361"/>
      <c r="J115" s="357" t="str">
        <f t="shared" si="3"/>
        <v>No</v>
      </c>
      <c r="K115" s="358" t="str">
        <f t="shared" si="4"/>
        <v>No</v>
      </c>
      <c r="L115" s="295" t="str">
        <f t="shared" si="5"/>
        <v>No</v>
      </c>
    </row>
    <row r="116" spans="2:12" s="81" customFormat="1" ht="18.75" x14ac:dyDescent="0.35">
      <c r="B116" s="351" t="s">
        <v>225</v>
      </c>
      <c r="C116" s="352">
        <v>3084.65</v>
      </c>
      <c r="D116" s="353" t="s">
        <v>556</v>
      </c>
      <c r="E116" s="359" t="s">
        <v>308</v>
      </c>
      <c r="F116" s="360"/>
      <c r="G116" s="360"/>
      <c r="H116" s="360"/>
      <c r="I116" s="361"/>
      <c r="J116" s="357" t="str">
        <f t="shared" si="3"/>
        <v>No</v>
      </c>
      <c r="K116" s="358" t="str">
        <f t="shared" si="4"/>
        <v>No</v>
      </c>
      <c r="L116" s="295" t="str">
        <f t="shared" si="5"/>
        <v>No</v>
      </c>
    </row>
    <row r="117" spans="2:12" s="81" customFormat="1" ht="18.75" x14ac:dyDescent="0.35">
      <c r="B117" s="351" t="s">
        <v>226</v>
      </c>
      <c r="C117" s="352">
        <v>2729</v>
      </c>
      <c r="D117" s="353" t="s">
        <v>556</v>
      </c>
      <c r="E117" s="359" t="s">
        <v>307</v>
      </c>
      <c r="F117" s="360"/>
      <c r="G117" s="360"/>
      <c r="H117" s="360"/>
      <c r="I117" s="361"/>
      <c r="J117" s="357" t="str">
        <f t="shared" si="3"/>
        <v>No</v>
      </c>
      <c r="K117" s="358" t="str">
        <f t="shared" si="4"/>
        <v>No</v>
      </c>
      <c r="L117" s="295" t="str">
        <f t="shared" si="5"/>
        <v>No</v>
      </c>
    </row>
    <row r="118" spans="2:12" s="81" customFormat="1" ht="18.75" x14ac:dyDescent="0.35">
      <c r="B118" s="351" t="s">
        <v>227</v>
      </c>
      <c r="C118" s="352">
        <v>2280.25</v>
      </c>
      <c r="D118" s="353" t="s">
        <v>556</v>
      </c>
      <c r="E118" s="359" t="s">
        <v>308</v>
      </c>
      <c r="F118" s="360"/>
      <c r="G118" s="360"/>
      <c r="H118" s="360"/>
      <c r="I118" s="361"/>
      <c r="J118" s="357" t="str">
        <f t="shared" si="3"/>
        <v>No</v>
      </c>
      <c r="K118" s="358" t="str">
        <f t="shared" si="4"/>
        <v>No</v>
      </c>
      <c r="L118" s="295" t="str">
        <f t="shared" si="5"/>
        <v>No</v>
      </c>
    </row>
    <row r="119" spans="2:12" s="81" customFormat="1" ht="18.75" x14ac:dyDescent="0.35">
      <c r="B119" s="351" t="s">
        <v>228</v>
      </c>
      <c r="C119" s="352">
        <v>2440</v>
      </c>
      <c r="D119" s="353" t="s">
        <v>556</v>
      </c>
      <c r="E119" s="359" t="s">
        <v>307</v>
      </c>
      <c r="F119" s="360"/>
      <c r="G119" s="360"/>
      <c r="H119" s="360"/>
      <c r="I119" s="361"/>
      <c r="J119" s="357" t="str">
        <f t="shared" si="3"/>
        <v>No</v>
      </c>
      <c r="K119" s="358" t="str">
        <f t="shared" si="4"/>
        <v>No</v>
      </c>
      <c r="L119" s="295" t="str">
        <f t="shared" si="5"/>
        <v>No</v>
      </c>
    </row>
    <row r="120" spans="2:12" s="81" customFormat="1" ht="18.75" x14ac:dyDescent="0.35">
      <c r="B120" s="351" t="s">
        <v>229</v>
      </c>
      <c r="C120" s="352">
        <v>1508</v>
      </c>
      <c r="D120" s="353" t="s">
        <v>556</v>
      </c>
      <c r="E120" s="359" t="s">
        <v>307</v>
      </c>
      <c r="F120" s="360"/>
      <c r="G120" s="360"/>
      <c r="H120" s="360"/>
      <c r="I120" s="361"/>
      <c r="J120" s="357" t="str">
        <f t="shared" si="3"/>
        <v>No</v>
      </c>
      <c r="K120" s="358" t="str">
        <f t="shared" si="4"/>
        <v>No</v>
      </c>
      <c r="L120" s="295" t="str">
        <f t="shared" si="5"/>
        <v>No</v>
      </c>
    </row>
    <row r="121" spans="2:12" s="81" customFormat="1" ht="18.75" x14ac:dyDescent="0.35">
      <c r="B121" s="351" t="s">
        <v>230</v>
      </c>
      <c r="C121" s="352">
        <v>2138</v>
      </c>
      <c r="D121" s="353" t="s">
        <v>556</v>
      </c>
      <c r="E121" s="359" t="s">
        <v>307</v>
      </c>
      <c r="F121" s="360"/>
      <c r="G121" s="360"/>
      <c r="H121" s="360"/>
      <c r="I121" s="361"/>
      <c r="J121" s="357" t="str">
        <f t="shared" si="3"/>
        <v>No</v>
      </c>
      <c r="K121" s="358" t="str">
        <f t="shared" si="4"/>
        <v>No</v>
      </c>
      <c r="L121" s="295" t="str">
        <f t="shared" si="5"/>
        <v>No</v>
      </c>
    </row>
    <row r="122" spans="2:12" s="81" customFormat="1" ht="18.75" x14ac:dyDescent="0.35">
      <c r="B122" s="351" t="s">
        <v>231</v>
      </c>
      <c r="C122" s="352">
        <v>3607</v>
      </c>
      <c r="D122" s="353" t="s">
        <v>556</v>
      </c>
      <c r="E122" s="359" t="s">
        <v>308</v>
      </c>
      <c r="F122" s="360"/>
      <c r="G122" s="360"/>
      <c r="H122" s="360"/>
      <c r="I122" s="361"/>
      <c r="J122" s="357" t="str">
        <f t="shared" si="3"/>
        <v>No</v>
      </c>
      <c r="K122" s="358" t="str">
        <f t="shared" si="4"/>
        <v>No</v>
      </c>
      <c r="L122" s="295" t="str">
        <f t="shared" si="5"/>
        <v>No</v>
      </c>
    </row>
    <row r="123" spans="2:12" s="81" customFormat="1" ht="18.75" x14ac:dyDescent="0.35">
      <c r="B123" s="351" t="s">
        <v>232</v>
      </c>
      <c r="C123" s="352">
        <v>2070</v>
      </c>
      <c r="D123" s="353" t="s">
        <v>556</v>
      </c>
      <c r="E123" s="359" t="s">
        <v>308</v>
      </c>
      <c r="F123" s="360"/>
      <c r="G123" s="360"/>
      <c r="H123" s="360"/>
      <c r="I123" s="361"/>
      <c r="J123" s="357" t="str">
        <f t="shared" si="3"/>
        <v>No</v>
      </c>
      <c r="K123" s="358" t="str">
        <f t="shared" si="4"/>
        <v>No</v>
      </c>
      <c r="L123" s="295" t="str">
        <f t="shared" si="5"/>
        <v>No</v>
      </c>
    </row>
    <row r="124" spans="2:12" s="81" customFormat="1" ht="18.75" x14ac:dyDescent="0.35">
      <c r="B124" s="351" t="s">
        <v>233</v>
      </c>
      <c r="C124" s="352">
        <v>1805</v>
      </c>
      <c r="D124" s="353" t="s">
        <v>556</v>
      </c>
      <c r="E124" s="359" t="s">
        <v>307</v>
      </c>
      <c r="F124" s="360"/>
      <c r="G124" s="360"/>
      <c r="H124" s="360"/>
      <c r="I124" s="361"/>
      <c r="J124" s="357" t="str">
        <f t="shared" si="3"/>
        <v>No</v>
      </c>
      <c r="K124" s="358" t="str">
        <f t="shared" si="4"/>
        <v>No</v>
      </c>
      <c r="L124" s="295" t="str">
        <f t="shared" si="5"/>
        <v>No</v>
      </c>
    </row>
    <row r="125" spans="2:12" s="81" customFormat="1" ht="18.75" x14ac:dyDescent="0.35">
      <c r="B125" s="351" t="s">
        <v>234</v>
      </c>
      <c r="C125" s="352">
        <v>2238</v>
      </c>
      <c r="D125" s="353" t="s">
        <v>556</v>
      </c>
      <c r="E125" s="359" t="s">
        <v>307</v>
      </c>
      <c r="F125" s="360"/>
      <c r="G125" s="360"/>
      <c r="H125" s="360"/>
      <c r="I125" s="361"/>
      <c r="J125" s="357" t="str">
        <f t="shared" si="3"/>
        <v>No</v>
      </c>
      <c r="K125" s="358" t="str">
        <f t="shared" si="4"/>
        <v>No</v>
      </c>
      <c r="L125" s="295" t="str">
        <f t="shared" si="5"/>
        <v>No</v>
      </c>
    </row>
    <row r="126" spans="2:12" s="81" customFormat="1" ht="18.75" x14ac:dyDescent="0.35">
      <c r="B126" s="363" t="s">
        <v>589</v>
      </c>
      <c r="C126" s="352">
        <v>1888</v>
      </c>
      <c r="D126" s="353" t="s">
        <v>556</v>
      </c>
      <c r="E126" s="359" t="s">
        <v>307</v>
      </c>
      <c r="F126" s="360"/>
      <c r="G126" s="360"/>
      <c r="H126" s="360"/>
      <c r="I126" s="361"/>
      <c r="J126" s="357" t="str">
        <f t="shared" si="3"/>
        <v>No</v>
      </c>
      <c r="K126" s="358" t="str">
        <f t="shared" si="4"/>
        <v>No</v>
      </c>
      <c r="L126" s="295" t="str">
        <f t="shared" si="5"/>
        <v>No</v>
      </c>
    </row>
    <row r="127" spans="2:12" s="81" customFormat="1" ht="18.75" x14ac:dyDescent="0.35">
      <c r="B127" s="351" t="s">
        <v>238</v>
      </c>
      <c r="C127" s="352">
        <v>1411</v>
      </c>
      <c r="D127" s="353" t="s">
        <v>556</v>
      </c>
      <c r="E127" s="359" t="s">
        <v>307</v>
      </c>
      <c r="F127" s="360"/>
      <c r="G127" s="360"/>
      <c r="H127" s="360"/>
      <c r="I127" s="361"/>
      <c r="J127" s="357" t="str">
        <f t="shared" si="3"/>
        <v>No</v>
      </c>
      <c r="K127" s="358" t="str">
        <f t="shared" si="4"/>
        <v>No</v>
      </c>
      <c r="L127" s="295" t="str">
        <f t="shared" si="5"/>
        <v>Yes</v>
      </c>
    </row>
    <row r="128" spans="2:12" s="81" customFormat="1" ht="18.75" x14ac:dyDescent="0.35">
      <c r="B128" s="351" t="s">
        <v>239</v>
      </c>
      <c r="C128" s="352">
        <v>601</v>
      </c>
      <c r="D128" s="353" t="s">
        <v>556</v>
      </c>
      <c r="E128" s="359" t="s">
        <v>307</v>
      </c>
      <c r="F128" s="360"/>
      <c r="G128" s="360"/>
      <c r="H128" s="360"/>
      <c r="I128" s="361"/>
      <c r="J128" s="357" t="str">
        <f t="shared" si="3"/>
        <v>No</v>
      </c>
      <c r="K128" s="358" t="str">
        <f t="shared" si="4"/>
        <v>No</v>
      </c>
      <c r="L128" s="295" t="str">
        <f t="shared" si="5"/>
        <v>Yes</v>
      </c>
    </row>
    <row r="129" spans="2:12" s="81" customFormat="1" ht="18.75" x14ac:dyDescent="0.35">
      <c r="B129" s="351" t="s">
        <v>240</v>
      </c>
      <c r="C129" s="352">
        <v>2141</v>
      </c>
      <c r="D129" s="353" t="s">
        <v>556</v>
      </c>
      <c r="E129" s="359" t="s">
        <v>308</v>
      </c>
      <c r="F129" s="360"/>
      <c r="G129" s="360"/>
      <c r="H129" s="360"/>
      <c r="I129" s="361"/>
      <c r="J129" s="357" t="str">
        <f t="shared" si="3"/>
        <v>No</v>
      </c>
      <c r="K129" s="358" t="str">
        <f t="shared" si="4"/>
        <v>No</v>
      </c>
      <c r="L129" s="295" t="str">
        <f t="shared" si="5"/>
        <v>No</v>
      </c>
    </row>
    <row r="130" spans="2:12" s="81" customFormat="1" ht="18.75" x14ac:dyDescent="0.35">
      <c r="B130" s="351" t="s">
        <v>241</v>
      </c>
      <c r="C130" s="352">
        <v>676</v>
      </c>
      <c r="D130" s="353" t="s">
        <v>556</v>
      </c>
      <c r="E130" s="359" t="s">
        <v>308</v>
      </c>
      <c r="F130" s="360"/>
      <c r="G130" s="360"/>
      <c r="H130" s="360"/>
      <c r="I130" s="361"/>
      <c r="J130" s="357" t="str">
        <f t="shared" si="3"/>
        <v>No</v>
      </c>
      <c r="K130" s="358" t="str">
        <f t="shared" si="4"/>
        <v>No</v>
      </c>
      <c r="L130" s="295" t="str">
        <f t="shared" si="5"/>
        <v>Yes</v>
      </c>
    </row>
    <row r="131" spans="2:12" s="81" customFormat="1" ht="18.75" x14ac:dyDescent="0.35">
      <c r="B131" s="351" t="s">
        <v>242</v>
      </c>
      <c r="C131" s="352">
        <v>1765</v>
      </c>
      <c r="D131" s="353" t="s">
        <v>556</v>
      </c>
      <c r="E131" s="359" t="s">
        <v>307</v>
      </c>
      <c r="F131" s="360"/>
      <c r="G131" s="360"/>
      <c r="H131" s="360"/>
      <c r="I131" s="361"/>
      <c r="J131" s="357" t="str">
        <f t="shared" si="3"/>
        <v>No</v>
      </c>
      <c r="K131" s="358" t="str">
        <f t="shared" si="4"/>
        <v>No</v>
      </c>
      <c r="L131" s="295" t="str">
        <f t="shared" si="5"/>
        <v>No</v>
      </c>
    </row>
    <row r="132" spans="2:12" s="81" customFormat="1" ht="18.75" x14ac:dyDescent="0.35">
      <c r="B132" s="351" t="s">
        <v>243</v>
      </c>
      <c r="C132" s="352">
        <v>466</v>
      </c>
      <c r="D132" s="353" t="s">
        <v>556</v>
      </c>
      <c r="E132" s="359" t="s">
        <v>308</v>
      </c>
      <c r="F132" s="360"/>
      <c r="G132" s="360"/>
      <c r="H132" s="360"/>
      <c r="I132" s="361"/>
      <c r="J132" s="357" t="str">
        <f t="shared" si="3"/>
        <v>No</v>
      </c>
      <c r="K132" s="358" t="str">
        <f t="shared" si="4"/>
        <v>No</v>
      </c>
      <c r="L132" s="295" t="str">
        <f t="shared" si="5"/>
        <v>Yes</v>
      </c>
    </row>
    <row r="133" spans="2:12" s="81" customFormat="1" ht="18.75" x14ac:dyDescent="0.35">
      <c r="B133" s="351" t="s">
        <v>244</v>
      </c>
      <c r="C133" s="352">
        <v>733</v>
      </c>
      <c r="D133" s="353" t="s">
        <v>556</v>
      </c>
      <c r="E133" s="359" t="s">
        <v>308</v>
      </c>
      <c r="F133" s="360"/>
      <c r="G133" s="360"/>
      <c r="H133" s="360"/>
      <c r="I133" s="361"/>
      <c r="J133" s="357" t="str">
        <f t="shared" si="3"/>
        <v>No</v>
      </c>
      <c r="K133" s="358" t="str">
        <f t="shared" si="4"/>
        <v>No</v>
      </c>
      <c r="L133" s="295" t="str">
        <f t="shared" si="5"/>
        <v>Yes</v>
      </c>
    </row>
    <row r="134" spans="2:12" s="81" customFormat="1" ht="18.75" x14ac:dyDescent="0.35">
      <c r="B134" s="351" t="s">
        <v>245</v>
      </c>
      <c r="C134" s="352">
        <v>8077</v>
      </c>
      <c r="D134" s="353" t="s">
        <v>556</v>
      </c>
      <c r="E134" s="354" t="s">
        <v>308</v>
      </c>
      <c r="F134" s="355"/>
      <c r="G134" s="355"/>
      <c r="H134" s="355"/>
      <c r="I134" s="356"/>
      <c r="J134" s="357" t="str">
        <f t="shared" si="3"/>
        <v>No</v>
      </c>
      <c r="K134" s="358" t="str">
        <f t="shared" si="4"/>
        <v>Yes</v>
      </c>
      <c r="L134" s="295" t="str">
        <f t="shared" si="5"/>
        <v>No</v>
      </c>
    </row>
    <row r="135" spans="2:12" s="81" customFormat="1" ht="18.75" x14ac:dyDescent="0.35">
      <c r="B135" s="351" t="s">
        <v>246</v>
      </c>
      <c r="C135" s="352">
        <v>4657</v>
      </c>
      <c r="D135" s="353" t="s">
        <v>556</v>
      </c>
      <c r="E135" s="359" t="s">
        <v>307</v>
      </c>
      <c r="F135" s="360"/>
      <c r="G135" s="360"/>
      <c r="H135" s="360"/>
      <c r="I135" s="361"/>
      <c r="J135" s="357" t="str">
        <f t="shared" si="3"/>
        <v>No</v>
      </c>
      <c r="K135" s="358" t="str">
        <f t="shared" si="4"/>
        <v>Yes</v>
      </c>
      <c r="L135" s="295" t="str">
        <f t="shared" si="5"/>
        <v>No</v>
      </c>
    </row>
    <row r="136" spans="2:12" s="81" customFormat="1" ht="18.75" x14ac:dyDescent="0.35">
      <c r="B136" s="351" t="s">
        <v>247</v>
      </c>
      <c r="C136" s="352">
        <v>14560</v>
      </c>
      <c r="D136" s="353" t="s">
        <v>556</v>
      </c>
      <c r="E136" s="359" t="s">
        <v>308</v>
      </c>
      <c r="F136" s="360"/>
      <c r="G136" s="360"/>
      <c r="H136" s="360"/>
      <c r="I136" s="361"/>
      <c r="J136" s="357" t="str">
        <f t="shared" si="3"/>
        <v>No</v>
      </c>
      <c r="K136" s="358" t="str">
        <f t="shared" si="4"/>
        <v>Yes</v>
      </c>
      <c r="L136" s="295" t="str">
        <f t="shared" si="5"/>
        <v>No</v>
      </c>
    </row>
    <row r="137" spans="2:12" s="81" customFormat="1" ht="18.75" x14ac:dyDescent="0.35">
      <c r="B137" s="351" t="s">
        <v>249</v>
      </c>
      <c r="C137" s="352">
        <v>13396</v>
      </c>
      <c r="D137" s="353" t="s">
        <v>556</v>
      </c>
      <c r="E137" s="359" t="s">
        <v>308</v>
      </c>
      <c r="F137" s="360"/>
      <c r="G137" s="360"/>
      <c r="H137" s="360"/>
      <c r="I137" s="361"/>
      <c r="J137" s="357" t="str">
        <f t="shared" si="3"/>
        <v>No</v>
      </c>
      <c r="K137" s="358" t="str">
        <f t="shared" si="4"/>
        <v>Yes</v>
      </c>
      <c r="L137" s="295" t="str">
        <f t="shared" si="5"/>
        <v>No</v>
      </c>
    </row>
    <row r="138" spans="2:12" s="81" customFormat="1" ht="18.75" x14ac:dyDescent="0.35">
      <c r="B138" s="351" t="s">
        <v>250</v>
      </c>
      <c r="C138" s="352">
        <v>631</v>
      </c>
      <c r="D138" s="353" t="s">
        <v>556</v>
      </c>
      <c r="E138" s="359" t="s">
        <v>307</v>
      </c>
      <c r="F138" s="360"/>
      <c r="G138" s="360"/>
      <c r="H138" s="360"/>
      <c r="I138" s="361"/>
      <c r="J138" s="357" t="str">
        <f t="shared" si="3"/>
        <v>No</v>
      </c>
      <c r="K138" s="358" t="str">
        <f t="shared" si="4"/>
        <v>No</v>
      </c>
      <c r="L138" s="295" t="str">
        <f t="shared" si="5"/>
        <v>Yes</v>
      </c>
    </row>
    <row r="139" spans="2:12" s="81" customFormat="1" ht="18.75" x14ac:dyDescent="0.35">
      <c r="B139" s="351" t="s">
        <v>251</v>
      </c>
      <c r="C139" s="352">
        <v>2</v>
      </c>
      <c r="D139" s="353" t="s">
        <v>556</v>
      </c>
      <c r="E139" s="359" t="s">
        <v>312</v>
      </c>
      <c r="F139" s="360"/>
      <c r="G139" s="360"/>
      <c r="H139" s="360"/>
      <c r="I139" s="361"/>
      <c r="J139" s="357" t="str">
        <f t="shared" si="3"/>
        <v>Yes</v>
      </c>
      <c r="K139" s="358" t="str">
        <f t="shared" si="4"/>
        <v>No</v>
      </c>
      <c r="L139" s="295" t="str">
        <f t="shared" si="5"/>
        <v>Yes</v>
      </c>
    </row>
    <row r="140" spans="2:12" s="81" customFormat="1" ht="18.75" x14ac:dyDescent="0.35">
      <c r="B140" s="351" t="s">
        <v>252</v>
      </c>
      <c r="C140" s="352">
        <v>3</v>
      </c>
      <c r="D140" s="353" t="s">
        <v>556</v>
      </c>
      <c r="E140" s="359" t="s">
        <v>307</v>
      </c>
      <c r="F140" s="360"/>
      <c r="G140" s="360"/>
      <c r="H140" s="360"/>
      <c r="I140" s="361"/>
      <c r="J140" s="357" t="str">
        <f t="shared" si="3"/>
        <v>Yes</v>
      </c>
      <c r="K140" s="358" t="str">
        <f t="shared" si="4"/>
        <v>No</v>
      </c>
      <c r="L140" s="295" t="str">
        <f t="shared" si="5"/>
        <v>Yes</v>
      </c>
    </row>
    <row r="141" spans="2:12" s="81" customFormat="1" ht="18.75" x14ac:dyDescent="0.35">
      <c r="B141" s="351" t="s">
        <v>253</v>
      </c>
      <c r="C141" s="352">
        <v>5</v>
      </c>
      <c r="D141" s="353" t="s">
        <v>556</v>
      </c>
      <c r="E141" s="359" t="s">
        <v>307</v>
      </c>
      <c r="F141" s="360"/>
      <c r="G141" s="360"/>
      <c r="H141" s="360"/>
      <c r="I141" s="361"/>
      <c r="J141" s="357" t="str">
        <f t="shared" si="3"/>
        <v>Yes</v>
      </c>
      <c r="K141" s="358" t="str">
        <f t="shared" si="4"/>
        <v>No</v>
      </c>
      <c r="L141" s="295" t="str">
        <f t="shared" si="5"/>
        <v>Yes</v>
      </c>
    </row>
    <row r="142" spans="2:12" s="81" customFormat="1" ht="18.75" x14ac:dyDescent="0.35">
      <c r="B142" s="351" t="s">
        <v>313</v>
      </c>
      <c r="C142" s="352">
        <v>0</v>
      </c>
      <c r="D142" s="353" t="s">
        <v>556</v>
      </c>
      <c r="E142" s="359" t="s">
        <v>307</v>
      </c>
      <c r="F142" s="360"/>
      <c r="G142" s="360"/>
      <c r="H142" s="360"/>
      <c r="I142" s="361"/>
      <c r="J142" s="357" t="str">
        <f t="shared" si="3"/>
        <v>Yes</v>
      </c>
      <c r="K142" s="358" t="str">
        <f t="shared" si="4"/>
        <v>No</v>
      </c>
      <c r="L142" s="295" t="str">
        <f t="shared" si="5"/>
        <v>Yes</v>
      </c>
    </row>
    <row r="143" spans="2:12" s="81" customFormat="1" ht="18.75" x14ac:dyDescent="0.35">
      <c r="B143" s="351" t="s">
        <v>314</v>
      </c>
      <c r="C143" s="352">
        <v>1</v>
      </c>
      <c r="D143" s="353" t="s">
        <v>556</v>
      </c>
      <c r="E143" s="359" t="s">
        <v>307</v>
      </c>
      <c r="F143" s="360"/>
      <c r="G143" s="360"/>
      <c r="H143" s="360"/>
      <c r="I143" s="361"/>
      <c r="J143" s="357" t="str">
        <f t="shared" si="3"/>
        <v>Yes</v>
      </c>
      <c r="K143" s="358" t="str">
        <f t="shared" si="4"/>
        <v>No</v>
      </c>
      <c r="L143" s="295" t="str">
        <f t="shared" si="5"/>
        <v>Yes</v>
      </c>
    </row>
    <row r="144" spans="2:12" s="81" customFormat="1" ht="18.75" x14ac:dyDescent="0.35">
      <c r="B144" s="351" t="s">
        <v>258</v>
      </c>
      <c r="C144" s="352">
        <v>1</v>
      </c>
      <c r="D144" s="353" t="s">
        <v>556</v>
      </c>
      <c r="E144" s="359" t="s">
        <v>312</v>
      </c>
      <c r="F144" s="360"/>
      <c r="G144" s="360"/>
      <c r="H144" s="360"/>
      <c r="I144" s="362"/>
      <c r="J144" s="357" t="str">
        <f t="shared" si="3"/>
        <v>Yes</v>
      </c>
      <c r="K144" s="358" t="str">
        <f t="shared" si="4"/>
        <v>No</v>
      </c>
      <c r="L144" s="295" t="str">
        <f t="shared" si="5"/>
        <v>Yes</v>
      </c>
    </row>
    <row r="145" spans="2:12" s="81" customFormat="1" ht="18.75" x14ac:dyDescent="0.35">
      <c r="B145" s="351" t="s">
        <v>259</v>
      </c>
      <c r="C145" s="352">
        <v>1</v>
      </c>
      <c r="D145" s="353" t="s">
        <v>556</v>
      </c>
      <c r="E145" s="359" t="s">
        <v>312</v>
      </c>
      <c r="F145" s="360"/>
      <c r="G145" s="360"/>
      <c r="H145" s="360"/>
      <c r="I145" s="361"/>
      <c r="J145" s="357" t="str">
        <f t="shared" si="3"/>
        <v>Yes</v>
      </c>
      <c r="K145" s="358" t="str">
        <f t="shared" si="4"/>
        <v>No</v>
      </c>
      <c r="L145" s="295" t="str">
        <f t="shared" si="5"/>
        <v>Yes</v>
      </c>
    </row>
    <row r="146" spans="2:12" s="81" customFormat="1" ht="18.75" x14ac:dyDescent="0.35">
      <c r="B146" s="351" t="s">
        <v>260</v>
      </c>
      <c r="C146" s="352">
        <v>1</v>
      </c>
      <c r="D146" s="353" t="s">
        <v>556</v>
      </c>
      <c r="E146" s="359" t="s">
        <v>308</v>
      </c>
      <c r="F146" s="360"/>
      <c r="G146" s="360"/>
      <c r="H146" s="360"/>
      <c r="I146" s="362" t="s">
        <v>309</v>
      </c>
      <c r="J146" s="357" t="str">
        <f t="shared" si="3"/>
        <v>Yes</v>
      </c>
      <c r="K146" s="358" t="str">
        <f t="shared" si="4"/>
        <v>No</v>
      </c>
      <c r="L146" s="295" t="str">
        <f t="shared" si="5"/>
        <v>Yes</v>
      </c>
    </row>
    <row r="147" spans="2:12" s="81" customFormat="1" ht="18.75" x14ac:dyDescent="0.35">
      <c r="B147" s="351" t="s">
        <v>261</v>
      </c>
      <c r="C147" s="352">
        <v>1</v>
      </c>
      <c r="D147" s="353" t="s">
        <v>556</v>
      </c>
      <c r="E147" s="359" t="s">
        <v>312</v>
      </c>
      <c r="F147" s="360"/>
      <c r="G147" s="360"/>
      <c r="H147" s="360"/>
      <c r="I147" s="361"/>
      <c r="J147" s="357" t="str">
        <f t="shared" si="3"/>
        <v>Yes</v>
      </c>
      <c r="K147" s="358" t="str">
        <f t="shared" si="4"/>
        <v>No</v>
      </c>
      <c r="L147" s="295" t="str">
        <f t="shared" si="5"/>
        <v>Yes</v>
      </c>
    </row>
    <row r="148" spans="2:12" s="81" customFormat="1" ht="18.75" x14ac:dyDescent="0.35">
      <c r="B148" s="351" t="s">
        <v>262</v>
      </c>
      <c r="C148" s="352">
        <v>1</v>
      </c>
      <c r="D148" s="353" t="s">
        <v>556</v>
      </c>
      <c r="E148" s="359" t="s">
        <v>312</v>
      </c>
      <c r="F148" s="360"/>
      <c r="G148" s="360"/>
      <c r="H148" s="360"/>
      <c r="I148" s="361"/>
      <c r="J148" s="357" t="str">
        <f t="shared" si="3"/>
        <v>Yes</v>
      </c>
      <c r="K148" s="358" t="str">
        <f t="shared" si="4"/>
        <v>No</v>
      </c>
      <c r="L148" s="295" t="str">
        <f t="shared" si="5"/>
        <v>Yes</v>
      </c>
    </row>
    <row r="149" spans="2:12" s="81" customFormat="1" ht="18.75" x14ac:dyDescent="0.35">
      <c r="B149" s="351" t="s">
        <v>263</v>
      </c>
      <c r="C149" s="352">
        <v>1</v>
      </c>
      <c r="D149" s="353" t="s">
        <v>556</v>
      </c>
      <c r="E149" s="359" t="s">
        <v>312</v>
      </c>
      <c r="F149" s="360"/>
      <c r="G149" s="360"/>
      <c r="H149" s="360"/>
      <c r="I149" s="361"/>
      <c r="J149" s="357" t="str">
        <f t="shared" si="3"/>
        <v>Yes</v>
      </c>
      <c r="K149" s="358" t="str">
        <f t="shared" si="4"/>
        <v>No</v>
      </c>
      <c r="L149" s="295" t="str">
        <f t="shared" si="5"/>
        <v>Yes</v>
      </c>
    </row>
    <row r="150" spans="2:12" s="81" customFormat="1" ht="18.75" x14ac:dyDescent="0.35">
      <c r="B150" s="351" t="s">
        <v>264</v>
      </c>
      <c r="C150" s="352">
        <v>1</v>
      </c>
      <c r="D150" s="353" t="s">
        <v>556</v>
      </c>
      <c r="E150" s="359" t="s">
        <v>308</v>
      </c>
      <c r="F150" s="360"/>
      <c r="G150" s="360"/>
      <c r="H150" s="360"/>
      <c r="I150" s="362" t="s">
        <v>309</v>
      </c>
      <c r="J150" s="357" t="str">
        <f t="shared" si="3"/>
        <v>Yes</v>
      </c>
      <c r="K150" s="358" t="str">
        <f t="shared" si="4"/>
        <v>No</v>
      </c>
      <c r="L150" s="295" t="str">
        <f t="shared" si="5"/>
        <v>Yes</v>
      </c>
    </row>
    <row r="151" spans="2:12" s="81" customFormat="1" ht="18.75" x14ac:dyDescent="0.35">
      <c r="B151" s="351" t="s">
        <v>265</v>
      </c>
      <c r="C151" s="352">
        <v>1</v>
      </c>
      <c r="D151" s="353" t="s">
        <v>556</v>
      </c>
      <c r="E151" s="359" t="s">
        <v>312</v>
      </c>
      <c r="F151" s="360"/>
      <c r="G151" s="360"/>
      <c r="H151" s="360"/>
      <c r="I151" s="361"/>
      <c r="J151" s="357" t="str">
        <f t="shared" si="3"/>
        <v>Yes</v>
      </c>
      <c r="K151" s="358" t="str">
        <f t="shared" si="4"/>
        <v>No</v>
      </c>
      <c r="L151" s="295" t="str">
        <f t="shared" si="5"/>
        <v>Yes</v>
      </c>
    </row>
    <row r="152" spans="2:12" s="81" customFormat="1" ht="18.75" x14ac:dyDescent="0.35">
      <c r="B152" s="351" t="s">
        <v>266</v>
      </c>
      <c r="C152" s="352">
        <v>1</v>
      </c>
      <c r="D152" s="353" t="s">
        <v>556</v>
      </c>
      <c r="E152" s="359" t="s">
        <v>312</v>
      </c>
      <c r="F152" s="360"/>
      <c r="G152" s="360"/>
      <c r="H152" s="360"/>
      <c r="I152" s="361"/>
      <c r="J152" s="357" t="str">
        <f t="shared" si="3"/>
        <v>Yes</v>
      </c>
      <c r="K152" s="358" t="str">
        <f t="shared" si="4"/>
        <v>No</v>
      </c>
      <c r="L152" s="295" t="str">
        <f t="shared" si="5"/>
        <v>Yes</v>
      </c>
    </row>
    <row r="153" spans="2:12" s="81" customFormat="1" ht="18.75" x14ac:dyDescent="0.35">
      <c r="B153" s="351" t="s">
        <v>267</v>
      </c>
      <c r="C153" s="352">
        <v>2</v>
      </c>
      <c r="D153" s="353" t="s">
        <v>556</v>
      </c>
      <c r="E153" s="359" t="s">
        <v>312</v>
      </c>
      <c r="F153" s="360"/>
      <c r="G153" s="360"/>
      <c r="H153" s="360"/>
      <c r="I153" s="361"/>
      <c r="J153" s="357" t="str">
        <f t="shared" si="3"/>
        <v>Yes</v>
      </c>
      <c r="K153" s="358" t="str">
        <f t="shared" si="4"/>
        <v>No</v>
      </c>
      <c r="L153" s="295" t="str">
        <f t="shared" si="5"/>
        <v>Yes</v>
      </c>
    </row>
    <row r="154" spans="2:12" s="81" customFormat="1" ht="18.75" x14ac:dyDescent="0.35">
      <c r="B154" s="351" t="s">
        <v>268</v>
      </c>
      <c r="C154" s="352">
        <v>1640</v>
      </c>
      <c r="D154" s="353" t="s">
        <v>556</v>
      </c>
      <c r="E154" s="359" t="s">
        <v>308</v>
      </c>
      <c r="F154" s="360"/>
      <c r="G154" s="360"/>
      <c r="H154" s="360"/>
      <c r="I154" s="361"/>
      <c r="J154" s="357" t="str">
        <f t="shared" si="3"/>
        <v>No</v>
      </c>
      <c r="K154" s="358" t="str">
        <f t="shared" si="4"/>
        <v>No</v>
      </c>
      <c r="L154" s="295" t="str">
        <f t="shared" si="5"/>
        <v>No</v>
      </c>
    </row>
    <row r="155" spans="2:12" s="81" customFormat="1" ht="18.75" x14ac:dyDescent="0.35">
      <c r="B155" s="351" t="s">
        <v>269</v>
      </c>
      <c r="C155" s="352">
        <v>6427.375</v>
      </c>
      <c r="D155" s="353" t="s">
        <v>556</v>
      </c>
      <c r="E155" s="359" t="s">
        <v>308</v>
      </c>
      <c r="F155" s="360"/>
      <c r="G155" s="360"/>
      <c r="H155" s="360"/>
      <c r="I155" s="361"/>
      <c r="J155" s="357" t="str">
        <f t="shared" si="3"/>
        <v>No</v>
      </c>
      <c r="K155" s="358" t="str">
        <f t="shared" si="4"/>
        <v>Yes</v>
      </c>
      <c r="L155" s="295" t="str">
        <f t="shared" si="5"/>
        <v>No</v>
      </c>
    </row>
    <row r="156" spans="2:12" s="81" customFormat="1" ht="18.75" x14ac:dyDescent="0.35">
      <c r="B156" s="351" t="s">
        <v>270</v>
      </c>
      <c r="C156" s="352">
        <v>1221</v>
      </c>
      <c r="D156" s="353" t="s">
        <v>556</v>
      </c>
      <c r="E156" s="359" t="s">
        <v>307</v>
      </c>
      <c r="F156" s="360"/>
      <c r="G156" s="360"/>
      <c r="H156" s="360"/>
      <c r="I156" s="361"/>
      <c r="J156" s="357" t="str">
        <f t="shared" si="3"/>
        <v>No</v>
      </c>
      <c r="K156" s="358" t="str">
        <f t="shared" si="4"/>
        <v>No</v>
      </c>
      <c r="L156" s="295" t="str">
        <f t="shared" si="5"/>
        <v>Yes</v>
      </c>
    </row>
    <row r="157" spans="2:12" s="81" customFormat="1" ht="18.75" x14ac:dyDescent="0.35">
      <c r="B157" s="351" t="s">
        <v>271</v>
      </c>
      <c r="C157" s="352">
        <v>1101</v>
      </c>
      <c r="D157" s="353" t="s">
        <v>556</v>
      </c>
      <c r="E157" s="359" t="s">
        <v>307</v>
      </c>
      <c r="F157" s="360"/>
      <c r="G157" s="360"/>
      <c r="H157" s="360"/>
      <c r="I157" s="361"/>
      <c r="J157" s="357" t="str">
        <f t="shared" si="3"/>
        <v>No</v>
      </c>
      <c r="K157" s="358" t="str">
        <f t="shared" si="4"/>
        <v>No</v>
      </c>
      <c r="L157" s="295" t="str">
        <f t="shared" si="5"/>
        <v>Yes</v>
      </c>
    </row>
    <row r="158" spans="2:12" s="81" customFormat="1" ht="18.75" x14ac:dyDescent="0.35">
      <c r="B158" s="351" t="s">
        <v>272</v>
      </c>
      <c r="C158" s="352">
        <v>1569</v>
      </c>
      <c r="D158" s="353" t="s">
        <v>556</v>
      </c>
      <c r="E158" s="359" t="s">
        <v>307</v>
      </c>
      <c r="F158" s="360"/>
      <c r="G158" s="360"/>
      <c r="H158" s="360"/>
      <c r="I158" s="361"/>
      <c r="J158" s="357" t="str">
        <f t="shared" si="3"/>
        <v>No</v>
      </c>
      <c r="K158" s="358" t="str">
        <f t="shared" si="4"/>
        <v>No</v>
      </c>
      <c r="L158" s="295" t="str">
        <f t="shared" si="5"/>
        <v>No</v>
      </c>
    </row>
    <row r="159" spans="2:12" s="81" customFormat="1" ht="18.75" x14ac:dyDescent="0.35">
      <c r="B159" s="351" t="s">
        <v>273</v>
      </c>
      <c r="C159" s="352">
        <v>1606</v>
      </c>
      <c r="D159" s="353" t="s">
        <v>556</v>
      </c>
      <c r="E159" s="359" t="s">
        <v>307</v>
      </c>
      <c r="F159" s="360"/>
      <c r="G159" s="360"/>
      <c r="H159" s="360"/>
      <c r="I159" s="361"/>
      <c r="J159" s="357" t="str">
        <f t="shared" si="3"/>
        <v>No</v>
      </c>
      <c r="K159" s="358" t="str">
        <f t="shared" si="4"/>
        <v>No</v>
      </c>
      <c r="L159" s="295" t="str">
        <f t="shared" si="5"/>
        <v>No</v>
      </c>
    </row>
    <row r="160" spans="2:12" s="81" customFormat="1" ht="18.75" x14ac:dyDescent="0.35">
      <c r="B160" s="351" t="s">
        <v>274</v>
      </c>
      <c r="C160" s="352">
        <v>1731</v>
      </c>
      <c r="D160" s="353" t="s">
        <v>556</v>
      </c>
      <c r="E160" s="359" t="s">
        <v>308</v>
      </c>
      <c r="F160" s="360"/>
      <c r="G160" s="360"/>
      <c r="H160" s="360"/>
      <c r="I160" s="361"/>
      <c r="J160" s="357" t="str">
        <f t="shared" si="3"/>
        <v>No</v>
      </c>
      <c r="K160" s="358" t="str">
        <f t="shared" si="4"/>
        <v>No</v>
      </c>
      <c r="L160" s="295" t="str">
        <f t="shared" si="5"/>
        <v>No</v>
      </c>
    </row>
    <row r="161" spans="2:12" s="81" customFormat="1" ht="18.75" x14ac:dyDescent="0.35">
      <c r="B161" s="351" t="s">
        <v>275</v>
      </c>
      <c r="C161" s="352">
        <v>1893</v>
      </c>
      <c r="D161" s="353" t="s">
        <v>556</v>
      </c>
      <c r="E161" s="359" t="s">
        <v>307</v>
      </c>
      <c r="F161" s="360"/>
      <c r="G161" s="360"/>
      <c r="H161" s="360"/>
      <c r="I161" s="361"/>
      <c r="J161" s="357" t="str">
        <f t="shared" si="3"/>
        <v>No</v>
      </c>
      <c r="K161" s="358" t="str">
        <f t="shared" si="4"/>
        <v>No</v>
      </c>
      <c r="L161" s="295" t="str">
        <f t="shared" si="5"/>
        <v>No</v>
      </c>
    </row>
    <row r="162" spans="2:12" s="81" customFormat="1" ht="18.75" x14ac:dyDescent="0.35">
      <c r="B162" s="351" t="s">
        <v>276</v>
      </c>
      <c r="C162" s="352">
        <v>2377</v>
      </c>
      <c r="D162" s="353" t="s">
        <v>556</v>
      </c>
      <c r="E162" s="359" t="s">
        <v>308</v>
      </c>
      <c r="F162" s="360"/>
      <c r="G162" s="360"/>
      <c r="H162" s="360"/>
      <c r="I162" s="361"/>
      <c r="J162" s="357" t="str">
        <f t="shared" si="3"/>
        <v>No</v>
      </c>
      <c r="K162" s="358" t="str">
        <f t="shared" si="4"/>
        <v>No</v>
      </c>
      <c r="L162" s="295" t="str">
        <f t="shared" si="5"/>
        <v>No</v>
      </c>
    </row>
    <row r="163" spans="2:12" s="81" customFormat="1" ht="18.75" x14ac:dyDescent="0.35">
      <c r="B163" s="351" t="s">
        <v>277</v>
      </c>
      <c r="C163" s="352">
        <v>0</v>
      </c>
      <c r="D163" s="353" t="s">
        <v>556</v>
      </c>
      <c r="E163" s="359" t="s">
        <v>308</v>
      </c>
      <c r="F163" s="360"/>
      <c r="G163" s="360"/>
      <c r="H163" s="360"/>
      <c r="I163" s="362" t="s">
        <v>309</v>
      </c>
      <c r="J163" s="357" t="str">
        <f t="shared" si="3"/>
        <v>Yes</v>
      </c>
      <c r="K163" s="358" t="str">
        <f t="shared" si="4"/>
        <v>No</v>
      </c>
      <c r="L163" s="295" t="str">
        <f t="shared" si="5"/>
        <v>Yes</v>
      </c>
    </row>
    <row r="164" spans="2:12" s="81" customFormat="1" ht="18.75" x14ac:dyDescent="0.35">
      <c r="B164" s="351" t="s">
        <v>278</v>
      </c>
      <c r="C164" s="352">
        <v>1</v>
      </c>
      <c r="D164" s="353" t="s">
        <v>556</v>
      </c>
      <c r="E164" s="359" t="s">
        <v>312</v>
      </c>
      <c r="F164" s="360"/>
      <c r="G164" s="360"/>
      <c r="H164" s="360"/>
      <c r="I164" s="361"/>
      <c r="J164" s="357" t="str">
        <f t="shared" si="3"/>
        <v>Yes</v>
      </c>
      <c r="K164" s="358" t="str">
        <f t="shared" si="4"/>
        <v>No</v>
      </c>
      <c r="L164" s="295" t="str">
        <f t="shared" si="5"/>
        <v>Yes</v>
      </c>
    </row>
    <row r="165" spans="2:12" s="81" customFormat="1" ht="18.75" x14ac:dyDescent="0.35">
      <c r="B165" s="351" t="s">
        <v>279</v>
      </c>
      <c r="C165" s="352">
        <v>1</v>
      </c>
      <c r="D165" s="353" t="s">
        <v>556</v>
      </c>
      <c r="E165" s="359" t="s">
        <v>312</v>
      </c>
      <c r="F165" s="360"/>
      <c r="G165" s="360"/>
      <c r="H165" s="360"/>
      <c r="I165" s="361"/>
      <c r="J165" s="357" t="str">
        <f t="shared" si="3"/>
        <v>Yes</v>
      </c>
      <c r="K165" s="358" t="str">
        <f t="shared" si="4"/>
        <v>No</v>
      </c>
      <c r="L165" s="295" t="str">
        <f t="shared" si="5"/>
        <v>Yes</v>
      </c>
    </row>
    <row r="166" spans="2:12" s="81" customFormat="1" ht="18.75" x14ac:dyDescent="0.35">
      <c r="B166" s="351" t="s">
        <v>280</v>
      </c>
      <c r="C166" s="352">
        <v>1809</v>
      </c>
      <c r="D166" s="353" t="s">
        <v>556</v>
      </c>
      <c r="E166" s="359" t="s">
        <v>307</v>
      </c>
      <c r="F166" s="360"/>
      <c r="G166" s="360"/>
      <c r="H166" s="360"/>
      <c r="I166" s="361"/>
      <c r="J166" s="357" t="str">
        <f t="shared" si="3"/>
        <v>No</v>
      </c>
      <c r="K166" s="358" t="str">
        <f t="shared" si="4"/>
        <v>No</v>
      </c>
      <c r="L166" s="295" t="str">
        <f t="shared" si="5"/>
        <v>No</v>
      </c>
    </row>
    <row r="167" spans="2:12" s="81" customFormat="1" ht="18.75" x14ac:dyDescent="0.35">
      <c r="B167" s="364" t="s">
        <v>281</v>
      </c>
      <c r="C167" s="365">
        <v>3804.9</v>
      </c>
      <c r="D167" s="353" t="s">
        <v>556</v>
      </c>
      <c r="E167" s="359" t="s">
        <v>308</v>
      </c>
      <c r="F167" s="360"/>
      <c r="G167" s="360"/>
      <c r="H167" s="360"/>
      <c r="I167" s="361"/>
      <c r="J167" s="357" t="str">
        <f t="shared" si="3"/>
        <v>No</v>
      </c>
      <c r="K167" s="358" t="str">
        <f t="shared" si="4"/>
        <v>No</v>
      </c>
      <c r="L167" s="295" t="str">
        <f t="shared" si="5"/>
        <v>No</v>
      </c>
    </row>
    <row r="168" spans="2:12" s="81" customFormat="1" ht="19.5" thickBot="1" x14ac:dyDescent="0.4">
      <c r="B168" s="366" t="s">
        <v>282</v>
      </c>
      <c r="C168" s="367">
        <v>2375</v>
      </c>
      <c r="D168" s="368" t="s">
        <v>556</v>
      </c>
      <c r="E168" s="369" t="s">
        <v>307</v>
      </c>
      <c r="F168" s="332"/>
      <c r="G168" s="332"/>
      <c r="H168" s="332"/>
      <c r="I168" s="334"/>
      <c r="J168" s="370" t="str">
        <f t="shared" si="3"/>
        <v>No</v>
      </c>
      <c r="K168" s="371" t="str">
        <f t="shared" si="4"/>
        <v>No</v>
      </c>
      <c r="L168" s="372" t="str">
        <f t="shared" si="5"/>
        <v>No</v>
      </c>
    </row>
    <row r="169" spans="2:12" s="81" customFormat="1" ht="15.75" x14ac:dyDescent="0.25">
      <c r="B169" s="299" t="s">
        <v>294</v>
      </c>
      <c r="C169" s="300"/>
      <c r="D169" s="300"/>
      <c r="E169" s="300"/>
      <c r="F169" s="300"/>
      <c r="G169" s="300"/>
      <c r="H169" s="300"/>
      <c r="I169" s="301"/>
      <c r="J169" s="132"/>
    </row>
    <row r="170" spans="2:12" s="81" customFormat="1" ht="15.75" x14ac:dyDescent="0.25">
      <c r="B170" s="304" t="s">
        <v>308</v>
      </c>
      <c r="C170" s="373"/>
      <c r="D170" s="373"/>
      <c r="I170" s="309"/>
      <c r="J170" s="132"/>
    </row>
    <row r="171" spans="2:12" s="81" customFormat="1" ht="15.75" x14ac:dyDescent="0.25">
      <c r="B171" s="374" t="s">
        <v>315</v>
      </c>
      <c r="C171" s="373"/>
      <c r="D171" s="373"/>
      <c r="I171" s="309"/>
      <c r="J171" s="132"/>
    </row>
    <row r="172" spans="2:12" s="81" customFormat="1" ht="15.75" x14ac:dyDescent="0.25">
      <c r="B172" s="32" t="s">
        <v>316</v>
      </c>
      <c r="C172" s="375"/>
      <c r="D172" s="375"/>
      <c r="E172" s="132"/>
      <c r="F172" s="132"/>
      <c r="G172" s="132"/>
      <c r="H172" s="132"/>
      <c r="I172" s="376"/>
      <c r="J172" s="132"/>
    </row>
    <row r="173" spans="2:12" s="81" customFormat="1" ht="15.75" x14ac:dyDescent="0.25">
      <c r="B173" s="33" t="s">
        <v>317</v>
      </c>
      <c r="C173" s="375"/>
      <c r="D173" s="375"/>
      <c r="E173" s="132"/>
      <c r="F173" s="132"/>
      <c r="G173" s="132"/>
      <c r="H173" s="132"/>
      <c r="I173" s="376"/>
      <c r="J173" s="132"/>
    </row>
    <row r="174" spans="2:12" s="81" customFormat="1" ht="15.75" x14ac:dyDescent="0.25">
      <c r="B174" s="33" t="s">
        <v>318</v>
      </c>
      <c r="C174" s="375"/>
      <c r="D174" s="375"/>
      <c r="E174" s="132"/>
      <c r="F174" s="132"/>
      <c r="G174" s="132"/>
      <c r="H174" s="132"/>
      <c r="I174" s="376"/>
      <c r="J174" s="132"/>
    </row>
    <row r="175" spans="2:12" s="81" customFormat="1" ht="15.75" x14ac:dyDescent="0.25">
      <c r="B175" s="374" t="s">
        <v>319</v>
      </c>
      <c r="C175" s="375"/>
      <c r="D175" s="375"/>
      <c r="E175" s="132"/>
      <c r="F175" s="132"/>
      <c r="G175" s="132"/>
      <c r="H175" s="132"/>
      <c r="I175" s="376"/>
      <c r="J175" s="132"/>
    </row>
    <row r="176" spans="2:12" s="81" customFormat="1" ht="15.75" x14ac:dyDescent="0.25">
      <c r="B176" s="377" t="s">
        <v>320</v>
      </c>
      <c r="C176" s="375"/>
      <c r="D176" s="375"/>
      <c r="E176" s="132"/>
      <c r="F176" s="132"/>
      <c r="G176" s="132"/>
      <c r="H176" s="132"/>
      <c r="I176" s="376"/>
      <c r="J176" s="132"/>
    </row>
    <row r="177" spans="2:10" s="81" customFormat="1" ht="15.75" x14ac:dyDescent="0.25">
      <c r="B177" s="377" t="s">
        <v>321</v>
      </c>
      <c r="C177" s="375"/>
      <c r="D177" s="375"/>
      <c r="E177" s="132"/>
      <c r="F177" s="132"/>
      <c r="G177" s="132"/>
      <c r="H177" s="132"/>
      <c r="I177" s="376"/>
      <c r="J177" s="132"/>
    </row>
    <row r="178" spans="2:10" s="81" customFormat="1" ht="16.5" thickBot="1" x14ac:dyDescent="0.3">
      <c r="B178" s="378" t="s">
        <v>322</v>
      </c>
      <c r="C178" s="379"/>
      <c r="D178" s="379"/>
      <c r="E178" s="380"/>
      <c r="F178" s="380"/>
      <c r="G178" s="380"/>
      <c r="H178" s="380"/>
      <c r="I178" s="381"/>
      <c r="J178" s="132"/>
    </row>
    <row r="179" spans="2:10" s="81" customFormat="1" ht="15.75" x14ac:dyDescent="0.25">
      <c r="B179" s="132"/>
      <c r="C179" s="375"/>
      <c r="D179" s="375"/>
      <c r="E179" s="132"/>
      <c r="F179" s="132"/>
      <c r="G179" s="132"/>
      <c r="H179" s="132"/>
      <c r="I179" s="132"/>
      <c r="J179" s="132"/>
    </row>
    <row r="180" spans="2:10" s="81" customFormat="1" ht="16.5" thickBot="1" x14ac:dyDescent="0.3">
      <c r="G180" s="132"/>
      <c r="H180" s="132"/>
      <c r="I180" s="132"/>
      <c r="J180" s="132"/>
    </row>
    <row r="181" spans="2:10" s="81" customFormat="1" ht="16.5" thickBot="1" x14ac:dyDescent="0.3">
      <c r="B181" s="339" t="s">
        <v>323</v>
      </c>
      <c r="C181" s="340"/>
      <c r="D181" s="340"/>
      <c r="E181" s="340"/>
      <c r="F181" s="340"/>
      <c r="G181" s="340"/>
      <c r="H181" s="340"/>
      <c r="I181" s="341"/>
      <c r="J181" s="132"/>
    </row>
    <row r="182" spans="2:10" s="81" customFormat="1" ht="31.5" x14ac:dyDescent="0.25">
      <c r="B182" s="382"/>
      <c r="C182" s="383" t="s">
        <v>324</v>
      </c>
      <c r="D182" s="384" t="s">
        <v>304</v>
      </c>
      <c r="E182" s="347" t="s">
        <v>294</v>
      </c>
      <c r="F182" s="347"/>
      <c r="G182" s="347"/>
      <c r="H182" s="347"/>
      <c r="I182" s="348"/>
      <c r="J182" s="132"/>
    </row>
    <row r="183" spans="2:10" s="81" customFormat="1" ht="15.75" x14ac:dyDescent="0.25">
      <c r="B183" s="385"/>
      <c r="C183" s="386"/>
      <c r="D183" s="387"/>
      <c r="E183" s="388"/>
      <c r="F183" s="388"/>
      <c r="G183" s="388"/>
      <c r="H183" s="388"/>
      <c r="I183" s="389"/>
      <c r="J183" s="132"/>
    </row>
    <row r="184" spans="2:10" s="81" customFormat="1" ht="31.5" x14ac:dyDescent="0.25">
      <c r="B184" s="390" t="s">
        <v>620</v>
      </c>
      <c r="C184" s="391">
        <v>0.15</v>
      </c>
      <c r="D184" s="392" t="s">
        <v>325</v>
      </c>
      <c r="E184" s="393" t="s">
        <v>308</v>
      </c>
      <c r="F184" s="393"/>
      <c r="G184" s="393"/>
      <c r="H184" s="393"/>
      <c r="I184" s="394"/>
      <c r="J184" s="132"/>
    </row>
    <row r="185" spans="2:10" s="81" customFormat="1" ht="31.5" x14ac:dyDescent="0.25">
      <c r="B185" s="390" t="s">
        <v>621</v>
      </c>
      <c r="C185" s="391">
        <v>0.156</v>
      </c>
      <c r="D185" s="392" t="s">
        <v>325</v>
      </c>
      <c r="E185" s="393" t="s">
        <v>308</v>
      </c>
      <c r="F185" s="393"/>
      <c r="G185" s="393"/>
      <c r="H185" s="393"/>
      <c r="I185" s="394"/>
      <c r="J185" s="132"/>
    </row>
    <row r="186" spans="2:10" s="81" customFormat="1" ht="31.5" x14ac:dyDescent="0.25">
      <c r="B186" s="395" t="s">
        <v>622</v>
      </c>
      <c r="C186" s="396">
        <v>0.22900000000000001</v>
      </c>
      <c r="D186" s="397" t="s">
        <v>325</v>
      </c>
      <c r="E186" s="393" t="s">
        <v>308</v>
      </c>
      <c r="F186" s="398"/>
      <c r="G186" s="398"/>
      <c r="H186" s="398"/>
      <c r="I186" s="399"/>
      <c r="J186" s="132"/>
    </row>
    <row r="187" spans="2:10" s="81" customFormat="1" ht="32.25" customHeight="1" x14ac:dyDescent="0.25">
      <c r="B187" s="390" t="s">
        <v>623</v>
      </c>
      <c r="C187" s="391">
        <v>0.24199999999999999</v>
      </c>
      <c r="D187" s="392" t="s">
        <v>325</v>
      </c>
      <c r="E187" s="400" t="s">
        <v>308</v>
      </c>
      <c r="F187" s="393"/>
      <c r="G187" s="393"/>
      <c r="H187" s="393"/>
      <c r="I187" s="394"/>
      <c r="J187" s="132"/>
    </row>
    <row r="188" spans="2:10" s="81" customFormat="1" ht="32.25" customHeight="1" thickBot="1" x14ac:dyDescent="0.3">
      <c r="B188" s="641" t="s">
        <v>624</v>
      </c>
      <c r="C188" s="642">
        <v>0.156</v>
      </c>
      <c r="D188" s="643" t="s">
        <v>325</v>
      </c>
      <c r="E188" s="525" t="s">
        <v>308</v>
      </c>
      <c r="F188" s="644"/>
      <c r="G188" s="644"/>
      <c r="H188" s="644"/>
      <c r="I188" s="645"/>
      <c r="J188" s="132"/>
    </row>
    <row r="189" spans="2:10" s="81" customFormat="1" ht="32.25" customHeight="1" x14ac:dyDescent="0.25">
      <c r="B189" s="646" t="s">
        <v>625</v>
      </c>
      <c r="C189" s="647">
        <v>0.15</v>
      </c>
      <c r="D189" s="648" t="s">
        <v>325</v>
      </c>
      <c r="E189" s="393" t="s">
        <v>308</v>
      </c>
      <c r="F189" s="649"/>
      <c r="G189" s="649"/>
      <c r="H189" s="649"/>
      <c r="I189" s="650"/>
      <c r="J189" s="132"/>
    </row>
    <row r="190" spans="2:10" s="81" customFormat="1" ht="32.25" customHeight="1" x14ac:dyDescent="0.25">
      <c r="B190" s="390" t="s">
        <v>626</v>
      </c>
      <c r="C190" s="651">
        <v>9.0999999999999998E-2</v>
      </c>
      <c r="D190" s="422" t="s">
        <v>325</v>
      </c>
      <c r="E190" s="393" t="s">
        <v>308</v>
      </c>
      <c r="F190" s="393"/>
      <c r="G190" s="393"/>
      <c r="H190" s="393"/>
      <c r="I190" s="394"/>
      <c r="J190" s="132"/>
    </row>
    <row r="191" spans="2:10" s="81" customFormat="1" ht="32.25" customHeight="1" x14ac:dyDescent="0.25">
      <c r="B191" s="390" t="s">
        <v>627</v>
      </c>
      <c r="C191" s="651">
        <v>0.125</v>
      </c>
      <c r="D191" s="422" t="s">
        <v>325</v>
      </c>
      <c r="E191" s="393" t="s">
        <v>308</v>
      </c>
      <c r="F191" s="393"/>
      <c r="G191" s="393"/>
      <c r="H191" s="393"/>
      <c r="I191" s="394"/>
      <c r="J191" s="132"/>
    </row>
    <row r="192" spans="2:10" s="81" customFormat="1" ht="32.25" customHeight="1" x14ac:dyDescent="0.25">
      <c r="B192" s="390" t="s">
        <v>628</v>
      </c>
      <c r="C192" s="651">
        <v>0.123</v>
      </c>
      <c r="D192" s="422" t="s">
        <v>325</v>
      </c>
      <c r="E192" s="393" t="s">
        <v>308</v>
      </c>
      <c r="F192" s="644"/>
      <c r="G192" s="644"/>
      <c r="H192" s="644"/>
      <c r="I192" s="645"/>
      <c r="J192" s="132"/>
    </row>
    <row r="193" spans="2:10" s="81" customFormat="1" ht="32.25" customHeight="1" thickBot="1" x14ac:dyDescent="0.3">
      <c r="B193" s="652" t="s">
        <v>629</v>
      </c>
      <c r="C193" s="653">
        <v>9.0999999999999998E-2</v>
      </c>
      <c r="D193" s="654" t="s">
        <v>325</v>
      </c>
      <c r="E193" s="525" t="s">
        <v>308</v>
      </c>
      <c r="F193" s="655"/>
      <c r="G193" s="655"/>
      <c r="H193" s="655"/>
      <c r="I193" s="656"/>
      <c r="J193" s="132"/>
    </row>
    <row r="194" spans="2:10" s="81" customFormat="1" ht="32.25" customHeight="1" x14ac:dyDescent="0.25">
      <c r="B194" s="646" t="s">
        <v>677</v>
      </c>
      <c r="C194" s="657">
        <v>0.15</v>
      </c>
      <c r="D194" s="658" t="s">
        <v>325</v>
      </c>
      <c r="E194" s="393" t="s">
        <v>308</v>
      </c>
      <c r="F194" s="649"/>
      <c r="G194" s="649"/>
      <c r="H194" s="649"/>
      <c r="I194" s="650"/>
      <c r="J194" s="132"/>
    </row>
    <row r="195" spans="2:10" s="81" customFormat="1" ht="32.25" customHeight="1" x14ac:dyDescent="0.25">
      <c r="B195" s="390" t="s">
        <v>630</v>
      </c>
      <c r="C195" s="391">
        <v>3.6999999999999998E-2</v>
      </c>
      <c r="D195" s="392" t="s">
        <v>325</v>
      </c>
      <c r="E195" s="393" t="s">
        <v>308</v>
      </c>
      <c r="F195" s="393"/>
      <c r="G195" s="393"/>
      <c r="H195" s="393"/>
      <c r="I195" s="394"/>
      <c r="J195" s="132"/>
    </row>
    <row r="196" spans="2:10" s="81" customFormat="1" ht="32.25" customHeight="1" x14ac:dyDescent="0.25">
      <c r="B196" s="395" t="s">
        <v>631</v>
      </c>
      <c r="C196" s="391">
        <v>0.10299999999999999</v>
      </c>
      <c r="D196" s="392" t="s">
        <v>325</v>
      </c>
      <c r="E196" s="393" t="s">
        <v>308</v>
      </c>
      <c r="F196" s="393"/>
      <c r="G196" s="393"/>
      <c r="H196" s="393"/>
      <c r="I196" s="394"/>
      <c r="J196" s="132"/>
    </row>
    <row r="197" spans="2:10" s="81" customFormat="1" ht="32.25" customHeight="1" x14ac:dyDescent="0.25">
      <c r="B197" s="390" t="s">
        <v>676</v>
      </c>
      <c r="C197" s="391">
        <v>0.14799999999999999</v>
      </c>
      <c r="D197" s="392" t="s">
        <v>325</v>
      </c>
      <c r="E197" s="393" t="s">
        <v>308</v>
      </c>
      <c r="F197" s="393"/>
      <c r="G197" s="393"/>
      <c r="H197" s="393"/>
      <c r="I197" s="394"/>
      <c r="J197" s="132"/>
    </row>
    <row r="198" spans="2:10" s="81" customFormat="1" ht="32.25" customHeight="1" thickBot="1" x14ac:dyDescent="0.3">
      <c r="B198" s="659" t="s">
        <v>632</v>
      </c>
      <c r="C198" s="660">
        <v>3.6999999999999998E-2</v>
      </c>
      <c r="D198" s="661" t="s">
        <v>325</v>
      </c>
      <c r="E198" s="525" t="s">
        <v>308</v>
      </c>
      <c r="F198" s="413"/>
      <c r="G198" s="413"/>
      <c r="H198" s="413"/>
      <c r="I198" s="415"/>
      <c r="J198" s="132"/>
    </row>
    <row r="199" spans="2:10" s="81" customFormat="1" ht="32.25" customHeight="1" thickBot="1" x14ac:dyDescent="0.3">
      <c r="B199" s="401" t="s">
        <v>633</v>
      </c>
      <c r="C199" s="402">
        <v>0.01</v>
      </c>
      <c r="D199" s="403" t="s">
        <v>325</v>
      </c>
      <c r="E199" s="525" t="s">
        <v>308</v>
      </c>
      <c r="F199" s="413"/>
      <c r="G199" s="413"/>
      <c r="H199" s="413"/>
      <c r="I199" s="415"/>
      <c r="J199" s="132"/>
    </row>
    <row r="200" spans="2:10" s="81" customFormat="1" ht="16.5" thickBot="1" x14ac:dyDescent="0.3">
      <c r="G200" s="132"/>
      <c r="H200" s="132"/>
      <c r="I200" s="132"/>
      <c r="J200" s="132"/>
    </row>
    <row r="201" spans="2:10" s="81" customFormat="1" ht="16.5" thickBot="1" x14ac:dyDescent="0.3">
      <c r="B201" s="339" t="s">
        <v>327</v>
      </c>
      <c r="C201" s="340"/>
      <c r="D201" s="340"/>
      <c r="E201" s="340"/>
      <c r="F201" s="340"/>
      <c r="G201" s="340"/>
      <c r="H201" s="340"/>
      <c r="I201" s="341"/>
      <c r="J201" s="132"/>
    </row>
    <row r="202" spans="2:10" s="81" customFormat="1" ht="31.5" x14ac:dyDescent="0.25">
      <c r="B202" s="404"/>
      <c r="C202" s="405" t="s">
        <v>538</v>
      </c>
      <c r="D202" s="406" t="s">
        <v>304</v>
      </c>
      <c r="E202" s="407" t="s">
        <v>294</v>
      </c>
      <c r="F202" s="408"/>
      <c r="G202" s="407"/>
      <c r="H202" s="407"/>
      <c r="I202" s="409"/>
      <c r="J202" s="132"/>
    </row>
    <row r="203" spans="2:10" s="81" customFormat="1" ht="31.5" x14ac:dyDescent="0.25">
      <c r="B203" s="390" t="s">
        <v>674</v>
      </c>
      <c r="C203" s="676">
        <v>0.34</v>
      </c>
      <c r="D203" s="392" t="s">
        <v>325</v>
      </c>
      <c r="E203" s="410" t="s">
        <v>328</v>
      </c>
      <c r="F203" s="408"/>
      <c r="G203" s="411"/>
      <c r="H203" s="411"/>
      <c r="I203" s="412"/>
      <c r="J203" s="132"/>
    </row>
    <row r="204" spans="2:10" s="81" customFormat="1" ht="31.5" x14ac:dyDescent="0.25">
      <c r="B204" s="390" t="s">
        <v>675</v>
      </c>
      <c r="C204" s="676">
        <v>0.2</v>
      </c>
      <c r="D204" s="392" t="s">
        <v>325</v>
      </c>
      <c r="E204" s="410" t="s">
        <v>328</v>
      </c>
      <c r="F204" s="408"/>
      <c r="G204" s="411"/>
      <c r="H204" s="411"/>
      <c r="I204" s="412"/>
      <c r="J204" s="132"/>
    </row>
    <row r="205" spans="2:10" s="81" customFormat="1" ht="32.25" thickBot="1" x14ac:dyDescent="0.3">
      <c r="B205" s="401" t="s">
        <v>326</v>
      </c>
      <c r="C205" s="402">
        <v>0.98499999999999999</v>
      </c>
      <c r="D205" s="403" t="s">
        <v>325</v>
      </c>
      <c r="E205" s="413" t="s">
        <v>308</v>
      </c>
      <c r="F205" s="414"/>
      <c r="G205" s="413"/>
      <c r="H205" s="413"/>
      <c r="I205" s="415"/>
      <c r="J205" s="132"/>
    </row>
    <row r="206" spans="2:10" s="81" customFormat="1" ht="15.75" x14ac:dyDescent="0.25">
      <c r="G206" s="132"/>
      <c r="H206" s="132"/>
      <c r="I206" s="132"/>
      <c r="J206" s="132"/>
    </row>
    <row r="207" spans="2:10" s="81" customFormat="1" ht="15.75" x14ac:dyDescent="0.25">
      <c r="G207" s="132"/>
      <c r="H207" s="132"/>
      <c r="I207" s="132"/>
      <c r="J207" s="132"/>
    </row>
    <row r="208" spans="2:10" s="81" customFormat="1" ht="16.5" thickBot="1" x14ac:dyDescent="0.3">
      <c r="G208" s="132"/>
      <c r="H208" s="132"/>
      <c r="I208" s="132"/>
      <c r="J208" s="132"/>
    </row>
    <row r="209" spans="2:10" s="81" customFormat="1" ht="16.5" thickBot="1" x14ac:dyDescent="0.3">
      <c r="B209" s="811" t="s">
        <v>610</v>
      </c>
      <c r="C209" s="812"/>
      <c r="D209" s="812"/>
      <c r="E209" s="812"/>
      <c r="F209" s="812"/>
      <c r="G209" s="813"/>
      <c r="H209" s="388"/>
      <c r="I209" s="388"/>
      <c r="J209" s="132"/>
    </row>
    <row r="210" spans="2:10" s="81" customFormat="1" ht="31.5" x14ac:dyDescent="0.25">
      <c r="B210" s="416" t="s">
        <v>566</v>
      </c>
      <c r="C210" s="417" t="s">
        <v>608</v>
      </c>
      <c r="D210" s="418" t="s">
        <v>609</v>
      </c>
      <c r="E210" s="418" t="s">
        <v>20</v>
      </c>
      <c r="F210" s="419" t="s">
        <v>294</v>
      </c>
      <c r="G210" s="420"/>
      <c r="I210" s="388"/>
      <c r="J210" s="132"/>
    </row>
    <row r="211" spans="2:10" s="81" customFormat="1" ht="78.75" x14ac:dyDescent="0.25">
      <c r="B211" s="672" t="s">
        <v>501</v>
      </c>
      <c r="C211" s="421">
        <v>0</v>
      </c>
      <c r="D211" s="671">
        <f>1E+99</f>
        <v>9.9999999999999997E+98</v>
      </c>
      <c r="E211" s="423">
        <v>20</v>
      </c>
      <c r="F211" s="393" t="s">
        <v>328</v>
      </c>
      <c r="G211" s="424"/>
      <c r="I211" s="88"/>
      <c r="J211" s="132"/>
    </row>
    <row r="212" spans="2:10" s="81" customFormat="1" ht="78.75" x14ac:dyDescent="0.25">
      <c r="B212" s="672" t="s">
        <v>500</v>
      </c>
      <c r="C212" s="421">
        <v>0</v>
      </c>
      <c r="D212" s="671">
        <f>1E+99</f>
        <v>9.9999999999999997E+98</v>
      </c>
      <c r="E212" s="423">
        <v>20</v>
      </c>
      <c r="F212" s="393" t="s">
        <v>328</v>
      </c>
      <c r="G212" s="424"/>
      <c r="I212" s="425"/>
      <c r="J212" s="132"/>
    </row>
    <row r="213" spans="2:10" s="81" customFormat="1" ht="78.75" x14ac:dyDescent="0.25">
      <c r="B213" s="672" t="s">
        <v>585</v>
      </c>
      <c r="C213" s="423">
        <v>200</v>
      </c>
      <c r="D213" s="671">
        <f>1E+99</f>
        <v>9.9999999999999997E+98</v>
      </c>
      <c r="E213" s="423">
        <v>15</v>
      </c>
      <c r="F213" s="426" t="s">
        <v>328</v>
      </c>
      <c r="G213" s="427"/>
      <c r="I213" s="428"/>
      <c r="J213" s="132"/>
    </row>
    <row r="214" spans="2:10" s="81" customFormat="1" ht="78.75" x14ac:dyDescent="0.25">
      <c r="B214" s="672" t="s">
        <v>585</v>
      </c>
      <c r="C214" s="423">
        <v>50.000100000000003</v>
      </c>
      <c r="D214" s="423">
        <v>199.9999</v>
      </c>
      <c r="E214" s="423">
        <v>20</v>
      </c>
      <c r="F214" s="426" t="s">
        <v>328</v>
      </c>
      <c r="G214" s="427"/>
      <c r="I214" s="428"/>
      <c r="J214" s="132"/>
    </row>
    <row r="215" spans="2:10" s="81" customFormat="1" ht="78.75" x14ac:dyDescent="0.25">
      <c r="B215" s="672" t="s">
        <v>585</v>
      </c>
      <c r="C215" s="423">
        <v>0</v>
      </c>
      <c r="D215" s="423">
        <v>50</v>
      </c>
      <c r="E215" s="423">
        <v>14</v>
      </c>
      <c r="F215" s="426" t="s">
        <v>328</v>
      </c>
      <c r="G215" s="427"/>
      <c r="I215" s="428"/>
      <c r="J215" s="132"/>
    </row>
    <row r="216" spans="2:10" s="81" customFormat="1" ht="78.75" x14ac:dyDescent="0.25">
      <c r="B216" s="672" t="s">
        <v>586</v>
      </c>
      <c r="C216" s="423">
        <v>200</v>
      </c>
      <c r="D216" s="675">
        <f>1E+99</f>
        <v>9.9999999999999997E+98</v>
      </c>
      <c r="E216" s="423">
        <v>15</v>
      </c>
      <c r="F216" s="426" t="s">
        <v>328</v>
      </c>
      <c r="G216" s="427"/>
      <c r="I216" s="428"/>
      <c r="J216" s="132"/>
    </row>
    <row r="217" spans="2:10" s="81" customFormat="1" ht="78.75" x14ac:dyDescent="0.25">
      <c r="B217" s="672" t="s">
        <v>586</v>
      </c>
      <c r="C217" s="423">
        <v>50.000100000000003</v>
      </c>
      <c r="D217" s="423">
        <v>199.9999</v>
      </c>
      <c r="E217" s="423">
        <v>20</v>
      </c>
      <c r="F217" s="426" t="s">
        <v>328</v>
      </c>
      <c r="G217" s="427"/>
      <c r="I217" s="428"/>
      <c r="J217" s="132"/>
    </row>
    <row r="218" spans="2:10" s="81" customFormat="1" ht="78.75" x14ac:dyDescent="0.25">
      <c r="B218" s="672" t="s">
        <v>586</v>
      </c>
      <c r="C218" s="423">
        <v>0</v>
      </c>
      <c r="D218" s="423">
        <v>50</v>
      </c>
      <c r="E218" s="423">
        <v>14</v>
      </c>
      <c r="F218" s="426" t="s">
        <v>328</v>
      </c>
      <c r="G218" s="662"/>
      <c r="I218" s="428"/>
      <c r="J218" s="132"/>
    </row>
    <row r="219" spans="2:10" s="81" customFormat="1" ht="79.5" thickBot="1" x14ac:dyDescent="0.3">
      <c r="B219" s="673" t="s">
        <v>503</v>
      </c>
      <c r="C219" s="674">
        <v>0</v>
      </c>
      <c r="D219" s="674">
        <v>50</v>
      </c>
      <c r="E219" s="654">
        <v>14</v>
      </c>
      <c r="F219" s="663" t="s">
        <v>328</v>
      </c>
      <c r="G219" s="664"/>
      <c r="I219" s="428"/>
      <c r="J219" s="132"/>
    </row>
    <row r="220" spans="2:10" s="81" customFormat="1" ht="15.75" x14ac:dyDescent="0.25">
      <c r="G220" s="132"/>
      <c r="H220" s="132"/>
      <c r="I220" s="132"/>
      <c r="J220" s="132"/>
    </row>
    <row r="221" spans="2:10" s="81" customFormat="1" ht="15.75" x14ac:dyDescent="0.25">
      <c r="G221" s="132"/>
      <c r="H221" s="132"/>
      <c r="I221" s="132"/>
      <c r="J221" s="132"/>
    </row>
    <row r="222" spans="2:10" s="81" customFormat="1" ht="15.75" x14ac:dyDescent="0.25">
      <c r="G222" s="132"/>
      <c r="H222" s="132"/>
      <c r="I222" s="132"/>
      <c r="J222" s="132"/>
    </row>
    <row r="223" spans="2:10" s="81" customFormat="1" ht="15.75" x14ac:dyDescent="0.25">
      <c r="G223" s="132"/>
      <c r="H223" s="132"/>
      <c r="I223" s="132"/>
      <c r="J223" s="132"/>
    </row>
    <row r="224" spans="2:10" s="81" customFormat="1" ht="15.75" x14ac:dyDescent="0.25">
      <c r="G224" s="132"/>
      <c r="H224" s="132"/>
      <c r="I224" s="132"/>
      <c r="J224" s="132"/>
    </row>
    <row r="225" spans="7:10" s="81" customFormat="1" ht="15.75" x14ac:dyDescent="0.25">
      <c r="G225" s="132"/>
      <c r="H225" s="132"/>
      <c r="I225" s="132"/>
      <c r="J225" s="132"/>
    </row>
    <row r="226" spans="7:10" s="81" customFormat="1" ht="15.75" x14ac:dyDescent="0.25">
      <c r="G226" s="132"/>
      <c r="H226" s="132"/>
    </row>
    <row r="227" spans="7:10" s="81" customFormat="1" ht="15.75" x14ac:dyDescent="0.25">
      <c r="G227" s="132"/>
      <c r="H227" s="132"/>
    </row>
    <row r="228" spans="7:10" s="81" customFormat="1" ht="15.75" x14ac:dyDescent="0.25">
      <c r="G228" s="132"/>
      <c r="H228" s="132"/>
    </row>
    <row r="229" spans="7:10" s="81" customFormat="1" ht="15.75" x14ac:dyDescent="0.25">
      <c r="G229" s="132"/>
      <c r="H229" s="132"/>
    </row>
    <row r="230" spans="7:10" s="81" customFormat="1" ht="15.75" x14ac:dyDescent="0.25"/>
    <row r="231" spans="7:10" s="81" customFormat="1" ht="15.75" x14ac:dyDescent="0.25"/>
    <row r="232" spans="7:10" s="81" customFormat="1" ht="15.75" x14ac:dyDescent="0.25"/>
    <row r="233" spans="7:10" s="81" customFormat="1" ht="15.75" x14ac:dyDescent="0.25"/>
    <row r="234" spans="7:10" s="81" customFormat="1" ht="15.75" x14ac:dyDescent="0.25"/>
    <row r="235" spans="7:10" s="81" customFormat="1" ht="15.75" x14ac:dyDescent="0.25"/>
    <row r="236" spans="7:10" s="81" customFormat="1" ht="15.75" x14ac:dyDescent="0.25"/>
    <row r="237" spans="7:10" s="81" customFormat="1" ht="15.75" x14ac:dyDescent="0.25"/>
    <row r="238" spans="7:10" s="81" customFormat="1" ht="15.75" x14ac:dyDescent="0.25"/>
    <row r="239" spans="7:10" s="81" customFormat="1" ht="15.75" x14ac:dyDescent="0.25"/>
    <row r="240" spans="7:10" s="81" customFormat="1" ht="15.75" x14ac:dyDescent="0.25"/>
    <row r="241" s="81" customFormat="1" ht="15.75" x14ac:dyDescent="0.25"/>
    <row r="242" s="81" customFormat="1" ht="15.75" x14ac:dyDescent="0.25"/>
    <row r="243" s="81" customFormat="1" ht="15.75" x14ac:dyDescent="0.25"/>
    <row r="244" s="81" customFormat="1" ht="15.75" x14ac:dyDescent="0.25"/>
    <row r="245" s="81" customFormat="1" ht="15.75" x14ac:dyDescent="0.25"/>
    <row r="246" s="81" customFormat="1" ht="15.75" x14ac:dyDescent="0.25"/>
    <row r="247" s="81" customFormat="1" ht="15.75" x14ac:dyDescent="0.25"/>
    <row r="248" s="81" customFormat="1" ht="15.75" x14ac:dyDescent="0.25"/>
    <row r="249" s="81" customFormat="1" ht="15.75" x14ac:dyDescent="0.25"/>
    <row r="250" s="81" customFormat="1" ht="15.75" x14ac:dyDescent="0.25"/>
    <row r="251" s="81" customFormat="1" ht="15.75" x14ac:dyDescent="0.25"/>
    <row r="252" s="81" customFormat="1" ht="15.75" x14ac:dyDescent="0.25"/>
    <row r="253" s="81" customFormat="1" ht="15.75" x14ac:dyDescent="0.25"/>
    <row r="254" s="81" customFormat="1" ht="15.75" x14ac:dyDescent="0.25"/>
    <row r="255" s="81" customFormat="1" ht="15.75" x14ac:dyDescent="0.25"/>
    <row r="256" s="81" customFormat="1" ht="15.75" x14ac:dyDescent="0.25"/>
    <row r="257" s="81" customFormat="1" ht="15.75" x14ac:dyDescent="0.25"/>
    <row r="258" s="81" customFormat="1" ht="15.75" x14ac:dyDescent="0.25"/>
    <row r="259" s="81" customFormat="1" ht="15.75" x14ac:dyDescent="0.25"/>
    <row r="260" s="81" customFormat="1" ht="15.75" x14ac:dyDescent="0.25"/>
    <row r="261" s="81" customFormat="1" ht="15.75" x14ac:dyDescent="0.25"/>
    <row r="262" s="81" customFormat="1" ht="15.75" x14ac:dyDescent="0.25"/>
    <row r="263" s="81" customFormat="1" ht="15.75" x14ac:dyDescent="0.25"/>
    <row r="264" s="81" customFormat="1" ht="15.75" x14ac:dyDescent="0.25"/>
    <row r="265" s="81" customFormat="1" ht="15.75" x14ac:dyDescent="0.25"/>
    <row r="266" s="81" customFormat="1" ht="15.75" x14ac:dyDescent="0.25"/>
    <row r="267" s="81" customFormat="1" ht="15.75" x14ac:dyDescent="0.25"/>
    <row r="268" s="81" customFormat="1" ht="15.75" x14ac:dyDescent="0.25"/>
    <row r="269" s="81" customFormat="1" ht="15.75" x14ac:dyDescent="0.25"/>
    <row r="270" s="81" customFormat="1" ht="15.75" x14ac:dyDescent="0.25"/>
    <row r="271" s="81" customFormat="1" ht="15.75" x14ac:dyDescent="0.25"/>
    <row r="272" s="81" customFormat="1" ht="15.75" x14ac:dyDescent="0.25"/>
    <row r="273" s="81" customFormat="1" ht="15.75" x14ac:dyDescent="0.25"/>
    <row r="274" s="81" customFormat="1" ht="15.75" x14ac:dyDescent="0.25"/>
    <row r="275" s="81" customFormat="1" ht="15.75" x14ac:dyDescent="0.25"/>
    <row r="276" s="81" customFormat="1" ht="15.75" x14ac:dyDescent="0.25"/>
    <row r="277" s="81" customFormat="1" ht="15.75" x14ac:dyDescent="0.25"/>
    <row r="278" s="81" customFormat="1" ht="15.75" x14ac:dyDescent="0.25"/>
    <row r="279" s="81" customFormat="1" ht="15.75" x14ac:dyDescent="0.25"/>
    <row r="280" s="81" customFormat="1" ht="15.75" x14ac:dyDescent="0.25"/>
    <row r="281" s="81" customFormat="1" ht="15.75" x14ac:dyDescent="0.25"/>
    <row r="282" s="81" customFormat="1" ht="15.75" x14ac:dyDescent="0.25"/>
    <row r="283" s="81" customFormat="1" ht="15.75" x14ac:dyDescent="0.25"/>
    <row r="284" s="81" customFormat="1" ht="15.75" x14ac:dyDescent="0.25"/>
    <row r="285" s="81" customFormat="1" ht="15.75" x14ac:dyDescent="0.25"/>
    <row r="286" s="81" customFormat="1" ht="15.75" x14ac:dyDescent="0.25"/>
    <row r="287" s="81" customFormat="1" ht="15.75" x14ac:dyDescent="0.25"/>
    <row r="288" s="81" customFormat="1" ht="15.75" x14ac:dyDescent="0.25"/>
    <row r="289" s="81" customFormat="1" ht="15.75" x14ac:dyDescent="0.25"/>
    <row r="290" s="81" customFormat="1" ht="15.75" x14ac:dyDescent="0.25"/>
    <row r="291" s="81" customFormat="1" ht="15.75" x14ac:dyDescent="0.25"/>
    <row r="292" s="81" customFormat="1" ht="15.75" x14ac:dyDescent="0.25"/>
    <row r="293" s="81" customFormat="1" ht="15.75" x14ac:dyDescent="0.25"/>
    <row r="294" s="81" customFormat="1" ht="15.75" x14ac:dyDescent="0.25"/>
    <row r="295" s="81" customFormat="1" ht="15.75" x14ac:dyDescent="0.25"/>
    <row r="296" s="81" customFormat="1" ht="15.75" x14ac:dyDescent="0.25"/>
    <row r="297" s="81" customFormat="1" ht="15.75" x14ac:dyDescent="0.25"/>
    <row r="298" s="81" customFormat="1" ht="15.75" x14ac:dyDescent="0.25"/>
    <row r="299" s="81" customFormat="1" ht="15.75" x14ac:dyDescent="0.25"/>
    <row r="300" s="81" customFormat="1" ht="15.75" x14ac:dyDescent="0.25"/>
    <row r="301" s="81" customFormat="1" ht="15.75" x14ac:dyDescent="0.25"/>
    <row r="302" s="81" customFormat="1" ht="15.75" x14ac:dyDescent="0.25"/>
    <row r="303" s="81" customFormat="1" ht="15.75" x14ac:dyDescent="0.25"/>
    <row r="304" s="81" customFormat="1" ht="15.75" x14ac:dyDescent="0.25"/>
    <row r="305" s="81" customFormat="1" ht="15.75" x14ac:dyDescent="0.25"/>
    <row r="306" s="81" customFormat="1" ht="15.75" x14ac:dyDescent="0.25"/>
    <row r="307" s="81" customFormat="1" ht="15.75" x14ac:dyDescent="0.25"/>
    <row r="308" s="81" customFormat="1" ht="15.75" x14ac:dyDescent="0.25"/>
    <row r="309" s="81" customFormat="1" ht="15.75" x14ac:dyDescent="0.25"/>
    <row r="310" s="81" customFormat="1" ht="15.75" x14ac:dyDescent="0.25"/>
    <row r="311" s="81" customFormat="1" ht="15.75" x14ac:dyDescent="0.25"/>
    <row r="312" s="81" customFormat="1" ht="15.75" x14ac:dyDescent="0.25"/>
    <row r="313" s="81" customFormat="1" ht="15.75" x14ac:dyDescent="0.25"/>
    <row r="314" s="81" customFormat="1" ht="15.75" x14ac:dyDescent="0.25"/>
    <row r="315" s="81" customFormat="1" ht="15.75" x14ac:dyDescent="0.25"/>
    <row r="316" s="81" customFormat="1" ht="15.75" x14ac:dyDescent="0.25"/>
    <row r="317" s="81" customFormat="1" ht="15.75" x14ac:dyDescent="0.25"/>
    <row r="318" s="81" customFormat="1" ht="15.75" x14ac:dyDescent="0.25"/>
    <row r="319" s="81" customFormat="1" ht="15.75" x14ac:dyDescent="0.25"/>
    <row r="320" s="81" customFormat="1" ht="15.75" x14ac:dyDescent="0.25"/>
    <row r="321" s="81" customFormat="1" ht="15.75" x14ac:dyDescent="0.25"/>
    <row r="322" s="81" customFormat="1" ht="15.75" x14ac:dyDescent="0.25"/>
    <row r="323" s="81" customFormat="1" ht="15.75" x14ac:dyDescent="0.25"/>
    <row r="324" s="81" customFormat="1" ht="15.75" x14ac:dyDescent="0.25"/>
    <row r="325" s="81" customFormat="1" ht="15.75" x14ac:dyDescent="0.25"/>
    <row r="326" s="81" customFormat="1" ht="15.75" x14ac:dyDescent="0.25"/>
    <row r="327" s="81" customFormat="1" ht="15.75" x14ac:dyDescent="0.25"/>
    <row r="328" s="81" customFormat="1" ht="15.75" x14ac:dyDescent="0.25"/>
    <row r="329" s="81" customFormat="1" ht="15.75" x14ac:dyDescent="0.25"/>
    <row r="330" s="81" customFormat="1" ht="15.75" x14ac:dyDescent="0.25"/>
    <row r="331" s="81" customFormat="1" ht="15.75" x14ac:dyDescent="0.25"/>
    <row r="332" s="81" customFormat="1" ht="15.75" x14ac:dyDescent="0.25"/>
    <row r="333" s="81" customFormat="1" ht="15.75" x14ac:dyDescent="0.25"/>
    <row r="334" s="81" customFormat="1" ht="15.75" x14ac:dyDescent="0.25"/>
    <row r="335" s="81" customFormat="1" ht="15.75" x14ac:dyDescent="0.25"/>
    <row r="336" s="81" customFormat="1" ht="15.75" x14ac:dyDescent="0.25"/>
    <row r="337" s="81" customFormat="1" ht="15.75" x14ac:dyDescent="0.25"/>
    <row r="338" s="81" customFormat="1" ht="15.75" x14ac:dyDescent="0.25"/>
    <row r="339" s="81" customFormat="1" ht="15.75" x14ac:dyDescent="0.25"/>
    <row r="340" s="81" customFormat="1" ht="15.75" x14ac:dyDescent="0.25"/>
    <row r="341" s="81" customFormat="1" ht="15.75" x14ac:dyDescent="0.25"/>
    <row r="342" s="81" customFormat="1" ht="15.75" x14ac:dyDescent="0.25"/>
    <row r="343" s="81" customFormat="1" ht="15.75" x14ac:dyDescent="0.25"/>
    <row r="344" s="81" customFormat="1" ht="15.75" x14ac:dyDescent="0.25"/>
    <row r="345" s="81" customFormat="1" ht="15.75" x14ac:dyDescent="0.25"/>
    <row r="346" s="81" customFormat="1" ht="15.75" x14ac:dyDescent="0.25"/>
    <row r="347" s="81" customFormat="1" ht="15.75" x14ac:dyDescent="0.25"/>
    <row r="348" s="81" customFormat="1" ht="15.75" x14ac:dyDescent="0.25"/>
    <row r="349" s="81" customFormat="1" ht="15.75" x14ac:dyDescent="0.25"/>
    <row r="350" s="81" customFormat="1" ht="15.75" x14ac:dyDescent="0.25"/>
    <row r="351" s="81" customFormat="1" ht="15.75" x14ac:dyDescent="0.25"/>
    <row r="352" s="81" customFormat="1" ht="15.75" x14ac:dyDescent="0.25"/>
    <row r="353" s="81" customFormat="1" ht="15.75" x14ac:dyDescent="0.25"/>
    <row r="354" s="81" customFormat="1" ht="15.75" x14ac:dyDescent="0.25"/>
    <row r="355" s="81" customFormat="1" ht="15.75" x14ac:dyDescent="0.25"/>
    <row r="356" s="81" customFormat="1" ht="15.75" x14ac:dyDescent="0.25"/>
    <row r="357" s="81" customFormat="1" ht="15.75" x14ac:dyDescent="0.25"/>
    <row r="358" s="81" customFormat="1" ht="15.75" x14ac:dyDescent="0.25"/>
    <row r="359" s="81" customFormat="1" ht="15.75" x14ac:dyDescent="0.25"/>
    <row r="360" s="81" customFormat="1" ht="15.75" x14ac:dyDescent="0.25"/>
    <row r="361" s="81" customFormat="1" ht="15.75" x14ac:dyDescent="0.25"/>
    <row r="362" s="81" customFormat="1" ht="15.75" x14ac:dyDescent="0.25"/>
    <row r="363" s="81" customFormat="1" ht="15.75" x14ac:dyDescent="0.25"/>
    <row r="364" s="81" customFormat="1" ht="15.75" x14ac:dyDescent="0.25"/>
    <row r="365" s="81" customFormat="1" ht="15.75" x14ac:dyDescent="0.25"/>
    <row r="366" s="81" customFormat="1" ht="15.75" x14ac:dyDescent="0.25"/>
    <row r="367" s="81" customFormat="1" ht="15.75" x14ac:dyDescent="0.25"/>
    <row r="368" s="81" customFormat="1" ht="15.75" x14ac:dyDescent="0.25"/>
    <row r="369" s="81" customFormat="1" ht="15.75" x14ac:dyDescent="0.25"/>
    <row r="370" s="81" customFormat="1" ht="15.75" x14ac:dyDescent="0.25"/>
    <row r="371" s="81" customFormat="1" ht="15.75" x14ac:dyDescent="0.25"/>
    <row r="372" s="81" customFormat="1" ht="15.75" x14ac:dyDescent="0.25"/>
    <row r="373" s="81" customFormat="1" ht="15.75" x14ac:dyDescent="0.25"/>
    <row r="374" s="81" customFormat="1" ht="15.75" x14ac:dyDescent="0.25"/>
    <row r="375" s="81" customFormat="1" ht="15.75" x14ac:dyDescent="0.25"/>
    <row r="376" s="81" customFormat="1" ht="15.75" x14ac:dyDescent="0.25"/>
    <row r="377" s="81" customFormat="1" ht="15.75" x14ac:dyDescent="0.25"/>
    <row r="378" s="81" customFormat="1" ht="15.75" x14ac:dyDescent="0.25"/>
    <row r="379" s="81" customFormat="1" ht="15.75" x14ac:dyDescent="0.25"/>
    <row r="380" s="81" customFormat="1" ht="15.75" x14ac:dyDescent="0.25"/>
    <row r="381" s="81" customFormat="1" ht="15.75" x14ac:dyDescent="0.25"/>
    <row r="382" s="81" customFormat="1" ht="15.75" x14ac:dyDescent="0.25"/>
    <row r="383" s="81" customFormat="1" ht="15.75" x14ac:dyDescent="0.25"/>
    <row r="384" s="81" customFormat="1" ht="15.75" x14ac:dyDescent="0.25"/>
  </sheetData>
  <sheetProtection algorithmName="SHA-512" hashValue="rTKya5UZHXec4xkwz3ofFrPIPc0L5cLpeWcB2G9HursPJFELOiv0od958m+t31Em/kkDvGcbB0j3EwKWg1RDpg==" saltValue="E6/jpHKFeJi3xOE0N9X6Xw==" spinCount="100000" sheet="1" objects="1" scenarios="1"/>
  <mergeCells count="1">
    <mergeCell ref="B209:G209"/>
  </mergeCells>
  <hyperlinks>
    <hyperlink ref="B171" r:id="rId1" tooltip="CARB Refrigerant Management Program" xr:uid="{00000000-0004-0000-0900-000005000000}"/>
    <hyperlink ref="B175" r:id="rId2" tooltip="IPCC Fourth Assessment Report" xr:uid="{00000000-0004-0000-0900-000006000000}"/>
    <hyperlink ref="B178" r:id="rId3" tooltip="IPCC Fifth Assessment Report" xr:uid="{00000000-0004-0000-0900-000007000000}"/>
    <hyperlink ref="B23" r:id="rId4" tooltip="California Energy Commission Energy Almanac" xr:uid="{A5B5BF52-E759-45CA-8331-2456CF5ACF33}"/>
    <hyperlink ref="B37" r:id="rId5" location="0" tooltip="California Air Resources Board's criteria pollutant emissions inventory" display="https://www.arb.ca.gov/app/emsinv/2017/emssumcat_query.php?F_YR=2012&amp;F_DIV=-4&amp;F_SEASON=A&amp;SP=SIP105ADJ&amp;F_AREA=CA#0" xr:uid="{02707E30-D389-4EDE-B64F-098148DFCDDD}"/>
    <hyperlink ref="B40" r:id="rId6" tooltip="California Energy Commission Energy Almanac" xr:uid="{EFB04A61-4BCD-4221-BDAF-058AD88D1E1B}"/>
    <hyperlink ref="B20" r:id="rId7" tooltip="California Air Resources Board GHG inventory" xr:uid="{0E0598DC-EB07-453F-9FF4-33AFD55BAC2C}"/>
  </hyperlinks>
  <pageMargins left="0.7" right="0.7" top="0.98479166666666662" bottom="0.75" header="0.3" footer="0.3"/>
  <pageSetup scale="32" fitToHeight="0" orientation="landscape" r:id="rId8"/>
  <headerFooter>
    <oddFooter>&amp;L&amp;"Avenir LT Std 55 Roman,Regular"&amp;12&amp;K000000Final November 6, 2024&amp;C&amp;"Avenir LT Std 55 Roman,Regular"&amp;12Page &amp;P of &amp;N&amp;R&amp;"Avenir LT Std 55 Roman,Regular"&amp;12&amp;K000000&amp;A</oddFooter>
  </headerFooter>
  <rowBreaks count="2" manualBreakCount="2">
    <brk id="86" max="11" man="1"/>
    <brk id="168" max="16383" man="1"/>
  </rowBreaks>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B1:F39"/>
  <sheetViews>
    <sheetView showGridLines="0" zoomScaleNormal="100" workbookViewId="0"/>
  </sheetViews>
  <sheetFormatPr defaultColWidth="9.140625" defaultRowHeight="15" x14ac:dyDescent="0.25"/>
  <cols>
    <col min="1" max="1" width="4.28515625" style="73" customWidth="1"/>
    <col min="2" max="2" width="37.7109375" style="73" customWidth="1"/>
    <col min="3" max="3" width="16.42578125" style="73" customWidth="1"/>
    <col min="4" max="4" width="19.5703125" style="73" customWidth="1"/>
    <col min="5" max="5" width="26.85546875" style="73" customWidth="1"/>
    <col min="6" max="16384" width="9.140625" style="73"/>
  </cols>
  <sheetData>
    <row r="1" spans="2:6" ht="18.75" customHeight="1" x14ac:dyDescent="0.25">
      <c r="B1" s="72"/>
      <c r="C1" s="72"/>
      <c r="D1" s="72"/>
      <c r="E1" s="72"/>
      <c r="F1" s="72"/>
    </row>
    <row r="2" spans="2:6" ht="15" customHeight="1" x14ac:dyDescent="0.25"/>
    <row r="3" spans="2:6" ht="18.75" customHeight="1" x14ac:dyDescent="0.25">
      <c r="B3" s="72"/>
      <c r="C3" s="72"/>
      <c r="D3" s="72"/>
      <c r="E3" s="72"/>
      <c r="F3" s="72"/>
    </row>
    <row r="4" spans="2:6" ht="18.75" customHeight="1" x14ac:dyDescent="0.25">
      <c r="B4" s="74"/>
      <c r="C4" s="74"/>
      <c r="D4" s="74"/>
      <c r="E4" s="74"/>
      <c r="F4" s="74"/>
    </row>
    <row r="5" spans="2:6" ht="15" customHeight="1" x14ac:dyDescent="0.25">
      <c r="B5" s="75"/>
      <c r="C5" s="75"/>
      <c r="D5" s="75"/>
      <c r="E5" s="75"/>
      <c r="F5" s="75"/>
    </row>
    <row r="6" spans="2:6" ht="15" customHeight="1" x14ac:dyDescent="0.25">
      <c r="B6" s="76"/>
      <c r="C6" s="76"/>
      <c r="D6" s="76"/>
      <c r="E6" s="76"/>
      <c r="F6" s="76"/>
    </row>
    <row r="7" spans="2:6" ht="18.75" customHeight="1" x14ac:dyDescent="0.25">
      <c r="B7" s="72"/>
      <c r="C7" s="72"/>
      <c r="D7" s="72"/>
      <c r="E7" s="72"/>
      <c r="F7" s="72"/>
    </row>
    <row r="8" spans="2:6" ht="15" customHeight="1" x14ac:dyDescent="0.25"/>
    <row r="9" spans="2:6" ht="15.75" thickBot="1" x14ac:dyDescent="0.3"/>
    <row r="10" spans="2:6" ht="18" x14ac:dyDescent="0.25">
      <c r="B10" s="429" t="s">
        <v>549</v>
      </c>
      <c r="C10" s="430"/>
      <c r="D10" s="431"/>
    </row>
    <row r="11" spans="2:6" ht="15.75" x14ac:dyDescent="0.25">
      <c r="B11" s="432" t="s">
        <v>329</v>
      </c>
      <c r="C11" s="433" t="s">
        <v>330</v>
      </c>
      <c r="D11" s="434" t="s">
        <v>288</v>
      </c>
    </row>
    <row r="12" spans="2:6" ht="15.75" x14ac:dyDescent="0.25">
      <c r="B12" s="435" t="s">
        <v>331</v>
      </c>
      <c r="C12" s="436">
        <v>0.18629999999999999</v>
      </c>
      <c r="D12" s="437" t="s">
        <v>332</v>
      </c>
    </row>
    <row r="13" spans="2:6" ht="16.5" thickBot="1" x14ac:dyDescent="0.3">
      <c r="B13" s="438" t="s">
        <v>333</v>
      </c>
      <c r="C13" s="439">
        <v>1.17</v>
      </c>
      <c r="D13" s="440" t="s">
        <v>334</v>
      </c>
    </row>
    <row r="14" spans="2:6" ht="15.75" thickBot="1" x14ac:dyDescent="0.3">
      <c r="B14" s="441" t="s">
        <v>550</v>
      </c>
      <c r="C14" s="442"/>
      <c r="D14" s="443"/>
    </row>
    <row r="15" spans="2:6" ht="15.75" thickBot="1" x14ac:dyDescent="0.3"/>
    <row r="16" spans="2:6" ht="18" x14ac:dyDescent="0.25">
      <c r="B16" s="429" t="s">
        <v>335</v>
      </c>
      <c r="C16" s="430"/>
      <c r="D16" s="431"/>
      <c r="E16" s="275"/>
    </row>
    <row r="17" spans="2:5" ht="15.75" x14ac:dyDescent="0.25">
      <c r="B17" s="432" t="s">
        <v>336</v>
      </c>
      <c r="C17" s="433" t="s">
        <v>330</v>
      </c>
      <c r="D17" s="434" t="s">
        <v>288</v>
      </c>
      <c r="E17" s="275"/>
    </row>
    <row r="18" spans="2:5" ht="15.75" x14ac:dyDescent="0.25">
      <c r="B18" s="435" t="s">
        <v>337</v>
      </c>
      <c r="C18" s="444">
        <v>4.92</v>
      </c>
      <c r="D18" s="437" t="s">
        <v>338</v>
      </c>
      <c r="E18" s="275"/>
    </row>
    <row r="19" spans="2:5" ht="15.75" x14ac:dyDescent="0.25">
      <c r="B19" s="435" t="s">
        <v>339</v>
      </c>
      <c r="C19" s="444">
        <v>5.47</v>
      </c>
      <c r="D19" s="437" t="s">
        <v>338</v>
      </c>
      <c r="E19" s="275"/>
    </row>
    <row r="20" spans="2:5" ht="15.75" x14ac:dyDescent="0.25">
      <c r="B20" s="435" t="s">
        <v>340</v>
      </c>
      <c r="C20" s="445">
        <f>3.86*0.98/115.83</f>
        <v>3.2658205991539326E-2</v>
      </c>
      <c r="D20" s="437" t="s">
        <v>341</v>
      </c>
      <c r="E20" s="446"/>
    </row>
    <row r="21" spans="2:5" ht="15.75" x14ac:dyDescent="0.25">
      <c r="B21" s="435" t="s">
        <v>342</v>
      </c>
      <c r="C21" s="444">
        <v>5.68</v>
      </c>
      <c r="D21" s="437" t="s">
        <v>343</v>
      </c>
      <c r="E21" s="275"/>
    </row>
    <row r="22" spans="2:5" ht="15.75" x14ac:dyDescent="0.25">
      <c r="B22" s="435" t="s">
        <v>344</v>
      </c>
      <c r="C22" s="444">
        <v>3.47</v>
      </c>
      <c r="D22" s="437" t="s">
        <v>338</v>
      </c>
      <c r="E22" s="275"/>
    </row>
    <row r="23" spans="2:5" ht="15.75" x14ac:dyDescent="0.25">
      <c r="B23" s="435" t="s">
        <v>345</v>
      </c>
      <c r="C23" s="444">
        <v>3.78</v>
      </c>
      <c r="D23" s="437" t="s">
        <v>338</v>
      </c>
      <c r="E23" s="275"/>
    </row>
    <row r="24" spans="2:5" ht="15.75" x14ac:dyDescent="0.25">
      <c r="B24" s="435" t="s">
        <v>346</v>
      </c>
      <c r="C24" s="444">
        <v>4.71</v>
      </c>
      <c r="D24" s="437" t="s">
        <v>338</v>
      </c>
      <c r="E24" s="275"/>
    </row>
    <row r="25" spans="2:5" ht="16.5" thickBot="1" x14ac:dyDescent="0.3">
      <c r="B25" s="447" t="s">
        <v>548</v>
      </c>
      <c r="C25" s="448">
        <v>26.59</v>
      </c>
      <c r="D25" s="449" t="s">
        <v>347</v>
      </c>
      <c r="E25" s="275"/>
    </row>
    <row r="26" spans="2:5" ht="15.75" x14ac:dyDescent="0.25">
      <c r="B26" s="450" t="s">
        <v>547</v>
      </c>
      <c r="C26" s="451"/>
      <c r="D26" s="452"/>
      <c r="E26" s="275"/>
    </row>
    <row r="27" spans="2:5" ht="15.75" x14ac:dyDescent="0.25">
      <c r="B27" s="453" t="s">
        <v>546</v>
      </c>
      <c r="C27" s="454"/>
      <c r="D27" s="455"/>
      <c r="E27" s="275"/>
    </row>
    <row r="28" spans="2:5" ht="16.5" thickBot="1" x14ac:dyDescent="0.3">
      <c r="B28" s="456" t="s">
        <v>348</v>
      </c>
      <c r="C28" s="457"/>
      <c r="D28" s="458"/>
      <c r="E28" s="275"/>
    </row>
    <row r="29" spans="2:5" ht="15.75" thickBot="1" x14ac:dyDescent="0.3"/>
    <row r="30" spans="2:5" ht="15.75" x14ac:dyDescent="0.25">
      <c r="B30" s="459" t="s">
        <v>349</v>
      </c>
      <c r="C30" s="460"/>
      <c r="D30" s="460"/>
      <c r="E30" s="461"/>
    </row>
    <row r="31" spans="2:5" s="81" customFormat="1" ht="15" customHeight="1" x14ac:dyDescent="0.25">
      <c r="B31" s="462" t="s">
        <v>551</v>
      </c>
      <c r="C31" s="463"/>
      <c r="D31" s="463"/>
      <c r="E31" s="464"/>
    </row>
    <row r="32" spans="2:5" s="81" customFormat="1" ht="16.5" customHeight="1" thickBot="1" x14ac:dyDescent="0.3">
      <c r="B32" s="465" t="s">
        <v>545</v>
      </c>
      <c r="C32" s="466"/>
      <c r="D32" s="466"/>
      <c r="E32" s="467"/>
    </row>
    <row r="33" spans="2:4" s="81" customFormat="1" ht="15" customHeight="1" x14ac:dyDescent="0.25">
      <c r="B33" s="13"/>
      <c r="C33" s="275"/>
      <c r="D33" s="275"/>
    </row>
    <row r="34" spans="2:4" s="81" customFormat="1" ht="15.75" x14ac:dyDescent="0.25">
      <c r="B34" s="275"/>
      <c r="C34" s="275"/>
      <c r="D34" s="275"/>
    </row>
    <row r="35" spans="2:4" s="81" customFormat="1" ht="15.75" x14ac:dyDescent="0.25">
      <c r="B35" s="14"/>
    </row>
    <row r="36" spans="2:4" s="81" customFormat="1" ht="15.75" x14ac:dyDescent="0.25"/>
    <row r="37" spans="2:4" s="81" customFormat="1" ht="15.75" x14ac:dyDescent="0.25"/>
    <row r="38" spans="2:4" s="81" customFormat="1" ht="15.75" x14ac:dyDescent="0.25"/>
    <row r="39" spans="2:4" s="81" customFormat="1" ht="15.75" x14ac:dyDescent="0.25"/>
  </sheetData>
  <sheetProtection algorithmName="SHA-512" hashValue="/6JThKeDGnkjcRmXg/2B0Opdw63dYjcR9B58Zz7bIthCXThR3ZBCZIuxZg+GeYs+MqoZYAO8QR/Bfu343/3uqQ==" saltValue="/T4v0ZWkq2xI3hJ8ASqfMA==" spinCount="100000" sheet="1" objects="1" scenarios="1"/>
  <pageMargins left="0.7" right="0.7" top="0.98479166666666662" bottom="0.75" header="0.3" footer="0.3"/>
  <pageSetup scale="71" orientation="portrait" r:id="rId1"/>
  <headerFooter>
    <oddFooter>&amp;L&amp;"Avenir LT Std 55 Roman,Regular"&amp;12&amp;K000000Final November 6, 2024&amp;C&amp;"Avenir LT Std 55 Roman,Regular"&amp;12Page &amp;P of &amp;N&amp;R&amp;"Avenir LT Std 55 Roman,Regular"&amp;12&amp;K000000&amp;A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A1:BY32"/>
  <sheetViews>
    <sheetView showWhiteSpace="0" topLeftCell="A2" zoomScaleNormal="100" workbookViewId="0">
      <selection activeCell="A2" sqref="A2"/>
    </sheetView>
  </sheetViews>
  <sheetFormatPr defaultColWidth="30.5703125" defaultRowHeight="15" x14ac:dyDescent="0.25"/>
  <cols>
    <col min="1" max="1" width="30.5703125" style="1"/>
    <col min="2" max="31" width="30.5703125" style="1" customWidth="1"/>
    <col min="32" max="32" width="30.5703125" customWidth="1"/>
    <col min="33" max="33" width="30.5703125" style="1" customWidth="1"/>
    <col min="34" max="34" width="30.5703125" style="1" hidden="1" customWidth="1"/>
    <col min="35" max="40" width="30.5703125" style="1" customWidth="1"/>
    <col min="41" max="41" width="30.5703125" style="1" hidden="1" customWidth="1"/>
    <col min="42" max="56" width="30.5703125" style="1" customWidth="1"/>
    <col min="57" max="61" width="30.5703125" customWidth="1"/>
    <col min="62" max="62" width="30.5703125" hidden="1" customWidth="1"/>
    <col min="63" max="63" width="30.5703125" style="1" hidden="1" customWidth="1"/>
    <col min="64" max="68" width="30.5703125" hidden="1" customWidth="1"/>
    <col min="72" max="77" width="30.5703125" style="1" hidden="1" customWidth="1"/>
    <col min="78" max="16384" width="30.5703125" style="1"/>
  </cols>
  <sheetData>
    <row r="1" spans="1:71" hidden="1" x14ac:dyDescent="0.25">
      <c r="A1" s="2" t="s">
        <v>364</v>
      </c>
      <c r="B1" s="2" t="s">
        <v>365</v>
      </c>
      <c r="C1" s="2" t="s">
        <v>366</v>
      </c>
      <c r="D1" s="2" t="s">
        <v>367</v>
      </c>
      <c r="E1" s="2" t="s">
        <v>368</v>
      </c>
      <c r="F1" s="2" t="s">
        <v>369</v>
      </c>
      <c r="G1" s="2" t="s">
        <v>370</v>
      </c>
      <c r="H1" s="2" t="s">
        <v>371</v>
      </c>
      <c r="I1" s="2" t="s">
        <v>372</v>
      </c>
      <c r="J1" s="2" t="s">
        <v>373</v>
      </c>
      <c r="K1" s="2" t="s">
        <v>374</v>
      </c>
      <c r="L1" s="2" t="s">
        <v>375</v>
      </c>
      <c r="M1" s="2" t="s">
        <v>376</v>
      </c>
      <c r="N1" s="2" t="s">
        <v>377</v>
      </c>
      <c r="O1" s="2" t="s">
        <v>378</v>
      </c>
      <c r="P1" s="2" t="s">
        <v>379</v>
      </c>
      <c r="Q1" s="2" t="s">
        <v>380</v>
      </c>
      <c r="R1" s="2" t="s">
        <v>381</v>
      </c>
      <c r="S1" s="2" t="s">
        <v>382</v>
      </c>
      <c r="T1" s="2" t="s">
        <v>383</v>
      </c>
      <c r="U1" s="2" t="s">
        <v>384</v>
      </c>
      <c r="V1" s="2" t="s">
        <v>385</v>
      </c>
      <c r="W1" s="2" t="s">
        <v>386</v>
      </c>
      <c r="X1" s="2" t="s">
        <v>387</v>
      </c>
      <c r="Y1" s="2" t="s">
        <v>388</v>
      </c>
      <c r="Z1" s="2" t="s">
        <v>389</v>
      </c>
      <c r="AA1" s="2" t="s">
        <v>390</v>
      </c>
      <c r="AB1" s="2" t="s">
        <v>391</v>
      </c>
      <c r="AC1" s="2" t="s">
        <v>392</v>
      </c>
      <c r="AD1" s="2" t="s">
        <v>393</v>
      </c>
      <c r="AE1" s="2" t="s">
        <v>394</v>
      </c>
      <c r="AF1" s="2" t="s">
        <v>395</v>
      </c>
      <c r="AG1" s="3" t="s">
        <v>396</v>
      </c>
      <c r="AH1" s="3" t="s">
        <v>397</v>
      </c>
      <c r="AI1" s="27" t="s">
        <v>398</v>
      </c>
      <c r="AJ1" s="4" t="s">
        <v>399</v>
      </c>
      <c r="AK1" s="2" t="s">
        <v>400</v>
      </c>
      <c r="AL1" s="2" t="s">
        <v>401</v>
      </c>
      <c r="AM1" s="2" t="s">
        <v>402</v>
      </c>
      <c r="AN1" s="2" t="s">
        <v>403</v>
      </c>
      <c r="AO1" s="2" t="s">
        <v>404</v>
      </c>
      <c r="AP1" s="2" t="s">
        <v>405</v>
      </c>
      <c r="AQ1" s="2" t="s">
        <v>406</v>
      </c>
      <c r="AR1" s="2" t="s">
        <v>407</v>
      </c>
      <c r="AS1" s="2" t="s">
        <v>408</v>
      </c>
      <c r="AT1" s="2" t="s">
        <v>409</v>
      </c>
      <c r="AU1" s="2" t="s">
        <v>410</v>
      </c>
      <c r="AV1" s="2" t="s">
        <v>411</v>
      </c>
      <c r="AW1" s="2" t="s">
        <v>412</v>
      </c>
      <c r="AX1" s="2" t="s">
        <v>413</v>
      </c>
      <c r="AY1" s="2" t="s">
        <v>414</v>
      </c>
      <c r="AZ1" s="2" t="s">
        <v>415</v>
      </c>
      <c r="BA1" s="2" t="s">
        <v>416</v>
      </c>
      <c r="BB1" s="2" t="s">
        <v>417</v>
      </c>
      <c r="BC1" s="26" t="s">
        <v>418</v>
      </c>
      <c r="BD1" s="26" t="s">
        <v>419</v>
      </c>
      <c r="BE1" s="26" t="s">
        <v>420</v>
      </c>
      <c r="BF1" s="26" t="s">
        <v>421</v>
      </c>
      <c r="BG1" s="26" t="s">
        <v>422</v>
      </c>
      <c r="BH1" s="26" t="s">
        <v>423</v>
      </c>
      <c r="BI1" s="2" t="s">
        <v>424</v>
      </c>
      <c r="BJ1" s="26" t="s">
        <v>425</v>
      </c>
      <c r="BK1" s="26" t="s">
        <v>426</v>
      </c>
      <c r="BL1" s="26" t="s">
        <v>427</v>
      </c>
      <c r="BM1" s="26" t="s">
        <v>428</v>
      </c>
      <c r="BN1" s="26" t="s">
        <v>429</v>
      </c>
      <c r="BO1" s="26" t="s">
        <v>430</v>
      </c>
      <c r="BP1" s="26" t="s">
        <v>431</v>
      </c>
      <c r="BQ1" s="1"/>
      <c r="BR1" s="1"/>
      <c r="BS1" s="1"/>
    </row>
    <row r="2" spans="1:71" ht="63.75" customHeight="1" x14ac:dyDescent="0.25">
      <c r="A2" s="25" t="s">
        <v>432</v>
      </c>
      <c r="B2" s="25" t="s">
        <v>433</v>
      </c>
      <c r="C2" s="25" t="s">
        <v>434</v>
      </c>
      <c r="D2" s="25" t="s">
        <v>435</v>
      </c>
      <c r="E2" s="25" t="s">
        <v>17</v>
      </c>
      <c r="F2" s="25" t="s">
        <v>436</v>
      </c>
      <c r="G2" s="25" t="s">
        <v>437</v>
      </c>
      <c r="H2" s="25" t="s">
        <v>438</v>
      </c>
      <c r="I2" s="25" t="s">
        <v>439</v>
      </c>
      <c r="J2" s="24" t="s">
        <v>440</v>
      </c>
      <c r="K2" s="24" t="s">
        <v>441</v>
      </c>
      <c r="L2" s="25" t="s">
        <v>442</v>
      </c>
      <c r="M2" s="24" t="s">
        <v>443</v>
      </c>
      <c r="N2" s="23" t="s">
        <v>444</v>
      </c>
      <c r="O2" s="23" t="s">
        <v>445</v>
      </c>
      <c r="P2" s="23" t="s">
        <v>446</v>
      </c>
      <c r="Q2" s="23" t="s">
        <v>447</v>
      </c>
      <c r="R2" s="20" t="s">
        <v>448</v>
      </c>
      <c r="S2" s="20" t="s">
        <v>20</v>
      </c>
      <c r="T2" s="20" t="s">
        <v>449</v>
      </c>
      <c r="U2" s="20" t="s">
        <v>450</v>
      </c>
      <c r="V2" s="20" t="s">
        <v>451</v>
      </c>
      <c r="W2" s="20" t="s">
        <v>452</v>
      </c>
      <c r="X2" s="20" t="s">
        <v>453</v>
      </c>
      <c r="Y2" s="20" t="s">
        <v>454</v>
      </c>
      <c r="Z2" s="20" t="s">
        <v>455</v>
      </c>
      <c r="AA2" s="20" t="s">
        <v>456</v>
      </c>
      <c r="AB2" s="20" t="s">
        <v>457</v>
      </c>
      <c r="AC2" s="20" t="s">
        <v>458</v>
      </c>
      <c r="AD2" s="20" t="s">
        <v>459</v>
      </c>
      <c r="AE2" s="20" t="s">
        <v>460</v>
      </c>
      <c r="AF2" s="20" t="s">
        <v>461</v>
      </c>
      <c r="AG2" s="22" t="s">
        <v>55</v>
      </c>
      <c r="AH2" s="22" t="s">
        <v>462</v>
      </c>
      <c r="AI2" s="22" t="s">
        <v>463</v>
      </c>
      <c r="AJ2" s="20" t="s">
        <v>464</v>
      </c>
      <c r="AK2" s="20" t="s">
        <v>56</v>
      </c>
      <c r="AL2" s="20" t="s">
        <v>465</v>
      </c>
      <c r="AM2" s="20" t="s">
        <v>466</v>
      </c>
      <c r="AN2" s="20" t="s">
        <v>467</v>
      </c>
      <c r="AO2" s="20" t="s">
        <v>468</v>
      </c>
      <c r="AP2" s="21" t="s">
        <v>469</v>
      </c>
      <c r="AQ2" s="21" t="s">
        <v>470</v>
      </c>
      <c r="AR2" s="21" t="s">
        <v>471</v>
      </c>
      <c r="AS2" s="20" t="s">
        <v>472</v>
      </c>
      <c r="AT2" s="18" t="s">
        <v>473</v>
      </c>
      <c r="AU2" s="18" t="s">
        <v>474</v>
      </c>
      <c r="AV2" s="18" t="s">
        <v>475</v>
      </c>
      <c r="AW2" s="18" t="s">
        <v>476</v>
      </c>
      <c r="AX2" s="18" t="s">
        <v>477</v>
      </c>
      <c r="AY2" s="18" t="s">
        <v>478</v>
      </c>
      <c r="AZ2" s="18" t="s">
        <v>479</v>
      </c>
      <c r="BA2" s="18" t="s">
        <v>480</v>
      </c>
      <c r="BB2" s="18" t="s">
        <v>481</v>
      </c>
      <c r="BC2" s="19" t="s">
        <v>482</v>
      </c>
      <c r="BD2" s="19" t="s">
        <v>483</v>
      </c>
      <c r="BE2" s="19" t="s">
        <v>484</v>
      </c>
      <c r="BF2" s="19" t="s">
        <v>485</v>
      </c>
      <c r="BG2" s="19" t="s">
        <v>486</v>
      </c>
      <c r="BH2" s="19" t="s">
        <v>487</v>
      </c>
      <c r="BI2" s="18" t="s">
        <v>488</v>
      </c>
      <c r="BJ2" s="17" t="s">
        <v>489</v>
      </c>
      <c r="BK2" s="17" t="s">
        <v>490</v>
      </c>
      <c r="BL2" s="17" t="s">
        <v>491</v>
      </c>
      <c r="BM2" s="17" t="s">
        <v>492</v>
      </c>
      <c r="BN2" s="17" t="s">
        <v>493</v>
      </c>
      <c r="BO2" s="17" t="s">
        <v>494</v>
      </c>
      <c r="BP2" s="17" t="s">
        <v>495</v>
      </c>
      <c r="BQ2" s="1"/>
      <c r="BR2" s="1"/>
      <c r="BS2" s="1"/>
    </row>
    <row r="3" spans="1:71" x14ac:dyDescent="0.25">
      <c r="A3" s="1" t="s">
        <v>58</v>
      </c>
      <c r="B3" s="1" t="s">
        <v>65</v>
      </c>
      <c r="D3" s="1">
        <f>'1. Project Info'!L15</f>
        <v>0</v>
      </c>
      <c r="G3" s="1">
        <f>'1. Project Info'!M15</f>
        <v>0</v>
      </c>
      <c r="I3" s="5"/>
      <c r="J3" s="5"/>
      <c r="K3" s="5"/>
      <c r="L3" s="5"/>
      <c r="M3" s="5"/>
      <c r="R3" s="5"/>
      <c r="S3" s="6"/>
      <c r="T3" s="6"/>
      <c r="U3" s="5"/>
      <c r="AA3" s="6"/>
      <c r="AB3" s="6"/>
      <c r="AC3" s="6"/>
      <c r="AD3" s="6"/>
      <c r="AE3" s="6"/>
      <c r="AF3" s="6"/>
      <c r="AG3" s="6"/>
      <c r="AJ3" s="6"/>
      <c r="AK3" s="6"/>
      <c r="AL3" s="6"/>
      <c r="AM3" s="6"/>
      <c r="AN3" s="6"/>
      <c r="BC3">
        <f>IF(Table13[[#This Row],[Benefits Criteria Table
Step 1: Disadvantaged Community? (Y/N)]]="Yes",Table13[[#This Row],[Count]],0)</f>
        <v>0</v>
      </c>
      <c r="BD3">
        <f>IF(Table13[[#This Row],[Benefits Criteria Table
Step 1: Disadvantaged Community? (Y/N)]]="Yes",Table13[[#This Row],[Total GGRF Funding Amount from this Program ($)]],0)</f>
        <v>0</v>
      </c>
      <c r="BE3">
        <f>IF(Table13[[#This Row],[Benefits Criteria Table
Step 1: Low-income Community or Low-income Household? (Y/N)]]="Yes",Table13[[#This Row],[Count]],0)</f>
        <v>0</v>
      </c>
      <c r="BF3">
        <f>IF(Table13[[#This Row],[Benefits Criteria Table
Step 1: Low-income Community or Low-income Household? (Y/N)]]="Yes",Table13[[#This Row],[Total GGRF Funding Amount from this Program ($)]],0)</f>
        <v>0</v>
      </c>
      <c r="BG3">
        <f>IF(Table13[[#This Row],[Benefits Criteria Table
Step 1: Low-income 1/2-mile Buffer Region? (Y/N)]]="Yes",Table13[[#This Row],[Count]],0)</f>
        <v>0</v>
      </c>
      <c r="BH3">
        <f>IF(Table13[[#This Row],[Benefits Criteria Table
Step 1: Low-income 1/2-mile Buffer Region? (Y/N)]]="Yes",Table13[[#This Row],[Total GGRF Funding Amount from this Program ($)]],0)</f>
        <v>0</v>
      </c>
      <c r="BI3" s="1"/>
      <c r="BJ3" t="str">
        <f>IF(Table13[[#This Row],[Benefits Criteria Table
Step 1: Disadvantaged Community? (Y/N)]]="YES",IF(Table13[[#This Row],[Select a Priority Population]]="Disadvantaged Community",Table13[[#This Row],[Count]],0),"")</f>
        <v/>
      </c>
      <c r="BK3" t="str">
        <f>IF(Table13[[#This Row],[Benefits Criteria Table
Step 1: Disadvantaged Community? (Y/N)]]="YES",IF(Table13[[#This Row],[Select a Priority Population]]="Disadvantaged Community",Table13[[#This Row],[Qualifying Disadvantaged Community Benefit Amount ($)]],0),"")</f>
        <v/>
      </c>
      <c r="BL3">
        <f>IF(Table13[[#This Row],[Benefits Criteria Table
Step 1: Low-income Community or Low-income Household? (Y/N)]]="Yes",IF(Table13[[#This Row],[Select a Priority Population]]="Low-income Community",Table13[[#This Row],[Count]],0),0)</f>
        <v>0</v>
      </c>
      <c r="BM3">
        <f>IF(Table13[[#This Row],[Benefits Criteria Table
Step 1: Low-income Community or Low-income Household? (Y/N)]]="Yes",IF(Table13[[#This Row],[Select a Priority Population]]="Low-income Community",Table13[[#This Row],[Total GGRF Funding Amount from this Program ($)]],0),0)</f>
        <v>0</v>
      </c>
      <c r="BN3">
        <f>IF(Table13[[#This Row],[Benefits Criteria Table
Step 1: Low-income 1/2-mile Buffer Region? (Y/N)]]="Yes",IF(Table13[[#This Row],[Select a Priority Population]]="1/2 Mile Buffer Zone",Table13[[#This Row],[Count]],0),0)</f>
        <v>0</v>
      </c>
      <c r="BO3">
        <f>IF(Table13[[#This Row],[Benefits Criteria Table
Step 1: Low-income 1/2-mile Buffer Region? (Y/N)]]="Yes",IF(Table13[[#This Row],[Select a Priority Population]]="1/2 Mile Buffer Zone",Table13[[#This Row],[Total GGRF Funding Amount from this Program ($)]],0),0)</f>
        <v>0</v>
      </c>
      <c r="BP3">
        <f>IF(ISBLANK(Table13[[#This Row],[Project ID]]), 0, 1)</f>
        <v>0</v>
      </c>
      <c r="BQ3" s="1"/>
      <c r="BR3" s="1"/>
      <c r="BS3" s="1"/>
    </row>
    <row r="4" spans="1:71" x14ac:dyDescent="0.25">
      <c r="A4" s="1" t="s">
        <v>58</v>
      </c>
      <c r="B4" s="1" t="s">
        <v>65</v>
      </c>
      <c r="D4" s="1">
        <f>'1. Project Info'!L16</f>
        <v>0</v>
      </c>
      <c r="G4" s="1">
        <f>'1. Project Info'!M16</f>
        <v>0</v>
      </c>
      <c r="I4" s="5"/>
      <c r="J4" s="5"/>
      <c r="K4" s="5"/>
      <c r="L4" s="5"/>
      <c r="M4" s="5"/>
      <c r="R4" s="5"/>
      <c r="S4" s="6"/>
      <c r="T4" s="6"/>
      <c r="U4" s="5"/>
      <c r="AA4" s="6"/>
      <c r="AB4" s="6"/>
      <c r="AC4" s="6"/>
      <c r="AD4" s="6"/>
      <c r="AE4" s="6"/>
      <c r="AF4" s="6"/>
      <c r="AG4" s="6"/>
      <c r="AJ4" s="6"/>
      <c r="AK4" s="6"/>
      <c r="AL4" s="6"/>
      <c r="AM4" s="6"/>
      <c r="AN4" s="6"/>
      <c r="BC4">
        <f>IF(Table13[[#This Row],[Benefits Criteria Table
Step 1: Disadvantaged Community? (Y/N)]]="Yes",Table13[[#This Row],[Count]],0)</f>
        <v>0</v>
      </c>
      <c r="BD4">
        <f>IF(Table13[[#This Row],[Benefits Criteria Table
Step 1: Disadvantaged Community? (Y/N)]]="Yes",Table13[[#This Row],[Total GGRF Funding Amount from this Program ($)]],0)</f>
        <v>0</v>
      </c>
      <c r="BE4">
        <f>IF(Table13[[#This Row],[Benefits Criteria Table
Step 1: Low-income Community or Low-income Household? (Y/N)]]="Yes",Table13[[#This Row],[Count]],0)</f>
        <v>0</v>
      </c>
      <c r="BF4">
        <f>IF(Table13[[#This Row],[Benefits Criteria Table
Step 1: Low-income Community or Low-income Household? (Y/N)]]="Yes",Table13[[#This Row],[Total GGRF Funding Amount from this Program ($)]],0)</f>
        <v>0</v>
      </c>
      <c r="BG4">
        <f>IF(Table13[[#This Row],[Benefits Criteria Table
Step 1: Low-income 1/2-mile Buffer Region? (Y/N)]]="Yes",Table13[[#This Row],[Count]],0)</f>
        <v>0</v>
      </c>
      <c r="BH4">
        <f>IF(Table13[[#This Row],[Benefits Criteria Table
Step 1: Low-income 1/2-mile Buffer Region? (Y/N)]]="Yes",Table13[[#This Row],[Total GGRF Funding Amount from this Program ($)]],0)</f>
        <v>0</v>
      </c>
      <c r="BI4" s="1"/>
      <c r="BJ4" t="str">
        <f>IF(Table13[[#This Row],[Benefits Criteria Table
Step 1: Disadvantaged Community? (Y/N)]]="YES",IF(Table13[[#This Row],[Select a Priority Population]]="Disadvantaged Community",Table13[[#This Row],[Count]],0),"")</f>
        <v/>
      </c>
      <c r="BK4" t="str">
        <f>IF(Table13[[#This Row],[Benefits Criteria Table
Step 1: Disadvantaged Community? (Y/N)]]="YES",IF(Table13[[#This Row],[Select a Priority Population]]="Disadvantaged Community",Table13[[#This Row],[Qualifying Disadvantaged Community Benefit Amount ($)]],0),"")</f>
        <v/>
      </c>
      <c r="BL4">
        <f>IF(Table13[[#This Row],[Benefits Criteria Table
Step 1: Low-income Community or Low-income Household? (Y/N)]]="Yes",IF(Table13[[#This Row],[Select a Priority Population]]="Low-income Community",Table13[[#This Row],[Count]],0),0)</f>
        <v>0</v>
      </c>
      <c r="BM4">
        <f>IF(Table13[[#This Row],[Benefits Criteria Table
Step 1: Low-income Community or Low-income Household? (Y/N)]]="Yes",IF(Table13[[#This Row],[Select a Priority Population]]="Low-income Community",Table13[[#This Row],[Total GGRF Funding Amount from this Program ($)]],0),0)</f>
        <v>0</v>
      </c>
      <c r="BN4">
        <f>IF(Table13[[#This Row],[Benefits Criteria Table
Step 1: Low-income 1/2-mile Buffer Region? (Y/N)]]="Yes",IF(Table13[[#This Row],[Select a Priority Population]]="1/2 Mile Buffer Zone",Table13[[#This Row],[Count]],0),0)</f>
        <v>0</v>
      </c>
      <c r="BO4">
        <f>IF(Table13[[#This Row],[Benefits Criteria Table
Step 1: Low-income 1/2-mile Buffer Region? (Y/N)]]="Yes",IF(Table13[[#This Row],[Select a Priority Population]]="1/2 Mile Buffer Zone",Table13[[#This Row],[Total GGRF Funding Amount from this Program ($)]],0),0)</f>
        <v>0</v>
      </c>
      <c r="BP4">
        <f>IF(ISBLANK(Table13[[#This Row],[Project ID]]), 0, 1)</f>
        <v>0</v>
      </c>
      <c r="BQ4" s="1"/>
      <c r="BR4" s="1"/>
      <c r="BS4" s="1"/>
    </row>
    <row r="5" spans="1:71" x14ac:dyDescent="0.25">
      <c r="A5" s="1" t="s">
        <v>58</v>
      </c>
      <c r="B5" s="1" t="s">
        <v>65</v>
      </c>
      <c r="D5" s="1">
        <f>'1. Project Info'!L17</f>
        <v>0</v>
      </c>
      <c r="G5" s="1">
        <f>'1. Project Info'!M17</f>
        <v>0</v>
      </c>
      <c r="I5" s="5"/>
      <c r="J5" s="5"/>
      <c r="K5" s="5"/>
      <c r="L5" s="5"/>
      <c r="M5" s="5"/>
      <c r="R5" s="5"/>
      <c r="S5" s="6"/>
      <c r="T5" s="6"/>
      <c r="U5" s="5"/>
      <c r="AA5" s="6"/>
      <c r="AB5" s="6"/>
      <c r="AC5" s="6"/>
      <c r="AD5" s="6"/>
      <c r="AE5" s="6"/>
      <c r="AF5" s="6"/>
      <c r="AG5" s="6"/>
      <c r="AJ5" s="6"/>
      <c r="AK5" s="6"/>
      <c r="AL5" s="6"/>
      <c r="AM5" s="6"/>
      <c r="AN5" s="6"/>
      <c r="BC5">
        <f>IF(Table13[[#This Row],[Benefits Criteria Table
Step 1: Disadvantaged Community? (Y/N)]]="Yes",Table13[[#This Row],[Count]],0)</f>
        <v>0</v>
      </c>
      <c r="BD5">
        <f>IF(Table13[[#This Row],[Benefits Criteria Table
Step 1: Disadvantaged Community? (Y/N)]]="Yes",Table13[[#This Row],[Total GGRF Funding Amount from this Program ($)]],0)</f>
        <v>0</v>
      </c>
      <c r="BE5">
        <f>IF(Table13[[#This Row],[Benefits Criteria Table
Step 1: Low-income Community or Low-income Household? (Y/N)]]="Yes",Table13[[#This Row],[Count]],0)</f>
        <v>0</v>
      </c>
      <c r="BF5">
        <f>IF(Table13[[#This Row],[Benefits Criteria Table
Step 1: Low-income Community or Low-income Household? (Y/N)]]="Yes",Table13[[#This Row],[Total GGRF Funding Amount from this Program ($)]],0)</f>
        <v>0</v>
      </c>
      <c r="BG5">
        <f>IF(Table13[[#This Row],[Benefits Criteria Table
Step 1: Low-income 1/2-mile Buffer Region? (Y/N)]]="Yes",Table13[[#This Row],[Count]],0)</f>
        <v>0</v>
      </c>
      <c r="BH5">
        <f>IF(Table13[[#This Row],[Benefits Criteria Table
Step 1: Low-income 1/2-mile Buffer Region? (Y/N)]]="Yes",Table13[[#This Row],[Total GGRF Funding Amount from this Program ($)]],0)</f>
        <v>0</v>
      </c>
      <c r="BI5" s="1"/>
      <c r="BJ5" t="str">
        <f>IF(Table13[[#This Row],[Benefits Criteria Table
Step 1: Disadvantaged Community? (Y/N)]]="YES",IF(Table13[[#This Row],[Select a Priority Population]]="Disadvantaged Community",Table13[[#This Row],[Count]],0),"")</f>
        <v/>
      </c>
      <c r="BK5" t="str">
        <f>IF(Table13[[#This Row],[Benefits Criteria Table
Step 1: Disadvantaged Community? (Y/N)]]="YES",IF(Table13[[#This Row],[Select a Priority Population]]="Disadvantaged Community",Table13[[#This Row],[Qualifying Disadvantaged Community Benefit Amount ($)]],0),"")</f>
        <v/>
      </c>
      <c r="BL5">
        <f>IF(Table13[[#This Row],[Benefits Criteria Table
Step 1: Low-income Community or Low-income Household? (Y/N)]]="Yes",IF(Table13[[#This Row],[Select a Priority Population]]="Low-income Community",Table13[[#This Row],[Count]],0),0)</f>
        <v>0</v>
      </c>
      <c r="BM5">
        <f>IF(Table13[[#This Row],[Benefits Criteria Table
Step 1: Low-income Community or Low-income Household? (Y/N)]]="Yes",IF(Table13[[#This Row],[Select a Priority Population]]="Low-income Community",Table13[[#This Row],[Total GGRF Funding Amount from this Program ($)]],0),0)</f>
        <v>0</v>
      </c>
      <c r="BN5">
        <f>IF(Table13[[#This Row],[Benefits Criteria Table
Step 1: Low-income 1/2-mile Buffer Region? (Y/N)]]="Yes",IF(Table13[[#This Row],[Select a Priority Population]]="1/2 Mile Buffer Zone",Table13[[#This Row],[Count]],0),0)</f>
        <v>0</v>
      </c>
      <c r="BO5">
        <f>IF(Table13[[#This Row],[Benefits Criteria Table
Step 1: Low-income 1/2-mile Buffer Region? (Y/N)]]="Yes",IF(Table13[[#This Row],[Select a Priority Population]]="1/2 Mile Buffer Zone",Table13[[#This Row],[Total GGRF Funding Amount from this Program ($)]],0),0)</f>
        <v>0</v>
      </c>
      <c r="BP5">
        <f>IF(ISBLANK(Table13[[#This Row],[Project ID]]), 0, 1)</f>
        <v>0</v>
      </c>
      <c r="BQ5" s="1"/>
      <c r="BR5" s="1"/>
      <c r="BS5" s="1"/>
    </row>
    <row r="6" spans="1:71" x14ac:dyDescent="0.25">
      <c r="A6" s="1" t="s">
        <v>58</v>
      </c>
      <c r="B6" s="1" t="s">
        <v>65</v>
      </c>
      <c r="D6" s="1">
        <f>'1. Project Info'!L18</f>
        <v>0</v>
      </c>
      <c r="G6" s="1">
        <f>'1. Project Info'!M18</f>
        <v>0</v>
      </c>
      <c r="I6" s="5"/>
      <c r="J6" s="5"/>
      <c r="K6" s="5"/>
      <c r="L6" s="5"/>
      <c r="M6" s="5"/>
      <c r="R6" s="5"/>
      <c r="S6" s="6"/>
      <c r="T6" s="6"/>
      <c r="U6" s="5"/>
      <c r="AA6" s="6"/>
      <c r="AB6" s="6"/>
      <c r="AC6" s="6"/>
      <c r="AD6" s="6"/>
      <c r="AE6" s="6"/>
      <c r="AF6" s="6"/>
      <c r="AG6" s="6"/>
      <c r="AJ6" s="6"/>
      <c r="AK6" s="6"/>
      <c r="AL6" s="6"/>
      <c r="AM6" s="6"/>
      <c r="AN6" s="6"/>
      <c r="BC6">
        <f>IF(Table13[[#This Row],[Benefits Criteria Table
Step 1: Disadvantaged Community? (Y/N)]]="Yes",Table13[[#This Row],[Count]],0)</f>
        <v>0</v>
      </c>
      <c r="BD6">
        <f>IF(Table13[[#This Row],[Benefits Criteria Table
Step 1: Disadvantaged Community? (Y/N)]]="Yes",Table13[[#This Row],[Total GGRF Funding Amount from this Program ($)]],0)</f>
        <v>0</v>
      </c>
      <c r="BE6">
        <f>IF(Table13[[#This Row],[Benefits Criteria Table
Step 1: Low-income Community or Low-income Household? (Y/N)]]="Yes",Table13[[#This Row],[Count]],0)</f>
        <v>0</v>
      </c>
      <c r="BF6">
        <f>IF(Table13[[#This Row],[Benefits Criteria Table
Step 1: Low-income Community or Low-income Household? (Y/N)]]="Yes",Table13[[#This Row],[Total GGRF Funding Amount from this Program ($)]],0)</f>
        <v>0</v>
      </c>
      <c r="BG6">
        <f>IF(Table13[[#This Row],[Benefits Criteria Table
Step 1: Low-income 1/2-mile Buffer Region? (Y/N)]]="Yes",Table13[[#This Row],[Count]],0)</f>
        <v>0</v>
      </c>
      <c r="BH6">
        <f>IF(Table13[[#This Row],[Benefits Criteria Table
Step 1: Low-income 1/2-mile Buffer Region? (Y/N)]]="Yes",Table13[[#This Row],[Total GGRF Funding Amount from this Program ($)]],0)</f>
        <v>0</v>
      </c>
      <c r="BI6" s="1"/>
      <c r="BJ6" t="str">
        <f>IF(Table13[[#This Row],[Benefits Criteria Table
Step 1: Disadvantaged Community? (Y/N)]]="YES",IF(Table13[[#This Row],[Select a Priority Population]]="Disadvantaged Community",Table13[[#This Row],[Count]],0),"")</f>
        <v/>
      </c>
      <c r="BK6" t="str">
        <f>IF(Table13[[#This Row],[Benefits Criteria Table
Step 1: Disadvantaged Community? (Y/N)]]="YES",IF(Table13[[#This Row],[Select a Priority Population]]="Disadvantaged Community",Table13[[#This Row],[Qualifying Disadvantaged Community Benefit Amount ($)]],0),"")</f>
        <v/>
      </c>
      <c r="BL6">
        <f>IF(Table13[[#This Row],[Benefits Criteria Table
Step 1: Low-income Community or Low-income Household? (Y/N)]]="Yes",IF(Table13[[#This Row],[Select a Priority Population]]="Low-income Community",Table13[[#This Row],[Count]],0),0)</f>
        <v>0</v>
      </c>
      <c r="BM6">
        <f>IF(Table13[[#This Row],[Benefits Criteria Table
Step 1: Low-income Community or Low-income Household? (Y/N)]]="Yes",IF(Table13[[#This Row],[Select a Priority Population]]="Low-income Community",Table13[[#This Row],[Total GGRF Funding Amount from this Program ($)]],0),0)</f>
        <v>0</v>
      </c>
      <c r="BN6">
        <f>IF(Table13[[#This Row],[Benefits Criteria Table
Step 1: Low-income 1/2-mile Buffer Region? (Y/N)]]="Yes",IF(Table13[[#This Row],[Select a Priority Population]]="1/2 Mile Buffer Zone",Table13[[#This Row],[Count]],0),0)</f>
        <v>0</v>
      </c>
      <c r="BO6">
        <f>IF(Table13[[#This Row],[Benefits Criteria Table
Step 1: Low-income 1/2-mile Buffer Region? (Y/N)]]="Yes",IF(Table13[[#This Row],[Select a Priority Population]]="1/2 Mile Buffer Zone",Table13[[#This Row],[Total GGRF Funding Amount from this Program ($)]],0),0)</f>
        <v>0</v>
      </c>
      <c r="BP6">
        <f>IF(ISBLANK(Table13[[#This Row],[Project ID]]), 0, 1)</f>
        <v>0</v>
      </c>
      <c r="BQ6" s="1"/>
      <c r="BR6" s="1"/>
      <c r="BS6" s="1"/>
    </row>
    <row r="7" spans="1:71" x14ac:dyDescent="0.25">
      <c r="A7" s="1" t="s">
        <v>58</v>
      </c>
      <c r="B7" s="1" t="s">
        <v>65</v>
      </c>
      <c r="D7" s="1">
        <f>'1. Project Info'!L19</f>
        <v>0</v>
      </c>
      <c r="G7" s="1">
        <f>'1. Project Info'!M19</f>
        <v>0</v>
      </c>
      <c r="I7" s="5"/>
      <c r="J7" s="5"/>
      <c r="K7" s="5"/>
      <c r="L7" s="5"/>
      <c r="M7" s="5"/>
      <c r="R7" s="5"/>
      <c r="S7" s="6"/>
      <c r="T7" s="6"/>
      <c r="U7" s="5"/>
      <c r="AA7" s="6"/>
      <c r="AB7" s="6"/>
      <c r="AC7" s="6"/>
      <c r="AD7" s="6"/>
      <c r="AE7" s="6"/>
      <c r="AF7" s="6"/>
      <c r="AG7" s="6"/>
      <c r="AJ7" s="6"/>
      <c r="AK7" s="6"/>
      <c r="AL7" s="6"/>
      <c r="AM7" s="6"/>
      <c r="AN7" s="6"/>
      <c r="BC7">
        <f>IF(Table13[[#This Row],[Benefits Criteria Table
Step 1: Disadvantaged Community? (Y/N)]]="Yes",Table13[[#This Row],[Count]],0)</f>
        <v>0</v>
      </c>
      <c r="BD7">
        <f>IF(Table13[[#This Row],[Benefits Criteria Table
Step 1: Disadvantaged Community? (Y/N)]]="Yes",Table13[[#This Row],[Total GGRF Funding Amount from this Program ($)]],0)</f>
        <v>0</v>
      </c>
      <c r="BE7">
        <f>IF(Table13[[#This Row],[Benefits Criteria Table
Step 1: Low-income Community or Low-income Household? (Y/N)]]="Yes",Table13[[#This Row],[Count]],0)</f>
        <v>0</v>
      </c>
      <c r="BF7">
        <f>IF(Table13[[#This Row],[Benefits Criteria Table
Step 1: Low-income Community or Low-income Household? (Y/N)]]="Yes",Table13[[#This Row],[Total GGRF Funding Amount from this Program ($)]],0)</f>
        <v>0</v>
      </c>
      <c r="BG7">
        <f>IF(Table13[[#This Row],[Benefits Criteria Table
Step 1: Low-income 1/2-mile Buffer Region? (Y/N)]]="Yes",Table13[[#This Row],[Count]],0)</f>
        <v>0</v>
      </c>
      <c r="BH7">
        <f>IF(Table13[[#This Row],[Benefits Criteria Table
Step 1: Low-income 1/2-mile Buffer Region? (Y/N)]]="Yes",Table13[[#This Row],[Total GGRF Funding Amount from this Program ($)]],0)</f>
        <v>0</v>
      </c>
      <c r="BI7" s="1"/>
      <c r="BJ7" t="str">
        <f>IF(Table13[[#This Row],[Benefits Criteria Table
Step 1: Disadvantaged Community? (Y/N)]]="YES",IF(Table13[[#This Row],[Select a Priority Population]]="Disadvantaged Community",Table13[[#This Row],[Count]],0),"")</f>
        <v/>
      </c>
      <c r="BK7" t="str">
        <f>IF(Table13[[#This Row],[Benefits Criteria Table
Step 1: Disadvantaged Community? (Y/N)]]="YES",IF(Table13[[#This Row],[Select a Priority Population]]="Disadvantaged Community",Table13[[#This Row],[Qualifying Disadvantaged Community Benefit Amount ($)]],0),"")</f>
        <v/>
      </c>
      <c r="BL7">
        <f>IF(Table13[[#This Row],[Benefits Criteria Table
Step 1: Low-income Community or Low-income Household? (Y/N)]]="Yes",IF(Table13[[#This Row],[Select a Priority Population]]="Low-income Community",Table13[[#This Row],[Count]],0),0)</f>
        <v>0</v>
      </c>
      <c r="BM7">
        <f>IF(Table13[[#This Row],[Benefits Criteria Table
Step 1: Low-income Community or Low-income Household? (Y/N)]]="Yes",IF(Table13[[#This Row],[Select a Priority Population]]="Low-income Community",Table13[[#This Row],[Total GGRF Funding Amount from this Program ($)]],0),0)</f>
        <v>0</v>
      </c>
      <c r="BN7">
        <f>IF(Table13[[#This Row],[Benefits Criteria Table
Step 1: Low-income 1/2-mile Buffer Region? (Y/N)]]="Yes",IF(Table13[[#This Row],[Select a Priority Population]]="1/2 Mile Buffer Zone",Table13[[#This Row],[Count]],0),0)</f>
        <v>0</v>
      </c>
      <c r="BO7">
        <f>IF(Table13[[#This Row],[Benefits Criteria Table
Step 1: Low-income 1/2-mile Buffer Region? (Y/N)]]="Yes",IF(Table13[[#This Row],[Select a Priority Population]]="1/2 Mile Buffer Zone",Table13[[#This Row],[Total GGRF Funding Amount from this Program ($)]],0),0)</f>
        <v>0</v>
      </c>
      <c r="BP7">
        <f>IF(ISBLANK(Table13[[#This Row],[Project ID]]), 0, 1)</f>
        <v>0</v>
      </c>
      <c r="BQ7" s="1"/>
      <c r="BR7" s="1"/>
      <c r="BS7" s="1"/>
    </row>
    <row r="8" spans="1:71" x14ac:dyDescent="0.25">
      <c r="A8" s="1" t="s">
        <v>58</v>
      </c>
      <c r="B8" s="1" t="s">
        <v>65</v>
      </c>
      <c r="D8" s="1">
        <f>'1. Project Info'!L20</f>
        <v>0</v>
      </c>
      <c r="G8" s="1">
        <f>'1. Project Info'!M20</f>
        <v>0</v>
      </c>
      <c r="I8" s="5"/>
      <c r="J8" s="5"/>
      <c r="K8" s="5"/>
      <c r="L8" s="5"/>
      <c r="M8" s="5"/>
      <c r="R8" s="5"/>
      <c r="S8" s="6"/>
      <c r="T8" s="6"/>
      <c r="U8" s="5"/>
      <c r="AA8" s="6"/>
      <c r="AB8" s="6"/>
      <c r="AC8" s="6"/>
      <c r="AD8" s="6"/>
      <c r="AE8" s="6"/>
      <c r="AF8" s="6"/>
      <c r="AG8" s="6"/>
      <c r="AJ8" s="6"/>
      <c r="AK8" s="6"/>
      <c r="AL8" s="6"/>
      <c r="AM8" s="6"/>
      <c r="AN8" s="6"/>
      <c r="BC8">
        <f>IF(Table13[[#This Row],[Benefits Criteria Table
Step 1: Disadvantaged Community? (Y/N)]]="Yes",Table13[[#This Row],[Count]],0)</f>
        <v>0</v>
      </c>
      <c r="BD8">
        <f>IF(Table13[[#This Row],[Benefits Criteria Table
Step 1: Disadvantaged Community? (Y/N)]]="Yes",Table13[[#This Row],[Total GGRF Funding Amount from this Program ($)]],0)</f>
        <v>0</v>
      </c>
      <c r="BE8">
        <f>IF(Table13[[#This Row],[Benefits Criteria Table
Step 1: Low-income Community or Low-income Household? (Y/N)]]="Yes",Table13[[#This Row],[Count]],0)</f>
        <v>0</v>
      </c>
      <c r="BF8">
        <f>IF(Table13[[#This Row],[Benefits Criteria Table
Step 1: Low-income Community or Low-income Household? (Y/N)]]="Yes",Table13[[#This Row],[Total GGRF Funding Amount from this Program ($)]],0)</f>
        <v>0</v>
      </c>
      <c r="BG8">
        <f>IF(Table13[[#This Row],[Benefits Criteria Table
Step 1: Low-income 1/2-mile Buffer Region? (Y/N)]]="Yes",Table13[[#This Row],[Count]],0)</f>
        <v>0</v>
      </c>
      <c r="BH8">
        <f>IF(Table13[[#This Row],[Benefits Criteria Table
Step 1: Low-income 1/2-mile Buffer Region? (Y/N)]]="Yes",Table13[[#This Row],[Total GGRF Funding Amount from this Program ($)]],0)</f>
        <v>0</v>
      </c>
      <c r="BI8" s="1"/>
      <c r="BJ8" t="str">
        <f>IF(Table13[[#This Row],[Benefits Criteria Table
Step 1: Disadvantaged Community? (Y/N)]]="YES",IF(Table13[[#This Row],[Select a Priority Population]]="Disadvantaged Community",Table13[[#This Row],[Count]],0),"")</f>
        <v/>
      </c>
      <c r="BK8" t="str">
        <f>IF(Table13[[#This Row],[Benefits Criteria Table
Step 1: Disadvantaged Community? (Y/N)]]="YES",IF(Table13[[#This Row],[Select a Priority Population]]="Disadvantaged Community",Table13[[#This Row],[Qualifying Disadvantaged Community Benefit Amount ($)]],0),"")</f>
        <v/>
      </c>
      <c r="BL8">
        <f>IF(Table13[[#This Row],[Benefits Criteria Table
Step 1: Low-income Community or Low-income Household? (Y/N)]]="Yes",IF(Table13[[#This Row],[Select a Priority Population]]="Low-income Community",Table13[[#This Row],[Count]],0),0)</f>
        <v>0</v>
      </c>
      <c r="BM8">
        <f>IF(Table13[[#This Row],[Benefits Criteria Table
Step 1: Low-income Community or Low-income Household? (Y/N)]]="Yes",IF(Table13[[#This Row],[Select a Priority Population]]="Low-income Community",Table13[[#This Row],[Total GGRF Funding Amount from this Program ($)]],0),0)</f>
        <v>0</v>
      </c>
      <c r="BN8">
        <f>IF(Table13[[#This Row],[Benefits Criteria Table
Step 1: Low-income 1/2-mile Buffer Region? (Y/N)]]="Yes",IF(Table13[[#This Row],[Select a Priority Population]]="1/2 Mile Buffer Zone",Table13[[#This Row],[Count]],0),0)</f>
        <v>0</v>
      </c>
      <c r="BO8">
        <f>IF(Table13[[#This Row],[Benefits Criteria Table
Step 1: Low-income 1/2-mile Buffer Region? (Y/N)]]="Yes",IF(Table13[[#This Row],[Select a Priority Population]]="1/2 Mile Buffer Zone",Table13[[#This Row],[Total GGRF Funding Amount from this Program ($)]],0),0)</f>
        <v>0</v>
      </c>
      <c r="BP8">
        <f>IF(ISBLANK(Table13[[#This Row],[Project ID]]), 0, 1)</f>
        <v>0</v>
      </c>
      <c r="BQ8" s="1"/>
      <c r="BR8" s="1"/>
      <c r="BS8" s="1"/>
    </row>
    <row r="9" spans="1:71" x14ac:dyDescent="0.25">
      <c r="A9" s="1" t="s">
        <v>58</v>
      </c>
      <c r="B9" s="1" t="s">
        <v>65</v>
      </c>
      <c r="D9" s="1">
        <f>'1. Project Info'!L21</f>
        <v>0</v>
      </c>
      <c r="G9" s="1">
        <f>'1. Project Info'!M21</f>
        <v>0</v>
      </c>
      <c r="I9" s="5"/>
      <c r="J9" s="5"/>
      <c r="K9" s="5"/>
      <c r="L9" s="5"/>
      <c r="M9" s="5"/>
      <c r="R9" s="5"/>
      <c r="S9" s="6"/>
      <c r="T9" s="6"/>
      <c r="U9" s="5"/>
      <c r="AA9" s="6"/>
      <c r="AB9" s="6"/>
      <c r="AC9" s="6"/>
      <c r="AD9" s="6"/>
      <c r="AE9" s="6"/>
      <c r="AF9" s="6"/>
      <c r="AG9" s="6"/>
      <c r="AJ9" s="6"/>
      <c r="AK9" s="6"/>
      <c r="AL9" s="6"/>
      <c r="AM9" s="6"/>
      <c r="AN9" s="6"/>
      <c r="BC9">
        <f>IF(Table13[[#This Row],[Benefits Criteria Table
Step 1: Disadvantaged Community? (Y/N)]]="Yes",Table13[[#This Row],[Count]],0)</f>
        <v>0</v>
      </c>
      <c r="BD9">
        <f>IF(Table13[[#This Row],[Benefits Criteria Table
Step 1: Disadvantaged Community? (Y/N)]]="Yes",Table13[[#This Row],[Total GGRF Funding Amount from this Program ($)]],0)</f>
        <v>0</v>
      </c>
      <c r="BE9">
        <f>IF(Table13[[#This Row],[Benefits Criteria Table
Step 1: Low-income Community or Low-income Household? (Y/N)]]="Yes",Table13[[#This Row],[Count]],0)</f>
        <v>0</v>
      </c>
      <c r="BF9">
        <f>IF(Table13[[#This Row],[Benefits Criteria Table
Step 1: Low-income Community or Low-income Household? (Y/N)]]="Yes",Table13[[#This Row],[Total GGRF Funding Amount from this Program ($)]],0)</f>
        <v>0</v>
      </c>
      <c r="BG9">
        <f>IF(Table13[[#This Row],[Benefits Criteria Table
Step 1: Low-income 1/2-mile Buffer Region? (Y/N)]]="Yes",Table13[[#This Row],[Count]],0)</f>
        <v>0</v>
      </c>
      <c r="BH9">
        <f>IF(Table13[[#This Row],[Benefits Criteria Table
Step 1: Low-income 1/2-mile Buffer Region? (Y/N)]]="Yes",Table13[[#This Row],[Total GGRF Funding Amount from this Program ($)]],0)</f>
        <v>0</v>
      </c>
      <c r="BI9" s="1"/>
      <c r="BJ9" t="str">
        <f>IF(Table13[[#This Row],[Benefits Criteria Table
Step 1: Disadvantaged Community? (Y/N)]]="YES",IF(Table13[[#This Row],[Select a Priority Population]]="Disadvantaged Community",Table13[[#This Row],[Count]],0),"")</f>
        <v/>
      </c>
      <c r="BK9" t="str">
        <f>IF(Table13[[#This Row],[Benefits Criteria Table
Step 1: Disadvantaged Community? (Y/N)]]="YES",IF(Table13[[#This Row],[Select a Priority Population]]="Disadvantaged Community",Table13[[#This Row],[Qualifying Disadvantaged Community Benefit Amount ($)]],0),"")</f>
        <v/>
      </c>
      <c r="BL9">
        <f>IF(Table13[[#This Row],[Benefits Criteria Table
Step 1: Low-income Community or Low-income Household? (Y/N)]]="Yes",IF(Table13[[#This Row],[Select a Priority Population]]="Low-income Community",Table13[[#This Row],[Count]],0),0)</f>
        <v>0</v>
      </c>
      <c r="BM9">
        <f>IF(Table13[[#This Row],[Benefits Criteria Table
Step 1: Low-income Community or Low-income Household? (Y/N)]]="Yes",IF(Table13[[#This Row],[Select a Priority Population]]="Low-income Community",Table13[[#This Row],[Total GGRF Funding Amount from this Program ($)]],0),0)</f>
        <v>0</v>
      </c>
      <c r="BN9">
        <f>IF(Table13[[#This Row],[Benefits Criteria Table
Step 1: Low-income 1/2-mile Buffer Region? (Y/N)]]="Yes",IF(Table13[[#This Row],[Select a Priority Population]]="1/2 Mile Buffer Zone",Table13[[#This Row],[Count]],0),0)</f>
        <v>0</v>
      </c>
      <c r="BO9">
        <f>IF(Table13[[#This Row],[Benefits Criteria Table
Step 1: Low-income 1/2-mile Buffer Region? (Y/N)]]="Yes",IF(Table13[[#This Row],[Select a Priority Population]]="1/2 Mile Buffer Zone",Table13[[#This Row],[Total GGRF Funding Amount from this Program ($)]],0),0)</f>
        <v>0</v>
      </c>
      <c r="BP9">
        <f>IF(ISBLANK(Table13[[#This Row],[Project ID]]), 0, 1)</f>
        <v>0</v>
      </c>
      <c r="BQ9" s="1"/>
      <c r="BR9" s="1"/>
      <c r="BS9" s="1"/>
    </row>
    <row r="10" spans="1:71" x14ac:dyDescent="0.25">
      <c r="A10" s="1" t="s">
        <v>58</v>
      </c>
      <c r="B10" s="1" t="s">
        <v>65</v>
      </c>
      <c r="D10" s="1">
        <f>'1. Project Info'!L22</f>
        <v>0</v>
      </c>
      <c r="G10" s="1">
        <f>'1. Project Info'!M22</f>
        <v>0</v>
      </c>
      <c r="I10" s="5"/>
      <c r="J10" s="5"/>
      <c r="K10" s="5"/>
      <c r="L10" s="5"/>
      <c r="M10" s="5"/>
      <c r="R10" s="5"/>
      <c r="S10" s="6"/>
      <c r="T10" s="6"/>
      <c r="U10" s="5"/>
      <c r="AA10" s="6"/>
      <c r="AB10" s="6"/>
      <c r="AC10" s="6"/>
      <c r="AD10" s="6"/>
      <c r="AE10" s="6"/>
      <c r="AF10" s="6"/>
      <c r="AG10" s="6"/>
      <c r="AJ10" s="6"/>
      <c r="AK10" s="6"/>
      <c r="AL10" s="6"/>
      <c r="AM10" s="6"/>
      <c r="AN10" s="6"/>
      <c r="BC10">
        <f>IF(Table13[[#This Row],[Benefits Criteria Table
Step 1: Disadvantaged Community? (Y/N)]]="Yes",Table13[[#This Row],[Count]],0)</f>
        <v>0</v>
      </c>
      <c r="BD10">
        <f>IF(Table13[[#This Row],[Benefits Criteria Table
Step 1: Disadvantaged Community? (Y/N)]]="Yes",Table13[[#This Row],[Total GGRF Funding Amount from this Program ($)]],0)</f>
        <v>0</v>
      </c>
      <c r="BE10">
        <f>IF(Table13[[#This Row],[Benefits Criteria Table
Step 1: Low-income Community or Low-income Household? (Y/N)]]="Yes",Table13[[#This Row],[Count]],0)</f>
        <v>0</v>
      </c>
      <c r="BF10">
        <f>IF(Table13[[#This Row],[Benefits Criteria Table
Step 1: Low-income Community or Low-income Household? (Y/N)]]="Yes",Table13[[#This Row],[Total GGRF Funding Amount from this Program ($)]],0)</f>
        <v>0</v>
      </c>
      <c r="BG10">
        <f>IF(Table13[[#This Row],[Benefits Criteria Table
Step 1: Low-income 1/2-mile Buffer Region? (Y/N)]]="Yes",Table13[[#This Row],[Count]],0)</f>
        <v>0</v>
      </c>
      <c r="BH10">
        <f>IF(Table13[[#This Row],[Benefits Criteria Table
Step 1: Low-income 1/2-mile Buffer Region? (Y/N)]]="Yes",Table13[[#This Row],[Total GGRF Funding Amount from this Program ($)]],0)</f>
        <v>0</v>
      </c>
      <c r="BI10" s="1"/>
      <c r="BJ10" t="str">
        <f>IF(Table13[[#This Row],[Benefits Criteria Table
Step 1: Disadvantaged Community? (Y/N)]]="YES",IF(Table13[[#This Row],[Select a Priority Population]]="Disadvantaged Community",Table13[[#This Row],[Count]],0),"")</f>
        <v/>
      </c>
      <c r="BK10" t="str">
        <f>IF(Table13[[#This Row],[Benefits Criteria Table
Step 1: Disadvantaged Community? (Y/N)]]="YES",IF(Table13[[#This Row],[Select a Priority Population]]="Disadvantaged Community",Table13[[#This Row],[Qualifying Disadvantaged Community Benefit Amount ($)]],0),"")</f>
        <v/>
      </c>
      <c r="BL10">
        <f>IF(Table13[[#This Row],[Benefits Criteria Table
Step 1: Low-income Community or Low-income Household? (Y/N)]]="Yes",IF(Table13[[#This Row],[Select a Priority Population]]="Low-income Community",Table13[[#This Row],[Count]],0),0)</f>
        <v>0</v>
      </c>
      <c r="BM10">
        <f>IF(Table13[[#This Row],[Benefits Criteria Table
Step 1: Low-income Community or Low-income Household? (Y/N)]]="Yes",IF(Table13[[#This Row],[Select a Priority Population]]="Low-income Community",Table13[[#This Row],[Total GGRF Funding Amount from this Program ($)]],0),0)</f>
        <v>0</v>
      </c>
      <c r="BN10">
        <f>IF(Table13[[#This Row],[Benefits Criteria Table
Step 1: Low-income 1/2-mile Buffer Region? (Y/N)]]="Yes",IF(Table13[[#This Row],[Select a Priority Population]]="1/2 Mile Buffer Zone",Table13[[#This Row],[Count]],0),0)</f>
        <v>0</v>
      </c>
      <c r="BO10">
        <f>IF(Table13[[#This Row],[Benefits Criteria Table
Step 1: Low-income 1/2-mile Buffer Region? (Y/N)]]="Yes",IF(Table13[[#This Row],[Select a Priority Population]]="1/2 Mile Buffer Zone",Table13[[#This Row],[Total GGRF Funding Amount from this Program ($)]],0),0)</f>
        <v>0</v>
      </c>
      <c r="BP10">
        <f>IF(ISBLANK(Table13[[#This Row],[Project ID]]), 0, 1)</f>
        <v>0</v>
      </c>
      <c r="BQ10" s="1"/>
      <c r="BR10" s="1"/>
      <c r="BS10" s="1"/>
    </row>
    <row r="11" spans="1:71" x14ac:dyDescent="0.25">
      <c r="A11" s="1" t="s">
        <v>58</v>
      </c>
      <c r="B11" s="1" t="s">
        <v>65</v>
      </c>
      <c r="D11" s="1">
        <f>'1. Project Info'!L23</f>
        <v>0</v>
      </c>
      <c r="G11" s="1">
        <f>'1. Project Info'!M23</f>
        <v>0</v>
      </c>
      <c r="I11" s="5"/>
      <c r="J11" s="5"/>
      <c r="K11" s="5"/>
      <c r="L11" s="5"/>
      <c r="M11" s="5"/>
      <c r="R11" s="5"/>
      <c r="S11" s="6"/>
      <c r="T11" s="6"/>
      <c r="U11" s="5"/>
      <c r="AA11" s="6"/>
      <c r="AB11" s="6"/>
      <c r="AC11" s="6"/>
      <c r="AD11" s="6"/>
      <c r="AE11" s="6"/>
      <c r="AF11" s="6"/>
      <c r="AG11" s="6"/>
      <c r="AJ11" s="6"/>
      <c r="AK11" s="6"/>
      <c r="AL11" s="6"/>
      <c r="AM11" s="6"/>
      <c r="AN11" s="6"/>
      <c r="BC11">
        <f>IF(Table13[[#This Row],[Benefits Criteria Table
Step 1: Disadvantaged Community? (Y/N)]]="Yes",Table13[[#This Row],[Count]],0)</f>
        <v>0</v>
      </c>
      <c r="BD11">
        <f>IF(Table13[[#This Row],[Benefits Criteria Table
Step 1: Disadvantaged Community? (Y/N)]]="Yes",Table13[[#This Row],[Total GGRF Funding Amount from this Program ($)]],0)</f>
        <v>0</v>
      </c>
      <c r="BE11">
        <f>IF(Table13[[#This Row],[Benefits Criteria Table
Step 1: Low-income Community or Low-income Household? (Y/N)]]="Yes",Table13[[#This Row],[Count]],0)</f>
        <v>0</v>
      </c>
      <c r="BF11">
        <f>IF(Table13[[#This Row],[Benefits Criteria Table
Step 1: Low-income Community or Low-income Household? (Y/N)]]="Yes",Table13[[#This Row],[Total GGRF Funding Amount from this Program ($)]],0)</f>
        <v>0</v>
      </c>
      <c r="BG11">
        <f>IF(Table13[[#This Row],[Benefits Criteria Table
Step 1: Low-income 1/2-mile Buffer Region? (Y/N)]]="Yes",Table13[[#This Row],[Count]],0)</f>
        <v>0</v>
      </c>
      <c r="BH11">
        <f>IF(Table13[[#This Row],[Benefits Criteria Table
Step 1: Low-income 1/2-mile Buffer Region? (Y/N)]]="Yes",Table13[[#This Row],[Total GGRF Funding Amount from this Program ($)]],0)</f>
        <v>0</v>
      </c>
      <c r="BI11" s="1"/>
      <c r="BJ11" t="str">
        <f>IF(Table13[[#This Row],[Benefits Criteria Table
Step 1: Disadvantaged Community? (Y/N)]]="YES",IF(Table13[[#This Row],[Select a Priority Population]]="Disadvantaged Community",Table13[[#This Row],[Count]],0),"")</f>
        <v/>
      </c>
      <c r="BK11" t="str">
        <f>IF(Table13[[#This Row],[Benefits Criteria Table
Step 1: Disadvantaged Community? (Y/N)]]="YES",IF(Table13[[#This Row],[Select a Priority Population]]="Disadvantaged Community",Table13[[#This Row],[Qualifying Disadvantaged Community Benefit Amount ($)]],0),"")</f>
        <v/>
      </c>
      <c r="BL11">
        <f>IF(Table13[[#This Row],[Benefits Criteria Table
Step 1: Low-income Community or Low-income Household? (Y/N)]]="Yes",IF(Table13[[#This Row],[Select a Priority Population]]="Low-income Community",Table13[[#This Row],[Count]],0),0)</f>
        <v>0</v>
      </c>
      <c r="BM11">
        <f>IF(Table13[[#This Row],[Benefits Criteria Table
Step 1: Low-income Community or Low-income Household? (Y/N)]]="Yes",IF(Table13[[#This Row],[Select a Priority Population]]="Low-income Community",Table13[[#This Row],[Total GGRF Funding Amount from this Program ($)]],0),0)</f>
        <v>0</v>
      </c>
      <c r="BN11">
        <f>IF(Table13[[#This Row],[Benefits Criteria Table
Step 1: Low-income 1/2-mile Buffer Region? (Y/N)]]="Yes",IF(Table13[[#This Row],[Select a Priority Population]]="1/2 Mile Buffer Zone",Table13[[#This Row],[Count]],0),0)</f>
        <v>0</v>
      </c>
      <c r="BO11">
        <f>IF(Table13[[#This Row],[Benefits Criteria Table
Step 1: Low-income 1/2-mile Buffer Region? (Y/N)]]="Yes",IF(Table13[[#This Row],[Select a Priority Population]]="1/2 Mile Buffer Zone",Table13[[#This Row],[Total GGRF Funding Amount from this Program ($)]],0),0)</f>
        <v>0</v>
      </c>
      <c r="BP11">
        <f>IF(ISBLANK(Table13[[#This Row],[Project ID]]), 0, 1)</f>
        <v>0</v>
      </c>
      <c r="BQ11" s="1"/>
      <c r="BR11" s="1"/>
      <c r="BS11" s="1"/>
    </row>
    <row r="12" spans="1:71" x14ac:dyDescent="0.25">
      <c r="A12" s="1" t="s">
        <v>58</v>
      </c>
      <c r="B12" s="1" t="s">
        <v>65</v>
      </c>
      <c r="D12" s="1">
        <f>'1. Project Info'!L24</f>
        <v>0</v>
      </c>
      <c r="G12" s="1">
        <f>'1. Project Info'!M24</f>
        <v>0</v>
      </c>
      <c r="I12" s="5"/>
      <c r="J12" s="5"/>
      <c r="K12" s="5"/>
      <c r="L12" s="5"/>
      <c r="M12" s="5"/>
      <c r="R12" s="5"/>
      <c r="S12" s="6"/>
      <c r="T12" s="6"/>
      <c r="U12" s="5"/>
      <c r="AA12" s="6"/>
      <c r="AB12" s="6"/>
      <c r="AC12" s="6"/>
      <c r="AD12" s="6"/>
      <c r="AE12" s="6"/>
      <c r="AF12" s="6"/>
      <c r="AG12" s="6"/>
      <c r="AJ12" s="6"/>
      <c r="AK12" s="6"/>
      <c r="AL12" s="6"/>
      <c r="AM12" s="6"/>
      <c r="AN12" s="6"/>
      <c r="BC12">
        <f>IF(Table13[[#This Row],[Benefits Criteria Table
Step 1: Disadvantaged Community? (Y/N)]]="Yes",Table13[[#This Row],[Count]],0)</f>
        <v>0</v>
      </c>
      <c r="BD12">
        <f>IF(Table13[[#This Row],[Benefits Criteria Table
Step 1: Disadvantaged Community? (Y/N)]]="Yes",Table13[[#This Row],[Total GGRF Funding Amount from this Program ($)]],0)</f>
        <v>0</v>
      </c>
      <c r="BE12">
        <f>IF(Table13[[#This Row],[Benefits Criteria Table
Step 1: Low-income Community or Low-income Household? (Y/N)]]="Yes",Table13[[#This Row],[Count]],0)</f>
        <v>0</v>
      </c>
      <c r="BF12">
        <f>IF(Table13[[#This Row],[Benefits Criteria Table
Step 1: Low-income Community or Low-income Household? (Y/N)]]="Yes",Table13[[#This Row],[Total GGRF Funding Amount from this Program ($)]],0)</f>
        <v>0</v>
      </c>
      <c r="BG12">
        <f>IF(Table13[[#This Row],[Benefits Criteria Table
Step 1: Low-income 1/2-mile Buffer Region? (Y/N)]]="Yes",Table13[[#This Row],[Count]],0)</f>
        <v>0</v>
      </c>
      <c r="BH12">
        <f>IF(Table13[[#This Row],[Benefits Criteria Table
Step 1: Low-income 1/2-mile Buffer Region? (Y/N)]]="Yes",Table13[[#This Row],[Total GGRF Funding Amount from this Program ($)]],0)</f>
        <v>0</v>
      </c>
      <c r="BI12" s="1"/>
      <c r="BJ12" t="str">
        <f>IF(Table13[[#This Row],[Benefits Criteria Table
Step 1: Disadvantaged Community? (Y/N)]]="YES",IF(Table13[[#This Row],[Select a Priority Population]]="Disadvantaged Community",Table13[[#This Row],[Count]],0),"")</f>
        <v/>
      </c>
      <c r="BK12" t="str">
        <f>IF(Table13[[#This Row],[Benefits Criteria Table
Step 1: Disadvantaged Community? (Y/N)]]="YES",IF(Table13[[#This Row],[Select a Priority Population]]="Disadvantaged Community",Table13[[#This Row],[Qualifying Disadvantaged Community Benefit Amount ($)]],0),"")</f>
        <v/>
      </c>
      <c r="BL12">
        <f>IF(Table13[[#This Row],[Benefits Criteria Table
Step 1: Low-income Community or Low-income Household? (Y/N)]]="Yes",IF(Table13[[#This Row],[Select a Priority Population]]="Low-income Community",Table13[[#This Row],[Count]],0),0)</f>
        <v>0</v>
      </c>
      <c r="BM12">
        <f>IF(Table13[[#This Row],[Benefits Criteria Table
Step 1: Low-income Community or Low-income Household? (Y/N)]]="Yes",IF(Table13[[#This Row],[Select a Priority Population]]="Low-income Community",Table13[[#This Row],[Total GGRF Funding Amount from this Program ($)]],0),0)</f>
        <v>0</v>
      </c>
      <c r="BN12">
        <f>IF(Table13[[#This Row],[Benefits Criteria Table
Step 1: Low-income 1/2-mile Buffer Region? (Y/N)]]="Yes",IF(Table13[[#This Row],[Select a Priority Population]]="1/2 Mile Buffer Zone",Table13[[#This Row],[Count]],0),0)</f>
        <v>0</v>
      </c>
      <c r="BO12">
        <f>IF(Table13[[#This Row],[Benefits Criteria Table
Step 1: Low-income 1/2-mile Buffer Region? (Y/N)]]="Yes",IF(Table13[[#This Row],[Select a Priority Population]]="1/2 Mile Buffer Zone",Table13[[#This Row],[Total GGRF Funding Amount from this Program ($)]],0),0)</f>
        <v>0</v>
      </c>
      <c r="BP12">
        <f>IF(ISBLANK(Table13[[#This Row],[Project ID]]), 0, 1)</f>
        <v>0</v>
      </c>
      <c r="BQ12" s="1"/>
      <c r="BR12" s="1"/>
      <c r="BS12" s="1"/>
    </row>
    <row r="13" spans="1:71" x14ac:dyDescent="0.25">
      <c r="A13" s="1" t="s">
        <v>58</v>
      </c>
      <c r="B13" s="1" t="s">
        <v>65</v>
      </c>
      <c r="D13" s="1">
        <f>'1. Project Info'!L25</f>
        <v>0</v>
      </c>
      <c r="G13" s="1">
        <f>'1. Project Info'!M25</f>
        <v>0</v>
      </c>
      <c r="I13" s="5"/>
      <c r="J13" s="5"/>
      <c r="K13" s="5"/>
      <c r="L13" s="5"/>
      <c r="M13" s="5"/>
      <c r="R13" s="5"/>
      <c r="S13" s="6"/>
      <c r="T13" s="6"/>
      <c r="U13" s="5"/>
      <c r="AA13" s="6"/>
      <c r="AB13" s="6"/>
      <c r="AC13" s="6"/>
      <c r="AD13" s="6"/>
      <c r="AE13" s="6"/>
      <c r="AF13" s="6"/>
      <c r="AG13" s="6"/>
      <c r="AJ13" s="6"/>
      <c r="AK13" s="6"/>
      <c r="AL13" s="6"/>
      <c r="AM13" s="6"/>
      <c r="AN13" s="6"/>
      <c r="BC13">
        <f>IF(Table13[[#This Row],[Benefits Criteria Table
Step 1: Disadvantaged Community? (Y/N)]]="Yes",Table13[[#This Row],[Count]],0)</f>
        <v>0</v>
      </c>
      <c r="BD13">
        <f>IF(Table13[[#This Row],[Benefits Criteria Table
Step 1: Disadvantaged Community? (Y/N)]]="Yes",Table13[[#This Row],[Total GGRF Funding Amount from this Program ($)]],0)</f>
        <v>0</v>
      </c>
      <c r="BE13">
        <f>IF(Table13[[#This Row],[Benefits Criteria Table
Step 1: Low-income Community or Low-income Household? (Y/N)]]="Yes",Table13[[#This Row],[Count]],0)</f>
        <v>0</v>
      </c>
      <c r="BF13">
        <f>IF(Table13[[#This Row],[Benefits Criteria Table
Step 1: Low-income Community or Low-income Household? (Y/N)]]="Yes",Table13[[#This Row],[Total GGRF Funding Amount from this Program ($)]],0)</f>
        <v>0</v>
      </c>
      <c r="BG13">
        <f>IF(Table13[[#This Row],[Benefits Criteria Table
Step 1: Low-income 1/2-mile Buffer Region? (Y/N)]]="Yes",Table13[[#This Row],[Count]],0)</f>
        <v>0</v>
      </c>
      <c r="BH13">
        <f>IF(Table13[[#This Row],[Benefits Criteria Table
Step 1: Low-income 1/2-mile Buffer Region? (Y/N)]]="Yes",Table13[[#This Row],[Total GGRF Funding Amount from this Program ($)]],0)</f>
        <v>0</v>
      </c>
      <c r="BI13" s="1"/>
      <c r="BJ13" t="str">
        <f>IF(Table13[[#This Row],[Benefits Criteria Table
Step 1: Disadvantaged Community? (Y/N)]]="YES",IF(Table13[[#This Row],[Select a Priority Population]]="Disadvantaged Community",Table13[[#This Row],[Count]],0),"")</f>
        <v/>
      </c>
      <c r="BK13" t="str">
        <f>IF(Table13[[#This Row],[Benefits Criteria Table
Step 1: Disadvantaged Community? (Y/N)]]="YES",IF(Table13[[#This Row],[Select a Priority Population]]="Disadvantaged Community",Table13[[#This Row],[Qualifying Disadvantaged Community Benefit Amount ($)]],0),"")</f>
        <v/>
      </c>
      <c r="BL13">
        <f>IF(Table13[[#This Row],[Benefits Criteria Table
Step 1: Low-income Community or Low-income Household? (Y/N)]]="Yes",IF(Table13[[#This Row],[Select a Priority Population]]="Low-income Community",Table13[[#This Row],[Count]],0),0)</f>
        <v>0</v>
      </c>
      <c r="BM13">
        <f>IF(Table13[[#This Row],[Benefits Criteria Table
Step 1: Low-income Community or Low-income Household? (Y/N)]]="Yes",IF(Table13[[#This Row],[Select a Priority Population]]="Low-income Community",Table13[[#This Row],[Total GGRF Funding Amount from this Program ($)]],0),0)</f>
        <v>0</v>
      </c>
      <c r="BN13">
        <f>IF(Table13[[#This Row],[Benefits Criteria Table
Step 1: Low-income 1/2-mile Buffer Region? (Y/N)]]="Yes",IF(Table13[[#This Row],[Select a Priority Population]]="1/2 Mile Buffer Zone",Table13[[#This Row],[Count]],0),0)</f>
        <v>0</v>
      </c>
      <c r="BO13">
        <f>IF(Table13[[#This Row],[Benefits Criteria Table
Step 1: Low-income 1/2-mile Buffer Region? (Y/N)]]="Yes",IF(Table13[[#This Row],[Select a Priority Population]]="1/2 Mile Buffer Zone",Table13[[#This Row],[Total GGRF Funding Amount from this Program ($)]],0),0)</f>
        <v>0</v>
      </c>
      <c r="BP13">
        <f>IF(ISBLANK(Table13[[#This Row],[Project ID]]), 0, 1)</f>
        <v>0</v>
      </c>
      <c r="BQ13" s="1"/>
      <c r="BR13" s="1"/>
      <c r="BS13" s="1"/>
    </row>
    <row r="14" spans="1:71" x14ac:dyDescent="0.25">
      <c r="A14" s="1" t="s">
        <v>58</v>
      </c>
      <c r="B14" s="1" t="s">
        <v>65</v>
      </c>
      <c r="D14" s="1">
        <f>'1. Project Info'!L26</f>
        <v>0</v>
      </c>
      <c r="G14" s="1">
        <f>'1. Project Info'!M26</f>
        <v>0</v>
      </c>
      <c r="I14" s="5"/>
      <c r="J14" s="5"/>
      <c r="K14" s="5"/>
      <c r="L14" s="5"/>
      <c r="M14" s="5"/>
      <c r="R14" s="5"/>
      <c r="S14" s="6"/>
      <c r="T14" s="6"/>
      <c r="U14" s="5"/>
      <c r="AA14" s="6"/>
      <c r="AB14" s="6"/>
      <c r="AC14" s="6"/>
      <c r="AD14" s="6"/>
      <c r="AE14" s="6"/>
      <c r="AF14" s="6"/>
      <c r="AG14" s="6"/>
      <c r="AJ14" s="6"/>
      <c r="AK14" s="6"/>
      <c r="AL14" s="6"/>
      <c r="AM14" s="6"/>
      <c r="AN14" s="6"/>
      <c r="BC14">
        <f>IF(Table13[[#This Row],[Benefits Criteria Table
Step 1: Disadvantaged Community? (Y/N)]]="Yes",Table13[[#This Row],[Count]],0)</f>
        <v>0</v>
      </c>
      <c r="BD14">
        <f>IF(Table13[[#This Row],[Benefits Criteria Table
Step 1: Disadvantaged Community? (Y/N)]]="Yes",Table13[[#This Row],[Total GGRF Funding Amount from this Program ($)]],0)</f>
        <v>0</v>
      </c>
      <c r="BE14">
        <f>IF(Table13[[#This Row],[Benefits Criteria Table
Step 1: Low-income Community or Low-income Household? (Y/N)]]="Yes",Table13[[#This Row],[Count]],0)</f>
        <v>0</v>
      </c>
      <c r="BF14">
        <f>IF(Table13[[#This Row],[Benefits Criteria Table
Step 1: Low-income Community or Low-income Household? (Y/N)]]="Yes",Table13[[#This Row],[Total GGRF Funding Amount from this Program ($)]],0)</f>
        <v>0</v>
      </c>
      <c r="BG14">
        <f>IF(Table13[[#This Row],[Benefits Criteria Table
Step 1: Low-income 1/2-mile Buffer Region? (Y/N)]]="Yes",Table13[[#This Row],[Count]],0)</f>
        <v>0</v>
      </c>
      <c r="BH14">
        <f>IF(Table13[[#This Row],[Benefits Criteria Table
Step 1: Low-income 1/2-mile Buffer Region? (Y/N)]]="Yes",Table13[[#This Row],[Total GGRF Funding Amount from this Program ($)]],0)</f>
        <v>0</v>
      </c>
      <c r="BI14" s="1"/>
      <c r="BJ14" t="str">
        <f>IF(Table13[[#This Row],[Benefits Criteria Table
Step 1: Disadvantaged Community? (Y/N)]]="YES",IF(Table13[[#This Row],[Select a Priority Population]]="Disadvantaged Community",Table13[[#This Row],[Count]],0),"")</f>
        <v/>
      </c>
      <c r="BK14" t="str">
        <f>IF(Table13[[#This Row],[Benefits Criteria Table
Step 1: Disadvantaged Community? (Y/N)]]="YES",IF(Table13[[#This Row],[Select a Priority Population]]="Disadvantaged Community",Table13[[#This Row],[Qualifying Disadvantaged Community Benefit Amount ($)]],0),"")</f>
        <v/>
      </c>
      <c r="BL14">
        <f>IF(Table13[[#This Row],[Benefits Criteria Table
Step 1: Low-income Community or Low-income Household? (Y/N)]]="Yes",IF(Table13[[#This Row],[Select a Priority Population]]="Low-income Community",Table13[[#This Row],[Count]],0),0)</f>
        <v>0</v>
      </c>
      <c r="BM14">
        <f>IF(Table13[[#This Row],[Benefits Criteria Table
Step 1: Low-income Community or Low-income Household? (Y/N)]]="Yes",IF(Table13[[#This Row],[Select a Priority Population]]="Low-income Community",Table13[[#This Row],[Total GGRF Funding Amount from this Program ($)]],0),0)</f>
        <v>0</v>
      </c>
      <c r="BN14">
        <f>IF(Table13[[#This Row],[Benefits Criteria Table
Step 1: Low-income 1/2-mile Buffer Region? (Y/N)]]="Yes",IF(Table13[[#This Row],[Select a Priority Population]]="1/2 Mile Buffer Zone",Table13[[#This Row],[Count]],0),0)</f>
        <v>0</v>
      </c>
      <c r="BO14">
        <f>IF(Table13[[#This Row],[Benefits Criteria Table
Step 1: Low-income 1/2-mile Buffer Region? (Y/N)]]="Yes",IF(Table13[[#This Row],[Select a Priority Population]]="1/2 Mile Buffer Zone",Table13[[#This Row],[Total GGRF Funding Amount from this Program ($)]],0),0)</f>
        <v>0</v>
      </c>
      <c r="BP14">
        <f>IF(ISBLANK(Table13[[#This Row],[Project ID]]), 0, 1)</f>
        <v>0</v>
      </c>
      <c r="BQ14" s="1"/>
      <c r="BR14" s="1"/>
      <c r="BS14" s="1"/>
    </row>
    <row r="15" spans="1:71" x14ac:dyDescent="0.25">
      <c r="A15" s="1" t="s">
        <v>58</v>
      </c>
      <c r="B15" s="1" t="s">
        <v>65</v>
      </c>
      <c r="D15" s="1">
        <f>'1. Project Info'!L27</f>
        <v>0</v>
      </c>
      <c r="G15" s="1">
        <f>'1. Project Info'!M27</f>
        <v>0</v>
      </c>
      <c r="I15" s="5"/>
      <c r="J15" s="5"/>
      <c r="K15" s="5"/>
      <c r="L15" s="5"/>
      <c r="M15" s="5"/>
      <c r="R15" s="5"/>
      <c r="S15" s="6"/>
      <c r="T15" s="6"/>
      <c r="U15" s="5"/>
      <c r="AA15" s="6"/>
      <c r="AB15" s="6"/>
      <c r="AC15" s="6"/>
      <c r="AD15" s="6"/>
      <c r="AE15" s="6"/>
      <c r="AF15" s="6"/>
      <c r="AG15" s="6"/>
      <c r="AJ15" s="6"/>
      <c r="AK15" s="6"/>
      <c r="AL15" s="6"/>
      <c r="AM15" s="6"/>
      <c r="AN15" s="6"/>
      <c r="BC15">
        <f>IF(Table13[[#This Row],[Benefits Criteria Table
Step 1: Disadvantaged Community? (Y/N)]]="Yes",Table13[[#This Row],[Count]],0)</f>
        <v>0</v>
      </c>
      <c r="BD15">
        <f>IF(Table13[[#This Row],[Benefits Criteria Table
Step 1: Disadvantaged Community? (Y/N)]]="Yes",Table13[[#This Row],[Total GGRF Funding Amount from this Program ($)]],0)</f>
        <v>0</v>
      </c>
      <c r="BE15">
        <f>IF(Table13[[#This Row],[Benefits Criteria Table
Step 1: Low-income Community or Low-income Household? (Y/N)]]="Yes",Table13[[#This Row],[Count]],0)</f>
        <v>0</v>
      </c>
      <c r="BF15">
        <f>IF(Table13[[#This Row],[Benefits Criteria Table
Step 1: Low-income Community or Low-income Household? (Y/N)]]="Yes",Table13[[#This Row],[Total GGRF Funding Amount from this Program ($)]],0)</f>
        <v>0</v>
      </c>
      <c r="BG15">
        <f>IF(Table13[[#This Row],[Benefits Criteria Table
Step 1: Low-income 1/2-mile Buffer Region? (Y/N)]]="Yes",Table13[[#This Row],[Count]],0)</f>
        <v>0</v>
      </c>
      <c r="BH15">
        <f>IF(Table13[[#This Row],[Benefits Criteria Table
Step 1: Low-income 1/2-mile Buffer Region? (Y/N)]]="Yes",Table13[[#This Row],[Total GGRF Funding Amount from this Program ($)]],0)</f>
        <v>0</v>
      </c>
      <c r="BI15" s="1"/>
      <c r="BJ15" t="str">
        <f>IF(Table13[[#This Row],[Benefits Criteria Table
Step 1: Disadvantaged Community? (Y/N)]]="YES",IF(Table13[[#This Row],[Select a Priority Population]]="Disadvantaged Community",Table13[[#This Row],[Count]],0),"")</f>
        <v/>
      </c>
      <c r="BK15" t="str">
        <f>IF(Table13[[#This Row],[Benefits Criteria Table
Step 1: Disadvantaged Community? (Y/N)]]="YES",IF(Table13[[#This Row],[Select a Priority Population]]="Disadvantaged Community",Table13[[#This Row],[Qualifying Disadvantaged Community Benefit Amount ($)]],0),"")</f>
        <v/>
      </c>
      <c r="BL15">
        <f>IF(Table13[[#This Row],[Benefits Criteria Table
Step 1: Low-income Community or Low-income Household? (Y/N)]]="Yes",IF(Table13[[#This Row],[Select a Priority Population]]="Low-income Community",Table13[[#This Row],[Count]],0),0)</f>
        <v>0</v>
      </c>
      <c r="BM15">
        <f>IF(Table13[[#This Row],[Benefits Criteria Table
Step 1: Low-income Community or Low-income Household? (Y/N)]]="Yes",IF(Table13[[#This Row],[Select a Priority Population]]="Low-income Community",Table13[[#This Row],[Total GGRF Funding Amount from this Program ($)]],0),0)</f>
        <v>0</v>
      </c>
      <c r="BN15">
        <f>IF(Table13[[#This Row],[Benefits Criteria Table
Step 1: Low-income 1/2-mile Buffer Region? (Y/N)]]="Yes",IF(Table13[[#This Row],[Select a Priority Population]]="1/2 Mile Buffer Zone",Table13[[#This Row],[Count]],0),0)</f>
        <v>0</v>
      </c>
      <c r="BO15">
        <f>IF(Table13[[#This Row],[Benefits Criteria Table
Step 1: Low-income 1/2-mile Buffer Region? (Y/N)]]="Yes",IF(Table13[[#This Row],[Select a Priority Population]]="1/2 Mile Buffer Zone",Table13[[#This Row],[Total GGRF Funding Amount from this Program ($)]],0),0)</f>
        <v>0</v>
      </c>
      <c r="BP15">
        <f>IF(ISBLANK(Table13[[#This Row],[Project ID]]), 0, 1)</f>
        <v>0</v>
      </c>
      <c r="BQ15" s="1"/>
      <c r="BR15" s="1"/>
      <c r="BS15" s="1"/>
    </row>
    <row r="16" spans="1:71" x14ac:dyDescent="0.25">
      <c r="A16" s="1" t="s">
        <v>58</v>
      </c>
      <c r="B16" s="1" t="s">
        <v>65</v>
      </c>
      <c r="D16" s="1">
        <f>'1. Project Info'!L28</f>
        <v>0</v>
      </c>
      <c r="G16" s="1">
        <f>'1. Project Info'!M28</f>
        <v>0</v>
      </c>
      <c r="I16" s="5"/>
      <c r="J16" s="5"/>
      <c r="K16" s="5"/>
      <c r="L16" s="5"/>
      <c r="M16" s="5"/>
      <c r="R16" s="5"/>
      <c r="S16" s="6"/>
      <c r="T16" s="6"/>
      <c r="U16" s="5"/>
      <c r="AA16" s="6"/>
      <c r="AB16" s="6"/>
      <c r="AC16" s="6"/>
      <c r="AD16" s="6"/>
      <c r="AE16" s="6"/>
      <c r="AF16" s="6"/>
      <c r="AG16" s="6"/>
      <c r="AJ16" s="6"/>
      <c r="AK16" s="6"/>
      <c r="AL16" s="6"/>
      <c r="AM16" s="6"/>
      <c r="AN16" s="6"/>
      <c r="BC16">
        <f>IF(Table13[[#This Row],[Benefits Criteria Table
Step 1: Disadvantaged Community? (Y/N)]]="Yes",Table13[[#This Row],[Count]],0)</f>
        <v>0</v>
      </c>
      <c r="BD16">
        <f>IF(Table13[[#This Row],[Benefits Criteria Table
Step 1: Disadvantaged Community? (Y/N)]]="Yes",Table13[[#This Row],[Total GGRF Funding Amount from this Program ($)]],0)</f>
        <v>0</v>
      </c>
      <c r="BE16">
        <f>IF(Table13[[#This Row],[Benefits Criteria Table
Step 1: Low-income Community or Low-income Household? (Y/N)]]="Yes",Table13[[#This Row],[Count]],0)</f>
        <v>0</v>
      </c>
      <c r="BF16">
        <f>IF(Table13[[#This Row],[Benefits Criteria Table
Step 1: Low-income Community or Low-income Household? (Y/N)]]="Yes",Table13[[#This Row],[Total GGRF Funding Amount from this Program ($)]],0)</f>
        <v>0</v>
      </c>
      <c r="BG16">
        <f>IF(Table13[[#This Row],[Benefits Criteria Table
Step 1: Low-income 1/2-mile Buffer Region? (Y/N)]]="Yes",Table13[[#This Row],[Count]],0)</f>
        <v>0</v>
      </c>
      <c r="BH16">
        <f>IF(Table13[[#This Row],[Benefits Criteria Table
Step 1: Low-income 1/2-mile Buffer Region? (Y/N)]]="Yes",Table13[[#This Row],[Total GGRF Funding Amount from this Program ($)]],0)</f>
        <v>0</v>
      </c>
      <c r="BI16" s="1"/>
      <c r="BJ16" t="str">
        <f>IF(Table13[[#This Row],[Benefits Criteria Table
Step 1: Disadvantaged Community? (Y/N)]]="YES",IF(Table13[[#This Row],[Select a Priority Population]]="Disadvantaged Community",Table13[[#This Row],[Count]],0),"")</f>
        <v/>
      </c>
      <c r="BK16" t="str">
        <f>IF(Table13[[#This Row],[Benefits Criteria Table
Step 1: Disadvantaged Community? (Y/N)]]="YES",IF(Table13[[#This Row],[Select a Priority Population]]="Disadvantaged Community",Table13[[#This Row],[Qualifying Disadvantaged Community Benefit Amount ($)]],0),"")</f>
        <v/>
      </c>
      <c r="BL16">
        <f>IF(Table13[[#This Row],[Benefits Criteria Table
Step 1: Low-income Community or Low-income Household? (Y/N)]]="Yes",IF(Table13[[#This Row],[Select a Priority Population]]="Low-income Community",Table13[[#This Row],[Count]],0),0)</f>
        <v>0</v>
      </c>
      <c r="BM16">
        <f>IF(Table13[[#This Row],[Benefits Criteria Table
Step 1: Low-income Community or Low-income Household? (Y/N)]]="Yes",IF(Table13[[#This Row],[Select a Priority Population]]="Low-income Community",Table13[[#This Row],[Total GGRF Funding Amount from this Program ($)]],0),0)</f>
        <v>0</v>
      </c>
      <c r="BN16">
        <f>IF(Table13[[#This Row],[Benefits Criteria Table
Step 1: Low-income 1/2-mile Buffer Region? (Y/N)]]="Yes",IF(Table13[[#This Row],[Select a Priority Population]]="1/2 Mile Buffer Zone",Table13[[#This Row],[Count]],0),0)</f>
        <v>0</v>
      </c>
      <c r="BO16">
        <f>IF(Table13[[#This Row],[Benefits Criteria Table
Step 1: Low-income 1/2-mile Buffer Region? (Y/N)]]="Yes",IF(Table13[[#This Row],[Select a Priority Population]]="1/2 Mile Buffer Zone",Table13[[#This Row],[Total GGRF Funding Amount from this Program ($)]],0),0)</f>
        <v>0</v>
      </c>
      <c r="BP16">
        <f>IF(ISBLANK(Table13[[#This Row],[Project ID]]), 0, 1)</f>
        <v>0</v>
      </c>
      <c r="BQ16" s="1"/>
      <c r="BR16" s="1"/>
      <c r="BS16" s="1"/>
    </row>
    <row r="17" spans="1:71" x14ac:dyDescent="0.25">
      <c r="A17" s="1" t="s">
        <v>58</v>
      </c>
      <c r="B17" s="1" t="s">
        <v>65</v>
      </c>
      <c r="D17" s="1">
        <f>'1. Project Info'!L29</f>
        <v>0</v>
      </c>
      <c r="G17" s="1">
        <f>'1. Project Info'!M29</f>
        <v>0</v>
      </c>
      <c r="I17" s="5"/>
      <c r="J17" s="5"/>
      <c r="K17" s="5"/>
      <c r="L17" s="5"/>
      <c r="M17" s="5"/>
      <c r="R17" s="5"/>
      <c r="S17" s="6"/>
      <c r="T17" s="6"/>
      <c r="U17" s="5"/>
      <c r="AA17" s="6"/>
      <c r="AB17" s="6"/>
      <c r="AC17" s="6"/>
      <c r="AD17" s="6"/>
      <c r="AE17" s="6"/>
      <c r="AF17" s="6"/>
      <c r="AG17" s="6"/>
      <c r="AJ17" s="6"/>
      <c r="AK17" s="6"/>
      <c r="AL17" s="6"/>
      <c r="AM17" s="6"/>
      <c r="AN17" s="6"/>
      <c r="BC17">
        <f>IF(Table13[[#This Row],[Benefits Criteria Table
Step 1: Disadvantaged Community? (Y/N)]]="Yes",Table13[[#This Row],[Count]],0)</f>
        <v>0</v>
      </c>
      <c r="BD17">
        <f>IF(Table13[[#This Row],[Benefits Criteria Table
Step 1: Disadvantaged Community? (Y/N)]]="Yes",Table13[[#This Row],[Total GGRF Funding Amount from this Program ($)]],0)</f>
        <v>0</v>
      </c>
      <c r="BE17">
        <f>IF(Table13[[#This Row],[Benefits Criteria Table
Step 1: Low-income Community or Low-income Household? (Y/N)]]="Yes",Table13[[#This Row],[Count]],0)</f>
        <v>0</v>
      </c>
      <c r="BF17">
        <f>IF(Table13[[#This Row],[Benefits Criteria Table
Step 1: Low-income Community or Low-income Household? (Y/N)]]="Yes",Table13[[#This Row],[Total GGRF Funding Amount from this Program ($)]],0)</f>
        <v>0</v>
      </c>
      <c r="BG17">
        <f>IF(Table13[[#This Row],[Benefits Criteria Table
Step 1: Low-income 1/2-mile Buffer Region? (Y/N)]]="Yes",Table13[[#This Row],[Count]],0)</f>
        <v>0</v>
      </c>
      <c r="BH17">
        <f>IF(Table13[[#This Row],[Benefits Criteria Table
Step 1: Low-income 1/2-mile Buffer Region? (Y/N)]]="Yes",Table13[[#This Row],[Total GGRF Funding Amount from this Program ($)]],0)</f>
        <v>0</v>
      </c>
      <c r="BI17" s="1"/>
      <c r="BJ17" t="str">
        <f>IF(Table13[[#This Row],[Benefits Criteria Table
Step 1: Disadvantaged Community? (Y/N)]]="YES",IF(Table13[[#This Row],[Select a Priority Population]]="Disadvantaged Community",Table13[[#This Row],[Count]],0),"")</f>
        <v/>
      </c>
      <c r="BK17" t="str">
        <f>IF(Table13[[#This Row],[Benefits Criteria Table
Step 1: Disadvantaged Community? (Y/N)]]="YES",IF(Table13[[#This Row],[Select a Priority Population]]="Disadvantaged Community",Table13[[#This Row],[Qualifying Disadvantaged Community Benefit Amount ($)]],0),"")</f>
        <v/>
      </c>
      <c r="BL17">
        <f>IF(Table13[[#This Row],[Benefits Criteria Table
Step 1: Low-income Community or Low-income Household? (Y/N)]]="Yes",IF(Table13[[#This Row],[Select a Priority Population]]="Low-income Community",Table13[[#This Row],[Count]],0),0)</f>
        <v>0</v>
      </c>
      <c r="BM17">
        <f>IF(Table13[[#This Row],[Benefits Criteria Table
Step 1: Low-income Community or Low-income Household? (Y/N)]]="Yes",IF(Table13[[#This Row],[Select a Priority Population]]="Low-income Community",Table13[[#This Row],[Total GGRF Funding Amount from this Program ($)]],0),0)</f>
        <v>0</v>
      </c>
      <c r="BN17">
        <f>IF(Table13[[#This Row],[Benefits Criteria Table
Step 1: Low-income 1/2-mile Buffer Region? (Y/N)]]="Yes",IF(Table13[[#This Row],[Select a Priority Population]]="1/2 Mile Buffer Zone",Table13[[#This Row],[Count]],0),0)</f>
        <v>0</v>
      </c>
      <c r="BO17">
        <f>IF(Table13[[#This Row],[Benefits Criteria Table
Step 1: Low-income 1/2-mile Buffer Region? (Y/N)]]="Yes",IF(Table13[[#This Row],[Select a Priority Population]]="1/2 Mile Buffer Zone",Table13[[#This Row],[Total GGRF Funding Amount from this Program ($)]],0),0)</f>
        <v>0</v>
      </c>
      <c r="BP17">
        <f>IF(ISBLANK(Table13[[#This Row],[Project ID]]), 0, 1)</f>
        <v>0</v>
      </c>
      <c r="BQ17" s="1"/>
      <c r="BR17" s="1"/>
      <c r="BS17" s="1"/>
    </row>
    <row r="18" spans="1:71" x14ac:dyDescent="0.25">
      <c r="A18" s="1" t="s">
        <v>58</v>
      </c>
      <c r="B18" s="1" t="s">
        <v>65</v>
      </c>
      <c r="D18" s="1">
        <f>'1. Project Info'!L30</f>
        <v>0</v>
      </c>
      <c r="G18" s="1">
        <f>'1. Project Info'!M30</f>
        <v>0</v>
      </c>
      <c r="I18" s="5"/>
      <c r="J18" s="5"/>
      <c r="K18" s="5"/>
      <c r="L18" s="5"/>
      <c r="M18" s="5"/>
      <c r="R18" s="5"/>
      <c r="S18" s="6"/>
      <c r="T18" s="6"/>
      <c r="U18" s="5"/>
      <c r="AA18" s="6"/>
      <c r="AB18" s="6"/>
      <c r="AC18" s="6"/>
      <c r="AD18" s="6"/>
      <c r="AE18" s="6"/>
      <c r="AF18" s="6"/>
      <c r="AG18" s="6"/>
      <c r="AJ18" s="6"/>
      <c r="AK18" s="6"/>
      <c r="AL18" s="6"/>
      <c r="AM18" s="6"/>
      <c r="AN18" s="6"/>
      <c r="BC18">
        <f>IF(Table13[[#This Row],[Benefits Criteria Table
Step 1: Disadvantaged Community? (Y/N)]]="Yes",Table13[[#This Row],[Count]],0)</f>
        <v>0</v>
      </c>
      <c r="BD18">
        <f>IF(Table13[[#This Row],[Benefits Criteria Table
Step 1: Disadvantaged Community? (Y/N)]]="Yes",Table13[[#This Row],[Total GGRF Funding Amount from this Program ($)]],0)</f>
        <v>0</v>
      </c>
      <c r="BE18">
        <f>IF(Table13[[#This Row],[Benefits Criteria Table
Step 1: Low-income Community or Low-income Household? (Y/N)]]="Yes",Table13[[#This Row],[Count]],0)</f>
        <v>0</v>
      </c>
      <c r="BF18">
        <f>IF(Table13[[#This Row],[Benefits Criteria Table
Step 1: Low-income Community or Low-income Household? (Y/N)]]="Yes",Table13[[#This Row],[Total GGRF Funding Amount from this Program ($)]],0)</f>
        <v>0</v>
      </c>
      <c r="BG18">
        <f>IF(Table13[[#This Row],[Benefits Criteria Table
Step 1: Low-income 1/2-mile Buffer Region? (Y/N)]]="Yes",Table13[[#This Row],[Count]],0)</f>
        <v>0</v>
      </c>
      <c r="BH18">
        <f>IF(Table13[[#This Row],[Benefits Criteria Table
Step 1: Low-income 1/2-mile Buffer Region? (Y/N)]]="Yes",Table13[[#This Row],[Total GGRF Funding Amount from this Program ($)]],0)</f>
        <v>0</v>
      </c>
      <c r="BI18" s="1"/>
      <c r="BJ18" t="str">
        <f>IF(Table13[[#This Row],[Benefits Criteria Table
Step 1: Disadvantaged Community? (Y/N)]]="YES",IF(Table13[[#This Row],[Select a Priority Population]]="Disadvantaged Community",Table13[[#This Row],[Count]],0),"")</f>
        <v/>
      </c>
      <c r="BK18" t="str">
        <f>IF(Table13[[#This Row],[Benefits Criteria Table
Step 1: Disadvantaged Community? (Y/N)]]="YES",IF(Table13[[#This Row],[Select a Priority Population]]="Disadvantaged Community",Table13[[#This Row],[Qualifying Disadvantaged Community Benefit Amount ($)]],0),"")</f>
        <v/>
      </c>
      <c r="BL18">
        <f>IF(Table13[[#This Row],[Benefits Criteria Table
Step 1: Low-income Community or Low-income Household? (Y/N)]]="Yes",IF(Table13[[#This Row],[Select a Priority Population]]="Low-income Community",Table13[[#This Row],[Count]],0),0)</f>
        <v>0</v>
      </c>
      <c r="BM18">
        <f>IF(Table13[[#This Row],[Benefits Criteria Table
Step 1: Low-income Community or Low-income Household? (Y/N)]]="Yes",IF(Table13[[#This Row],[Select a Priority Population]]="Low-income Community",Table13[[#This Row],[Total GGRF Funding Amount from this Program ($)]],0),0)</f>
        <v>0</v>
      </c>
      <c r="BN18">
        <f>IF(Table13[[#This Row],[Benefits Criteria Table
Step 1: Low-income 1/2-mile Buffer Region? (Y/N)]]="Yes",IF(Table13[[#This Row],[Select a Priority Population]]="1/2 Mile Buffer Zone",Table13[[#This Row],[Count]],0),0)</f>
        <v>0</v>
      </c>
      <c r="BO18">
        <f>IF(Table13[[#This Row],[Benefits Criteria Table
Step 1: Low-income 1/2-mile Buffer Region? (Y/N)]]="Yes",IF(Table13[[#This Row],[Select a Priority Population]]="1/2 Mile Buffer Zone",Table13[[#This Row],[Total GGRF Funding Amount from this Program ($)]],0),0)</f>
        <v>0</v>
      </c>
      <c r="BP18">
        <f>IF(ISBLANK(Table13[[#This Row],[Project ID]]), 0, 1)</f>
        <v>0</v>
      </c>
      <c r="BQ18" s="1"/>
      <c r="BR18" s="1"/>
      <c r="BS18" s="1"/>
    </row>
    <row r="19" spans="1:71" x14ac:dyDescent="0.25">
      <c r="A19" s="1" t="s">
        <v>58</v>
      </c>
      <c r="B19" s="1" t="s">
        <v>65</v>
      </c>
      <c r="D19" s="1">
        <f>'1. Project Info'!L31</f>
        <v>0</v>
      </c>
      <c r="G19" s="1">
        <f>'1. Project Info'!M31</f>
        <v>0</v>
      </c>
      <c r="I19" s="5"/>
      <c r="J19" s="5"/>
      <c r="K19" s="5"/>
      <c r="L19" s="5"/>
      <c r="M19" s="5"/>
      <c r="R19" s="5"/>
      <c r="S19" s="6"/>
      <c r="T19" s="6"/>
      <c r="U19" s="5"/>
      <c r="AA19" s="6"/>
      <c r="AB19" s="6"/>
      <c r="AC19" s="6"/>
      <c r="AD19" s="6"/>
      <c r="AE19" s="6"/>
      <c r="AF19" s="6"/>
      <c r="AG19" s="6"/>
      <c r="AJ19" s="6"/>
      <c r="AK19" s="6"/>
      <c r="AL19" s="6"/>
      <c r="AM19" s="6"/>
      <c r="AN19" s="6"/>
      <c r="BC19">
        <f>IF(Table13[[#This Row],[Benefits Criteria Table
Step 1: Disadvantaged Community? (Y/N)]]="Yes",Table13[[#This Row],[Count]],0)</f>
        <v>0</v>
      </c>
      <c r="BD19">
        <f>IF(Table13[[#This Row],[Benefits Criteria Table
Step 1: Disadvantaged Community? (Y/N)]]="Yes",Table13[[#This Row],[Total GGRF Funding Amount from this Program ($)]],0)</f>
        <v>0</v>
      </c>
      <c r="BE19">
        <f>IF(Table13[[#This Row],[Benefits Criteria Table
Step 1: Low-income Community or Low-income Household? (Y/N)]]="Yes",Table13[[#This Row],[Count]],0)</f>
        <v>0</v>
      </c>
      <c r="BF19">
        <f>IF(Table13[[#This Row],[Benefits Criteria Table
Step 1: Low-income Community or Low-income Household? (Y/N)]]="Yes",Table13[[#This Row],[Total GGRF Funding Amount from this Program ($)]],0)</f>
        <v>0</v>
      </c>
      <c r="BG19">
        <f>IF(Table13[[#This Row],[Benefits Criteria Table
Step 1: Low-income 1/2-mile Buffer Region? (Y/N)]]="Yes",Table13[[#This Row],[Count]],0)</f>
        <v>0</v>
      </c>
      <c r="BH19">
        <f>IF(Table13[[#This Row],[Benefits Criteria Table
Step 1: Low-income 1/2-mile Buffer Region? (Y/N)]]="Yes",Table13[[#This Row],[Total GGRF Funding Amount from this Program ($)]],0)</f>
        <v>0</v>
      </c>
      <c r="BI19" s="1"/>
      <c r="BJ19" t="str">
        <f>IF(Table13[[#This Row],[Benefits Criteria Table
Step 1: Disadvantaged Community? (Y/N)]]="YES",IF(Table13[[#This Row],[Select a Priority Population]]="Disadvantaged Community",Table13[[#This Row],[Count]],0),"")</f>
        <v/>
      </c>
      <c r="BK19" t="str">
        <f>IF(Table13[[#This Row],[Benefits Criteria Table
Step 1: Disadvantaged Community? (Y/N)]]="YES",IF(Table13[[#This Row],[Select a Priority Population]]="Disadvantaged Community",Table13[[#This Row],[Qualifying Disadvantaged Community Benefit Amount ($)]],0),"")</f>
        <v/>
      </c>
      <c r="BL19">
        <f>IF(Table13[[#This Row],[Benefits Criteria Table
Step 1: Low-income Community or Low-income Household? (Y/N)]]="Yes",IF(Table13[[#This Row],[Select a Priority Population]]="Low-income Community",Table13[[#This Row],[Count]],0),0)</f>
        <v>0</v>
      </c>
      <c r="BM19">
        <f>IF(Table13[[#This Row],[Benefits Criteria Table
Step 1: Low-income Community or Low-income Household? (Y/N)]]="Yes",IF(Table13[[#This Row],[Select a Priority Population]]="Low-income Community",Table13[[#This Row],[Total GGRF Funding Amount from this Program ($)]],0),0)</f>
        <v>0</v>
      </c>
      <c r="BN19">
        <f>IF(Table13[[#This Row],[Benefits Criteria Table
Step 1: Low-income 1/2-mile Buffer Region? (Y/N)]]="Yes",IF(Table13[[#This Row],[Select a Priority Population]]="1/2 Mile Buffer Zone",Table13[[#This Row],[Count]],0),0)</f>
        <v>0</v>
      </c>
      <c r="BO19">
        <f>IF(Table13[[#This Row],[Benefits Criteria Table
Step 1: Low-income 1/2-mile Buffer Region? (Y/N)]]="Yes",IF(Table13[[#This Row],[Select a Priority Population]]="1/2 Mile Buffer Zone",Table13[[#This Row],[Total GGRF Funding Amount from this Program ($)]],0),0)</f>
        <v>0</v>
      </c>
      <c r="BP19">
        <f>IF(ISBLANK(Table13[[#This Row],[Project ID]]), 0, 1)</f>
        <v>0</v>
      </c>
      <c r="BQ19" s="1"/>
      <c r="BR19" s="1"/>
      <c r="BS19" s="1"/>
    </row>
    <row r="20" spans="1:71" x14ac:dyDescent="0.25">
      <c r="A20" s="1" t="s">
        <v>58</v>
      </c>
      <c r="B20" s="1" t="s">
        <v>65</v>
      </c>
      <c r="D20" s="1">
        <f>'1. Project Info'!L32</f>
        <v>0</v>
      </c>
      <c r="G20" s="1">
        <f>'1. Project Info'!M32</f>
        <v>0</v>
      </c>
      <c r="I20" s="5"/>
      <c r="J20" s="5"/>
      <c r="K20" s="5"/>
      <c r="L20" s="5"/>
      <c r="M20" s="5"/>
      <c r="R20" s="5"/>
      <c r="S20" s="6"/>
      <c r="T20" s="6"/>
      <c r="U20" s="5"/>
      <c r="AA20" s="6"/>
      <c r="AB20" s="6"/>
      <c r="AC20" s="6"/>
      <c r="AD20" s="6"/>
      <c r="AE20" s="6"/>
      <c r="AF20" s="6"/>
      <c r="AG20" s="6"/>
      <c r="AJ20" s="6"/>
      <c r="AK20" s="6"/>
      <c r="AL20" s="6"/>
      <c r="AM20" s="6"/>
      <c r="AN20" s="6"/>
      <c r="BC20">
        <f>IF(Table13[[#This Row],[Benefits Criteria Table
Step 1: Disadvantaged Community? (Y/N)]]="Yes",Table13[[#This Row],[Count]],0)</f>
        <v>0</v>
      </c>
      <c r="BD20">
        <f>IF(Table13[[#This Row],[Benefits Criteria Table
Step 1: Disadvantaged Community? (Y/N)]]="Yes",Table13[[#This Row],[Total GGRF Funding Amount from this Program ($)]],0)</f>
        <v>0</v>
      </c>
      <c r="BE20">
        <f>IF(Table13[[#This Row],[Benefits Criteria Table
Step 1: Low-income Community or Low-income Household? (Y/N)]]="Yes",Table13[[#This Row],[Count]],0)</f>
        <v>0</v>
      </c>
      <c r="BF20">
        <f>IF(Table13[[#This Row],[Benefits Criteria Table
Step 1: Low-income Community or Low-income Household? (Y/N)]]="Yes",Table13[[#This Row],[Total GGRF Funding Amount from this Program ($)]],0)</f>
        <v>0</v>
      </c>
      <c r="BG20">
        <f>IF(Table13[[#This Row],[Benefits Criteria Table
Step 1: Low-income 1/2-mile Buffer Region? (Y/N)]]="Yes",Table13[[#This Row],[Count]],0)</f>
        <v>0</v>
      </c>
      <c r="BH20">
        <f>IF(Table13[[#This Row],[Benefits Criteria Table
Step 1: Low-income 1/2-mile Buffer Region? (Y/N)]]="Yes",Table13[[#This Row],[Total GGRF Funding Amount from this Program ($)]],0)</f>
        <v>0</v>
      </c>
      <c r="BI20" s="1"/>
      <c r="BJ20" t="str">
        <f>IF(Table13[[#This Row],[Benefits Criteria Table
Step 1: Disadvantaged Community? (Y/N)]]="YES",IF(Table13[[#This Row],[Select a Priority Population]]="Disadvantaged Community",Table13[[#This Row],[Count]],0),"")</f>
        <v/>
      </c>
      <c r="BK20" t="str">
        <f>IF(Table13[[#This Row],[Benefits Criteria Table
Step 1: Disadvantaged Community? (Y/N)]]="YES",IF(Table13[[#This Row],[Select a Priority Population]]="Disadvantaged Community",Table13[[#This Row],[Qualifying Disadvantaged Community Benefit Amount ($)]],0),"")</f>
        <v/>
      </c>
      <c r="BL20">
        <f>IF(Table13[[#This Row],[Benefits Criteria Table
Step 1: Low-income Community or Low-income Household? (Y/N)]]="Yes",IF(Table13[[#This Row],[Select a Priority Population]]="Low-income Community",Table13[[#This Row],[Count]],0),0)</f>
        <v>0</v>
      </c>
      <c r="BM20">
        <f>IF(Table13[[#This Row],[Benefits Criteria Table
Step 1: Low-income Community or Low-income Household? (Y/N)]]="Yes",IF(Table13[[#This Row],[Select a Priority Population]]="Low-income Community",Table13[[#This Row],[Total GGRF Funding Amount from this Program ($)]],0),0)</f>
        <v>0</v>
      </c>
      <c r="BN20">
        <f>IF(Table13[[#This Row],[Benefits Criteria Table
Step 1: Low-income 1/2-mile Buffer Region? (Y/N)]]="Yes",IF(Table13[[#This Row],[Select a Priority Population]]="1/2 Mile Buffer Zone",Table13[[#This Row],[Count]],0),0)</f>
        <v>0</v>
      </c>
      <c r="BO20">
        <f>IF(Table13[[#This Row],[Benefits Criteria Table
Step 1: Low-income 1/2-mile Buffer Region? (Y/N)]]="Yes",IF(Table13[[#This Row],[Select a Priority Population]]="1/2 Mile Buffer Zone",Table13[[#This Row],[Total GGRF Funding Amount from this Program ($)]],0),0)</f>
        <v>0</v>
      </c>
      <c r="BP20">
        <f>IF(ISBLANK(Table13[[#This Row],[Project ID]]), 0, 1)</f>
        <v>0</v>
      </c>
      <c r="BQ20" s="1"/>
      <c r="BR20" s="1"/>
      <c r="BS20" s="1"/>
    </row>
    <row r="21" spans="1:71" x14ac:dyDescent="0.25">
      <c r="A21" s="1" t="s">
        <v>58</v>
      </c>
      <c r="B21" s="1" t="s">
        <v>65</v>
      </c>
      <c r="D21" s="1">
        <f>'1. Project Info'!L33</f>
        <v>0</v>
      </c>
      <c r="G21" s="1">
        <f>'1. Project Info'!M33</f>
        <v>0</v>
      </c>
      <c r="I21" s="5"/>
      <c r="J21" s="5"/>
      <c r="K21" s="5"/>
      <c r="L21" s="5"/>
      <c r="M21" s="5"/>
      <c r="R21" s="5"/>
      <c r="S21" s="6"/>
      <c r="T21" s="6"/>
      <c r="U21" s="5"/>
      <c r="AA21" s="6"/>
      <c r="AB21" s="6"/>
      <c r="AC21" s="6"/>
      <c r="AD21" s="6"/>
      <c r="AE21" s="6"/>
      <c r="AF21" s="6"/>
      <c r="AG21" s="6"/>
      <c r="AJ21" s="6"/>
      <c r="AK21" s="6"/>
      <c r="AL21" s="6"/>
      <c r="AM21" s="6"/>
      <c r="AN21" s="6"/>
      <c r="BC21">
        <f>IF(Table13[[#This Row],[Benefits Criteria Table
Step 1: Disadvantaged Community? (Y/N)]]="Yes",Table13[[#This Row],[Count]],0)</f>
        <v>0</v>
      </c>
      <c r="BD21">
        <f>IF(Table13[[#This Row],[Benefits Criteria Table
Step 1: Disadvantaged Community? (Y/N)]]="Yes",Table13[[#This Row],[Total GGRF Funding Amount from this Program ($)]],0)</f>
        <v>0</v>
      </c>
      <c r="BE21">
        <f>IF(Table13[[#This Row],[Benefits Criteria Table
Step 1: Low-income Community or Low-income Household? (Y/N)]]="Yes",Table13[[#This Row],[Count]],0)</f>
        <v>0</v>
      </c>
      <c r="BF21">
        <f>IF(Table13[[#This Row],[Benefits Criteria Table
Step 1: Low-income Community or Low-income Household? (Y/N)]]="Yes",Table13[[#This Row],[Total GGRF Funding Amount from this Program ($)]],0)</f>
        <v>0</v>
      </c>
      <c r="BG21">
        <f>IF(Table13[[#This Row],[Benefits Criteria Table
Step 1: Low-income 1/2-mile Buffer Region? (Y/N)]]="Yes",Table13[[#This Row],[Count]],0)</f>
        <v>0</v>
      </c>
      <c r="BH21">
        <f>IF(Table13[[#This Row],[Benefits Criteria Table
Step 1: Low-income 1/2-mile Buffer Region? (Y/N)]]="Yes",Table13[[#This Row],[Total GGRF Funding Amount from this Program ($)]],0)</f>
        <v>0</v>
      </c>
      <c r="BI21" s="1"/>
      <c r="BJ21" t="str">
        <f>IF(Table13[[#This Row],[Benefits Criteria Table
Step 1: Disadvantaged Community? (Y/N)]]="YES",IF(Table13[[#This Row],[Select a Priority Population]]="Disadvantaged Community",Table13[[#This Row],[Count]],0),"")</f>
        <v/>
      </c>
      <c r="BK21" t="str">
        <f>IF(Table13[[#This Row],[Benefits Criteria Table
Step 1: Disadvantaged Community? (Y/N)]]="YES",IF(Table13[[#This Row],[Select a Priority Population]]="Disadvantaged Community",Table13[[#This Row],[Qualifying Disadvantaged Community Benefit Amount ($)]],0),"")</f>
        <v/>
      </c>
      <c r="BL21">
        <f>IF(Table13[[#This Row],[Benefits Criteria Table
Step 1: Low-income Community or Low-income Household? (Y/N)]]="Yes",IF(Table13[[#This Row],[Select a Priority Population]]="Low-income Community",Table13[[#This Row],[Count]],0),0)</f>
        <v>0</v>
      </c>
      <c r="BM21">
        <f>IF(Table13[[#This Row],[Benefits Criteria Table
Step 1: Low-income Community or Low-income Household? (Y/N)]]="Yes",IF(Table13[[#This Row],[Select a Priority Population]]="Low-income Community",Table13[[#This Row],[Total GGRF Funding Amount from this Program ($)]],0),0)</f>
        <v>0</v>
      </c>
      <c r="BN21">
        <f>IF(Table13[[#This Row],[Benefits Criteria Table
Step 1: Low-income 1/2-mile Buffer Region? (Y/N)]]="Yes",IF(Table13[[#This Row],[Select a Priority Population]]="1/2 Mile Buffer Zone",Table13[[#This Row],[Count]],0),0)</f>
        <v>0</v>
      </c>
      <c r="BO21">
        <f>IF(Table13[[#This Row],[Benefits Criteria Table
Step 1: Low-income 1/2-mile Buffer Region? (Y/N)]]="Yes",IF(Table13[[#This Row],[Select a Priority Population]]="1/2 Mile Buffer Zone",Table13[[#This Row],[Total GGRF Funding Amount from this Program ($)]],0),0)</f>
        <v>0</v>
      </c>
      <c r="BP21">
        <f>IF(ISBLANK(Table13[[#This Row],[Project ID]]), 0, 1)</f>
        <v>0</v>
      </c>
      <c r="BQ21" s="1"/>
      <c r="BR21" s="1"/>
      <c r="BS21" s="1"/>
    </row>
    <row r="22" spans="1:71" x14ac:dyDescent="0.25">
      <c r="A22" s="1" t="s">
        <v>58</v>
      </c>
      <c r="B22" s="1" t="s">
        <v>65</v>
      </c>
      <c r="D22" s="1">
        <f>'1. Project Info'!L34</f>
        <v>0</v>
      </c>
      <c r="G22" s="1">
        <f>'1. Project Info'!M34</f>
        <v>0</v>
      </c>
      <c r="I22" s="5"/>
      <c r="J22" s="5"/>
      <c r="K22" s="5"/>
      <c r="L22" s="5"/>
      <c r="M22" s="5"/>
      <c r="R22" s="5"/>
      <c r="S22" s="6"/>
      <c r="T22" s="6"/>
      <c r="U22" s="5"/>
      <c r="AA22" s="6"/>
      <c r="AB22" s="6"/>
      <c r="AC22" s="6"/>
      <c r="AD22" s="6"/>
      <c r="AE22" s="6"/>
      <c r="AF22" s="6"/>
      <c r="AG22" s="6"/>
      <c r="AJ22" s="6"/>
      <c r="AK22" s="6"/>
      <c r="AL22" s="6"/>
      <c r="AM22" s="6"/>
      <c r="AN22" s="6"/>
      <c r="BC22">
        <f>IF(Table13[[#This Row],[Benefits Criteria Table
Step 1: Disadvantaged Community? (Y/N)]]="Yes",Table13[[#This Row],[Count]],0)</f>
        <v>0</v>
      </c>
      <c r="BD22">
        <f>IF(Table13[[#This Row],[Benefits Criteria Table
Step 1: Disadvantaged Community? (Y/N)]]="Yes",Table13[[#This Row],[Total GGRF Funding Amount from this Program ($)]],0)</f>
        <v>0</v>
      </c>
      <c r="BE22">
        <f>IF(Table13[[#This Row],[Benefits Criteria Table
Step 1: Low-income Community or Low-income Household? (Y/N)]]="Yes",Table13[[#This Row],[Count]],0)</f>
        <v>0</v>
      </c>
      <c r="BF22">
        <f>IF(Table13[[#This Row],[Benefits Criteria Table
Step 1: Low-income Community or Low-income Household? (Y/N)]]="Yes",Table13[[#This Row],[Total GGRF Funding Amount from this Program ($)]],0)</f>
        <v>0</v>
      </c>
      <c r="BG22">
        <f>IF(Table13[[#This Row],[Benefits Criteria Table
Step 1: Low-income 1/2-mile Buffer Region? (Y/N)]]="Yes",Table13[[#This Row],[Count]],0)</f>
        <v>0</v>
      </c>
      <c r="BH22">
        <f>IF(Table13[[#This Row],[Benefits Criteria Table
Step 1: Low-income 1/2-mile Buffer Region? (Y/N)]]="Yes",Table13[[#This Row],[Total GGRF Funding Amount from this Program ($)]],0)</f>
        <v>0</v>
      </c>
      <c r="BI22" s="1"/>
      <c r="BJ22" t="str">
        <f>IF(Table13[[#This Row],[Benefits Criteria Table
Step 1: Disadvantaged Community? (Y/N)]]="YES",IF(Table13[[#This Row],[Select a Priority Population]]="Disadvantaged Community",Table13[[#This Row],[Count]],0),"")</f>
        <v/>
      </c>
      <c r="BK22" t="str">
        <f>IF(Table13[[#This Row],[Benefits Criteria Table
Step 1: Disadvantaged Community? (Y/N)]]="YES",IF(Table13[[#This Row],[Select a Priority Population]]="Disadvantaged Community",Table13[[#This Row],[Qualifying Disadvantaged Community Benefit Amount ($)]],0),"")</f>
        <v/>
      </c>
      <c r="BL22">
        <f>IF(Table13[[#This Row],[Benefits Criteria Table
Step 1: Low-income Community or Low-income Household? (Y/N)]]="Yes",IF(Table13[[#This Row],[Select a Priority Population]]="Low-income Community",Table13[[#This Row],[Count]],0),0)</f>
        <v>0</v>
      </c>
      <c r="BM22">
        <f>IF(Table13[[#This Row],[Benefits Criteria Table
Step 1: Low-income Community or Low-income Household? (Y/N)]]="Yes",IF(Table13[[#This Row],[Select a Priority Population]]="Low-income Community",Table13[[#This Row],[Total GGRF Funding Amount from this Program ($)]],0),0)</f>
        <v>0</v>
      </c>
      <c r="BN22">
        <f>IF(Table13[[#This Row],[Benefits Criteria Table
Step 1: Low-income 1/2-mile Buffer Region? (Y/N)]]="Yes",IF(Table13[[#This Row],[Select a Priority Population]]="1/2 Mile Buffer Zone",Table13[[#This Row],[Count]],0),0)</f>
        <v>0</v>
      </c>
      <c r="BO22">
        <f>IF(Table13[[#This Row],[Benefits Criteria Table
Step 1: Low-income 1/2-mile Buffer Region? (Y/N)]]="Yes",IF(Table13[[#This Row],[Select a Priority Population]]="1/2 Mile Buffer Zone",Table13[[#This Row],[Total GGRF Funding Amount from this Program ($)]],0),0)</f>
        <v>0</v>
      </c>
      <c r="BP22">
        <f>IF(ISBLANK(Table13[[#This Row],[Project ID]]), 0, 1)</f>
        <v>0</v>
      </c>
      <c r="BQ22" s="1"/>
      <c r="BR22" s="1"/>
      <c r="BS22" s="1"/>
    </row>
    <row r="23" spans="1:71" x14ac:dyDescent="0.25">
      <c r="A23" s="1" t="s">
        <v>58</v>
      </c>
      <c r="B23" s="1" t="s">
        <v>65</v>
      </c>
      <c r="D23" s="1">
        <f>'1. Project Info'!L35</f>
        <v>0</v>
      </c>
      <c r="G23" s="1">
        <f>'1. Project Info'!M35</f>
        <v>0</v>
      </c>
      <c r="I23" s="5"/>
      <c r="J23" s="5"/>
      <c r="K23" s="5"/>
      <c r="L23" s="5"/>
      <c r="M23" s="5"/>
      <c r="R23" s="5"/>
      <c r="S23" s="6"/>
      <c r="T23" s="6"/>
      <c r="U23" s="5"/>
      <c r="AA23" s="6"/>
      <c r="AB23" s="6"/>
      <c r="AC23" s="6"/>
      <c r="AD23" s="6"/>
      <c r="AE23" s="6"/>
      <c r="AF23" s="6"/>
      <c r="AG23" s="6"/>
      <c r="AJ23" s="6"/>
      <c r="AK23" s="6"/>
      <c r="AL23" s="6"/>
      <c r="AM23" s="6"/>
      <c r="AN23" s="6"/>
      <c r="BC23">
        <f>IF(Table13[[#This Row],[Benefits Criteria Table
Step 1: Disadvantaged Community? (Y/N)]]="Yes",Table13[[#This Row],[Count]],0)</f>
        <v>0</v>
      </c>
      <c r="BD23">
        <f>IF(Table13[[#This Row],[Benefits Criteria Table
Step 1: Disadvantaged Community? (Y/N)]]="Yes",Table13[[#This Row],[Total GGRF Funding Amount from this Program ($)]],0)</f>
        <v>0</v>
      </c>
      <c r="BE23">
        <f>IF(Table13[[#This Row],[Benefits Criteria Table
Step 1: Low-income Community or Low-income Household? (Y/N)]]="Yes",Table13[[#This Row],[Count]],0)</f>
        <v>0</v>
      </c>
      <c r="BF23">
        <f>IF(Table13[[#This Row],[Benefits Criteria Table
Step 1: Low-income Community or Low-income Household? (Y/N)]]="Yes",Table13[[#This Row],[Total GGRF Funding Amount from this Program ($)]],0)</f>
        <v>0</v>
      </c>
      <c r="BG23">
        <f>IF(Table13[[#This Row],[Benefits Criteria Table
Step 1: Low-income 1/2-mile Buffer Region? (Y/N)]]="Yes",Table13[[#This Row],[Count]],0)</f>
        <v>0</v>
      </c>
      <c r="BH23">
        <f>IF(Table13[[#This Row],[Benefits Criteria Table
Step 1: Low-income 1/2-mile Buffer Region? (Y/N)]]="Yes",Table13[[#This Row],[Total GGRF Funding Amount from this Program ($)]],0)</f>
        <v>0</v>
      </c>
      <c r="BI23" s="1"/>
      <c r="BJ23" t="str">
        <f>IF(Table13[[#This Row],[Benefits Criteria Table
Step 1: Disadvantaged Community? (Y/N)]]="YES",IF(Table13[[#This Row],[Select a Priority Population]]="Disadvantaged Community",Table13[[#This Row],[Count]],0),"")</f>
        <v/>
      </c>
      <c r="BK23" t="str">
        <f>IF(Table13[[#This Row],[Benefits Criteria Table
Step 1: Disadvantaged Community? (Y/N)]]="YES",IF(Table13[[#This Row],[Select a Priority Population]]="Disadvantaged Community",Table13[[#This Row],[Qualifying Disadvantaged Community Benefit Amount ($)]],0),"")</f>
        <v/>
      </c>
      <c r="BL23">
        <f>IF(Table13[[#This Row],[Benefits Criteria Table
Step 1: Low-income Community or Low-income Household? (Y/N)]]="Yes",IF(Table13[[#This Row],[Select a Priority Population]]="Low-income Community",Table13[[#This Row],[Count]],0),0)</f>
        <v>0</v>
      </c>
      <c r="BM23">
        <f>IF(Table13[[#This Row],[Benefits Criteria Table
Step 1: Low-income Community or Low-income Household? (Y/N)]]="Yes",IF(Table13[[#This Row],[Select a Priority Population]]="Low-income Community",Table13[[#This Row],[Total GGRF Funding Amount from this Program ($)]],0),0)</f>
        <v>0</v>
      </c>
      <c r="BN23">
        <f>IF(Table13[[#This Row],[Benefits Criteria Table
Step 1: Low-income 1/2-mile Buffer Region? (Y/N)]]="Yes",IF(Table13[[#This Row],[Select a Priority Population]]="1/2 Mile Buffer Zone",Table13[[#This Row],[Count]],0),0)</f>
        <v>0</v>
      </c>
      <c r="BO23">
        <f>IF(Table13[[#This Row],[Benefits Criteria Table
Step 1: Low-income 1/2-mile Buffer Region? (Y/N)]]="Yes",IF(Table13[[#This Row],[Select a Priority Population]]="1/2 Mile Buffer Zone",Table13[[#This Row],[Total GGRF Funding Amount from this Program ($)]],0),0)</f>
        <v>0</v>
      </c>
      <c r="BP23">
        <f>IF(ISBLANK(Table13[[#This Row],[Project ID]]), 0, 1)</f>
        <v>0</v>
      </c>
      <c r="BQ23" s="1"/>
      <c r="BR23" s="1"/>
      <c r="BS23" s="1"/>
    </row>
    <row r="24" spans="1:71" x14ac:dyDescent="0.25">
      <c r="A24" s="1" t="s">
        <v>58</v>
      </c>
      <c r="B24" s="1" t="s">
        <v>65</v>
      </c>
      <c r="D24" s="1">
        <f>'1. Project Info'!L36</f>
        <v>0</v>
      </c>
      <c r="G24" s="1">
        <f>'1. Project Info'!M36</f>
        <v>0</v>
      </c>
      <c r="I24" s="5"/>
      <c r="J24" s="5"/>
      <c r="K24" s="5"/>
      <c r="L24" s="5"/>
      <c r="M24" s="5"/>
      <c r="R24" s="5"/>
      <c r="S24" s="6"/>
      <c r="T24" s="6"/>
      <c r="U24" s="5"/>
      <c r="AA24" s="6"/>
      <c r="AB24" s="6"/>
      <c r="AC24" s="6"/>
      <c r="AD24" s="6"/>
      <c r="AE24" s="6"/>
      <c r="AF24" s="6"/>
      <c r="AG24" s="6"/>
      <c r="AJ24" s="6"/>
      <c r="AK24" s="6"/>
      <c r="AL24" s="6"/>
      <c r="AM24" s="6"/>
      <c r="AN24" s="6"/>
      <c r="BC24">
        <f>IF(Table13[[#This Row],[Benefits Criteria Table
Step 1: Disadvantaged Community? (Y/N)]]="Yes",Table13[[#This Row],[Count]],0)</f>
        <v>0</v>
      </c>
      <c r="BD24">
        <f>IF(Table13[[#This Row],[Benefits Criteria Table
Step 1: Disadvantaged Community? (Y/N)]]="Yes",Table13[[#This Row],[Total GGRF Funding Amount from this Program ($)]],0)</f>
        <v>0</v>
      </c>
      <c r="BE24">
        <f>IF(Table13[[#This Row],[Benefits Criteria Table
Step 1: Low-income Community or Low-income Household? (Y/N)]]="Yes",Table13[[#This Row],[Count]],0)</f>
        <v>0</v>
      </c>
      <c r="BF24">
        <f>IF(Table13[[#This Row],[Benefits Criteria Table
Step 1: Low-income Community or Low-income Household? (Y/N)]]="Yes",Table13[[#This Row],[Total GGRF Funding Amount from this Program ($)]],0)</f>
        <v>0</v>
      </c>
      <c r="BG24">
        <f>IF(Table13[[#This Row],[Benefits Criteria Table
Step 1: Low-income 1/2-mile Buffer Region? (Y/N)]]="Yes",Table13[[#This Row],[Count]],0)</f>
        <v>0</v>
      </c>
      <c r="BH24">
        <f>IF(Table13[[#This Row],[Benefits Criteria Table
Step 1: Low-income 1/2-mile Buffer Region? (Y/N)]]="Yes",Table13[[#This Row],[Total GGRF Funding Amount from this Program ($)]],0)</f>
        <v>0</v>
      </c>
      <c r="BI24" s="1"/>
      <c r="BJ24" t="str">
        <f>IF(Table13[[#This Row],[Benefits Criteria Table
Step 1: Disadvantaged Community? (Y/N)]]="YES",IF(Table13[[#This Row],[Select a Priority Population]]="Disadvantaged Community",Table13[[#This Row],[Count]],0),"")</f>
        <v/>
      </c>
      <c r="BK24" t="str">
        <f>IF(Table13[[#This Row],[Benefits Criteria Table
Step 1: Disadvantaged Community? (Y/N)]]="YES",IF(Table13[[#This Row],[Select a Priority Population]]="Disadvantaged Community",Table13[[#This Row],[Qualifying Disadvantaged Community Benefit Amount ($)]],0),"")</f>
        <v/>
      </c>
      <c r="BL24">
        <f>IF(Table13[[#This Row],[Benefits Criteria Table
Step 1: Low-income Community or Low-income Household? (Y/N)]]="Yes",IF(Table13[[#This Row],[Select a Priority Population]]="Low-income Community",Table13[[#This Row],[Count]],0),0)</f>
        <v>0</v>
      </c>
      <c r="BM24">
        <f>IF(Table13[[#This Row],[Benefits Criteria Table
Step 1: Low-income Community or Low-income Household? (Y/N)]]="Yes",IF(Table13[[#This Row],[Select a Priority Population]]="Low-income Community",Table13[[#This Row],[Total GGRF Funding Amount from this Program ($)]],0),0)</f>
        <v>0</v>
      </c>
      <c r="BN24">
        <f>IF(Table13[[#This Row],[Benefits Criteria Table
Step 1: Low-income 1/2-mile Buffer Region? (Y/N)]]="Yes",IF(Table13[[#This Row],[Select a Priority Population]]="1/2 Mile Buffer Zone",Table13[[#This Row],[Count]],0),0)</f>
        <v>0</v>
      </c>
      <c r="BO24">
        <f>IF(Table13[[#This Row],[Benefits Criteria Table
Step 1: Low-income 1/2-mile Buffer Region? (Y/N)]]="Yes",IF(Table13[[#This Row],[Select a Priority Population]]="1/2 Mile Buffer Zone",Table13[[#This Row],[Total GGRF Funding Amount from this Program ($)]],0),0)</f>
        <v>0</v>
      </c>
      <c r="BP24">
        <f>IF(ISBLANK(Table13[[#This Row],[Project ID]]), 0, 1)</f>
        <v>0</v>
      </c>
      <c r="BQ24" s="1"/>
      <c r="BR24" s="1"/>
      <c r="BS24" s="1"/>
    </row>
    <row r="25" spans="1:71" x14ac:dyDescent="0.25">
      <c r="A25" s="1" t="s">
        <v>58</v>
      </c>
      <c r="B25" s="1" t="s">
        <v>65</v>
      </c>
      <c r="D25" s="1">
        <f>'1. Project Info'!L37</f>
        <v>0</v>
      </c>
      <c r="G25" s="1">
        <f>'1. Project Info'!M37</f>
        <v>0</v>
      </c>
      <c r="I25" s="5"/>
      <c r="J25" s="5"/>
      <c r="K25" s="5"/>
      <c r="L25" s="5"/>
      <c r="M25" s="5"/>
      <c r="R25" s="5"/>
      <c r="S25" s="6"/>
      <c r="T25" s="6"/>
      <c r="U25" s="5"/>
      <c r="AA25" s="6"/>
      <c r="AB25" s="6"/>
      <c r="AC25" s="6"/>
      <c r="AD25" s="6"/>
      <c r="AE25" s="6"/>
      <c r="AF25" s="6"/>
      <c r="AG25" s="6"/>
      <c r="AJ25" s="6"/>
      <c r="AK25" s="6"/>
      <c r="AL25" s="6"/>
      <c r="AM25" s="6"/>
      <c r="AN25" s="6"/>
      <c r="BC25">
        <f>IF(Table13[[#This Row],[Benefits Criteria Table
Step 1: Disadvantaged Community? (Y/N)]]="Yes",Table13[[#This Row],[Count]],0)</f>
        <v>0</v>
      </c>
      <c r="BD25">
        <f>IF(Table13[[#This Row],[Benefits Criteria Table
Step 1: Disadvantaged Community? (Y/N)]]="Yes",Table13[[#This Row],[Total GGRF Funding Amount from this Program ($)]],0)</f>
        <v>0</v>
      </c>
      <c r="BE25">
        <f>IF(Table13[[#This Row],[Benefits Criteria Table
Step 1: Low-income Community or Low-income Household? (Y/N)]]="Yes",Table13[[#This Row],[Count]],0)</f>
        <v>0</v>
      </c>
      <c r="BF25">
        <f>IF(Table13[[#This Row],[Benefits Criteria Table
Step 1: Low-income Community or Low-income Household? (Y/N)]]="Yes",Table13[[#This Row],[Total GGRF Funding Amount from this Program ($)]],0)</f>
        <v>0</v>
      </c>
      <c r="BG25">
        <f>IF(Table13[[#This Row],[Benefits Criteria Table
Step 1: Low-income 1/2-mile Buffer Region? (Y/N)]]="Yes",Table13[[#This Row],[Count]],0)</f>
        <v>0</v>
      </c>
      <c r="BH25">
        <f>IF(Table13[[#This Row],[Benefits Criteria Table
Step 1: Low-income 1/2-mile Buffer Region? (Y/N)]]="Yes",Table13[[#This Row],[Total GGRF Funding Amount from this Program ($)]],0)</f>
        <v>0</v>
      </c>
      <c r="BI25" s="1"/>
      <c r="BJ25" t="str">
        <f>IF(Table13[[#This Row],[Benefits Criteria Table
Step 1: Disadvantaged Community? (Y/N)]]="YES",IF(Table13[[#This Row],[Select a Priority Population]]="Disadvantaged Community",Table13[[#This Row],[Count]],0),"")</f>
        <v/>
      </c>
      <c r="BK25" t="str">
        <f>IF(Table13[[#This Row],[Benefits Criteria Table
Step 1: Disadvantaged Community? (Y/N)]]="YES",IF(Table13[[#This Row],[Select a Priority Population]]="Disadvantaged Community",Table13[[#This Row],[Qualifying Disadvantaged Community Benefit Amount ($)]],0),"")</f>
        <v/>
      </c>
      <c r="BL25">
        <f>IF(Table13[[#This Row],[Benefits Criteria Table
Step 1: Low-income Community or Low-income Household? (Y/N)]]="Yes",IF(Table13[[#This Row],[Select a Priority Population]]="Low-income Community",Table13[[#This Row],[Count]],0),0)</f>
        <v>0</v>
      </c>
      <c r="BM25">
        <f>IF(Table13[[#This Row],[Benefits Criteria Table
Step 1: Low-income Community or Low-income Household? (Y/N)]]="Yes",IF(Table13[[#This Row],[Select a Priority Population]]="Low-income Community",Table13[[#This Row],[Total GGRF Funding Amount from this Program ($)]],0),0)</f>
        <v>0</v>
      </c>
      <c r="BN25">
        <f>IF(Table13[[#This Row],[Benefits Criteria Table
Step 1: Low-income 1/2-mile Buffer Region? (Y/N)]]="Yes",IF(Table13[[#This Row],[Select a Priority Population]]="1/2 Mile Buffer Zone",Table13[[#This Row],[Count]],0),0)</f>
        <v>0</v>
      </c>
      <c r="BO25">
        <f>IF(Table13[[#This Row],[Benefits Criteria Table
Step 1: Low-income 1/2-mile Buffer Region? (Y/N)]]="Yes",IF(Table13[[#This Row],[Select a Priority Population]]="1/2 Mile Buffer Zone",Table13[[#This Row],[Total GGRF Funding Amount from this Program ($)]],0),0)</f>
        <v>0</v>
      </c>
      <c r="BP25">
        <f>IF(ISBLANK(Table13[[#This Row],[Project ID]]), 0, 1)</f>
        <v>0</v>
      </c>
      <c r="BQ25" s="1"/>
      <c r="BR25" s="1"/>
      <c r="BS25" s="1"/>
    </row>
    <row r="26" spans="1:71" x14ac:dyDescent="0.25">
      <c r="A26" s="1" t="s">
        <v>58</v>
      </c>
      <c r="B26" s="1" t="s">
        <v>65</v>
      </c>
      <c r="D26" s="1">
        <f>'1. Project Info'!L38</f>
        <v>0</v>
      </c>
      <c r="G26" s="1">
        <f>'1. Project Info'!M38</f>
        <v>0</v>
      </c>
      <c r="I26" s="5"/>
      <c r="J26" s="5"/>
      <c r="K26" s="5"/>
      <c r="L26" s="5"/>
      <c r="M26" s="5"/>
      <c r="R26" s="5"/>
      <c r="S26" s="6"/>
      <c r="T26" s="6"/>
      <c r="U26" s="5"/>
      <c r="AA26" s="6"/>
      <c r="AB26" s="6"/>
      <c r="AC26" s="6"/>
      <c r="AD26" s="6"/>
      <c r="AE26" s="6"/>
      <c r="AF26" s="6"/>
      <c r="AG26" s="6"/>
      <c r="AJ26" s="6"/>
      <c r="AK26" s="6"/>
      <c r="AL26" s="6"/>
      <c r="AM26" s="6"/>
      <c r="AN26" s="6"/>
      <c r="BC26">
        <f>IF(Table13[[#This Row],[Benefits Criteria Table
Step 1: Disadvantaged Community? (Y/N)]]="Yes",Table13[[#This Row],[Count]],0)</f>
        <v>0</v>
      </c>
      <c r="BD26">
        <f>IF(Table13[[#This Row],[Benefits Criteria Table
Step 1: Disadvantaged Community? (Y/N)]]="Yes",Table13[[#This Row],[Total GGRF Funding Amount from this Program ($)]],0)</f>
        <v>0</v>
      </c>
      <c r="BE26">
        <f>IF(Table13[[#This Row],[Benefits Criteria Table
Step 1: Low-income Community or Low-income Household? (Y/N)]]="Yes",Table13[[#This Row],[Count]],0)</f>
        <v>0</v>
      </c>
      <c r="BF26">
        <f>IF(Table13[[#This Row],[Benefits Criteria Table
Step 1: Low-income Community or Low-income Household? (Y/N)]]="Yes",Table13[[#This Row],[Total GGRF Funding Amount from this Program ($)]],0)</f>
        <v>0</v>
      </c>
      <c r="BG26">
        <f>IF(Table13[[#This Row],[Benefits Criteria Table
Step 1: Low-income 1/2-mile Buffer Region? (Y/N)]]="Yes",Table13[[#This Row],[Count]],0)</f>
        <v>0</v>
      </c>
      <c r="BH26">
        <f>IF(Table13[[#This Row],[Benefits Criteria Table
Step 1: Low-income 1/2-mile Buffer Region? (Y/N)]]="Yes",Table13[[#This Row],[Total GGRF Funding Amount from this Program ($)]],0)</f>
        <v>0</v>
      </c>
      <c r="BI26" s="1"/>
      <c r="BJ26" t="str">
        <f>IF(Table13[[#This Row],[Benefits Criteria Table
Step 1: Disadvantaged Community? (Y/N)]]="YES",IF(Table13[[#This Row],[Select a Priority Population]]="Disadvantaged Community",Table13[[#This Row],[Count]],0),"")</f>
        <v/>
      </c>
      <c r="BK26" t="str">
        <f>IF(Table13[[#This Row],[Benefits Criteria Table
Step 1: Disadvantaged Community? (Y/N)]]="YES",IF(Table13[[#This Row],[Select a Priority Population]]="Disadvantaged Community",Table13[[#This Row],[Qualifying Disadvantaged Community Benefit Amount ($)]],0),"")</f>
        <v/>
      </c>
      <c r="BL26">
        <f>IF(Table13[[#This Row],[Benefits Criteria Table
Step 1: Low-income Community or Low-income Household? (Y/N)]]="Yes",IF(Table13[[#This Row],[Select a Priority Population]]="Low-income Community",Table13[[#This Row],[Count]],0),0)</f>
        <v>0</v>
      </c>
      <c r="BM26">
        <f>IF(Table13[[#This Row],[Benefits Criteria Table
Step 1: Low-income Community or Low-income Household? (Y/N)]]="Yes",IF(Table13[[#This Row],[Select a Priority Population]]="Low-income Community",Table13[[#This Row],[Total GGRF Funding Amount from this Program ($)]],0),0)</f>
        <v>0</v>
      </c>
      <c r="BN26">
        <f>IF(Table13[[#This Row],[Benefits Criteria Table
Step 1: Low-income 1/2-mile Buffer Region? (Y/N)]]="Yes",IF(Table13[[#This Row],[Select a Priority Population]]="1/2 Mile Buffer Zone",Table13[[#This Row],[Count]],0),0)</f>
        <v>0</v>
      </c>
      <c r="BO26">
        <f>IF(Table13[[#This Row],[Benefits Criteria Table
Step 1: Low-income 1/2-mile Buffer Region? (Y/N)]]="Yes",IF(Table13[[#This Row],[Select a Priority Population]]="1/2 Mile Buffer Zone",Table13[[#This Row],[Total GGRF Funding Amount from this Program ($)]],0),0)</f>
        <v>0</v>
      </c>
      <c r="BP26">
        <f>IF(ISBLANK(Table13[[#This Row],[Project ID]]), 0, 1)</f>
        <v>0</v>
      </c>
      <c r="BQ26" s="1"/>
      <c r="BR26" s="1"/>
      <c r="BS26" s="1"/>
    </row>
    <row r="27" spans="1:71" x14ac:dyDescent="0.25">
      <c r="A27" s="1" t="s">
        <v>58</v>
      </c>
      <c r="B27" s="1" t="s">
        <v>65</v>
      </c>
      <c r="D27" s="1">
        <f>'1. Project Info'!L39</f>
        <v>0</v>
      </c>
      <c r="G27" s="1">
        <f>'1. Project Info'!M39</f>
        <v>0</v>
      </c>
      <c r="I27" s="5"/>
      <c r="J27" s="5"/>
      <c r="K27" s="5"/>
      <c r="L27" s="5"/>
      <c r="M27" s="5"/>
      <c r="R27" s="5"/>
      <c r="S27" s="6"/>
      <c r="T27" s="6"/>
      <c r="U27" s="5"/>
      <c r="AA27" s="6"/>
      <c r="AB27" s="6"/>
      <c r="AC27" s="6"/>
      <c r="AD27" s="6"/>
      <c r="AE27" s="6"/>
      <c r="AF27" s="6"/>
      <c r="AG27" s="6"/>
      <c r="AJ27" s="6"/>
      <c r="AK27" s="6"/>
      <c r="AL27" s="6"/>
      <c r="AM27" s="6"/>
      <c r="AN27" s="6"/>
      <c r="BC27">
        <f>IF(Table13[[#This Row],[Benefits Criteria Table
Step 1: Disadvantaged Community? (Y/N)]]="Yes",Table13[[#This Row],[Count]],0)</f>
        <v>0</v>
      </c>
      <c r="BD27">
        <f>IF(Table13[[#This Row],[Benefits Criteria Table
Step 1: Disadvantaged Community? (Y/N)]]="Yes",Table13[[#This Row],[Total GGRF Funding Amount from this Program ($)]],0)</f>
        <v>0</v>
      </c>
      <c r="BE27">
        <f>IF(Table13[[#This Row],[Benefits Criteria Table
Step 1: Low-income Community or Low-income Household? (Y/N)]]="Yes",Table13[[#This Row],[Count]],0)</f>
        <v>0</v>
      </c>
      <c r="BF27">
        <f>IF(Table13[[#This Row],[Benefits Criteria Table
Step 1: Low-income Community or Low-income Household? (Y/N)]]="Yes",Table13[[#This Row],[Total GGRF Funding Amount from this Program ($)]],0)</f>
        <v>0</v>
      </c>
      <c r="BG27">
        <f>IF(Table13[[#This Row],[Benefits Criteria Table
Step 1: Low-income 1/2-mile Buffer Region? (Y/N)]]="Yes",Table13[[#This Row],[Count]],0)</f>
        <v>0</v>
      </c>
      <c r="BH27">
        <f>IF(Table13[[#This Row],[Benefits Criteria Table
Step 1: Low-income 1/2-mile Buffer Region? (Y/N)]]="Yes",Table13[[#This Row],[Total GGRF Funding Amount from this Program ($)]],0)</f>
        <v>0</v>
      </c>
      <c r="BI27" s="1"/>
      <c r="BJ27" t="str">
        <f>IF(Table13[[#This Row],[Benefits Criteria Table
Step 1: Disadvantaged Community? (Y/N)]]="YES",IF(Table13[[#This Row],[Select a Priority Population]]="Disadvantaged Community",Table13[[#This Row],[Count]],0),"")</f>
        <v/>
      </c>
      <c r="BK27" t="str">
        <f>IF(Table13[[#This Row],[Benefits Criteria Table
Step 1: Disadvantaged Community? (Y/N)]]="YES",IF(Table13[[#This Row],[Select a Priority Population]]="Disadvantaged Community",Table13[[#This Row],[Qualifying Disadvantaged Community Benefit Amount ($)]],0),"")</f>
        <v/>
      </c>
      <c r="BL27">
        <f>IF(Table13[[#This Row],[Benefits Criteria Table
Step 1: Low-income Community or Low-income Household? (Y/N)]]="Yes",IF(Table13[[#This Row],[Select a Priority Population]]="Low-income Community",Table13[[#This Row],[Count]],0),0)</f>
        <v>0</v>
      </c>
      <c r="BM27">
        <f>IF(Table13[[#This Row],[Benefits Criteria Table
Step 1: Low-income Community or Low-income Household? (Y/N)]]="Yes",IF(Table13[[#This Row],[Select a Priority Population]]="Low-income Community",Table13[[#This Row],[Total GGRF Funding Amount from this Program ($)]],0),0)</f>
        <v>0</v>
      </c>
      <c r="BN27">
        <f>IF(Table13[[#This Row],[Benefits Criteria Table
Step 1: Low-income 1/2-mile Buffer Region? (Y/N)]]="Yes",IF(Table13[[#This Row],[Select a Priority Population]]="1/2 Mile Buffer Zone",Table13[[#This Row],[Count]],0),0)</f>
        <v>0</v>
      </c>
      <c r="BO27">
        <f>IF(Table13[[#This Row],[Benefits Criteria Table
Step 1: Low-income 1/2-mile Buffer Region? (Y/N)]]="Yes",IF(Table13[[#This Row],[Select a Priority Population]]="1/2 Mile Buffer Zone",Table13[[#This Row],[Total GGRF Funding Amount from this Program ($)]],0),0)</f>
        <v>0</v>
      </c>
      <c r="BP27">
        <f>IF(ISBLANK(Table13[[#This Row],[Project ID]]), 0, 1)</f>
        <v>0</v>
      </c>
      <c r="BQ27" s="1"/>
      <c r="BR27" s="1"/>
      <c r="BS27" s="1"/>
    </row>
    <row r="28" spans="1:71" x14ac:dyDescent="0.25">
      <c r="A28" s="1" t="s">
        <v>58</v>
      </c>
      <c r="B28" s="1" t="s">
        <v>65</v>
      </c>
      <c r="D28" s="1">
        <f>'1. Project Info'!L40</f>
        <v>0</v>
      </c>
      <c r="G28" s="1">
        <f>'1. Project Info'!M40</f>
        <v>0</v>
      </c>
      <c r="I28" s="5"/>
      <c r="J28" s="5"/>
      <c r="K28" s="5"/>
      <c r="L28" s="5"/>
      <c r="M28" s="5"/>
      <c r="R28" s="5"/>
      <c r="S28" s="6"/>
      <c r="T28" s="6"/>
      <c r="U28" s="5"/>
      <c r="AA28" s="6"/>
      <c r="AB28" s="6"/>
      <c r="AC28" s="6"/>
      <c r="AD28" s="6"/>
      <c r="AE28" s="6"/>
      <c r="AF28" s="6"/>
      <c r="AG28" s="6"/>
      <c r="AJ28" s="6"/>
      <c r="AK28" s="6"/>
      <c r="AL28" s="6"/>
      <c r="AM28" s="6"/>
      <c r="AN28" s="6"/>
      <c r="BC28">
        <f>IF(Table13[[#This Row],[Benefits Criteria Table
Step 1: Disadvantaged Community? (Y/N)]]="Yes",Table13[[#This Row],[Count]],0)</f>
        <v>0</v>
      </c>
      <c r="BD28">
        <f>IF(Table13[[#This Row],[Benefits Criteria Table
Step 1: Disadvantaged Community? (Y/N)]]="Yes",Table13[[#This Row],[Total GGRF Funding Amount from this Program ($)]],0)</f>
        <v>0</v>
      </c>
      <c r="BE28">
        <f>IF(Table13[[#This Row],[Benefits Criteria Table
Step 1: Low-income Community or Low-income Household? (Y/N)]]="Yes",Table13[[#This Row],[Count]],0)</f>
        <v>0</v>
      </c>
      <c r="BF28">
        <f>IF(Table13[[#This Row],[Benefits Criteria Table
Step 1: Low-income Community or Low-income Household? (Y/N)]]="Yes",Table13[[#This Row],[Total GGRF Funding Amount from this Program ($)]],0)</f>
        <v>0</v>
      </c>
      <c r="BG28">
        <f>IF(Table13[[#This Row],[Benefits Criteria Table
Step 1: Low-income 1/2-mile Buffer Region? (Y/N)]]="Yes",Table13[[#This Row],[Count]],0)</f>
        <v>0</v>
      </c>
      <c r="BH28">
        <f>IF(Table13[[#This Row],[Benefits Criteria Table
Step 1: Low-income 1/2-mile Buffer Region? (Y/N)]]="Yes",Table13[[#This Row],[Total GGRF Funding Amount from this Program ($)]],0)</f>
        <v>0</v>
      </c>
      <c r="BI28" s="1"/>
      <c r="BJ28" t="str">
        <f>IF(Table13[[#This Row],[Benefits Criteria Table
Step 1: Disadvantaged Community? (Y/N)]]="YES",IF(Table13[[#This Row],[Select a Priority Population]]="Disadvantaged Community",Table13[[#This Row],[Count]],0),"")</f>
        <v/>
      </c>
      <c r="BK28" t="str">
        <f>IF(Table13[[#This Row],[Benefits Criteria Table
Step 1: Disadvantaged Community? (Y/N)]]="YES",IF(Table13[[#This Row],[Select a Priority Population]]="Disadvantaged Community",Table13[[#This Row],[Qualifying Disadvantaged Community Benefit Amount ($)]],0),"")</f>
        <v/>
      </c>
      <c r="BL28">
        <f>IF(Table13[[#This Row],[Benefits Criteria Table
Step 1: Low-income Community or Low-income Household? (Y/N)]]="Yes",IF(Table13[[#This Row],[Select a Priority Population]]="Low-income Community",Table13[[#This Row],[Count]],0),0)</f>
        <v>0</v>
      </c>
      <c r="BM28">
        <f>IF(Table13[[#This Row],[Benefits Criteria Table
Step 1: Low-income Community or Low-income Household? (Y/N)]]="Yes",IF(Table13[[#This Row],[Select a Priority Population]]="Low-income Community",Table13[[#This Row],[Total GGRF Funding Amount from this Program ($)]],0),0)</f>
        <v>0</v>
      </c>
      <c r="BN28">
        <f>IF(Table13[[#This Row],[Benefits Criteria Table
Step 1: Low-income 1/2-mile Buffer Region? (Y/N)]]="Yes",IF(Table13[[#This Row],[Select a Priority Population]]="1/2 Mile Buffer Zone",Table13[[#This Row],[Count]],0),0)</f>
        <v>0</v>
      </c>
      <c r="BO28">
        <f>IF(Table13[[#This Row],[Benefits Criteria Table
Step 1: Low-income 1/2-mile Buffer Region? (Y/N)]]="Yes",IF(Table13[[#This Row],[Select a Priority Population]]="1/2 Mile Buffer Zone",Table13[[#This Row],[Total GGRF Funding Amount from this Program ($)]],0),0)</f>
        <v>0</v>
      </c>
      <c r="BP28">
        <f>IF(ISBLANK(Table13[[#This Row],[Project ID]]), 0, 1)</f>
        <v>0</v>
      </c>
      <c r="BQ28" s="1"/>
      <c r="BR28" s="1"/>
      <c r="BS28" s="1"/>
    </row>
    <row r="29" spans="1:71" x14ac:dyDescent="0.25">
      <c r="A29" s="1" t="s">
        <v>58</v>
      </c>
      <c r="B29" s="1" t="s">
        <v>65</v>
      </c>
      <c r="D29" s="1">
        <f>'1. Project Info'!L41</f>
        <v>0</v>
      </c>
      <c r="G29" s="1">
        <f>'1. Project Info'!M41</f>
        <v>0</v>
      </c>
      <c r="I29" s="5"/>
      <c r="J29" s="5"/>
      <c r="K29" s="5"/>
      <c r="L29" s="5"/>
      <c r="M29" s="5"/>
      <c r="R29" s="5"/>
      <c r="S29" s="6"/>
      <c r="T29" s="6"/>
      <c r="U29" s="5"/>
      <c r="AA29" s="6"/>
      <c r="AB29" s="6"/>
      <c r="AC29" s="6"/>
      <c r="AD29" s="6"/>
      <c r="AE29" s="6"/>
      <c r="AF29" s="6"/>
      <c r="AG29" s="6"/>
      <c r="AJ29" s="6"/>
      <c r="AK29" s="6"/>
      <c r="AL29" s="6"/>
      <c r="AM29" s="6"/>
      <c r="AN29" s="6"/>
      <c r="BC29">
        <f>IF(Table13[[#This Row],[Benefits Criteria Table
Step 1: Disadvantaged Community? (Y/N)]]="Yes",Table13[[#This Row],[Count]],0)</f>
        <v>0</v>
      </c>
      <c r="BD29">
        <f>IF(Table13[[#This Row],[Benefits Criteria Table
Step 1: Disadvantaged Community? (Y/N)]]="Yes",Table13[[#This Row],[Total GGRF Funding Amount from this Program ($)]],0)</f>
        <v>0</v>
      </c>
      <c r="BE29">
        <f>IF(Table13[[#This Row],[Benefits Criteria Table
Step 1: Low-income Community or Low-income Household? (Y/N)]]="Yes",Table13[[#This Row],[Count]],0)</f>
        <v>0</v>
      </c>
      <c r="BF29">
        <f>IF(Table13[[#This Row],[Benefits Criteria Table
Step 1: Low-income Community or Low-income Household? (Y/N)]]="Yes",Table13[[#This Row],[Total GGRF Funding Amount from this Program ($)]],0)</f>
        <v>0</v>
      </c>
      <c r="BG29">
        <f>IF(Table13[[#This Row],[Benefits Criteria Table
Step 1: Low-income 1/2-mile Buffer Region? (Y/N)]]="Yes",Table13[[#This Row],[Count]],0)</f>
        <v>0</v>
      </c>
      <c r="BH29">
        <f>IF(Table13[[#This Row],[Benefits Criteria Table
Step 1: Low-income 1/2-mile Buffer Region? (Y/N)]]="Yes",Table13[[#This Row],[Total GGRF Funding Amount from this Program ($)]],0)</f>
        <v>0</v>
      </c>
      <c r="BI29" s="1"/>
      <c r="BJ29" t="str">
        <f>IF(Table13[[#This Row],[Benefits Criteria Table
Step 1: Disadvantaged Community? (Y/N)]]="YES",IF(Table13[[#This Row],[Select a Priority Population]]="Disadvantaged Community",Table13[[#This Row],[Count]],0),"")</f>
        <v/>
      </c>
      <c r="BK29" t="str">
        <f>IF(Table13[[#This Row],[Benefits Criteria Table
Step 1: Disadvantaged Community? (Y/N)]]="YES",IF(Table13[[#This Row],[Select a Priority Population]]="Disadvantaged Community",Table13[[#This Row],[Qualifying Disadvantaged Community Benefit Amount ($)]],0),"")</f>
        <v/>
      </c>
      <c r="BL29">
        <f>IF(Table13[[#This Row],[Benefits Criteria Table
Step 1: Low-income Community or Low-income Household? (Y/N)]]="Yes",IF(Table13[[#This Row],[Select a Priority Population]]="Low-income Community",Table13[[#This Row],[Count]],0),0)</f>
        <v>0</v>
      </c>
      <c r="BM29">
        <f>IF(Table13[[#This Row],[Benefits Criteria Table
Step 1: Low-income Community or Low-income Household? (Y/N)]]="Yes",IF(Table13[[#This Row],[Select a Priority Population]]="Low-income Community",Table13[[#This Row],[Total GGRF Funding Amount from this Program ($)]],0),0)</f>
        <v>0</v>
      </c>
      <c r="BN29">
        <f>IF(Table13[[#This Row],[Benefits Criteria Table
Step 1: Low-income 1/2-mile Buffer Region? (Y/N)]]="Yes",IF(Table13[[#This Row],[Select a Priority Population]]="1/2 Mile Buffer Zone",Table13[[#This Row],[Count]],0),0)</f>
        <v>0</v>
      </c>
      <c r="BO29">
        <f>IF(Table13[[#This Row],[Benefits Criteria Table
Step 1: Low-income 1/2-mile Buffer Region? (Y/N)]]="Yes",IF(Table13[[#This Row],[Select a Priority Population]]="1/2 Mile Buffer Zone",Table13[[#This Row],[Total GGRF Funding Amount from this Program ($)]],0),0)</f>
        <v>0</v>
      </c>
      <c r="BP29">
        <f>IF(ISBLANK(Table13[[#This Row],[Project ID]]), 0, 1)</f>
        <v>0</v>
      </c>
      <c r="BQ29" s="1"/>
      <c r="BR29" s="1"/>
      <c r="BS29" s="1"/>
    </row>
    <row r="30" spans="1:71" x14ac:dyDescent="0.25">
      <c r="A30" s="1" t="s">
        <v>58</v>
      </c>
      <c r="B30" s="1" t="s">
        <v>65</v>
      </c>
      <c r="D30" s="1">
        <f>'1. Project Info'!L42</f>
        <v>0</v>
      </c>
      <c r="G30" s="1">
        <f>'1. Project Info'!M42</f>
        <v>0</v>
      </c>
      <c r="I30" s="5"/>
      <c r="J30" s="5"/>
      <c r="K30" s="5"/>
      <c r="L30" s="5"/>
      <c r="M30" s="5"/>
      <c r="R30" s="5"/>
      <c r="S30" s="6"/>
      <c r="T30" s="6"/>
      <c r="U30" s="5"/>
      <c r="AA30" s="6"/>
      <c r="AB30" s="6"/>
      <c r="AC30" s="6"/>
      <c r="AD30" s="6"/>
      <c r="AE30" s="6"/>
      <c r="AF30" s="6"/>
      <c r="AG30" s="6"/>
      <c r="AJ30" s="6"/>
      <c r="AK30" s="6"/>
      <c r="AL30" s="6"/>
      <c r="AM30" s="6"/>
      <c r="AN30" s="6"/>
      <c r="BC30">
        <f>IF(Table13[[#This Row],[Benefits Criteria Table
Step 1: Disadvantaged Community? (Y/N)]]="Yes",Table13[[#This Row],[Count]],0)</f>
        <v>0</v>
      </c>
      <c r="BD30">
        <f>IF(Table13[[#This Row],[Benefits Criteria Table
Step 1: Disadvantaged Community? (Y/N)]]="Yes",Table13[[#This Row],[Total GGRF Funding Amount from this Program ($)]],0)</f>
        <v>0</v>
      </c>
      <c r="BE30">
        <f>IF(Table13[[#This Row],[Benefits Criteria Table
Step 1: Low-income Community or Low-income Household? (Y/N)]]="Yes",Table13[[#This Row],[Count]],0)</f>
        <v>0</v>
      </c>
      <c r="BF30">
        <f>IF(Table13[[#This Row],[Benefits Criteria Table
Step 1: Low-income Community or Low-income Household? (Y/N)]]="Yes",Table13[[#This Row],[Total GGRF Funding Amount from this Program ($)]],0)</f>
        <v>0</v>
      </c>
      <c r="BG30">
        <f>IF(Table13[[#This Row],[Benefits Criteria Table
Step 1: Low-income 1/2-mile Buffer Region? (Y/N)]]="Yes",Table13[[#This Row],[Count]],0)</f>
        <v>0</v>
      </c>
      <c r="BH30">
        <f>IF(Table13[[#This Row],[Benefits Criteria Table
Step 1: Low-income 1/2-mile Buffer Region? (Y/N)]]="Yes",Table13[[#This Row],[Total GGRF Funding Amount from this Program ($)]],0)</f>
        <v>0</v>
      </c>
      <c r="BI30" s="1"/>
      <c r="BJ30" t="str">
        <f>IF(Table13[[#This Row],[Benefits Criteria Table
Step 1: Disadvantaged Community? (Y/N)]]="YES",IF(Table13[[#This Row],[Select a Priority Population]]="Disadvantaged Community",Table13[[#This Row],[Count]],0),"")</f>
        <v/>
      </c>
      <c r="BK30" t="str">
        <f>IF(Table13[[#This Row],[Benefits Criteria Table
Step 1: Disadvantaged Community? (Y/N)]]="YES",IF(Table13[[#This Row],[Select a Priority Population]]="Disadvantaged Community",Table13[[#This Row],[Qualifying Disadvantaged Community Benefit Amount ($)]],0),"")</f>
        <v/>
      </c>
      <c r="BL30">
        <f>IF(Table13[[#This Row],[Benefits Criteria Table
Step 1: Low-income Community or Low-income Household? (Y/N)]]="Yes",IF(Table13[[#This Row],[Select a Priority Population]]="Low-income Community",Table13[[#This Row],[Count]],0),0)</f>
        <v>0</v>
      </c>
      <c r="BM30">
        <f>IF(Table13[[#This Row],[Benefits Criteria Table
Step 1: Low-income Community or Low-income Household? (Y/N)]]="Yes",IF(Table13[[#This Row],[Select a Priority Population]]="Low-income Community",Table13[[#This Row],[Total GGRF Funding Amount from this Program ($)]],0),0)</f>
        <v>0</v>
      </c>
      <c r="BN30">
        <f>IF(Table13[[#This Row],[Benefits Criteria Table
Step 1: Low-income 1/2-mile Buffer Region? (Y/N)]]="Yes",IF(Table13[[#This Row],[Select a Priority Population]]="1/2 Mile Buffer Zone",Table13[[#This Row],[Count]],0),0)</f>
        <v>0</v>
      </c>
      <c r="BO30">
        <f>IF(Table13[[#This Row],[Benefits Criteria Table
Step 1: Low-income 1/2-mile Buffer Region? (Y/N)]]="Yes",IF(Table13[[#This Row],[Select a Priority Population]]="1/2 Mile Buffer Zone",Table13[[#This Row],[Total GGRF Funding Amount from this Program ($)]],0),0)</f>
        <v>0</v>
      </c>
      <c r="BP30">
        <f>IF(ISBLANK(Table13[[#This Row],[Project ID]]), 0, 1)</f>
        <v>0</v>
      </c>
      <c r="BQ30" s="1"/>
      <c r="BR30" s="1"/>
      <c r="BS30" s="1"/>
    </row>
    <row r="31" spans="1:71" x14ac:dyDescent="0.25">
      <c r="A31" s="1" t="s">
        <v>58</v>
      </c>
      <c r="B31" s="1" t="s">
        <v>65</v>
      </c>
      <c r="D31" s="1">
        <f>'1. Project Info'!L43</f>
        <v>0</v>
      </c>
      <c r="G31" s="1">
        <f>'1. Project Info'!M43</f>
        <v>0</v>
      </c>
      <c r="I31" s="5"/>
      <c r="J31" s="5"/>
      <c r="K31" s="5"/>
      <c r="L31" s="5"/>
      <c r="M31" s="5"/>
      <c r="R31" s="5"/>
      <c r="S31" s="6"/>
      <c r="T31" s="6"/>
      <c r="U31" s="5"/>
      <c r="AA31" s="6"/>
      <c r="AB31" s="6"/>
      <c r="AC31" s="6"/>
      <c r="AD31" s="6"/>
      <c r="AE31" s="6"/>
      <c r="AF31" s="6"/>
      <c r="AG31" s="6"/>
      <c r="AJ31" s="6"/>
      <c r="AK31" s="6"/>
      <c r="AL31" s="6"/>
      <c r="AM31" s="6"/>
      <c r="AN31" s="6"/>
      <c r="BC31">
        <f>IF(Table13[[#This Row],[Benefits Criteria Table
Step 1: Disadvantaged Community? (Y/N)]]="Yes",Table13[[#This Row],[Count]],0)</f>
        <v>0</v>
      </c>
      <c r="BD31">
        <f>IF(Table13[[#This Row],[Benefits Criteria Table
Step 1: Disadvantaged Community? (Y/N)]]="Yes",Table13[[#This Row],[Total GGRF Funding Amount from this Program ($)]],0)</f>
        <v>0</v>
      </c>
      <c r="BE31">
        <f>IF(Table13[[#This Row],[Benefits Criteria Table
Step 1: Low-income Community or Low-income Household? (Y/N)]]="Yes",Table13[[#This Row],[Count]],0)</f>
        <v>0</v>
      </c>
      <c r="BF31">
        <f>IF(Table13[[#This Row],[Benefits Criteria Table
Step 1: Low-income Community or Low-income Household? (Y/N)]]="Yes",Table13[[#This Row],[Total GGRF Funding Amount from this Program ($)]],0)</f>
        <v>0</v>
      </c>
      <c r="BG31">
        <f>IF(Table13[[#This Row],[Benefits Criteria Table
Step 1: Low-income 1/2-mile Buffer Region? (Y/N)]]="Yes",Table13[[#This Row],[Count]],0)</f>
        <v>0</v>
      </c>
      <c r="BH31">
        <f>IF(Table13[[#This Row],[Benefits Criteria Table
Step 1: Low-income 1/2-mile Buffer Region? (Y/N)]]="Yes",Table13[[#This Row],[Total GGRF Funding Amount from this Program ($)]],0)</f>
        <v>0</v>
      </c>
      <c r="BI31" s="1"/>
      <c r="BJ31" t="str">
        <f>IF(Table13[[#This Row],[Benefits Criteria Table
Step 1: Disadvantaged Community? (Y/N)]]="YES",IF(Table13[[#This Row],[Select a Priority Population]]="Disadvantaged Community",Table13[[#This Row],[Count]],0),"")</f>
        <v/>
      </c>
      <c r="BK31" t="str">
        <f>IF(Table13[[#This Row],[Benefits Criteria Table
Step 1: Disadvantaged Community? (Y/N)]]="YES",IF(Table13[[#This Row],[Select a Priority Population]]="Disadvantaged Community",Table13[[#This Row],[Qualifying Disadvantaged Community Benefit Amount ($)]],0),"")</f>
        <v/>
      </c>
      <c r="BL31">
        <f>IF(Table13[[#This Row],[Benefits Criteria Table
Step 1: Low-income Community or Low-income Household? (Y/N)]]="Yes",IF(Table13[[#This Row],[Select a Priority Population]]="Low-income Community",Table13[[#This Row],[Count]],0),0)</f>
        <v>0</v>
      </c>
      <c r="BM31">
        <f>IF(Table13[[#This Row],[Benefits Criteria Table
Step 1: Low-income Community or Low-income Household? (Y/N)]]="Yes",IF(Table13[[#This Row],[Select a Priority Population]]="Low-income Community",Table13[[#This Row],[Total GGRF Funding Amount from this Program ($)]],0),0)</f>
        <v>0</v>
      </c>
      <c r="BN31">
        <f>IF(Table13[[#This Row],[Benefits Criteria Table
Step 1: Low-income 1/2-mile Buffer Region? (Y/N)]]="Yes",IF(Table13[[#This Row],[Select a Priority Population]]="1/2 Mile Buffer Zone",Table13[[#This Row],[Count]],0),0)</f>
        <v>0</v>
      </c>
      <c r="BO31">
        <f>IF(Table13[[#This Row],[Benefits Criteria Table
Step 1: Low-income 1/2-mile Buffer Region? (Y/N)]]="Yes",IF(Table13[[#This Row],[Select a Priority Population]]="1/2 Mile Buffer Zone",Table13[[#This Row],[Total GGRF Funding Amount from this Program ($)]],0),0)</f>
        <v>0</v>
      </c>
      <c r="BP31">
        <f>IF(ISBLANK(Table13[[#This Row],[Project ID]]), 0, 1)</f>
        <v>0</v>
      </c>
      <c r="BQ31" s="1"/>
      <c r="BR31" s="1"/>
      <c r="BS31" s="1"/>
    </row>
    <row r="32" spans="1:71" x14ac:dyDescent="0.25">
      <c r="A32" s="1" t="s">
        <v>58</v>
      </c>
      <c r="B32" s="1" t="s">
        <v>65</v>
      </c>
      <c r="D32" s="1">
        <f>'1. Project Info'!L44</f>
        <v>0</v>
      </c>
      <c r="G32" s="1">
        <f>'1. Project Info'!M44</f>
        <v>0</v>
      </c>
      <c r="I32" s="5"/>
      <c r="J32" s="5"/>
      <c r="K32" s="5"/>
      <c r="L32" s="5"/>
      <c r="M32" s="5"/>
      <c r="R32" s="5"/>
      <c r="S32" s="6"/>
      <c r="T32" s="6"/>
      <c r="U32" s="5"/>
      <c r="AA32" s="6"/>
      <c r="AB32" s="6"/>
      <c r="AC32" s="6"/>
      <c r="AD32" s="6"/>
      <c r="AE32" s="6"/>
      <c r="AF32" s="6"/>
      <c r="AG32" s="6"/>
      <c r="AJ32" s="6"/>
      <c r="AK32" s="6"/>
      <c r="AL32" s="6"/>
      <c r="AM32" s="6"/>
      <c r="AN32" s="6"/>
      <c r="BC32">
        <f>IF(Table13[[#This Row],[Benefits Criteria Table
Step 1: Disadvantaged Community? (Y/N)]]="Yes",Table13[[#This Row],[Count]],0)</f>
        <v>0</v>
      </c>
      <c r="BD32">
        <f>IF(Table13[[#This Row],[Benefits Criteria Table
Step 1: Disadvantaged Community? (Y/N)]]="Yes",Table13[[#This Row],[Total GGRF Funding Amount from this Program ($)]],0)</f>
        <v>0</v>
      </c>
      <c r="BE32">
        <f>IF(Table13[[#This Row],[Benefits Criteria Table
Step 1: Low-income Community or Low-income Household? (Y/N)]]="Yes",Table13[[#This Row],[Count]],0)</f>
        <v>0</v>
      </c>
      <c r="BF32">
        <f>IF(Table13[[#This Row],[Benefits Criteria Table
Step 1: Low-income Community or Low-income Household? (Y/N)]]="Yes",Table13[[#This Row],[Total GGRF Funding Amount from this Program ($)]],0)</f>
        <v>0</v>
      </c>
      <c r="BG32">
        <f>IF(Table13[[#This Row],[Benefits Criteria Table
Step 1: Low-income 1/2-mile Buffer Region? (Y/N)]]="Yes",Table13[[#This Row],[Count]],0)</f>
        <v>0</v>
      </c>
      <c r="BH32">
        <f>IF(Table13[[#This Row],[Benefits Criteria Table
Step 1: Low-income 1/2-mile Buffer Region? (Y/N)]]="Yes",Table13[[#This Row],[Total GGRF Funding Amount from this Program ($)]],0)</f>
        <v>0</v>
      </c>
      <c r="BI32" s="1"/>
      <c r="BJ32" t="str">
        <f>IF(Table13[[#This Row],[Benefits Criteria Table
Step 1: Disadvantaged Community? (Y/N)]]="YES",IF(Table13[[#This Row],[Select a Priority Population]]="Disadvantaged Community",Table13[[#This Row],[Count]],0),"")</f>
        <v/>
      </c>
      <c r="BK32" t="str">
        <f>IF(Table13[[#This Row],[Benefits Criteria Table
Step 1: Disadvantaged Community? (Y/N)]]="YES",IF(Table13[[#This Row],[Select a Priority Population]]="Disadvantaged Community",Table13[[#This Row],[Qualifying Disadvantaged Community Benefit Amount ($)]],0),"")</f>
        <v/>
      </c>
      <c r="BL32">
        <f>IF(Table13[[#This Row],[Benefits Criteria Table
Step 1: Low-income Community or Low-income Household? (Y/N)]]="Yes",IF(Table13[[#This Row],[Select a Priority Population]]="Low-income Community",Table13[[#This Row],[Count]],0),0)</f>
        <v>0</v>
      </c>
      <c r="BM32">
        <f>IF(Table13[[#This Row],[Benefits Criteria Table
Step 1: Low-income Community or Low-income Household? (Y/N)]]="Yes",IF(Table13[[#This Row],[Select a Priority Population]]="Low-income Community",Table13[[#This Row],[Total GGRF Funding Amount from this Program ($)]],0),0)</f>
        <v>0</v>
      </c>
      <c r="BN32">
        <f>IF(Table13[[#This Row],[Benefits Criteria Table
Step 1: Low-income 1/2-mile Buffer Region? (Y/N)]]="Yes",IF(Table13[[#This Row],[Select a Priority Population]]="1/2 Mile Buffer Zone",Table13[[#This Row],[Count]],0),0)</f>
        <v>0</v>
      </c>
      <c r="BO32">
        <f>IF(Table13[[#This Row],[Benefits Criteria Table
Step 1: Low-income 1/2-mile Buffer Region? (Y/N)]]="Yes",IF(Table13[[#This Row],[Select a Priority Population]]="1/2 Mile Buffer Zone",Table13[[#This Row],[Total GGRF Funding Amount from this Program ($)]],0),0)</f>
        <v>0</v>
      </c>
      <c r="BP32">
        <f>IF(ISBLANK(Table13[[#This Row],[Project ID]]), 0, 1)</f>
        <v>0</v>
      </c>
      <c r="BQ32" s="1"/>
      <c r="BR32" s="1"/>
      <c r="BS32" s="1"/>
    </row>
  </sheetData>
  <sheetProtection insertRows="0" deleteRows="0" sort="0"/>
  <dataValidations count="77">
    <dataValidation allowBlank="1" showInputMessage="1" showErrorMessage="1" prompt="Reduction in emissions of reactive organic gases as a result of the project (estimated or actual).  If there is an emission increase, enter a negative number." sqref="AC2:AF2" xr:uid="{00000000-0002-0000-0C00-000000000000}"/>
    <dataValidation allowBlank="1" showInputMessage="1" showErrorMessage="1" prompt="Full-time equivalent induced jobs estimated to be supported by the project, apportioned by the ratio of GGRF monies to total project budget.  Output from Job Co-benefit Modeling Tool available at:  www.arb.ca.gov/cci-cobenefits." sqref="AR2" xr:uid="{00000000-0002-0000-0C00-000001000000}"/>
    <dataValidation allowBlank="1" showInputMessage="1" showErrorMessage="1" prompt="Full-time equivalent jobs estimated to be indirectly supported by the project, apportioned by the ratio of GGRF monies to total project budget.  Output from Job Co-benefit Modeling Tool available at:  www.arb.ca.gov/cci-cobenefits." sqref="AQ2" xr:uid="{00000000-0002-0000-0C00-000002000000}"/>
    <dataValidation allowBlank="1" showInputMessage="1" showErrorMessage="1" prompt="Full-time equivalent jobs estimated to be directly supported by the project, apportioned by the ratio of GGRF monies to total project budget.  Output from Job Co-benefit Modeling Tool available at:  www.arb.ca.gov/cci-cobenefits." sqref="AP2" xr:uid="{00000000-0002-0000-0C00-000003000000}"/>
    <dataValidation type="whole" operator="greaterThanOrEqual" allowBlank="1" showInputMessage="1" showErrorMessage="1" error="Please enter a positive whole number." sqref="AP3:AR32" xr:uid="{00000000-0002-0000-0C00-000004000000}">
      <formula1>0</formula1>
    </dataValidation>
    <dataValidation type="textLength" allowBlank="1" showInputMessage="1" showErrorMessage="1" error="Please enter text less than 300 characters." sqref="AS3:AS32" xr:uid="{00000000-0002-0000-0C00-000005000000}">
      <formula1>0</formula1>
      <formula2>300</formula2>
    </dataValidation>
    <dataValidation allowBlank="1" showInputMessage="1" showErrorMessage="1" prompt="Date that the project was selected for GGRF funding. " sqref="J2" xr:uid="{00000000-0002-0000-0C00-000006000000}"/>
    <dataValidation allowBlank="1" showInputMessage="1" showErrorMessage="1" prompt="Date administering agency committed funding to a project (e.g., executed a contract with a grantee; transferred funds to an agency/program administrator)." sqref="K2" xr:uid="{00000000-0002-0000-0C00-000007000000}"/>
    <dataValidation allowBlank="1" showInputMessage="1" showErrorMessage="1" prompt="Date contract or grant agreement ends, all incentive funds are expended, or all project activities are complete. For most capital projects, date construction is completed and the improvements/equipment become(s) operational (anticipated or actual)" sqref="L2" xr:uid="{00000000-0002-0000-0C00-000008000000}"/>
    <dataValidation allowBlank="1" showInputMessage="1" showErrorMessage="1" prompt="As defined by the CARB Community Engagement Assessment Methodology. Select &quot;High&quot;, &quot;Medium&quot;, or &quot;Low&quot; from the drop down or leave blank." sqref="AI2" xr:uid="{00000000-0002-0000-0C00-000009000000}"/>
    <dataValidation allowBlank="1" showInputMessage="1" showErrorMessage="1" prompt="As defined in the CARB CCI Climate Adaptation Assessment Methodology. Selected from drop-down or leave blank." sqref="AH2" xr:uid="{00000000-0002-0000-0C00-00000A000000}"/>
    <dataValidation allowBlank="1" showInputMessage="1" showErrorMessage="1" prompt="As calculated in the CARB Benefits Calculator Tool using the Energy and Fuel Cost Savings Assessment Methodology; savings should be reported as a positive dollar value and cost increases should be reported as a negative dollar value." sqref="AG2" xr:uid="{00000000-0002-0000-0C00-00000B000000}"/>
    <dataValidation allowBlank="1" showInputMessage="1" showErrorMessage="1" prompt="The amount of matching funds the project received." sqref="Q2" xr:uid="{00000000-0002-0000-0C00-00000C000000}"/>
    <dataValidation allowBlank="1" showInputMessage="1" showErrorMessage="1" error="Please enter a whole number." prompt="Renewable energy generated as a result of this project, in kWh (estimated or actual). " sqref="AN2" xr:uid="{00000000-0002-0000-0C00-00000D000000}"/>
    <dataValidation allowBlank="1" showInputMessage="1" showErrorMessage="1" error="Please enter a whole number." prompt="Number of estimated acres preserved by conservation easements as a result of this project (estimated or actual)." sqref="AO2" xr:uid="{00000000-0002-0000-0C00-00000E000000}"/>
    <dataValidation allowBlank="1" showInputMessage="1" showErrorMessage="1" prompt="Gallons of water saved as result of the project (estimated or actual)." sqref="AM2" xr:uid="{00000000-0002-0000-0C00-00000F000000}"/>
    <dataValidation allowBlank="1" showInputMessage="1" showErrorMessage="1" prompt="Autopopulated with the amount of project funding that benefits disadvantaged communities and was selected to count towards the investment minimums. " sqref="BK2" xr:uid="{00000000-0002-0000-0C00-000010000000}"/>
    <dataValidation allowBlank="1" showInputMessage="1" showErrorMessage="1" prompt="Autopopulated with the number of projects that benefit disadvantaged communities and were selected to count towards the investment minimums. " sqref="BJ2" xr:uid="{00000000-0002-0000-0C00-000011000000}"/>
    <dataValidation allowBlank="1" showInputMessage="1" showErrorMessage="1" prompt="Autopopulated with the amount of project funding that benefits low-income 1/2-mile buffer regions and was selected to count towards the investment minimums. " sqref="BO2" xr:uid="{00000000-0002-0000-0C00-000012000000}"/>
    <dataValidation allowBlank="1" showInputMessage="1" showErrorMessage="1" prompt="Autopopulated with the number of projects that benefit low-income 1/2-mile buffer regions and were selected to count towards the investment minimums. " sqref="BN2" xr:uid="{00000000-0002-0000-0C00-000013000000}"/>
    <dataValidation allowBlank="1" showInputMessage="1" showErrorMessage="1" prompt="Autopopulated with the amount of project funding that benefits low-income communities or households and was selected to count towards the investment minimums. " sqref="BM2" xr:uid="{00000000-0002-0000-0C00-000014000000}"/>
    <dataValidation allowBlank="1" showInputMessage="1" showErrorMessage="1" prompt="Autopopulated with the number of projects that benefit low-income communities or households and were selected to count towards the investment minimums. " sqref="BL2" xr:uid="{00000000-0002-0000-0C00-000015000000}"/>
    <dataValidation allowBlank="1" showInputMessage="1" showErrorMessage="1" prompt="Choose which priority population that the project should count as benefiting. Monies may count towards only one priority population. It is up to the reporting agency to select which category a given project should count towards." sqref="BI2" xr:uid="{00000000-0002-0000-0C00-000016000000}"/>
    <dataValidation allowBlank="1" showInputMessage="1" showErrorMessage="1" prompt="The maximum potential amount of project funding that meets the requirements to benefit low-income communities or low-income households outside of but within 1/2-mile of a DAC and are chosen to count towards the investment minimums. Round to the nearest $." sqref="BH2" xr:uid="{00000000-0002-0000-0C00-000017000000}"/>
    <dataValidation allowBlank="1" showInputMessage="1" showErrorMessage="1" prompt="The maximum potential number of projects that meet the requirements to benefit 1/2-mile low-income buffer regions and are chosen to count towards the investment minimums. " sqref="BG2" xr:uid="{00000000-0002-0000-0C00-000018000000}"/>
    <dataValidation allowBlank="1" showInputMessage="1" showErrorMessage="1" prompt="The maximum potential amount of project funding that meets the requirements to benefit low-income communities or households and are eligible to count towards the investment minimums.  Round to the nearest whole dollar." sqref="BF2" xr:uid="{00000000-0002-0000-0C00-000019000000}"/>
    <dataValidation allowBlank="1" showInputMessage="1" showErrorMessage="1" prompt="The maximum potential number of projects that meet the requirements to benefit low-income communities or households and are eligible to count towards the investment minimums. " sqref="BE2" xr:uid="{00000000-0002-0000-0C00-00001A000000}"/>
    <dataValidation allowBlank="1" showInputMessage="1" showErrorMessage="1" prompt="The maximum potential amount of project funding that meets the requirements to benefit disadvantaged communities and are eligible to count towards the investment minimums.  Round to the nearest whole dollar." sqref="BD2" xr:uid="{00000000-0002-0000-0C00-00001B000000}"/>
    <dataValidation allowBlank="1" showInputMessage="1" showErrorMessage="1" prompt="The maximum potential number of projects that meet the requirements to benefit disadvantaged communities and are eligible to count towards the investment minimums. " sqref="BC2" xr:uid="{00000000-0002-0000-0C00-00001C000000}"/>
    <dataValidation allowBlank="1" showInputMessage="1" showErrorMessage="1" prompt="Qualitative description of any benefits that the project provides to priority populations.  Also, provide additional details on how the project benefits relate to identified community need(s). " sqref="BB2" xr:uid="{00000000-0002-0000-0C00-00001D000000}"/>
    <dataValidation allowBlank="1" showInputMessage="1" showErrorMessage="1" prompt="Select the Step 3 option from the selected Benefit Criteria Table used to demonstrate that the project provided a benefit to priority populations. " sqref="BA2" xr:uid="{00000000-0002-0000-0C00-00001E000000}"/>
    <dataValidation allowBlank="1" showInputMessage="1" showErrorMessage="1" prompt="Detailed description of the identified community need(s) and how the project meets the need(s), including the level of community engagement. " sqref="AZ2" xr:uid="{00000000-0002-0000-0C00-00001F000000}"/>
    <dataValidation allowBlank="1" showInputMessage="1" showErrorMessage="1" prompt="Select the Step 2 option from the Benefit Criteria Table used to identify a community need." sqref="AY2" xr:uid="{00000000-0002-0000-0C00-000020000000}"/>
    <dataValidation allowBlank="1" showInputMessage="1" showErrorMessage="1" prompt="Select the Benefit Criteria Table used to evaluate the project for benefit to priority populations.  See the Funding Guidelines for guidance on using Benefit Criteria Tables." sqref="AU2" xr:uid="{00000000-0002-0000-0C00-000021000000}"/>
    <dataValidation allowBlank="1" showInputMessage="1" showErrorMessage="1" prompt="Indicate if the project is within and provides benefit to a low-income community or low-income household outside of but within 1/2-mile of a disadvantaged community (Yes or No). See Funding Guidelines for more information about community-type definitions." sqref="AX2" xr:uid="{00000000-0002-0000-0C00-000022000000}"/>
    <dataValidation allowBlank="1" showInputMessage="1" showErrorMessage="1" prompt="Indicate if the project is within and provides benefit to a low-income community or low-income household (Yes or No).  See the Funding Guidelines for identification of low-income communities and low-income households." sqref="AW2" xr:uid="{00000000-0002-0000-0C00-000023000000}"/>
    <dataValidation allowBlank="1" showInputMessage="1" showErrorMessage="1" prompt="Indicate if the project is within and provides benefit to a disadvantaged community (Yes or No).  See the Funding Guidelines for identification disadvantaged communities." sqref="AV2" xr:uid="{00000000-0002-0000-0C00-000024000000}"/>
    <dataValidation allowBlank="1" showInputMessage="1" showErrorMessage="1" prompt="Version number of CalEnviroScreen that was applicable when the project was selected for funding. " sqref="AT2" xr:uid="{00000000-0002-0000-0C00-000025000000}"/>
    <dataValidation type="textLength" allowBlank="1" showInputMessage="1" showErrorMessage="1" error="Please enter 300 or fewer characters." prompt="Qualitative description of any project co-benefits. 300 character limit." sqref="AS2" xr:uid="{00000000-0002-0000-0C00-000026000000}">
      <formula1>0</formula1>
      <formula2>300</formula2>
    </dataValidation>
    <dataValidation allowBlank="1" showInputMessage="1" showErrorMessage="1" prompt="Indicate if the project includes measures that are identified in the Scoping Plan (Yes or No)." sqref="Y2" xr:uid="{00000000-0002-0000-0C00-000027000000}"/>
    <dataValidation allowBlank="1" showInputMessage="1" showErrorMessage="1" prompt="If yes to previous, describe.  If multiple, separate each with a semicolon." sqref="X2" xr:uid="{00000000-0002-0000-0C00-000028000000}"/>
    <dataValidation allowBlank="1" showInputMessage="1" showErrorMessage="1" prompt="Indicate if the project supports other State polices, plans, or initiatives (Yes or No)." sqref="W2" xr:uid="{00000000-0002-0000-0C00-000029000000}"/>
    <dataValidation allowBlank="1" showInputMessage="1" showErrorMessage="1" prompt="If applicable, Governor's Pillars this project contributes to.  If multiple Pillars, separate with a semicolon (i.e., 2;4).  See the following website for additional information about the Governor's Pillars:  www.arb.ca.gov/cc/pillars/pillars.htm." sqref="V2" xr:uid="{00000000-0002-0000-0C00-00002A000000}"/>
    <dataValidation allowBlank="1" showInputMessage="1" showErrorMessage="1" prompt="Energy saved as a result of this project, in therms (estimated or actual).  Only report direct reductions, do not include estimate of fossil fuel based energy displaced by generation of renewable energy." sqref="AL2" xr:uid="{00000000-0002-0000-0C00-00002B000000}"/>
    <dataValidation allowBlank="1" showInputMessage="1" showErrorMessage="1" prompt="Energy saved as a result of this project, in kWh (estimated or actual).  Only report direct reductions, do not include estimate of fossil fuel based energy displaced by generation of renewable energy." sqref="AK2" xr:uid="{00000000-0002-0000-0C00-00002C000000}"/>
    <dataValidation allowBlank="1" showInputMessage="1" showErrorMessage="1" prompt="Gallons of fossil fuel reductions as a result of this project (estimated or actual).  Only report direct reductions, do not include estimate of fossil fuel based transportation fuels displaced by generation of renewable fuels." sqref="AJ2" xr:uid="{00000000-0002-0000-0C00-00002D000000}"/>
    <dataValidation allowBlank="1" showInputMessage="1" showErrorMessage="1" prompt="Reduction in emissions particulate matter less than 2.5 microns in diameter as a result of the project (estimated or actual).  If there is an emission increase, enter a negative number." sqref="AB2" xr:uid="{00000000-0002-0000-0C00-00002E000000}"/>
    <dataValidation allowBlank="1" showInputMessage="1" showErrorMessage="1" prompt="Reduction in emissions of nitrogen oxides as a result of the project (estimated or actual).  If there is an emission increase, enter a negative number." sqref="AA2" xr:uid="{00000000-0002-0000-0C00-00002F000000}"/>
    <dataValidation allowBlank="1" showInputMessage="1" showErrorMessage="1" prompt="Reduction in emissions of diesel particulate matter as a result of the project (estimated or actual).  If there is an emission increase, enter a negative number." sqref="Z2" xr:uid="{00000000-0002-0000-0C00-000030000000}"/>
    <dataValidation allowBlank="1" showInputMessage="1" showErrorMessage="1" prompt="Date that the project is expected to begin providing GHG emission reductions.  For projects with multiple components, enter the earliest date a component is expected to provide GHG emission reductions." sqref="U2" xr:uid="{00000000-0002-0000-0C00-000031000000}"/>
    <dataValidation allowBlank="1" showInputMessage="1" showErrorMessage="1" prompt="Estimated total project GHG emission reductions in metric tons of CO2e over the project quantification period. The agency or the applicant calculates the total GHG emission reductions for the project using the CARB Quantification Methodology." sqref="T2" xr:uid="{00000000-0002-0000-0C00-000032000000}"/>
    <dataValidation allowBlank="1" showInputMessage="1" showErrorMessage="1" prompt="Number of years where the project will provide GHG emission reductions.  This is usually defined in the CARB Quantification Methodology.  Round to nearest whole year. " sqref="S2" xr:uid="{00000000-0002-0000-0C00-000033000000}"/>
    <dataValidation allowBlank="1" showInputMessage="1" showErrorMessage="1" prompt="Publication date of the CARB Quantification Methodology used to estimate the GHG emission reductions for the project when the project was selected for funding." sqref="R2" xr:uid="{00000000-0002-0000-0C00-000034000000}"/>
    <dataValidation allowBlank="1" showInputMessage="1" showErrorMessage="1" prompt="Fiscal Year(s) of the GGRF appropriation that is funding the project.  Separate with &quot;;&quot; if more than one. " sqref="P2" xr:uid="{00000000-0002-0000-0C00-000035000000}"/>
    <dataValidation allowBlank="1" showInputMessage="1" showErrorMessage="1" prompt="GGRF monies that the project was awarded by this program.  If additional funds were provided from other GGRF sources, do not include them here.  Round to the nearest whole dollar. " sqref="O2" xr:uid="{00000000-0002-0000-0C00-000036000000}"/>
    <dataValidation allowBlank="1" showInputMessage="1" showErrorMessage="1" prompt="Total project cost, including GGRF and non-GGRF monies.  Round to the nearest whole dollar." sqref="N2" xr:uid="{00000000-0002-0000-0C00-000037000000}"/>
    <dataValidation allowBlank="1" showInputMessage="1" showErrorMessage="1" prompt="Date (anticipated or actual) that the project is operational (i.e., reached the milestone specified in the appropriate project outcome reporting table." sqref="M2" xr:uid="{00000000-0002-0000-0C00-000038000000}"/>
    <dataValidation allowBlank="1" showInputMessage="1" showErrorMessage="1" prompt="Concurrence date for the Expenditure Record that was applicable when the project was selected for funding.  For Expenditure Records without a concurrence date, this is the public posting date." sqref="I2" xr:uid="{00000000-0002-0000-0C00-000039000000}"/>
    <dataValidation allowBlank="1" showInputMessage="1" showErrorMessage="1" prompt="If available, the latitude and longitude of the project in decimal degrees separated by a comma &quot;,&quot; (e.g., 34.413775, -119.848624).  For multiple locations, list each separated by a semicolon &quot;;&quot; (e.g., 34.413775, -119.848624; 34.413775, -119.848888)." sqref="H2" xr:uid="{00000000-0002-0000-0C00-00003A000000}"/>
    <dataValidation allowBlank="1" showInputMessage="1" showErrorMessage="1" prompt="The street address of the project.  Address must be complete and include Street Address, City, State, and Zip Code." sqref="G2" xr:uid="{00000000-0002-0000-0C00-00003B000000}"/>
    <dataValidation allowBlank="1" showInputMessage="1" showErrorMessage="1" prompt="Brief description of the project." sqref="F2" xr:uid="{00000000-0002-0000-0C00-00003C000000}"/>
    <dataValidation allowBlank="1" showInputMessage="1" showErrorMessage="1" prompt="Type of project as defined by the administering agency.  This is usually defined in the CARB Quantification Methodology." sqref="E2" xr:uid="{00000000-0002-0000-0C00-00003D000000}"/>
    <dataValidation allowBlank="1" showInputMessage="1" showErrorMessage="1" prompt="Name assigned to the project by the administering agency or by the funding awardee." sqref="D2" xr:uid="{00000000-0002-0000-0C00-00003E000000}"/>
    <dataValidation allowBlank="1" showInputMessage="1" showErrorMessage="1" prompt="Unique project identifier assigned to the project by the administering agency. " sqref="C2" xr:uid="{00000000-0002-0000-0C00-00003F000000}"/>
    <dataValidation allowBlank="1" showInputMessage="1" showErrorMessage="1" prompt="Subprogram as defined by the administering agency." sqref="B2" xr:uid="{00000000-0002-0000-0C00-000040000000}"/>
    <dataValidation allowBlank="1" showInputMessage="1" showErrorMessage="1" prompt="The name of the administering agency." sqref="A2" xr:uid="{00000000-0002-0000-0C00-000041000000}"/>
    <dataValidation type="textLength" operator="lessThan" allowBlank="1" showInputMessage="1" showErrorMessage="1" sqref="AZ3:AZ32" xr:uid="{00000000-0002-0000-0C00-000042000000}">
      <formula1>1200</formula1>
    </dataValidation>
    <dataValidation type="textLength" operator="lessThan" allowBlank="1" showInputMessage="1" showErrorMessage="1" error="Please enter fewer than 1200 characters." sqref="BB3:BB32" xr:uid="{00000000-0002-0000-0C00-000043000000}">
      <formula1>1200</formula1>
    </dataValidation>
    <dataValidation type="whole" allowBlank="1" showInputMessage="1" showErrorMessage="1" error="Please enter a positive number." sqref="S3:S32" xr:uid="{00000000-0002-0000-0C00-000044000000}">
      <formula1>0</formula1>
      <formula2>100</formula2>
    </dataValidation>
    <dataValidation type="textLength" allowBlank="1" showInputMessage="1" showErrorMessage="1" error="Please enter fewer than 20 characters." sqref="P3:P32" xr:uid="{00000000-0002-0000-0C00-000045000000}">
      <formula1>0</formula1>
      <formula2>20</formula2>
    </dataValidation>
    <dataValidation type="date" operator="greaterThan" allowBlank="1" showInputMessage="1" showErrorMessage="1" error="Please enter a valid date in MM/DD/YYYY format." sqref="M3:M32 I3:K32" xr:uid="{00000000-0002-0000-0C00-000046000000}">
      <formula1>36526</formula1>
    </dataValidation>
    <dataValidation type="textLength" allowBlank="1" showInputMessage="1" showErrorMessage="1" error="Please enter between 0 and 1200 characters." sqref="H3:H32" xr:uid="{00000000-0002-0000-0C00-000047000000}">
      <formula1>0</formula1>
      <formula2>1200</formula2>
    </dataValidation>
    <dataValidation type="textLength" allowBlank="1" showInputMessage="1" showErrorMessage="1" sqref="F3:F32" xr:uid="{00000000-0002-0000-0C00-000048000000}">
      <formula1>0</formula1>
      <formula2>1200</formula2>
    </dataValidation>
    <dataValidation type="textLength" allowBlank="1" showInputMessage="1" showErrorMessage="1" sqref="G3:G32 A3:E32" xr:uid="{00000000-0002-0000-0C00-000049000000}">
      <formula1>0</formula1>
      <formula2>254</formula2>
    </dataValidation>
    <dataValidation allowBlank="1" showInputMessage="1" showErrorMessage="1" error="Please enter a positive whole number." sqref="N3:O32 Q3:Q32" xr:uid="{00000000-0002-0000-0C00-00004A000000}"/>
    <dataValidation allowBlank="1" showInputMessage="1" showErrorMessage="1" error="Please enter a whole number. " sqref="T3:T32" xr:uid="{00000000-0002-0000-0C00-00004B000000}"/>
    <dataValidation operator="greaterThan" allowBlank="1" showInputMessage="1" showErrorMessage="1" error="Please enter a valid date in MM/DD/YYYY format." sqref="L3:L32 R3:R32 U3:U32" xr:uid="{00000000-0002-0000-0C00-00004C000000}"/>
  </dataValidation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0">
        <x14:dataValidation type="textLength" allowBlank="1" showInputMessage="1" showErrorMessage="1" xr:uid="{00000000-0002-0000-0C00-00004D000000}">
          <x14:formula1>
            <xm:f>'C:\Users\jtipton\AppData\Local\Microsoft\Windows\INetCache\Content.Outlook\W2VXDYV1\[agenergy.xlsx]Data Validation'!#REF!</xm:f>
          </x14:formula1>
          <x14:formula2>
            <xm:f>1200</xm:f>
          </x14:formula2>
          <xm:sqref>X3:X32</xm:sqref>
        </x14:dataValidation>
        <x14:dataValidation type="list" errorStyle="warning" allowBlank="1" showInputMessage="1" showErrorMessage="1" error="Please enter a value from the dropdown list. If the desired value is not available, you may overwrite with the desired value. Please note: the value must match the selected benefit criteria table step 2 options." xr:uid="{00000000-0002-0000-0C00-00004E000000}">
          <x14:formula1>
            <xm:f>INDIRECT('C:\Users\jtipton\AppData\Local\Microsoft\Windows\INetCache\Content.Outlook\W2VXDYV1\[agenergy.xlsx]Dependent Tables'!#REF!)</xm:f>
          </x14:formula1>
          <xm:sqref>AY3:AY32</xm:sqref>
        </x14:dataValidation>
        <x14:dataValidation type="list" errorStyle="warning" allowBlank="1" showInputMessage="1" showErrorMessage="1" error="Please enter a value from the dropdown list. If the desired value is not available, you may overwrite with the desired value. Please note: the value must match the selected benefit criteria table step 3 options." xr:uid="{00000000-0002-0000-0C00-00004F000000}">
          <x14:formula1>
            <xm:f>INDIRECT('C:\Users\jtipton\AppData\Local\Microsoft\Windows\INetCache\Content.Outlook\W2VXDYV1\[agenergy.xlsx]Dependent Tables'!#REF!)</xm:f>
          </x14:formula1>
          <xm:sqref>BA3:BA32</xm:sqref>
        </x14:dataValidation>
        <x14:dataValidation type="list" errorStyle="warning" allowBlank="1" showInputMessage="1" showErrorMessage="1" error="Please select a Benefit Criteria Table from the list, or write-in another valid Benefit Criteria Table name." xr:uid="{00000000-0002-0000-0C00-000052000000}">
          <x14:formula1>
            <xm:f>'C:\Users\jtipton\AppData\Local\Microsoft\Windows\INetCache\Content.Outlook\W2VXDYV1\[agenergy.xlsx]Data Validation'!#REF!</xm:f>
          </x14:formula1>
          <xm:sqref>AU3:AU32</xm:sqref>
        </x14:dataValidation>
        <x14:dataValidation type="textLength" allowBlank="1" showInputMessage="1" showErrorMessage="1" error="Please enter fewer than 100 characters." xr:uid="{00000000-0002-0000-0C00-000053000000}">
          <x14:formula1>
            <xm:f>0</xm:f>
          </x14:formula1>
          <x14:formula2>
            <xm:f>'C:\Users\jtipton\AppData\Local\Microsoft\Windows\INetCache\Content.Outlook\W2VXDYV1\[agenergy.xlsx]Data Validation'!#REF!</xm:f>
          </x14:formula2>
          <xm:sqref>V3:V32</xm:sqref>
        </x14:dataValidation>
        <x14:dataValidation type="list" allowBlank="1" showInputMessage="1" showErrorMessage="1" error="Please select from drop down." xr:uid="{00000000-0002-0000-0C00-000056000000}">
          <x14:formula1>
            <xm:f>'C:\Users\jtipton\AppData\Local\Microsoft\Windows\INetCache\Content.Outlook\W2VXDYV1\[agenergy.xlsx]Data Validation'!#REF!</xm:f>
          </x14:formula1>
          <xm:sqref>AH3:AI32</xm:sqref>
        </x14:dataValidation>
        <x14:dataValidation type="whole" allowBlank="1" showInputMessage="1" showErrorMessage="1" error="Please enter a positive whole number." xr:uid="{00000000-0002-0000-0C00-000057000000}">
          <x14:formula1>
            <xm:f>0</xm:f>
          </x14:formula1>
          <x14:formula2>
            <xm:f>'C:\Users\jtipton\AppData\Local\Microsoft\Windows\INetCache\Content.Outlook\W2VXDYV1\[agenergy.xlsx]Data Validation'!#REF!</xm:f>
          </x14:formula2>
          <xm:sqref>AO3:AO32</xm:sqref>
        </x14:dataValidation>
        <x14:dataValidation type="list" allowBlank="1" showInputMessage="1" showErrorMessage="1" error="Please select a priority population category from the dropdown." xr:uid="{00000000-0002-0000-0C00-000058000000}">
          <x14:formula1>
            <xm:f>'C:\Users\jtipton\AppData\Local\Microsoft\Windows\INetCache\Content.Outlook\W2VXDYV1\[agenergy.xlsx]Data Validation'!#REF!</xm:f>
          </x14:formula1>
          <xm:sqref>BI3:BI32</xm:sqref>
        </x14:dataValidation>
        <x14:dataValidation type="list" allowBlank="1" showInputMessage="1" showErrorMessage="1" error="Please select an input from the dropdown." xr:uid="{00000000-0002-0000-0C00-000059000000}">
          <x14:formula1>
            <xm:f>'C:\Users\jtipton\AppData\Local\Microsoft\Windows\INetCache\Content.Outlook\W2VXDYV1\[agenergy.xlsx]Data Validation'!#REF!</xm:f>
          </x14:formula1>
          <xm:sqref>AT3:AT32</xm:sqref>
        </x14:dataValidation>
        <x14:dataValidation type="list" allowBlank="1" showInputMessage="1" showErrorMessage="1" error="Please select 'Yes' or 'No' from the dropdown." xr:uid="{00000000-0002-0000-0C00-00005A000000}">
          <x14:formula1>
            <xm:f>'C:\Users\jtipton\AppData\Local\Microsoft\Windows\INetCache\Content.Outlook\W2VXDYV1\[agenergy.xlsx]Data Validation'!#REF!</xm:f>
          </x14:formula1>
          <xm:sqref>W3:W32 AV3:AX32 Y3:Y32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F145"/>
  <sheetViews>
    <sheetView showGridLines="0" zoomScaleNormal="100" workbookViewId="0"/>
  </sheetViews>
  <sheetFormatPr defaultColWidth="9.140625" defaultRowHeight="15" x14ac:dyDescent="0.25"/>
  <cols>
    <col min="1" max="1" width="4.28515625" style="73" customWidth="1"/>
    <col min="2" max="3" width="35.7109375" style="73" customWidth="1"/>
    <col min="4" max="6" width="25.7109375" style="73" customWidth="1"/>
    <col min="7" max="16384" width="9.140625" style="73"/>
  </cols>
  <sheetData>
    <row r="1" spans="1:6" ht="18.75" customHeight="1" x14ac:dyDescent="0.25">
      <c r="A1" s="197"/>
      <c r="B1" s="197"/>
      <c r="C1" s="197"/>
      <c r="D1" s="197"/>
      <c r="E1" s="197"/>
      <c r="F1" s="197"/>
    </row>
    <row r="2" spans="1:6" ht="15" customHeight="1" x14ac:dyDescent="0.3">
      <c r="A2" s="198"/>
      <c r="B2" s="198"/>
      <c r="C2" s="198"/>
      <c r="D2" s="198"/>
      <c r="E2" s="198"/>
      <c r="F2" s="198"/>
    </row>
    <row r="3" spans="1:6" ht="18.75" customHeight="1" x14ac:dyDescent="0.25">
      <c r="A3" s="197"/>
      <c r="B3" s="197"/>
      <c r="C3" s="197"/>
      <c r="D3" s="197"/>
      <c r="E3" s="197"/>
      <c r="F3" s="197"/>
    </row>
    <row r="4" spans="1:6" ht="18.75" customHeight="1" x14ac:dyDescent="0.25">
      <c r="A4" s="199"/>
      <c r="B4" s="199"/>
      <c r="C4" s="199"/>
      <c r="D4" s="199"/>
      <c r="E4" s="199"/>
      <c r="F4" s="199"/>
    </row>
    <row r="5" spans="1:6" ht="15" customHeight="1" x14ac:dyDescent="0.25">
      <c r="A5" s="200"/>
      <c r="B5" s="200"/>
      <c r="C5" s="200"/>
      <c r="D5" s="200"/>
      <c r="E5" s="200"/>
      <c r="F5" s="200"/>
    </row>
    <row r="6" spans="1:6" ht="15" customHeight="1" x14ac:dyDescent="0.25">
      <c r="A6" s="201"/>
      <c r="B6" s="201"/>
      <c r="C6" s="201"/>
      <c r="D6" s="201"/>
      <c r="E6" s="201"/>
      <c r="F6" s="201"/>
    </row>
    <row r="7" spans="1:6" ht="18.75" customHeight="1" x14ac:dyDescent="0.25">
      <c r="A7" s="197"/>
      <c r="B7" s="197"/>
      <c r="C7" s="197"/>
      <c r="D7" s="197"/>
      <c r="E7" s="197"/>
      <c r="F7" s="197"/>
    </row>
    <row r="8" spans="1:6" ht="15" customHeight="1" x14ac:dyDescent="0.3">
      <c r="A8" s="198"/>
      <c r="B8" s="198"/>
      <c r="C8" s="198"/>
      <c r="D8" s="198"/>
      <c r="E8" s="198"/>
      <c r="F8" s="198"/>
    </row>
    <row r="9" spans="1:6" ht="15" customHeight="1" x14ac:dyDescent="0.25">
      <c r="A9" s="79" t="s">
        <v>129</v>
      </c>
      <c r="B9" s="79"/>
      <c r="C9" s="79"/>
      <c r="D9" s="79"/>
      <c r="E9" s="79"/>
      <c r="F9" s="79"/>
    </row>
    <row r="10" spans="1:6" ht="15" customHeight="1" x14ac:dyDescent="0.25">
      <c r="A10" s="79" t="s">
        <v>130</v>
      </c>
      <c r="B10" s="79"/>
      <c r="C10" s="79"/>
      <c r="D10" s="79"/>
      <c r="E10" s="79"/>
      <c r="F10" s="79"/>
    </row>
    <row r="11" spans="1:6" ht="15" customHeight="1" x14ac:dyDescent="0.25">
      <c r="A11" s="468" t="s">
        <v>131</v>
      </c>
      <c r="B11" s="79"/>
      <c r="C11" s="79"/>
      <c r="D11" s="79"/>
      <c r="E11" s="79"/>
      <c r="F11" s="79"/>
    </row>
    <row r="12" spans="1:6" ht="15" customHeight="1" thickBot="1" x14ac:dyDescent="0.3">
      <c r="A12" s="202"/>
      <c r="B12" s="143"/>
      <c r="C12" s="143"/>
      <c r="D12" s="143"/>
      <c r="E12" s="143"/>
      <c r="F12" s="143"/>
    </row>
    <row r="13" spans="1:6" ht="15" customHeight="1" x14ac:dyDescent="0.25">
      <c r="A13" s="202"/>
      <c r="B13" s="469" t="s">
        <v>132</v>
      </c>
      <c r="C13" s="470"/>
      <c r="D13" s="470"/>
      <c r="E13" s="471"/>
      <c r="F13" s="143"/>
    </row>
    <row r="14" spans="1:6" ht="32.25" thickBot="1" x14ac:dyDescent="0.3">
      <c r="A14" s="202"/>
      <c r="B14" s="141" t="s">
        <v>133</v>
      </c>
      <c r="C14" s="142" t="s">
        <v>134</v>
      </c>
      <c r="D14" s="472" t="s">
        <v>135</v>
      </c>
      <c r="E14" s="473" t="s">
        <v>136</v>
      </c>
      <c r="F14" s="143"/>
    </row>
    <row r="15" spans="1:6" ht="15" customHeight="1" thickBot="1" x14ac:dyDescent="0.3">
      <c r="A15" s="202"/>
      <c r="B15" s="474"/>
      <c r="C15" s="475"/>
      <c r="D15" s="476" t="str">
        <f>IFERROR(VLOOKUP(C15,$B$27:$D$145,3,0),"")</f>
        <v/>
      </c>
      <c r="E15" s="477" t="str">
        <f>IFERROR(IF(AND(VLOOKUP(B15,$B$27:$F$145,4,0)="Yes",VLOOKUP(C15,$B$27:$F$145,5,0)="Yes"),"Yes","No"),"")</f>
        <v/>
      </c>
      <c r="F15" s="143"/>
    </row>
    <row r="16" spans="1:6" ht="15" customHeight="1" thickBot="1" x14ac:dyDescent="0.3">
      <c r="A16" s="202"/>
      <c r="B16" s="143"/>
      <c r="C16" s="143"/>
      <c r="D16" s="143"/>
      <c r="E16" s="143"/>
      <c r="F16" s="143"/>
    </row>
    <row r="17" spans="1:6" ht="15" customHeight="1" thickBot="1" x14ac:dyDescent="0.3">
      <c r="A17" s="202"/>
      <c r="B17" s="339" t="s">
        <v>137</v>
      </c>
      <c r="C17" s="340"/>
      <c r="D17" s="342"/>
      <c r="E17" s="342"/>
      <c r="F17" s="343"/>
    </row>
    <row r="18" spans="1:6" ht="47.25" x14ac:dyDescent="0.25">
      <c r="A18" s="202"/>
      <c r="B18" s="478" t="s">
        <v>138</v>
      </c>
      <c r="C18" s="418" t="s">
        <v>139</v>
      </c>
      <c r="D18" s="418" t="s">
        <v>140</v>
      </c>
      <c r="E18" s="418" t="s">
        <v>141</v>
      </c>
      <c r="F18" s="479" t="s">
        <v>142</v>
      </c>
    </row>
    <row r="19" spans="1:6" ht="63" x14ac:dyDescent="0.25">
      <c r="A19" s="202"/>
      <c r="B19" s="480" t="s">
        <v>143</v>
      </c>
      <c r="C19" s="220" t="s">
        <v>144</v>
      </c>
      <c r="D19" s="220" t="s">
        <v>145</v>
      </c>
      <c r="E19" s="481" t="s">
        <v>146</v>
      </c>
      <c r="F19" s="482" t="s">
        <v>147</v>
      </c>
    </row>
    <row r="20" spans="1:6" ht="63" x14ac:dyDescent="0.25">
      <c r="A20" s="202"/>
      <c r="B20" s="483" t="s">
        <v>148</v>
      </c>
      <c r="C20" s="484" t="s">
        <v>149</v>
      </c>
      <c r="D20" s="220" t="s">
        <v>145</v>
      </c>
      <c r="E20" s="220" t="s">
        <v>150</v>
      </c>
      <c r="F20" s="482" t="s">
        <v>147</v>
      </c>
    </row>
    <row r="21" spans="1:6" ht="47.25" customHeight="1" x14ac:dyDescent="0.25">
      <c r="A21" s="202"/>
      <c r="B21" s="483" t="s">
        <v>151</v>
      </c>
      <c r="C21" s="484" t="s">
        <v>149</v>
      </c>
      <c r="D21" s="220" t="s">
        <v>152</v>
      </c>
      <c r="E21" s="220" t="s">
        <v>150</v>
      </c>
      <c r="F21" s="482" t="s">
        <v>147</v>
      </c>
    </row>
    <row r="22" spans="1:6" ht="47.25" customHeight="1" x14ac:dyDescent="0.25">
      <c r="A22" s="202"/>
      <c r="B22" s="485" t="s">
        <v>153</v>
      </c>
      <c r="C22" s="484" t="s">
        <v>149</v>
      </c>
      <c r="D22" s="220" t="s">
        <v>154</v>
      </c>
      <c r="E22" s="486" t="s">
        <v>155</v>
      </c>
      <c r="F22" s="487" t="s">
        <v>156</v>
      </c>
    </row>
    <row r="23" spans="1:6" ht="95.25" thickBot="1" x14ac:dyDescent="0.3">
      <c r="A23" s="202"/>
      <c r="B23" s="488" t="s">
        <v>157</v>
      </c>
      <c r="C23" s="489" t="s">
        <v>149</v>
      </c>
      <c r="D23" s="489" t="s">
        <v>145</v>
      </c>
      <c r="E23" s="489" t="s">
        <v>155</v>
      </c>
      <c r="F23" s="490" t="s">
        <v>156</v>
      </c>
    </row>
    <row r="24" spans="1:6" ht="15" customHeight="1" thickBot="1" x14ac:dyDescent="0.3">
      <c r="A24" s="202"/>
      <c r="B24" s="143"/>
      <c r="C24" s="143"/>
      <c r="D24" s="143"/>
      <c r="E24" s="143"/>
      <c r="F24" s="143"/>
    </row>
    <row r="25" spans="1:6" ht="16.5" thickBot="1" x14ac:dyDescent="0.3">
      <c r="B25" s="339" t="s">
        <v>158</v>
      </c>
      <c r="C25" s="340"/>
      <c r="D25" s="342"/>
      <c r="E25" s="342"/>
      <c r="F25" s="343"/>
    </row>
    <row r="26" spans="1:6" ht="35.25" thickBot="1" x14ac:dyDescent="0.3">
      <c r="B26" s="491" t="s">
        <v>159</v>
      </c>
      <c r="C26" s="492" t="s">
        <v>160</v>
      </c>
      <c r="D26" s="493" t="s">
        <v>161</v>
      </c>
      <c r="E26" s="492" t="s">
        <v>162</v>
      </c>
      <c r="F26" s="494" t="s">
        <v>163</v>
      </c>
    </row>
    <row r="27" spans="1:6" ht="15.75" x14ac:dyDescent="0.25">
      <c r="B27" s="495" t="s">
        <v>164</v>
      </c>
      <c r="C27" s="496">
        <v>4750</v>
      </c>
      <c r="D27" s="497" t="str">
        <f t="shared" ref="D27:D58" si="0">IF(C27&lt;10,"Yes","No")</f>
        <v>No</v>
      </c>
      <c r="E27" s="498" t="str">
        <f t="shared" ref="E27:E58" si="1">IF(C27&gt;3900,"Yes","No")</f>
        <v>Yes</v>
      </c>
      <c r="F27" s="292" t="str">
        <f t="shared" ref="F27:F58" si="2">IF(C27&lt;1500,"Yes","No")</f>
        <v>No</v>
      </c>
    </row>
    <row r="28" spans="1:6" ht="15.75" x14ac:dyDescent="0.25">
      <c r="B28" s="499" t="s">
        <v>165</v>
      </c>
      <c r="C28" s="500">
        <v>10900</v>
      </c>
      <c r="D28" s="501" t="str">
        <f t="shared" si="0"/>
        <v>No</v>
      </c>
      <c r="E28" s="358" t="str">
        <f t="shared" si="1"/>
        <v>Yes</v>
      </c>
      <c r="F28" s="295" t="str">
        <f t="shared" si="2"/>
        <v>No</v>
      </c>
    </row>
    <row r="29" spans="1:6" ht="15.75" x14ac:dyDescent="0.25">
      <c r="B29" s="499" t="s">
        <v>166</v>
      </c>
      <c r="C29" s="500">
        <v>14400</v>
      </c>
      <c r="D29" s="501" t="str">
        <f t="shared" si="0"/>
        <v>No</v>
      </c>
      <c r="E29" s="358" t="str">
        <f t="shared" si="1"/>
        <v>Yes</v>
      </c>
      <c r="F29" s="295" t="str">
        <f t="shared" si="2"/>
        <v>No</v>
      </c>
    </row>
    <row r="30" spans="1:6" ht="15.75" x14ac:dyDescent="0.25">
      <c r="B30" s="499" t="s">
        <v>167</v>
      </c>
      <c r="C30" s="500">
        <v>7140</v>
      </c>
      <c r="D30" s="501" t="str">
        <f t="shared" si="0"/>
        <v>No</v>
      </c>
      <c r="E30" s="358" t="str">
        <f t="shared" si="1"/>
        <v>Yes</v>
      </c>
      <c r="F30" s="295" t="str">
        <f t="shared" si="2"/>
        <v>No</v>
      </c>
    </row>
    <row r="31" spans="1:6" ht="15.75" x14ac:dyDescent="0.25">
      <c r="B31" s="499" t="s">
        <v>168</v>
      </c>
      <c r="C31" s="500">
        <v>7390</v>
      </c>
      <c r="D31" s="501" t="str">
        <f t="shared" si="0"/>
        <v>No</v>
      </c>
      <c r="E31" s="358" t="str">
        <f t="shared" si="1"/>
        <v>Yes</v>
      </c>
      <c r="F31" s="295" t="str">
        <f t="shared" si="2"/>
        <v>No</v>
      </c>
    </row>
    <row r="32" spans="1:6" ht="15.75" x14ac:dyDescent="0.25">
      <c r="B32" s="499" t="s">
        <v>169</v>
      </c>
      <c r="C32" s="500">
        <v>1810</v>
      </c>
      <c r="D32" s="501" t="str">
        <f t="shared" si="0"/>
        <v>No</v>
      </c>
      <c r="E32" s="358" t="str">
        <f t="shared" si="1"/>
        <v>No</v>
      </c>
      <c r="F32" s="295" t="str">
        <f t="shared" si="2"/>
        <v>No</v>
      </c>
    </row>
    <row r="33" spans="2:6" ht="15.75" x14ac:dyDescent="0.25">
      <c r="B33" s="499" t="s">
        <v>170</v>
      </c>
      <c r="C33" s="500">
        <v>14800</v>
      </c>
      <c r="D33" s="501" t="str">
        <f t="shared" si="0"/>
        <v>No</v>
      </c>
      <c r="E33" s="358" t="str">
        <f t="shared" si="1"/>
        <v>Yes</v>
      </c>
      <c r="F33" s="295" t="str">
        <f t="shared" si="2"/>
        <v>No</v>
      </c>
    </row>
    <row r="34" spans="2:6" ht="15.75" x14ac:dyDescent="0.25">
      <c r="B34" s="499" t="s">
        <v>171</v>
      </c>
      <c r="C34" s="500">
        <v>675</v>
      </c>
      <c r="D34" s="501" t="str">
        <f t="shared" si="0"/>
        <v>No</v>
      </c>
      <c r="E34" s="358" t="str">
        <f t="shared" si="1"/>
        <v>No</v>
      </c>
      <c r="F34" s="295" t="str">
        <f t="shared" si="2"/>
        <v>Yes</v>
      </c>
    </row>
    <row r="35" spans="2:6" ht="15.75" x14ac:dyDescent="0.25">
      <c r="B35" s="499" t="s">
        <v>172</v>
      </c>
      <c r="C35" s="500">
        <v>6130</v>
      </c>
      <c r="D35" s="501" t="str">
        <f t="shared" si="0"/>
        <v>No</v>
      </c>
      <c r="E35" s="358" t="str">
        <f t="shared" si="1"/>
        <v>Yes</v>
      </c>
      <c r="F35" s="295" t="str">
        <f t="shared" si="2"/>
        <v>No</v>
      </c>
    </row>
    <row r="36" spans="2:6" ht="15.75" x14ac:dyDescent="0.25">
      <c r="B36" s="499" t="s">
        <v>173</v>
      </c>
      <c r="C36" s="500">
        <v>10000</v>
      </c>
      <c r="D36" s="501" t="str">
        <f t="shared" si="0"/>
        <v>No</v>
      </c>
      <c r="E36" s="358" t="str">
        <f t="shared" si="1"/>
        <v>Yes</v>
      </c>
      <c r="F36" s="295" t="str">
        <f t="shared" si="2"/>
        <v>No</v>
      </c>
    </row>
    <row r="37" spans="2:6" ht="15.75" x14ac:dyDescent="0.25">
      <c r="B37" s="499" t="s">
        <v>174</v>
      </c>
      <c r="C37" s="500">
        <v>7370</v>
      </c>
      <c r="D37" s="501" t="str">
        <f t="shared" si="0"/>
        <v>No</v>
      </c>
      <c r="E37" s="358" t="str">
        <f t="shared" si="1"/>
        <v>Yes</v>
      </c>
      <c r="F37" s="295" t="str">
        <f t="shared" si="2"/>
        <v>No</v>
      </c>
    </row>
    <row r="38" spans="2:6" ht="15.75" x14ac:dyDescent="0.25">
      <c r="B38" s="499" t="s">
        <v>175</v>
      </c>
      <c r="C38" s="500">
        <v>12200</v>
      </c>
      <c r="D38" s="501" t="str">
        <f t="shared" si="0"/>
        <v>No</v>
      </c>
      <c r="E38" s="358" t="str">
        <f t="shared" si="1"/>
        <v>Yes</v>
      </c>
      <c r="F38" s="295" t="str">
        <f t="shared" si="2"/>
        <v>No</v>
      </c>
    </row>
    <row r="39" spans="2:6" ht="15.75" x14ac:dyDescent="0.25">
      <c r="B39" s="499" t="s">
        <v>176</v>
      </c>
      <c r="C39" s="500">
        <v>77</v>
      </c>
      <c r="D39" s="501" t="str">
        <f t="shared" si="0"/>
        <v>No</v>
      </c>
      <c r="E39" s="358" t="str">
        <f t="shared" si="1"/>
        <v>No</v>
      </c>
      <c r="F39" s="295" t="str">
        <f t="shared" si="2"/>
        <v>Yes</v>
      </c>
    </row>
    <row r="40" spans="2:6" ht="15.75" x14ac:dyDescent="0.25">
      <c r="B40" s="499" t="s">
        <v>177</v>
      </c>
      <c r="C40" s="500">
        <v>609</v>
      </c>
      <c r="D40" s="501" t="str">
        <f t="shared" si="0"/>
        <v>No</v>
      </c>
      <c r="E40" s="358" t="str">
        <f t="shared" si="1"/>
        <v>No</v>
      </c>
      <c r="F40" s="295" t="str">
        <f t="shared" si="2"/>
        <v>Yes</v>
      </c>
    </row>
    <row r="41" spans="2:6" ht="15.75" x14ac:dyDescent="0.25">
      <c r="B41" s="499" t="s">
        <v>178</v>
      </c>
      <c r="C41" s="500">
        <v>3500</v>
      </c>
      <c r="D41" s="501" t="str">
        <f t="shared" si="0"/>
        <v>No</v>
      </c>
      <c r="E41" s="358" t="str">
        <f t="shared" si="1"/>
        <v>No</v>
      </c>
      <c r="F41" s="295" t="str">
        <f t="shared" si="2"/>
        <v>No</v>
      </c>
    </row>
    <row r="42" spans="2:6" ht="15.75" x14ac:dyDescent="0.25">
      <c r="B42" s="499" t="s">
        <v>179</v>
      </c>
      <c r="C42" s="500">
        <v>1430</v>
      </c>
      <c r="D42" s="501" t="str">
        <f t="shared" si="0"/>
        <v>No</v>
      </c>
      <c r="E42" s="358" t="str">
        <f t="shared" si="1"/>
        <v>No</v>
      </c>
      <c r="F42" s="295" t="str">
        <f t="shared" si="2"/>
        <v>Yes</v>
      </c>
    </row>
    <row r="43" spans="2:6" ht="15.75" x14ac:dyDescent="0.25">
      <c r="B43" s="499" t="s">
        <v>180</v>
      </c>
      <c r="C43" s="500">
        <v>725</v>
      </c>
      <c r="D43" s="501" t="str">
        <f t="shared" si="0"/>
        <v>No</v>
      </c>
      <c r="E43" s="358" t="str">
        <f t="shared" si="1"/>
        <v>No</v>
      </c>
      <c r="F43" s="295" t="str">
        <f t="shared" si="2"/>
        <v>Yes</v>
      </c>
    </row>
    <row r="44" spans="2:6" ht="15.75" x14ac:dyDescent="0.25">
      <c r="B44" s="499" t="s">
        <v>181</v>
      </c>
      <c r="C44" s="500">
        <v>2310</v>
      </c>
      <c r="D44" s="501" t="str">
        <f t="shared" si="0"/>
        <v>No</v>
      </c>
      <c r="E44" s="358" t="str">
        <f t="shared" si="1"/>
        <v>No</v>
      </c>
      <c r="F44" s="295" t="str">
        <f t="shared" si="2"/>
        <v>No</v>
      </c>
    </row>
    <row r="45" spans="2:6" ht="15.75" x14ac:dyDescent="0.25">
      <c r="B45" s="499" t="s">
        <v>182</v>
      </c>
      <c r="C45" s="500">
        <v>4470</v>
      </c>
      <c r="D45" s="501" t="str">
        <f t="shared" si="0"/>
        <v>No</v>
      </c>
      <c r="E45" s="358" t="str">
        <f t="shared" si="1"/>
        <v>Yes</v>
      </c>
      <c r="F45" s="295" t="str">
        <f t="shared" si="2"/>
        <v>No</v>
      </c>
    </row>
    <row r="46" spans="2:6" ht="15.75" x14ac:dyDescent="0.25">
      <c r="B46" s="499" t="s">
        <v>183</v>
      </c>
      <c r="C46" s="500">
        <v>124</v>
      </c>
      <c r="D46" s="501" t="str">
        <f t="shared" si="0"/>
        <v>No</v>
      </c>
      <c r="E46" s="358" t="str">
        <f t="shared" si="1"/>
        <v>No</v>
      </c>
      <c r="F46" s="295" t="str">
        <f t="shared" si="2"/>
        <v>Yes</v>
      </c>
    </row>
    <row r="47" spans="2:6" ht="15.75" x14ac:dyDescent="0.25">
      <c r="B47" s="499" t="s">
        <v>184</v>
      </c>
      <c r="C47" s="500">
        <v>12</v>
      </c>
      <c r="D47" s="501" t="str">
        <f t="shared" si="0"/>
        <v>No</v>
      </c>
      <c r="E47" s="358" t="str">
        <f t="shared" si="1"/>
        <v>No</v>
      </c>
      <c r="F47" s="295" t="str">
        <f t="shared" si="2"/>
        <v>Yes</v>
      </c>
    </row>
    <row r="48" spans="2:6" ht="15.75" x14ac:dyDescent="0.25">
      <c r="B48" s="499" t="s">
        <v>185</v>
      </c>
      <c r="C48" s="500">
        <v>6</v>
      </c>
      <c r="D48" s="501" t="str">
        <f t="shared" si="0"/>
        <v>Yes</v>
      </c>
      <c r="E48" s="358" t="str">
        <f t="shared" si="1"/>
        <v>No</v>
      </c>
      <c r="F48" s="295" t="str">
        <f t="shared" si="2"/>
        <v>Yes</v>
      </c>
    </row>
    <row r="49" spans="2:6" ht="15.75" x14ac:dyDescent="0.25">
      <c r="B49" s="499" t="s">
        <v>186</v>
      </c>
      <c r="C49" s="500">
        <v>8830</v>
      </c>
      <c r="D49" s="501" t="str">
        <f t="shared" si="0"/>
        <v>No</v>
      </c>
      <c r="E49" s="358" t="str">
        <f t="shared" si="1"/>
        <v>Yes</v>
      </c>
      <c r="F49" s="295" t="str">
        <f t="shared" si="2"/>
        <v>No</v>
      </c>
    </row>
    <row r="50" spans="2:6" ht="15.75" x14ac:dyDescent="0.25">
      <c r="B50" s="499" t="s">
        <v>187</v>
      </c>
      <c r="C50" s="500">
        <v>122</v>
      </c>
      <c r="D50" s="501" t="str">
        <f t="shared" si="0"/>
        <v>No</v>
      </c>
      <c r="E50" s="358" t="str">
        <f t="shared" si="1"/>
        <v>No</v>
      </c>
      <c r="F50" s="295" t="str">
        <f t="shared" si="2"/>
        <v>Yes</v>
      </c>
    </row>
    <row r="51" spans="2:6" ht="15.75" x14ac:dyDescent="0.25">
      <c r="B51" s="499" t="s">
        <v>188</v>
      </c>
      <c r="C51" s="500">
        <v>595</v>
      </c>
      <c r="D51" s="501" t="str">
        <f t="shared" si="0"/>
        <v>No</v>
      </c>
      <c r="E51" s="358" t="str">
        <f t="shared" si="1"/>
        <v>No</v>
      </c>
      <c r="F51" s="295" t="str">
        <f t="shared" si="2"/>
        <v>Yes</v>
      </c>
    </row>
    <row r="52" spans="2:6" ht="15.75" x14ac:dyDescent="0.25">
      <c r="B52" s="499" t="s">
        <v>189</v>
      </c>
      <c r="C52" s="500">
        <v>3220</v>
      </c>
      <c r="D52" s="501" t="str">
        <f t="shared" si="0"/>
        <v>No</v>
      </c>
      <c r="E52" s="358" t="str">
        <f t="shared" si="1"/>
        <v>No</v>
      </c>
      <c r="F52" s="295" t="str">
        <f t="shared" si="2"/>
        <v>No</v>
      </c>
    </row>
    <row r="53" spans="2:6" ht="15.75" x14ac:dyDescent="0.25">
      <c r="B53" s="499" t="s">
        <v>190</v>
      </c>
      <c r="C53" s="500">
        <v>9810</v>
      </c>
      <c r="D53" s="501" t="str">
        <f t="shared" si="0"/>
        <v>No</v>
      </c>
      <c r="E53" s="358" t="str">
        <f t="shared" si="1"/>
        <v>Yes</v>
      </c>
      <c r="F53" s="295" t="str">
        <f t="shared" si="2"/>
        <v>No</v>
      </c>
    </row>
    <row r="54" spans="2:6" ht="15.75" x14ac:dyDescent="0.25">
      <c r="B54" s="499" t="s">
        <v>191</v>
      </c>
      <c r="C54" s="500">
        <v>1030</v>
      </c>
      <c r="D54" s="501" t="str">
        <f t="shared" si="0"/>
        <v>No</v>
      </c>
      <c r="E54" s="358" t="str">
        <f t="shared" si="1"/>
        <v>No</v>
      </c>
      <c r="F54" s="295" t="str">
        <f t="shared" si="2"/>
        <v>Yes</v>
      </c>
    </row>
    <row r="55" spans="2:6" ht="15.75" x14ac:dyDescent="0.25">
      <c r="B55" s="499" t="s">
        <v>192</v>
      </c>
      <c r="C55" s="500">
        <v>3</v>
      </c>
      <c r="D55" s="501" t="str">
        <f t="shared" si="0"/>
        <v>Yes</v>
      </c>
      <c r="E55" s="358" t="str">
        <f t="shared" si="1"/>
        <v>No</v>
      </c>
      <c r="F55" s="295" t="str">
        <f t="shared" si="2"/>
        <v>Yes</v>
      </c>
    </row>
    <row r="56" spans="2:6" ht="15.75" x14ac:dyDescent="0.25">
      <c r="B56" s="499" t="s">
        <v>193</v>
      </c>
      <c r="C56" s="500">
        <v>794</v>
      </c>
      <c r="D56" s="501" t="str">
        <f t="shared" si="0"/>
        <v>No</v>
      </c>
      <c r="E56" s="358" t="str">
        <f t="shared" si="1"/>
        <v>No</v>
      </c>
      <c r="F56" s="295" t="str">
        <f t="shared" si="2"/>
        <v>Yes</v>
      </c>
    </row>
    <row r="57" spans="2:6" ht="15.75" x14ac:dyDescent="0.25">
      <c r="B57" s="499" t="s">
        <v>194</v>
      </c>
      <c r="C57" s="500">
        <v>1182</v>
      </c>
      <c r="D57" s="501" t="str">
        <f t="shared" si="0"/>
        <v>No</v>
      </c>
      <c r="E57" s="358" t="str">
        <f t="shared" si="1"/>
        <v>No</v>
      </c>
      <c r="F57" s="295" t="str">
        <f t="shared" si="2"/>
        <v>Yes</v>
      </c>
    </row>
    <row r="58" spans="2:6" ht="15.75" x14ac:dyDescent="0.25">
      <c r="B58" s="499" t="s">
        <v>195</v>
      </c>
      <c r="C58" s="500">
        <v>1288</v>
      </c>
      <c r="D58" s="501" t="str">
        <f t="shared" si="0"/>
        <v>No</v>
      </c>
      <c r="E58" s="358" t="str">
        <f t="shared" si="1"/>
        <v>No</v>
      </c>
      <c r="F58" s="295" t="str">
        <f t="shared" si="2"/>
        <v>Yes</v>
      </c>
    </row>
    <row r="59" spans="2:6" ht="15.75" x14ac:dyDescent="0.25">
      <c r="B59" s="499" t="s">
        <v>196</v>
      </c>
      <c r="C59" s="500">
        <v>933</v>
      </c>
      <c r="D59" s="501" t="str">
        <f t="shared" ref="D59:D90" si="3">IF(C59&lt;10,"Yes","No")</f>
        <v>No</v>
      </c>
      <c r="E59" s="358" t="str">
        <f t="shared" ref="E59:E90" si="4">IF(C59&gt;3900,"Yes","No")</f>
        <v>No</v>
      </c>
      <c r="F59" s="295" t="str">
        <f t="shared" ref="F59:F90" si="5">IF(C59&lt;1500,"Yes","No")</f>
        <v>Yes</v>
      </c>
    </row>
    <row r="60" spans="2:6" ht="15.75" x14ac:dyDescent="0.25">
      <c r="B60" s="499" t="s">
        <v>197</v>
      </c>
      <c r="C60" s="500">
        <v>2788</v>
      </c>
      <c r="D60" s="501" t="str">
        <f t="shared" si="3"/>
        <v>No</v>
      </c>
      <c r="E60" s="358" t="str">
        <f t="shared" si="4"/>
        <v>No</v>
      </c>
      <c r="F60" s="295" t="str">
        <f t="shared" si="5"/>
        <v>No</v>
      </c>
    </row>
    <row r="61" spans="2:6" ht="15.75" x14ac:dyDescent="0.25">
      <c r="B61" s="499" t="s">
        <v>198</v>
      </c>
      <c r="C61" s="500">
        <v>2416</v>
      </c>
      <c r="D61" s="501" t="str">
        <f t="shared" si="3"/>
        <v>No</v>
      </c>
      <c r="E61" s="358" t="str">
        <f t="shared" si="4"/>
        <v>No</v>
      </c>
      <c r="F61" s="295" t="str">
        <f t="shared" si="5"/>
        <v>No</v>
      </c>
    </row>
    <row r="62" spans="2:6" ht="15.75" x14ac:dyDescent="0.25">
      <c r="B62" s="499" t="s">
        <v>199</v>
      </c>
      <c r="C62" s="500">
        <v>4457.5</v>
      </c>
      <c r="D62" s="501" t="str">
        <f t="shared" si="3"/>
        <v>No</v>
      </c>
      <c r="E62" s="358" t="str">
        <f t="shared" si="4"/>
        <v>Yes</v>
      </c>
      <c r="F62" s="295" t="str">
        <f t="shared" si="5"/>
        <v>No</v>
      </c>
    </row>
    <row r="63" spans="2:6" ht="15.75" x14ac:dyDescent="0.25">
      <c r="B63" s="499" t="s">
        <v>200</v>
      </c>
      <c r="C63" s="500">
        <v>3922</v>
      </c>
      <c r="D63" s="501" t="str">
        <f t="shared" si="3"/>
        <v>No</v>
      </c>
      <c r="E63" s="358" t="str">
        <f t="shared" si="4"/>
        <v>Yes</v>
      </c>
      <c r="F63" s="295" t="str">
        <f t="shared" si="5"/>
        <v>No</v>
      </c>
    </row>
    <row r="64" spans="2:6" ht="15.75" x14ac:dyDescent="0.25">
      <c r="B64" s="499" t="s">
        <v>201</v>
      </c>
      <c r="C64" s="500">
        <v>1943</v>
      </c>
      <c r="D64" s="501" t="str">
        <f t="shared" si="3"/>
        <v>No</v>
      </c>
      <c r="E64" s="358" t="str">
        <f t="shared" si="4"/>
        <v>No</v>
      </c>
      <c r="F64" s="295" t="str">
        <f t="shared" si="5"/>
        <v>No</v>
      </c>
    </row>
    <row r="65" spans="2:6" ht="15.75" x14ac:dyDescent="0.25">
      <c r="B65" s="499" t="s">
        <v>202</v>
      </c>
      <c r="C65" s="500">
        <v>2107</v>
      </c>
      <c r="D65" s="501" t="str">
        <f t="shared" si="3"/>
        <v>No</v>
      </c>
      <c r="E65" s="358" t="str">
        <f t="shared" si="4"/>
        <v>No</v>
      </c>
      <c r="F65" s="295" t="str">
        <f t="shared" si="5"/>
        <v>No</v>
      </c>
    </row>
    <row r="66" spans="2:6" ht="15.75" x14ac:dyDescent="0.25">
      <c r="B66" s="499" t="s">
        <v>203</v>
      </c>
      <c r="C66" s="500">
        <v>2803</v>
      </c>
      <c r="D66" s="501" t="str">
        <f t="shared" si="3"/>
        <v>No</v>
      </c>
      <c r="E66" s="358" t="str">
        <f t="shared" si="4"/>
        <v>No</v>
      </c>
      <c r="F66" s="295" t="str">
        <f t="shared" si="5"/>
        <v>No</v>
      </c>
    </row>
    <row r="67" spans="2:6" ht="15.75" x14ac:dyDescent="0.25">
      <c r="B67" s="499" t="s">
        <v>204</v>
      </c>
      <c r="C67" s="500">
        <v>1774</v>
      </c>
      <c r="D67" s="501" t="str">
        <f t="shared" si="3"/>
        <v>No</v>
      </c>
      <c r="E67" s="358" t="str">
        <f t="shared" si="4"/>
        <v>No</v>
      </c>
      <c r="F67" s="295" t="str">
        <f t="shared" si="5"/>
        <v>No</v>
      </c>
    </row>
    <row r="68" spans="2:6" ht="15.75" x14ac:dyDescent="0.25">
      <c r="B68" s="499" t="s">
        <v>205</v>
      </c>
      <c r="C68" s="500">
        <v>1627</v>
      </c>
      <c r="D68" s="501" t="str">
        <f t="shared" si="3"/>
        <v>No</v>
      </c>
      <c r="E68" s="358" t="str">
        <f t="shared" si="4"/>
        <v>No</v>
      </c>
      <c r="F68" s="295" t="str">
        <f t="shared" si="5"/>
        <v>No</v>
      </c>
    </row>
    <row r="69" spans="2:6" ht="15.75" x14ac:dyDescent="0.25">
      <c r="B69" s="499" t="s">
        <v>206</v>
      </c>
      <c r="C69" s="500">
        <v>1825</v>
      </c>
      <c r="D69" s="501" t="str">
        <f t="shared" si="3"/>
        <v>No</v>
      </c>
      <c r="E69" s="358" t="str">
        <f t="shared" si="4"/>
        <v>No</v>
      </c>
      <c r="F69" s="295" t="str">
        <f t="shared" si="5"/>
        <v>No</v>
      </c>
    </row>
    <row r="70" spans="2:6" ht="15.75" x14ac:dyDescent="0.25">
      <c r="B70" s="499" t="s">
        <v>207</v>
      </c>
      <c r="C70" s="500">
        <v>1495</v>
      </c>
      <c r="D70" s="501" t="str">
        <f t="shared" si="3"/>
        <v>No</v>
      </c>
      <c r="E70" s="358" t="str">
        <f t="shared" si="4"/>
        <v>No</v>
      </c>
      <c r="F70" s="295" t="str">
        <f t="shared" si="5"/>
        <v>Yes</v>
      </c>
    </row>
    <row r="71" spans="2:6" ht="15.75" x14ac:dyDescent="0.25">
      <c r="B71" s="499" t="s">
        <v>208</v>
      </c>
      <c r="C71" s="500">
        <v>3152</v>
      </c>
      <c r="D71" s="501" t="str">
        <f t="shared" si="3"/>
        <v>No</v>
      </c>
      <c r="E71" s="358" t="str">
        <f t="shared" si="4"/>
        <v>No</v>
      </c>
      <c r="F71" s="295" t="str">
        <f t="shared" si="5"/>
        <v>No</v>
      </c>
    </row>
    <row r="72" spans="2:6" ht="15.75" x14ac:dyDescent="0.25">
      <c r="B72" s="499" t="s">
        <v>209</v>
      </c>
      <c r="C72" s="500">
        <v>1585</v>
      </c>
      <c r="D72" s="501" t="str">
        <f t="shared" si="3"/>
        <v>No</v>
      </c>
      <c r="E72" s="358" t="str">
        <f t="shared" si="4"/>
        <v>No</v>
      </c>
      <c r="F72" s="295" t="str">
        <f t="shared" si="5"/>
        <v>No</v>
      </c>
    </row>
    <row r="73" spans="2:6" ht="15.75" x14ac:dyDescent="0.25">
      <c r="B73" s="499" t="s">
        <v>210</v>
      </c>
      <c r="C73" s="500">
        <v>2088</v>
      </c>
      <c r="D73" s="501" t="str">
        <f t="shared" si="3"/>
        <v>No</v>
      </c>
      <c r="E73" s="358" t="str">
        <f t="shared" si="4"/>
        <v>No</v>
      </c>
      <c r="F73" s="295" t="str">
        <f t="shared" si="5"/>
        <v>No</v>
      </c>
    </row>
    <row r="74" spans="2:6" ht="15.75" x14ac:dyDescent="0.25">
      <c r="B74" s="499" t="s">
        <v>211</v>
      </c>
      <c r="C74" s="500">
        <v>2229</v>
      </c>
      <c r="D74" s="501" t="str">
        <f t="shared" si="3"/>
        <v>No</v>
      </c>
      <c r="E74" s="358" t="str">
        <f t="shared" si="4"/>
        <v>No</v>
      </c>
      <c r="F74" s="295" t="str">
        <f t="shared" si="5"/>
        <v>No</v>
      </c>
    </row>
    <row r="75" spans="2:6" ht="15.75" x14ac:dyDescent="0.25">
      <c r="B75" s="499" t="s">
        <v>212</v>
      </c>
      <c r="C75" s="500">
        <v>1597</v>
      </c>
      <c r="D75" s="501" t="str">
        <f t="shared" si="3"/>
        <v>No</v>
      </c>
      <c r="E75" s="358" t="str">
        <f t="shared" si="4"/>
        <v>No</v>
      </c>
      <c r="F75" s="295" t="str">
        <f t="shared" si="5"/>
        <v>No</v>
      </c>
    </row>
    <row r="76" spans="2:6" ht="15.75" x14ac:dyDescent="0.25">
      <c r="B76" s="499" t="s">
        <v>213</v>
      </c>
      <c r="C76" s="500">
        <v>1705</v>
      </c>
      <c r="D76" s="501" t="str">
        <f t="shared" si="3"/>
        <v>No</v>
      </c>
      <c r="E76" s="358" t="str">
        <f t="shared" si="4"/>
        <v>No</v>
      </c>
      <c r="F76" s="295" t="str">
        <f t="shared" si="5"/>
        <v>No</v>
      </c>
    </row>
    <row r="77" spans="2:6" ht="15.75" x14ac:dyDescent="0.25">
      <c r="B77" s="499" t="s">
        <v>214</v>
      </c>
      <c r="C77" s="500">
        <v>2053.25</v>
      </c>
      <c r="D77" s="501" t="str">
        <f t="shared" si="3"/>
        <v>No</v>
      </c>
      <c r="E77" s="358" t="str">
        <f t="shared" si="4"/>
        <v>No</v>
      </c>
      <c r="F77" s="295" t="str">
        <f t="shared" si="5"/>
        <v>No</v>
      </c>
    </row>
    <row r="78" spans="2:6" ht="15.75" x14ac:dyDescent="0.25">
      <c r="B78" s="499" t="s">
        <v>215</v>
      </c>
      <c r="C78" s="500">
        <v>1478</v>
      </c>
      <c r="D78" s="501" t="str">
        <f t="shared" si="3"/>
        <v>No</v>
      </c>
      <c r="E78" s="358" t="str">
        <f t="shared" si="4"/>
        <v>No</v>
      </c>
      <c r="F78" s="295" t="str">
        <f t="shared" si="5"/>
        <v>Yes</v>
      </c>
    </row>
    <row r="79" spans="2:6" ht="15.75" x14ac:dyDescent="0.25">
      <c r="B79" s="499" t="s">
        <v>216</v>
      </c>
      <c r="C79" s="500">
        <v>1362</v>
      </c>
      <c r="D79" s="501" t="str">
        <f t="shared" si="3"/>
        <v>No</v>
      </c>
      <c r="E79" s="358" t="str">
        <f t="shared" si="4"/>
        <v>No</v>
      </c>
      <c r="F79" s="295" t="str">
        <f t="shared" si="5"/>
        <v>Yes</v>
      </c>
    </row>
    <row r="80" spans="2:6" ht="15.75" x14ac:dyDescent="0.25">
      <c r="B80" s="499" t="s">
        <v>217</v>
      </c>
      <c r="C80" s="500">
        <v>1084</v>
      </c>
      <c r="D80" s="501" t="str">
        <f t="shared" si="3"/>
        <v>No</v>
      </c>
      <c r="E80" s="358" t="str">
        <f t="shared" si="4"/>
        <v>No</v>
      </c>
      <c r="F80" s="295" t="str">
        <f t="shared" si="5"/>
        <v>Yes</v>
      </c>
    </row>
    <row r="81" spans="2:6" ht="15.75" x14ac:dyDescent="0.25">
      <c r="B81" s="499" t="s">
        <v>218</v>
      </c>
      <c r="C81" s="500">
        <v>2346</v>
      </c>
      <c r="D81" s="501" t="str">
        <f t="shared" si="3"/>
        <v>No</v>
      </c>
      <c r="E81" s="358" t="str">
        <f t="shared" si="4"/>
        <v>No</v>
      </c>
      <c r="F81" s="295" t="str">
        <f t="shared" si="5"/>
        <v>No</v>
      </c>
    </row>
    <row r="82" spans="2:6" ht="15.75" x14ac:dyDescent="0.25">
      <c r="B82" s="499" t="s">
        <v>219</v>
      </c>
      <c r="C82" s="500">
        <v>1809</v>
      </c>
      <c r="D82" s="501" t="str">
        <f t="shared" si="3"/>
        <v>No</v>
      </c>
      <c r="E82" s="358" t="str">
        <f t="shared" si="4"/>
        <v>No</v>
      </c>
      <c r="F82" s="295" t="str">
        <f t="shared" si="5"/>
        <v>No</v>
      </c>
    </row>
    <row r="83" spans="2:6" ht="15.75" x14ac:dyDescent="0.25">
      <c r="B83" s="499" t="s">
        <v>220</v>
      </c>
      <c r="C83" s="500">
        <v>1536</v>
      </c>
      <c r="D83" s="501" t="str">
        <f t="shared" si="3"/>
        <v>No</v>
      </c>
      <c r="E83" s="358" t="str">
        <f t="shared" si="4"/>
        <v>No</v>
      </c>
      <c r="F83" s="295" t="str">
        <f t="shared" si="5"/>
        <v>No</v>
      </c>
    </row>
    <row r="84" spans="2:6" ht="15.75" x14ac:dyDescent="0.25">
      <c r="B84" s="499" t="s">
        <v>221</v>
      </c>
      <c r="C84" s="500">
        <v>2631</v>
      </c>
      <c r="D84" s="501" t="str">
        <f t="shared" si="3"/>
        <v>No</v>
      </c>
      <c r="E84" s="358" t="str">
        <f t="shared" si="4"/>
        <v>No</v>
      </c>
      <c r="F84" s="295" t="str">
        <f t="shared" si="5"/>
        <v>No</v>
      </c>
    </row>
    <row r="85" spans="2:6" ht="15.75" x14ac:dyDescent="0.25">
      <c r="B85" s="499" t="s">
        <v>222</v>
      </c>
      <c r="C85" s="500">
        <v>3190</v>
      </c>
      <c r="D85" s="501" t="str">
        <f t="shared" si="3"/>
        <v>No</v>
      </c>
      <c r="E85" s="358" t="str">
        <f t="shared" si="4"/>
        <v>No</v>
      </c>
      <c r="F85" s="295" t="str">
        <f t="shared" si="5"/>
        <v>No</v>
      </c>
    </row>
    <row r="86" spans="2:6" ht="15.75" x14ac:dyDescent="0.25">
      <c r="B86" s="499" t="s">
        <v>223</v>
      </c>
      <c r="C86" s="500">
        <v>3143.12</v>
      </c>
      <c r="D86" s="501" t="str">
        <f t="shared" si="3"/>
        <v>No</v>
      </c>
      <c r="E86" s="358" t="str">
        <f t="shared" si="4"/>
        <v>No</v>
      </c>
      <c r="F86" s="295" t="str">
        <f t="shared" si="5"/>
        <v>No</v>
      </c>
    </row>
    <row r="87" spans="2:6" ht="15.75" x14ac:dyDescent="0.25">
      <c r="B87" s="499" t="s">
        <v>224</v>
      </c>
      <c r="C87" s="500">
        <v>2526</v>
      </c>
      <c r="D87" s="501" t="str">
        <f t="shared" si="3"/>
        <v>No</v>
      </c>
      <c r="E87" s="358" t="str">
        <f t="shared" si="4"/>
        <v>No</v>
      </c>
      <c r="F87" s="295" t="str">
        <f t="shared" si="5"/>
        <v>No</v>
      </c>
    </row>
    <row r="88" spans="2:6" ht="15.75" x14ac:dyDescent="0.25">
      <c r="B88" s="499" t="s">
        <v>225</v>
      </c>
      <c r="C88" s="500">
        <v>3084.65</v>
      </c>
      <c r="D88" s="501" t="str">
        <f t="shared" si="3"/>
        <v>No</v>
      </c>
      <c r="E88" s="358" t="str">
        <f t="shared" si="4"/>
        <v>No</v>
      </c>
      <c r="F88" s="295" t="str">
        <f t="shared" si="5"/>
        <v>No</v>
      </c>
    </row>
    <row r="89" spans="2:6" ht="15.75" x14ac:dyDescent="0.25">
      <c r="B89" s="499" t="s">
        <v>226</v>
      </c>
      <c r="C89" s="500">
        <v>2729</v>
      </c>
      <c r="D89" s="501" t="str">
        <f t="shared" si="3"/>
        <v>No</v>
      </c>
      <c r="E89" s="358" t="str">
        <f t="shared" si="4"/>
        <v>No</v>
      </c>
      <c r="F89" s="295" t="str">
        <f t="shared" si="5"/>
        <v>No</v>
      </c>
    </row>
    <row r="90" spans="2:6" ht="15.75" x14ac:dyDescent="0.25">
      <c r="B90" s="499" t="s">
        <v>227</v>
      </c>
      <c r="C90" s="500">
        <v>2280.25</v>
      </c>
      <c r="D90" s="501" t="str">
        <f t="shared" si="3"/>
        <v>No</v>
      </c>
      <c r="E90" s="358" t="str">
        <f t="shared" si="4"/>
        <v>No</v>
      </c>
      <c r="F90" s="295" t="str">
        <f t="shared" si="5"/>
        <v>No</v>
      </c>
    </row>
    <row r="91" spans="2:6" ht="15.75" x14ac:dyDescent="0.25">
      <c r="B91" s="499" t="s">
        <v>228</v>
      </c>
      <c r="C91" s="500">
        <v>2440</v>
      </c>
      <c r="D91" s="501" t="str">
        <f t="shared" ref="D91:D122" si="6">IF(C91&lt;10,"Yes","No")</f>
        <v>No</v>
      </c>
      <c r="E91" s="358" t="str">
        <f t="shared" ref="E91:E122" si="7">IF(C91&gt;3900,"Yes","No")</f>
        <v>No</v>
      </c>
      <c r="F91" s="295" t="str">
        <f t="shared" ref="F91:F122" si="8">IF(C91&lt;1500,"Yes","No")</f>
        <v>No</v>
      </c>
    </row>
    <row r="92" spans="2:6" ht="15.75" x14ac:dyDescent="0.25">
      <c r="B92" s="499" t="s">
        <v>229</v>
      </c>
      <c r="C92" s="500">
        <v>1508</v>
      </c>
      <c r="D92" s="501" t="str">
        <f t="shared" si="6"/>
        <v>No</v>
      </c>
      <c r="E92" s="358" t="str">
        <f t="shared" si="7"/>
        <v>No</v>
      </c>
      <c r="F92" s="295" t="str">
        <f t="shared" si="8"/>
        <v>No</v>
      </c>
    </row>
    <row r="93" spans="2:6" ht="15.75" x14ac:dyDescent="0.25">
      <c r="B93" s="499" t="s">
        <v>230</v>
      </c>
      <c r="C93" s="500">
        <v>2138</v>
      </c>
      <c r="D93" s="501" t="str">
        <f t="shared" si="6"/>
        <v>No</v>
      </c>
      <c r="E93" s="358" t="str">
        <f t="shared" si="7"/>
        <v>No</v>
      </c>
      <c r="F93" s="295" t="str">
        <f t="shared" si="8"/>
        <v>No</v>
      </c>
    </row>
    <row r="94" spans="2:6" ht="15.75" x14ac:dyDescent="0.25">
      <c r="B94" s="499" t="s">
        <v>231</v>
      </c>
      <c r="C94" s="500">
        <v>3607</v>
      </c>
      <c r="D94" s="501" t="str">
        <f t="shared" si="6"/>
        <v>No</v>
      </c>
      <c r="E94" s="358" t="str">
        <f t="shared" si="7"/>
        <v>No</v>
      </c>
      <c r="F94" s="295" t="str">
        <f t="shared" si="8"/>
        <v>No</v>
      </c>
    </row>
    <row r="95" spans="2:6" ht="15.75" x14ac:dyDescent="0.25">
      <c r="B95" s="499" t="s">
        <v>232</v>
      </c>
      <c r="C95" s="500">
        <v>2070</v>
      </c>
      <c r="D95" s="501" t="str">
        <f t="shared" si="6"/>
        <v>No</v>
      </c>
      <c r="E95" s="358" t="str">
        <f t="shared" si="7"/>
        <v>No</v>
      </c>
      <c r="F95" s="295" t="str">
        <f t="shared" si="8"/>
        <v>No</v>
      </c>
    </row>
    <row r="96" spans="2:6" ht="15.75" x14ac:dyDescent="0.25">
      <c r="B96" s="499" t="s">
        <v>233</v>
      </c>
      <c r="C96" s="500">
        <v>1805</v>
      </c>
      <c r="D96" s="501" t="str">
        <f t="shared" si="6"/>
        <v>No</v>
      </c>
      <c r="E96" s="358" t="str">
        <f t="shared" si="7"/>
        <v>No</v>
      </c>
      <c r="F96" s="295" t="str">
        <f t="shared" si="8"/>
        <v>No</v>
      </c>
    </row>
    <row r="97" spans="2:6" ht="15.75" x14ac:dyDescent="0.25">
      <c r="B97" s="499" t="s">
        <v>234</v>
      </c>
      <c r="C97" s="500">
        <v>2238</v>
      </c>
      <c r="D97" s="501" t="str">
        <f t="shared" si="6"/>
        <v>No</v>
      </c>
      <c r="E97" s="358" t="str">
        <f t="shared" si="7"/>
        <v>No</v>
      </c>
      <c r="F97" s="295" t="str">
        <f t="shared" si="8"/>
        <v>No</v>
      </c>
    </row>
    <row r="98" spans="2:6" ht="15.75" x14ac:dyDescent="0.25">
      <c r="B98" s="499" t="s">
        <v>235</v>
      </c>
      <c r="C98" s="500">
        <v>1888</v>
      </c>
      <c r="D98" s="501" t="str">
        <f t="shared" si="6"/>
        <v>No</v>
      </c>
      <c r="E98" s="358" t="str">
        <f t="shared" si="7"/>
        <v>No</v>
      </c>
      <c r="F98" s="295" t="str">
        <f t="shared" si="8"/>
        <v>No</v>
      </c>
    </row>
    <row r="99" spans="2:6" ht="15.75" x14ac:dyDescent="0.25">
      <c r="B99" s="499" t="s">
        <v>236</v>
      </c>
      <c r="C99" s="500">
        <v>1386</v>
      </c>
      <c r="D99" s="501" t="str">
        <f t="shared" si="6"/>
        <v>No</v>
      </c>
      <c r="E99" s="358" t="str">
        <f t="shared" si="7"/>
        <v>No</v>
      </c>
      <c r="F99" s="295" t="str">
        <f t="shared" si="8"/>
        <v>Yes</v>
      </c>
    </row>
    <row r="100" spans="2:6" ht="15.75" x14ac:dyDescent="0.25">
      <c r="B100" s="499" t="s">
        <v>237</v>
      </c>
      <c r="C100" s="500">
        <v>1396</v>
      </c>
      <c r="D100" s="501" t="str">
        <f t="shared" si="6"/>
        <v>No</v>
      </c>
      <c r="E100" s="358" t="str">
        <f t="shared" si="7"/>
        <v>No</v>
      </c>
      <c r="F100" s="295" t="str">
        <f t="shared" si="8"/>
        <v>Yes</v>
      </c>
    </row>
    <row r="101" spans="2:6" ht="15.75" x14ac:dyDescent="0.25">
      <c r="B101" s="499" t="s">
        <v>238</v>
      </c>
      <c r="C101" s="500">
        <v>1411</v>
      </c>
      <c r="D101" s="501" t="str">
        <f t="shared" si="6"/>
        <v>No</v>
      </c>
      <c r="E101" s="358" t="str">
        <f t="shared" si="7"/>
        <v>No</v>
      </c>
      <c r="F101" s="295" t="str">
        <f t="shared" si="8"/>
        <v>Yes</v>
      </c>
    </row>
    <row r="102" spans="2:6" ht="15.75" x14ac:dyDescent="0.25">
      <c r="B102" s="499" t="s">
        <v>239</v>
      </c>
      <c r="C102" s="500">
        <v>601</v>
      </c>
      <c r="D102" s="501" t="str">
        <f t="shared" si="6"/>
        <v>No</v>
      </c>
      <c r="E102" s="358" t="str">
        <f t="shared" si="7"/>
        <v>No</v>
      </c>
      <c r="F102" s="295" t="str">
        <f t="shared" si="8"/>
        <v>Yes</v>
      </c>
    </row>
    <row r="103" spans="2:6" ht="15.75" x14ac:dyDescent="0.25">
      <c r="B103" s="499" t="s">
        <v>240</v>
      </c>
      <c r="C103" s="500">
        <v>2141</v>
      </c>
      <c r="D103" s="501" t="str">
        <f t="shared" si="6"/>
        <v>No</v>
      </c>
      <c r="E103" s="358" t="str">
        <f t="shared" si="7"/>
        <v>No</v>
      </c>
      <c r="F103" s="295" t="str">
        <f t="shared" si="8"/>
        <v>No</v>
      </c>
    </row>
    <row r="104" spans="2:6" ht="15.75" x14ac:dyDescent="0.25">
      <c r="B104" s="499" t="s">
        <v>241</v>
      </c>
      <c r="C104" s="500">
        <v>676</v>
      </c>
      <c r="D104" s="501" t="str">
        <f t="shared" si="6"/>
        <v>No</v>
      </c>
      <c r="E104" s="358" t="str">
        <f t="shared" si="7"/>
        <v>No</v>
      </c>
      <c r="F104" s="295" t="str">
        <f t="shared" si="8"/>
        <v>Yes</v>
      </c>
    </row>
    <row r="105" spans="2:6" ht="15.75" x14ac:dyDescent="0.25">
      <c r="B105" s="499" t="s">
        <v>242</v>
      </c>
      <c r="C105" s="500">
        <v>1765</v>
      </c>
      <c r="D105" s="501" t="str">
        <f t="shared" si="6"/>
        <v>No</v>
      </c>
      <c r="E105" s="358" t="str">
        <f t="shared" si="7"/>
        <v>No</v>
      </c>
      <c r="F105" s="295" t="str">
        <f t="shared" si="8"/>
        <v>No</v>
      </c>
    </row>
    <row r="106" spans="2:6" ht="15.75" x14ac:dyDescent="0.25">
      <c r="B106" s="499" t="s">
        <v>243</v>
      </c>
      <c r="C106" s="500">
        <v>466</v>
      </c>
      <c r="D106" s="501" t="str">
        <f t="shared" si="6"/>
        <v>No</v>
      </c>
      <c r="E106" s="358" t="str">
        <f t="shared" si="7"/>
        <v>No</v>
      </c>
      <c r="F106" s="295" t="str">
        <f t="shared" si="8"/>
        <v>Yes</v>
      </c>
    </row>
    <row r="107" spans="2:6" ht="15.75" x14ac:dyDescent="0.25">
      <c r="B107" s="499" t="s">
        <v>244</v>
      </c>
      <c r="C107" s="500">
        <v>733</v>
      </c>
      <c r="D107" s="501" t="str">
        <f t="shared" si="6"/>
        <v>No</v>
      </c>
      <c r="E107" s="358" t="str">
        <f t="shared" si="7"/>
        <v>No</v>
      </c>
      <c r="F107" s="295" t="str">
        <f t="shared" si="8"/>
        <v>Yes</v>
      </c>
    </row>
    <row r="108" spans="2:6" ht="15.75" x14ac:dyDescent="0.25">
      <c r="B108" s="499" t="s">
        <v>245</v>
      </c>
      <c r="C108" s="500">
        <v>8077</v>
      </c>
      <c r="D108" s="501" t="str">
        <f t="shared" si="6"/>
        <v>No</v>
      </c>
      <c r="E108" s="358" t="str">
        <f t="shared" si="7"/>
        <v>Yes</v>
      </c>
      <c r="F108" s="295" t="str">
        <f t="shared" si="8"/>
        <v>No</v>
      </c>
    </row>
    <row r="109" spans="2:6" ht="15.75" x14ac:dyDescent="0.25">
      <c r="B109" s="499" t="s">
        <v>246</v>
      </c>
      <c r="C109" s="500">
        <v>4657</v>
      </c>
      <c r="D109" s="501" t="str">
        <f t="shared" si="6"/>
        <v>No</v>
      </c>
      <c r="E109" s="358" t="str">
        <f t="shared" si="7"/>
        <v>Yes</v>
      </c>
      <c r="F109" s="295" t="str">
        <f t="shared" si="8"/>
        <v>No</v>
      </c>
    </row>
    <row r="110" spans="2:6" ht="15.75" x14ac:dyDescent="0.25">
      <c r="B110" s="499" t="s">
        <v>247</v>
      </c>
      <c r="C110" s="500">
        <v>14560</v>
      </c>
      <c r="D110" s="501" t="str">
        <f t="shared" si="6"/>
        <v>No</v>
      </c>
      <c r="E110" s="358" t="str">
        <f t="shared" si="7"/>
        <v>Yes</v>
      </c>
      <c r="F110" s="295" t="str">
        <f t="shared" si="8"/>
        <v>No</v>
      </c>
    </row>
    <row r="111" spans="2:6" ht="15.75" x14ac:dyDescent="0.25">
      <c r="B111" s="499" t="s">
        <v>248</v>
      </c>
      <c r="C111" s="500">
        <v>3985</v>
      </c>
      <c r="D111" s="501" t="str">
        <f t="shared" si="6"/>
        <v>No</v>
      </c>
      <c r="E111" s="358" t="str">
        <f t="shared" si="7"/>
        <v>Yes</v>
      </c>
      <c r="F111" s="295" t="str">
        <f t="shared" si="8"/>
        <v>No</v>
      </c>
    </row>
    <row r="112" spans="2:6" ht="15.75" x14ac:dyDescent="0.25">
      <c r="B112" s="499" t="s">
        <v>249</v>
      </c>
      <c r="C112" s="500">
        <v>13396</v>
      </c>
      <c r="D112" s="501" t="str">
        <f t="shared" si="6"/>
        <v>No</v>
      </c>
      <c r="E112" s="358" t="str">
        <f t="shared" si="7"/>
        <v>Yes</v>
      </c>
      <c r="F112" s="295" t="str">
        <f t="shared" si="8"/>
        <v>No</v>
      </c>
    </row>
    <row r="113" spans="2:6" ht="15.75" x14ac:dyDescent="0.25">
      <c r="B113" s="499" t="s">
        <v>250</v>
      </c>
      <c r="C113" s="500">
        <v>631</v>
      </c>
      <c r="D113" s="501" t="str">
        <f t="shared" si="6"/>
        <v>No</v>
      </c>
      <c r="E113" s="358" t="str">
        <f t="shared" si="7"/>
        <v>No</v>
      </c>
      <c r="F113" s="295" t="str">
        <f t="shared" si="8"/>
        <v>Yes</v>
      </c>
    </row>
    <row r="114" spans="2:6" ht="15.75" x14ac:dyDescent="0.25">
      <c r="B114" s="499" t="s">
        <v>251</v>
      </c>
      <c r="C114" s="500">
        <v>2</v>
      </c>
      <c r="D114" s="501" t="str">
        <f t="shared" si="6"/>
        <v>Yes</v>
      </c>
      <c r="E114" s="358" t="str">
        <f t="shared" si="7"/>
        <v>No</v>
      </c>
      <c r="F114" s="295" t="str">
        <f t="shared" si="8"/>
        <v>Yes</v>
      </c>
    </row>
    <row r="115" spans="2:6" ht="15.75" x14ac:dyDescent="0.25">
      <c r="B115" s="499" t="s">
        <v>252</v>
      </c>
      <c r="C115" s="500">
        <v>3</v>
      </c>
      <c r="D115" s="501" t="str">
        <f t="shared" si="6"/>
        <v>Yes</v>
      </c>
      <c r="E115" s="358" t="str">
        <f t="shared" si="7"/>
        <v>No</v>
      </c>
      <c r="F115" s="295" t="str">
        <f t="shared" si="8"/>
        <v>Yes</v>
      </c>
    </row>
    <row r="116" spans="2:6" ht="15.75" x14ac:dyDescent="0.25">
      <c r="B116" s="499" t="s">
        <v>253</v>
      </c>
      <c r="C116" s="500">
        <v>5</v>
      </c>
      <c r="D116" s="501" t="str">
        <f t="shared" si="6"/>
        <v>Yes</v>
      </c>
      <c r="E116" s="358" t="str">
        <f t="shared" si="7"/>
        <v>No</v>
      </c>
      <c r="F116" s="295" t="str">
        <f t="shared" si="8"/>
        <v>Yes</v>
      </c>
    </row>
    <row r="117" spans="2:6" ht="15.75" x14ac:dyDescent="0.25">
      <c r="B117" s="499" t="s">
        <v>254</v>
      </c>
      <c r="C117" s="500">
        <v>0</v>
      </c>
      <c r="D117" s="501" t="str">
        <f t="shared" si="6"/>
        <v>Yes</v>
      </c>
      <c r="E117" s="358" t="str">
        <f t="shared" si="7"/>
        <v>No</v>
      </c>
      <c r="F117" s="295" t="str">
        <f t="shared" si="8"/>
        <v>Yes</v>
      </c>
    </row>
    <row r="118" spans="2:6" ht="15.75" x14ac:dyDescent="0.25">
      <c r="B118" s="499" t="s">
        <v>255</v>
      </c>
      <c r="C118" s="500">
        <v>0</v>
      </c>
      <c r="D118" s="501" t="str">
        <f t="shared" si="6"/>
        <v>Yes</v>
      </c>
      <c r="E118" s="358" t="str">
        <f t="shared" si="7"/>
        <v>No</v>
      </c>
      <c r="F118" s="295" t="str">
        <f t="shared" si="8"/>
        <v>Yes</v>
      </c>
    </row>
    <row r="119" spans="2:6" ht="15.75" x14ac:dyDescent="0.25">
      <c r="B119" s="499" t="s">
        <v>256</v>
      </c>
      <c r="C119" s="500">
        <v>0</v>
      </c>
      <c r="D119" s="501" t="str">
        <f t="shared" si="6"/>
        <v>Yes</v>
      </c>
      <c r="E119" s="358" t="str">
        <f t="shared" si="7"/>
        <v>No</v>
      </c>
      <c r="F119" s="295" t="str">
        <f t="shared" si="8"/>
        <v>Yes</v>
      </c>
    </row>
    <row r="120" spans="2:6" ht="15.75" x14ac:dyDescent="0.25">
      <c r="B120" s="499" t="s">
        <v>257</v>
      </c>
      <c r="C120" s="500">
        <v>1</v>
      </c>
      <c r="D120" s="501" t="str">
        <f t="shared" si="6"/>
        <v>Yes</v>
      </c>
      <c r="E120" s="358" t="str">
        <f t="shared" si="7"/>
        <v>No</v>
      </c>
      <c r="F120" s="295" t="str">
        <f t="shared" si="8"/>
        <v>Yes</v>
      </c>
    </row>
    <row r="121" spans="2:6" ht="15.75" x14ac:dyDescent="0.25">
      <c r="B121" s="499" t="s">
        <v>258</v>
      </c>
      <c r="C121" s="500">
        <v>1</v>
      </c>
      <c r="D121" s="501" t="str">
        <f t="shared" si="6"/>
        <v>Yes</v>
      </c>
      <c r="E121" s="358" t="str">
        <f t="shared" si="7"/>
        <v>No</v>
      </c>
      <c r="F121" s="295" t="str">
        <f t="shared" si="8"/>
        <v>Yes</v>
      </c>
    </row>
    <row r="122" spans="2:6" ht="15.75" x14ac:dyDescent="0.25">
      <c r="B122" s="499" t="s">
        <v>259</v>
      </c>
      <c r="C122" s="500">
        <v>1</v>
      </c>
      <c r="D122" s="501" t="str">
        <f t="shared" si="6"/>
        <v>Yes</v>
      </c>
      <c r="E122" s="358" t="str">
        <f t="shared" si="7"/>
        <v>No</v>
      </c>
      <c r="F122" s="295" t="str">
        <f t="shared" si="8"/>
        <v>Yes</v>
      </c>
    </row>
    <row r="123" spans="2:6" ht="15.75" x14ac:dyDescent="0.25">
      <c r="B123" s="499" t="s">
        <v>260</v>
      </c>
      <c r="C123" s="500">
        <v>1</v>
      </c>
      <c r="D123" s="501" t="str">
        <f t="shared" ref="D123:D145" si="9">IF(C123&lt;10,"Yes","No")</f>
        <v>Yes</v>
      </c>
      <c r="E123" s="358" t="str">
        <f t="shared" ref="E123:E145" si="10">IF(C123&gt;3900,"Yes","No")</f>
        <v>No</v>
      </c>
      <c r="F123" s="295" t="str">
        <f t="shared" ref="F123:F145" si="11">IF(C123&lt;1500,"Yes","No")</f>
        <v>Yes</v>
      </c>
    </row>
    <row r="124" spans="2:6" ht="15.75" x14ac:dyDescent="0.25">
      <c r="B124" s="499" t="s">
        <v>261</v>
      </c>
      <c r="C124" s="500">
        <v>1</v>
      </c>
      <c r="D124" s="501" t="str">
        <f t="shared" si="9"/>
        <v>Yes</v>
      </c>
      <c r="E124" s="358" t="str">
        <f t="shared" si="10"/>
        <v>No</v>
      </c>
      <c r="F124" s="295" t="str">
        <f t="shared" si="11"/>
        <v>Yes</v>
      </c>
    </row>
    <row r="125" spans="2:6" ht="15.75" x14ac:dyDescent="0.25">
      <c r="B125" s="499" t="s">
        <v>262</v>
      </c>
      <c r="C125" s="500">
        <v>1</v>
      </c>
      <c r="D125" s="501" t="str">
        <f t="shared" si="9"/>
        <v>Yes</v>
      </c>
      <c r="E125" s="358" t="str">
        <f t="shared" si="10"/>
        <v>No</v>
      </c>
      <c r="F125" s="295" t="str">
        <f t="shared" si="11"/>
        <v>Yes</v>
      </c>
    </row>
    <row r="126" spans="2:6" ht="15.75" x14ac:dyDescent="0.25">
      <c r="B126" s="499" t="s">
        <v>263</v>
      </c>
      <c r="C126" s="500">
        <v>1</v>
      </c>
      <c r="D126" s="501" t="str">
        <f t="shared" si="9"/>
        <v>Yes</v>
      </c>
      <c r="E126" s="358" t="str">
        <f t="shared" si="10"/>
        <v>No</v>
      </c>
      <c r="F126" s="295" t="str">
        <f t="shared" si="11"/>
        <v>Yes</v>
      </c>
    </row>
    <row r="127" spans="2:6" ht="15.75" x14ac:dyDescent="0.25">
      <c r="B127" s="499" t="s">
        <v>264</v>
      </c>
      <c r="C127" s="500">
        <v>1</v>
      </c>
      <c r="D127" s="501" t="str">
        <f t="shared" si="9"/>
        <v>Yes</v>
      </c>
      <c r="E127" s="358" t="str">
        <f t="shared" si="10"/>
        <v>No</v>
      </c>
      <c r="F127" s="295" t="str">
        <f t="shared" si="11"/>
        <v>Yes</v>
      </c>
    </row>
    <row r="128" spans="2:6" ht="15.75" x14ac:dyDescent="0.25">
      <c r="B128" s="499" t="s">
        <v>265</v>
      </c>
      <c r="C128" s="500">
        <v>1</v>
      </c>
      <c r="D128" s="501" t="str">
        <f t="shared" si="9"/>
        <v>Yes</v>
      </c>
      <c r="E128" s="358" t="str">
        <f t="shared" si="10"/>
        <v>No</v>
      </c>
      <c r="F128" s="295" t="str">
        <f t="shared" si="11"/>
        <v>Yes</v>
      </c>
    </row>
    <row r="129" spans="2:6" ht="15.75" x14ac:dyDescent="0.25">
      <c r="B129" s="499" t="s">
        <v>266</v>
      </c>
      <c r="C129" s="500">
        <v>1</v>
      </c>
      <c r="D129" s="501" t="str">
        <f t="shared" si="9"/>
        <v>Yes</v>
      </c>
      <c r="E129" s="358" t="str">
        <f t="shared" si="10"/>
        <v>No</v>
      </c>
      <c r="F129" s="295" t="str">
        <f t="shared" si="11"/>
        <v>Yes</v>
      </c>
    </row>
    <row r="130" spans="2:6" ht="15.75" x14ac:dyDescent="0.25">
      <c r="B130" s="499" t="s">
        <v>267</v>
      </c>
      <c r="C130" s="500">
        <v>2</v>
      </c>
      <c r="D130" s="501" t="str">
        <f t="shared" si="9"/>
        <v>Yes</v>
      </c>
      <c r="E130" s="358" t="str">
        <f t="shared" si="10"/>
        <v>No</v>
      </c>
      <c r="F130" s="295" t="str">
        <f t="shared" si="11"/>
        <v>Yes</v>
      </c>
    </row>
    <row r="131" spans="2:6" ht="15.75" x14ac:dyDescent="0.25">
      <c r="B131" s="499" t="s">
        <v>268</v>
      </c>
      <c r="C131" s="500">
        <v>1640</v>
      </c>
      <c r="D131" s="501" t="str">
        <f t="shared" si="9"/>
        <v>No</v>
      </c>
      <c r="E131" s="358" t="str">
        <f t="shared" si="10"/>
        <v>No</v>
      </c>
      <c r="F131" s="295" t="str">
        <f t="shared" si="11"/>
        <v>No</v>
      </c>
    </row>
    <row r="132" spans="2:6" ht="15.75" x14ac:dyDescent="0.25">
      <c r="B132" s="499" t="s">
        <v>269</v>
      </c>
      <c r="C132" s="500">
        <v>6427.375</v>
      </c>
      <c r="D132" s="501" t="str">
        <f t="shared" si="9"/>
        <v>No</v>
      </c>
      <c r="E132" s="358" t="str">
        <f t="shared" si="10"/>
        <v>Yes</v>
      </c>
      <c r="F132" s="295" t="str">
        <f t="shared" si="11"/>
        <v>No</v>
      </c>
    </row>
    <row r="133" spans="2:6" ht="15.75" x14ac:dyDescent="0.25">
      <c r="B133" s="499" t="s">
        <v>270</v>
      </c>
      <c r="C133" s="500">
        <v>1221</v>
      </c>
      <c r="D133" s="501" t="str">
        <f t="shared" si="9"/>
        <v>No</v>
      </c>
      <c r="E133" s="358" t="str">
        <f t="shared" si="10"/>
        <v>No</v>
      </c>
      <c r="F133" s="295" t="str">
        <f t="shared" si="11"/>
        <v>Yes</v>
      </c>
    </row>
    <row r="134" spans="2:6" ht="15.75" x14ac:dyDescent="0.25">
      <c r="B134" s="499" t="s">
        <v>271</v>
      </c>
      <c r="C134" s="500">
        <v>1101</v>
      </c>
      <c r="D134" s="501" t="str">
        <f t="shared" si="9"/>
        <v>No</v>
      </c>
      <c r="E134" s="358" t="str">
        <f t="shared" si="10"/>
        <v>No</v>
      </c>
      <c r="F134" s="295" t="str">
        <f t="shared" si="11"/>
        <v>Yes</v>
      </c>
    </row>
    <row r="135" spans="2:6" ht="15.75" x14ac:dyDescent="0.25">
      <c r="B135" s="499" t="s">
        <v>272</v>
      </c>
      <c r="C135" s="500">
        <v>1569</v>
      </c>
      <c r="D135" s="501" t="str">
        <f t="shared" si="9"/>
        <v>No</v>
      </c>
      <c r="E135" s="358" t="str">
        <f t="shared" si="10"/>
        <v>No</v>
      </c>
      <c r="F135" s="295" t="str">
        <f t="shared" si="11"/>
        <v>No</v>
      </c>
    </row>
    <row r="136" spans="2:6" ht="15.75" x14ac:dyDescent="0.25">
      <c r="B136" s="499" t="s">
        <v>273</v>
      </c>
      <c r="C136" s="500">
        <v>1606</v>
      </c>
      <c r="D136" s="501" t="str">
        <f t="shared" si="9"/>
        <v>No</v>
      </c>
      <c r="E136" s="358" t="str">
        <f t="shared" si="10"/>
        <v>No</v>
      </c>
      <c r="F136" s="295" t="str">
        <f t="shared" si="11"/>
        <v>No</v>
      </c>
    </row>
    <row r="137" spans="2:6" ht="15.75" x14ac:dyDescent="0.25">
      <c r="B137" s="499" t="s">
        <v>274</v>
      </c>
      <c r="C137" s="500">
        <v>1731</v>
      </c>
      <c r="D137" s="501" t="str">
        <f t="shared" si="9"/>
        <v>No</v>
      </c>
      <c r="E137" s="358" t="str">
        <f t="shared" si="10"/>
        <v>No</v>
      </c>
      <c r="F137" s="295" t="str">
        <f t="shared" si="11"/>
        <v>No</v>
      </c>
    </row>
    <row r="138" spans="2:6" ht="15.75" x14ac:dyDescent="0.25">
      <c r="B138" s="499" t="s">
        <v>275</v>
      </c>
      <c r="C138" s="500">
        <v>1893</v>
      </c>
      <c r="D138" s="501" t="str">
        <f t="shared" si="9"/>
        <v>No</v>
      </c>
      <c r="E138" s="358" t="str">
        <f t="shared" si="10"/>
        <v>No</v>
      </c>
      <c r="F138" s="295" t="str">
        <f t="shared" si="11"/>
        <v>No</v>
      </c>
    </row>
    <row r="139" spans="2:6" ht="15.75" x14ac:dyDescent="0.25">
      <c r="B139" s="499" t="s">
        <v>276</v>
      </c>
      <c r="C139" s="500">
        <v>2377</v>
      </c>
      <c r="D139" s="501" t="str">
        <f t="shared" si="9"/>
        <v>No</v>
      </c>
      <c r="E139" s="358" t="str">
        <f t="shared" si="10"/>
        <v>No</v>
      </c>
      <c r="F139" s="295" t="str">
        <f t="shared" si="11"/>
        <v>No</v>
      </c>
    </row>
    <row r="140" spans="2:6" ht="15.75" x14ac:dyDescent="0.25">
      <c r="B140" s="499" t="s">
        <v>277</v>
      </c>
      <c r="C140" s="500">
        <v>0</v>
      </c>
      <c r="D140" s="501" t="str">
        <f t="shared" si="9"/>
        <v>Yes</v>
      </c>
      <c r="E140" s="358" t="str">
        <f t="shared" si="10"/>
        <v>No</v>
      </c>
      <c r="F140" s="295" t="str">
        <f t="shared" si="11"/>
        <v>Yes</v>
      </c>
    </row>
    <row r="141" spans="2:6" ht="15.75" x14ac:dyDescent="0.25">
      <c r="B141" s="499" t="s">
        <v>278</v>
      </c>
      <c r="C141" s="500">
        <v>1</v>
      </c>
      <c r="D141" s="501" t="str">
        <f t="shared" si="9"/>
        <v>Yes</v>
      </c>
      <c r="E141" s="358" t="str">
        <f t="shared" si="10"/>
        <v>No</v>
      </c>
      <c r="F141" s="295" t="str">
        <f t="shared" si="11"/>
        <v>Yes</v>
      </c>
    </row>
    <row r="142" spans="2:6" ht="15.75" x14ac:dyDescent="0.25">
      <c r="B142" s="499" t="s">
        <v>279</v>
      </c>
      <c r="C142" s="500">
        <v>1</v>
      </c>
      <c r="D142" s="501" t="str">
        <f t="shared" si="9"/>
        <v>Yes</v>
      </c>
      <c r="E142" s="358" t="str">
        <f t="shared" si="10"/>
        <v>No</v>
      </c>
      <c r="F142" s="295" t="str">
        <f t="shared" si="11"/>
        <v>Yes</v>
      </c>
    </row>
    <row r="143" spans="2:6" ht="15.75" x14ac:dyDescent="0.25">
      <c r="B143" s="499" t="s">
        <v>280</v>
      </c>
      <c r="C143" s="500">
        <v>1809</v>
      </c>
      <c r="D143" s="501" t="str">
        <f t="shared" si="9"/>
        <v>No</v>
      </c>
      <c r="E143" s="358" t="str">
        <f t="shared" si="10"/>
        <v>No</v>
      </c>
      <c r="F143" s="295" t="str">
        <f t="shared" si="11"/>
        <v>No</v>
      </c>
    </row>
    <row r="144" spans="2:6" ht="15.75" x14ac:dyDescent="0.25">
      <c r="B144" s="502" t="s">
        <v>281</v>
      </c>
      <c r="C144" s="503">
        <v>3804.9</v>
      </c>
      <c r="D144" s="501" t="str">
        <f t="shared" si="9"/>
        <v>No</v>
      </c>
      <c r="E144" s="358" t="str">
        <f t="shared" si="10"/>
        <v>No</v>
      </c>
      <c r="F144" s="295" t="str">
        <f t="shared" si="11"/>
        <v>No</v>
      </c>
    </row>
    <row r="145" spans="2:6" ht="16.5" thickBot="1" x14ac:dyDescent="0.3">
      <c r="B145" s="504" t="s">
        <v>282</v>
      </c>
      <c r="C145" s="505">
        <v>2375</v>
      </c>
      <c r="D145" s="506" t="str">
        <f t="shared" si="9"/>
        <v>No</v>
      </c>
      <c r="E145" s="371" t="str">
        <f t="shared" si="10"/>
        <v>No</v>
      </c>
      <c r="F145" s="372" t="str">
        <f t="shared" si="11"/>
        <v>No</v>
      </c>
    </row>
  </sheetData>
  <sheetProtection algorithmName="SHA-512" hashValue="nRqzLgpp0t09LZtrMYYyyfV57SqjsXAXvnf5zQt0lWIwXNS1Is4MRjlcM5nmEsuCAICsqQK4lanbE+lY3vMq+Q==" saltValue="lWGm6ariaaHVPcdYxpM8rA==" spinCount="100000" sheet="1" objects="1" scenarios="1"/>
  <dataValidations disablePrompts="1" count="1">
    <dataValidation type="list" allowBlank="1" showInputMessage="1" showErrorMessage="1" sqref="B15:C15" xr:uid="{00000000-0002-0000-0700-000000000000}">
      <formula1>$B$27:$B$145</formula1>
    </dataValidation>
  </dataValidations>
  <hyperlinks>
    <hyperlink ref="A11" r:id="rId1" tooltip="FRIP Program Guidelines" xr:uid="{00000000-0004-0000-0700-000000000000}"/>
  </hyperlinks>
  <pageMargins left="0.7" right="0.7" top="0.98479166666666662" bottom="0.75" header="0.3" footer="0.3"/>
  <pageSetup scale="45" fitToHeight="0" orientation="landscape" r:id="rId2"/>
  <headerFooter>
    <oddFooter>&amp;L&amp;"Avenir LT Std 55 Roman,Regular"&amp;12&amp;K000000
Final November 6, 2024&amp;C&amp;"Avenir LT Std 55 Roman,Regular"&amp;12Page &amp;P of &amp;N&amp;R&amp;"Avenir LT Std 55 Roman,Regular"&amp;12&amp;K000000&amp;A</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4C9B93AEC8C84394C785EB28E8E1FA" ma:contentTypeVersion="18" ma:contentTypeDescription="Create a new document." ma:contentTypeScope="" ma:versionID="2abcdc26d5170e6185c9996679578f95">
  <xsd:schema xmlns:xsd="http://www.w3.org/2001/XMLSchema" xmlns:xs="http://www.w3.org/2001/XMLSchema" xmlns:p="http://schemas.microsoft.com/office/2006/metadata/properties" xmlns:ns1="http://schemas.microsoft.com/sharepoint/v3" xmlns:ns2="2ee7d741-2b1e-4e71-a67e-0a8ac7098c51" xmlns:ns3="916e2c6f-7716-484a-9f06-7a80088ea94f" targetNamespace="http://schemas.microsoft.com/office/2006/metadata/properties" ma:root="true" ma:fieldsID="572a3dd617db2ca513fb1e16fb940a1e" ns1:_="" ns2:_="" ns3:_="">
    <xsd:import namespace="http://schemas.microsoft.com/sharepoint/v3"/>
    <xsd:import namespace="2ee7d741-2b1e-4e71-a67e-0a8ac7098c51"/>
    <xsd:import namespace="916e2c6f-7716-484a-9f06-7a80088ea9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e7d741-2b1e-4e71-a67e-0a8ac7098c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e2c6f-7716-484a-9f06-7a80088ea9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6f91603-6d2b-4f8a-aba5-b396ad73976e}" ma:internalName="TaxCatchAll" ma:showField="CatchAllData" ma:web="916e2c6f-7716-484a-9f06-7a80088ea9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16e2c6f-7716-484a-9f06-7a80088ea94f" xsi:nil="true"/>
    <lcf76f155ced4ddcb4097134ff3c332f xmlns="2ee7d741-2b1e-4e71-a67e-0a8ac7098c51">
      <Terms xmlns="http://schemas.microsoft.com/office/infopath/2007/PartnerControls"/>
    </lcf76f155ced4ddcb4097134ff3c332f>
    <SharedWithUsers xmlns="916e2c6f-7716-484a-9f06-7a80088ea94f">
      <UserInfo>
        <DisplayName>Swenson, Breanna@ARB</DisplayName>
        <AccountId>61</AccountId>
        <AccountType/>
      </UserInfo>
      <UserInfo>
        <DisplayName>Navaei, Negin@ARB</DisplayName>
        <AccountId>5076</AccountId>
        <AccountType/>
      </UserInfo>
      <UserInfo>
        <DisplayName>Kohli, Aanchal@ARB</DisplayName>
        <AccountId>358</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6BE858-1CD5-4161-B583-201FCF602D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e7d741-2b1e-4e71-a67e-0a8ac7098c51"/>
    <ds:schemaRef ds:uri="916e2c6f-7716-484a-9f06-7a80088ea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59D4FD-4CE9-4271-88EE-EE1200D99684}">
  <ds:schemaRefs>
    <ds:schemaRef ds:uri="http://schemas.microsoft.com/office/infopath/2007/PartnerControls"/>
    <ds:schemaRef ds:uri="http://purl.org/dc/elements/1.1/"/>
    <ds:schemaRef ds:uri="2ee7d741-2b1e-4e71-a67e-0a8ac7098c51"/>
    <ds:schemaRef ds:uri="http://purl.org/dc/terms/"/>
    <ds:schemaRef ds:uri="http://schemas.openxmlformats.org/package/2006/metadata/core-properties"/>
    <ds:schemaRef ds:uri="http://schemas.microsoft.com/office/2006/documentManagement/types"/>
    <ds:schemaRef ds:uri="http://schemas.microsoft.com/sharepoint/v3"/>
    <ds:schemaRef ds:uri="916e2c6f-7716-484a-9f06-7a80088ea94f"/>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3A65EB0-6A29-478E-9646-D68C3C237C8C}">
  <ds:schemaRefs>
    <ds:schemaRef ds:uri="http://schemas.microsoft.com/sharepoint/v3/contenttype/forms"/>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Read Me</vt:lpstr>
      <vt:lpstr>1. Project Info</vt:lpstr>
      <vt:lpstr>2. Inputs</vt:lpstr>
      <vt:lpstr>3. Benefits Summary</vt:lpstr>
      <vt:lpstr>Definitions and Conversions</vt:lpstr>
      <vt:lpstr>Documentation</vt:lpstr>
      <vt:lpstr>AB 1550 Benefits &lt;HIDE&gt;</vt:lpstr>
      <vt:lpstr>Defaults &lt;HIDE&gt;</vt:lpstr>
      <vt:lpstr>Calculations &lt;HIDE&gt;</vt:lpstr>
      <vt:lpstr>Emission Factors &lt;HIDE&gt;</vt:lpstr>
      <vt:lpstr>Fuel Prices &lt;HIDE&gt;</vt:lpstr>
      <vt:lpstr>CCIRTS &lt;HIDE&gt;</vt:lpstr>
      <vt:lpstr>Eligibility &lt;DO NOT USE&gt;</vt:lpstr>
      <vt:lpstr>'Fuel Prices &lt;HIDE&gt;'!_ftnref2</vt:lpstr>
      <vt:lpstr>'Fuel Prices &lt;HIDE&gt;'!_Toc525572044</vt:lpstr>
      <vt:lpstr>'1. Project Info'!Print_Area</vt:lpstr>
      <vt:lpstr>'3. Benefits Summary'!Print_Area</vt:lpstr>
      <vt:lpstr>'AB 1550 Benefits &lt;HIDE&gt;'!Print_Area</vt:lpstr>
      <vt:lpstr>'Calculations &lt;HIDE&gt;'!Print_Area</vt:lpstr>
      <vt:lpstr>Documentation!Print_Area</vt:lpstr>
      <vt:lpstr>'Eligibility &lt;DO NOT USE&gt;'!Print_Area</vt:lpstr>
      <vt:lpstr>'Fuel Prices &lt;HIDE&gt;'!Print_Area</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Jimmy Steele</dc:creator>
  <cp:keywords/>
  <dc:description/>
  <cp:lastModifiedBy>Tipton, James@ARB</cp:lastModifiedBy>
  <cp:revision/>
  <dcterms:created xsi:type="dcterms:W3CDTF">2017-06-22T18:28:37Z</dcterms:created>
  <dcterms:modified xsi:type="dcterms:W3CDTF">2024-11-05T19:06:24Z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0x0101001A4C9B93AEC8C84394C785EB28E8E1FA</vt:lpwstr>
  </property>
  <property fmtid="{D5CDD505-2E9C-101B-9397-08002B2CF9AE}" pid="3" name="MediaServiceImageTags">
    <vt:lpwstr/>
  </property>
</Properties>
</file>