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https://carb.sharepoint.com/sites/STCD/CIB/CIAOS/Agency Programs and QMs/CAL FIRE - Forest Health/CAL FIRE QM UPDATE 2025/"/>
    </mc:Choice>
  </mc:AlternateContent>
  <xr:revisionPtr revIDLastSave="23" documentId="8_{BB2A522A-228F-4E92-81A0-9617500B9F6B}" xr6:coauthVersionLast="47" xr6:coauthVersionMax="47" xr10:uidLastSave="{3F620937-8762-45ED-8BF6-7E5EF75F87C9}"/>
  <bookViews>
    <workbookView xWindow="-120" yWindow="-120" windowWidth="51840" windowHeight="21120" tabRatio="814" activeTab="1" xr2:uid="{00000000-000D-0000-FFFF-FFFF00000000}"/>
  </bookViews>
  <sheets>
    <sheet name="Read Me" sheetId="9" r:id="rId1"/>
    <sheet name="Reforestation" sheetId="2" r:id="rId2"/>
    <sheet name="Pest Management" sheetId="18" r:id="rId3"/>
    <sheet name="Fuels Reduction" sheetId="4" r:id="rId4"/>
    <sheet name="Easement--Avoided Conversion" sheetId="16" r:id="rId5"/>
    <sheet name="Easement--Forest Management" sheetId="25" r:id="rId6"/>
    <sheet name="Biomass Utilization" sheetId="21" r:id="rId7"/>
    <sheet name="GHG Summary" sheetId="1" r:id="rId8"/>
    <sheet name="Co-Benefits Summary" sheetId="26" r:id="rId9"/>
    <sheet name="LISTS" sheetId="24" state="hidden" r:id="rId10"/>
    <sheet name="ERFs" sheetId="15" r:id="rId11"/>
    <sheet name="Conversions" sheetId="23" r:id="rId12"/>
  </sheets>
  <definedNames>
    <definedName name="BrushCover">LISTS!$A$1:$A$3</definedName>
    <definedName name="CA">LISTS!#REF!</definedName>
    <definedName name="CentralSouth">#REF!</definedName>
    <definedName name="EquipmentType" localSheetId="6">ERFs!#REF!</definedName>
    <definedName name="EquipmentType" localSheetId="11">Conversions!#REF!</definedName>
    <definedName name="EquipmentType">ERFs!#REF!</definedName>
    <definedName name="EquipmentType2" localSheetId="6">ERFs!#REF!,ERFs!#REF!,ERFs!#REF!,ERFs!#REF!,ERFs!#REF!</definedName>
    <definedName name="EquipmentType2" localSheetId="11">Conversions!#REF!,Conversions!#REF!,Conversions!#REF!,Conversions!#REF!,Conversions!#REF!</definedName>
    <definedName name="EquipmentType2">ERFs!#REF!,ERFs!#REF!,ERFs!#REF!,ERFs!#REF!,ERFs!#REF!</definedName>
    <definedName name="EquipmentType3">#REF!</definedName>
    <definedName name="GreatBasin">#REF!</definedName>
    <definedName name="LandCoverType">LISTS!$A$5:$A$7</definedName>
    <definedName name="Mojave">#REF!</definedName>
    <definedName name="NC">LISTS!#REF!</definedName>
    <definedName name="NorthCoast">#REF!</definedName>
    <definedName name="PNW_Fuels">#REF!</definedName>
    <definedName name="RefrigerantTypes" localSheetId="6">ERFs!#REF!</definedName>
    <definedName name="RefrigerantTypes" localSheetId="11">Conversions!#REF!</definedName>
    <definedName name="RefrigerantTypes">ERFs!#REF!</definedName>
    <definedName name="RockyMtn_Fuels">#REF!</definedName>
    <definedName name="Sierra">#REF!</definedName>
    <definedName name="Sierra_Fuels">#REF!</definedName>
    <definedName name="SO">LISTS!#REF!</definedName>
    <definedName name="SW_Fuels">#REF!</definedName>
    <definedName name="Urban_Fuels">#REF!</definedName>
    <definedName name="WS">LISTS!#REF!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21" l="1"/>
  <c r="E35" i="21"/>
  <c r="E33" i="21"/>
  <c r="E32" i="21"/>
  <c r="E18" i="21"/>
  <c r="E17" i="21"/>
  <c r="D18" i="1"/>
  <c r="D16" i="1"/>
  <c r="D15" i="1"/>
  <c r="D25" i="24"/>
  <c r="D24" i="24"/>
  <c r="D23" i="24"/>
  <c r="D22" i="24"/>
  <c r="D23" i="26"/>
  <c r="H47" i="25"/>
  <c r="E40" i="25"/>
  <c r="E39" i="25"/>
  <c r="H36" i="25"/>
  <c r="H35" i="25"/>
  <c r="H34" i="25"/>
  <c r="D22" i="26"/>
  <c r="E21" i="25"/>
  <c r="E22" i="25" s="1"/>
  <c r="E39" i="16"/>
  <c r="E40" i="16" s="1"/>
  <c r="E35" i="16"/>
  <c r="H35" i="16" s="1"/>
  <c r="H33" i="16" s="1"/>
  <c r="H34" i="16"/>
  <c r="J6" i="24" l="1"/>
  <c r="J5" i="24"/>
  <c r="J4" i="24"/>
  <c r="J3" i="24"/>
  <c r="J2" i="24"/>
  <c r="G65" i="24"/>
  <c r="G64" i="24"/>
  <c r="G63" i="24"/>
  <c r="G62" i="24"/>
  <c r="G61" i="24"/>
  <c r="G60" i="24"/>
  <c r="G59" i="24"/>
  <c r="G58" i="24"/>
  <c r="G57" i="24"/>
  <c r="G56" i="24"/>
  <c r="G55" i="24"/>
  <c r="G54" i="24"/>
  <c r="G53" i="24"/>
  <c r="G52" i="24"/>
  <c r="G51" i="24"/>
  <c r="G50" i="24"/>
  <c r="G49" i="24"/>
  <c r="G48" i="24"/>
  <c r="G47" i="24"/>
  <c r="G46" i="24"/>
  <c r="G43" i="24"/>
  <c r="G42" i="24"/>
  <c r="G41" i="24"/>
  <c r="G40" i="24"/>
  <c r="G39" i="24"/>
  <c r="G38" i="24"/>
  <c r="G37" i="24"/>
  <c r="G36" i="24"/>
  <c r="G35" i="24"/>
  <c r="G34" i="24"/>
  <c r="G33" i="24"/>
  <c r="G32" i="24"/>
  <c r="G31" i="24"/>
  <c r="G30" i="24"/>
  <c r="G29" i="24"/>
  <c r="G28" i="24"/>
  <c r="G27" i="24"/>
  <c r="G26" i="24"/>
  <c r="G25" i="24"/>
  <c r="G24" i="24"/>
  <c r="G17" i="24"/>
  <c r="G18" i="24"/>
  <c r="G19" i="24"/>
  <c r="G20" i="24"/>
  <c r="G21" i="24"/>
  <c r="G13" i="24"/>
  <c r="G12" i="24"/>
  <c r="G11" i="24"/>
  <c r="G10" i="24"/>
  <c r="G9" i="24"/>
  <c r="G6" i="24"/>
  <c r="G5" i="24"/>
  <c r="G4" i="24"/>
  <c r="G3" i="24"/>
  <c r="G2" i="24"/>
  <c r="D11" i="24"/>
  <c r="D10" i="24"/>
  <c r="D9" i="24"/>
  <c r="D8" i="24"/>
  <c r="E72" i="18"/>
  <c r="E73" i="18" s="1"/>
  <c r="H70" i="18"/>
  <c r="H69" i="18"/>
  <c r="H68" i="18" s="1"/>
  <c r="E59" i="18"/>
  <c r="E60" i="18" s="1"/>
  <c r="H57" i="18"/>
  <c r="H56" i="18"/>
  <c r="H55" i="18" s="1"/>
  <c r="E46" i="18"/>
  <c r="E47" i="18" s="1"/>
  <c r="H44" i="18"/>
  <c r="H43" i="18"/>
  <c r="H42" i="18" s="1"/>
  <c r="E33" i="18"/>
  <c r="E34" i="18" s="1"/>
  <c r="H31" i="18"/>
  <c r="H30" i="18"/>
  <c r="H29" i="18" s="1"/>
  <c r="E82" i="2"/>
  <c r="E77" i="2"/>
  <c r="E78" i="2" s="1"/>
  <c r="D6" i="24" s="1"/>
  <c r="H75" i="2"/>
  <c r="H74" i="2"/>
  <c r="E67" i="2"/>
  <c r="E62" i="2"/>
  <c r="E63" i="2" s="1"/>
  <c r="H60" i="2"/>
  <c r="H59" i="2"/>
  <c r="E52" i="2"/>
  <c r="E47" i="2"/>
  <c r="E48" i="2" s="1"/>
  <c r="H45" i="2"/>
  <c r="H44" i="2"/>
  <c r="E37" i="2"/>
  <c r="E32" i="2"/>
  <c r="E33" i="2" s="1"/>
  <c r="D3" i="24" s="1"/>
  <c r="H30" i="2"/>
  <c r="H29" i="2"/>
  <c r="E497" i="4"/>
  <c r="E17" i="2"/>
  <c r="E18" i="2" s="1"/>
  <c r="E22" i="2"/>
  <c r="D20" i="26" l="1"/>
  <c r="D26" i="26"/>
  <c r="D16" i="26"/>
  <c r="H28" i="2"/>
  <c r="H58" i="2"/>
  <c r="D18" i="26"/>
  <c r="D17" i="26"/>
  <c r="D19" i="26"/>
  <c r="D4" i="24"/>
  <c r="H43" i="2"/>
  <c r="D5" i="24"/>
  <c r="H73" i="2"/>
  <c r="D2" i="24"/>
  <c r="B10" i="2"/>
  <c r="B9" i="2"/>
  <c r="H499" i="4"/>
  <c r="H498" i="4"/>
  <c r="H497" i="4"/>
  <c r="H496" i="4"/>
  <c r="H495" i="4"/>
  <c r="H474" i="4"/>
  <c r="H473" i="4"/>
  <c r="H472" i="4"/>
  <c r="H471" i="4"/>
  <c r="H470" i="4"/>
  <c r="H449" i="4"/>
  <c r="H448" i="4"/>
  <c r="H447" i="4"/>
  <c r="H446" i="4"/>
  <c r="H445" i="4"/>
  <c r="H424" i="4"/>
  <c r="H423" i="4"/>
  <c r="H422" i="4"/>
  <c r="H421" i="4"/>
  <c r="H420" i="4"/>
  <c r="H399" i="4"/>
  <c r="H398" i="4"/>
  <c r="H397" i="4"/>
  <c r="H396" i="4"/>
  <c r="H395" i="4"/>
  <c r="H374" i="4"/>
  <c r="H373" i="4"/>
  <c r="H372" i="4"/>
  <c r="H371" i="4"/>
  <c r="H370" i="4"/>
  <c r="H349" i="4"/>
  <c r="H348" i="4"/>
  <c r="H347" i="4"/>
  <c r="H346" i="4"/>
  <c r="H345" i="4"/>
  <c r="H324" i="4"/>
  <c r="H323" i="4"/>
  <c r="H322" i="4"/>
  <c r="H321" i="4"/>
  <c r="H320" i="4"/>
  <c r="H299" i="4"/>
  <c r="H298" i="4"/>
  <c r="H297" i="4"/>
  <c r="H296" i="4"/>
  <c r="H295" i="4"/>
  <c r="H274" i="4"/>
  <c r="H273" i="4"/>
  <c r="H272" i="4"/>
  <c r="H271" i="4"/>
  <c r="H270" i="4"/>
  <c r="H249" i="4"/>
  <c r="H248" i="4"/>
  <c r="H247" i="4"/>
  <c r="H246" i="4"/>
  <c r="H245" i="4"/>
  <c r="H224" i="4"/>
  <c r="H223" i="4"/>
  <c r="H222" i="4"/>
  <c r="H221" i="4"/>
  <c r="H220" i="4"/>
  <c r="H199" i="4"/>
  <c r="H198" i="4"/>
  <c r="H197" i="4"/>
  <c r="H196" i="4"/>
  <c r="H195" i="4"/>
  <c r="H174" i="4"/>
  <c r="H173" i="4"/>
  <c r="H172" i="4"/>
  <c r="H171" i="4"/>
  <c r="H170" i="4"/>
  <c r="H149" i="4"/>
  <c r="H148" i="4"/>
  <c r="H147" i="4"/>
  <c r="H146" i="4"/>
  <c r="H145" i="4"/>
  <c r="H124" i="4"/>
  <c r="H123" i="4"/>
  <c r="H122" i="4"/>
  <c r="H121" i="4"/>
  <c r="H120" i="4"/>
  <c r="H99" i="4"/>
  <c r="H98" i="4"/>
  <c r="H97" i="4"/>
  <c r="H96" i="4"/>
  <c r="H95" i="4"/>
  <c r="H74" i="4"/>
  <c r="H73" i="4"/>
  <c r="H72" i="4"/>
  <c r="H71" i="4"/>
  <c r="H70" i="4"/>
  <c r="H49" i="4"/>
  <c r="H48" i="4"/>
  <c r="H47" i="4"/>
  <c r="H46" i="4"/>
  <c r="H45" i="4"/>
  <c r="H24" i="4"/>
  <c r="E494" i="4"/>
  <c r="E496" i="4" s="1"/>
  <c r="D35" i="24" s="1"/>
  <c r="E472" i="4"/>
  <c r="E469" i="4"/>
  <c r="E447" i="4"/>
  <c r="E444" i="4"/>
  <c r="E422" i="4"/>
  <c r="E419" i="4"/>
  <c r="E397" i="4"/>
  <c r="E394" i="4"/>
  <c r="E372" i="4"/>
  <c r="E369" i="4"/>
  <c r="E347" i="4"/>
  <c r="E344" i="4"/>
  <c r="E322" i="4"/>
  <c r="E319" i="4"/>
  <c r="E297" i="4"/>
  <c r="E294" i="4"/>
  <c r="E272" i="4"/>
  <c r="E269" i="4"/>
  <c r="E247" i="4"/>
  <c r="E244" i="4"/>
  <c r="E222" i="4"/>
  <c r="E219" i="4"/>
  <c r="E197" i="4"/>
  <c r="E194" i="4"/>
  <c r="E172" i="4"/>
  <c r="E169" i="4"/>
  <c r="E147" i="4"/>
  <c r="E144" i="4"/>
  <c r="E122" i="4"/>
  <c r="E119" i="4"/>
  <c r="E97" i="4"/>
  <c r="E94" i="4"/>
  <c r="E72" i="4"/>
  <c r="E69" i="4"/>
  <c r="E47" i="4"/>
  <c r="E44" i="4"/>
  <c r="E46" i="4" s="1"/>
  <c r="D13" i="24" s="1"/>
  <c r="E22" i="4"/>
  <c r="E19" i="4"/>
  <c r="E21" i="4" s="1"/>
  <c r="D12" i="24" s="1"/>
  <c r="H144" i="4" l="1"/>
  <c r="H418" i="4"/>
  <c r="E346" i="4"/>
  <c r="D29" i="24" s="1"/>
  <c r="H244" i="4"/>
  <c r="H169" i="4"/>
  <c r="H444" i="4"/>
  <c r="H493" i="4"/>
  <c r="E221" i="4"/>
  <c r="D20" i="24" s="1"/>
  <c r="E421" i="4"/>
  <c r="D32" i="24" s="1"/>
  <c r="H118" i="4"/>
  <c r="H319" i="4"/>
  <c r="E146" i="4"/>
  <c r="D17" i="24" s="1"/>
  <c r="E246" i="4"/>
  <c r="D21" i="24" s="1"/>
  <c r="E446" i="4"/>
  <c r="D33" i="24" s="1"/>
  <c r="H168" i="4"/>
  <c r="H368" i="4"/>
  <c r="E171" i="4"/>
  <c r="D18" i="24" s="1"/>
  <c r="E271" i="4"/>
  <c r="D26" i="24" s="1"/>
  <c r="E371" i="4"/>
  <c r="D30" i="24" s="1"/>
  <c r="E471" i="4"/>
  <c r="D34" i="24" s="1"/>
  <c r="H94" i="4"/>
  <c r="H68" i="4"/>
  <c r="E121" i="4"/>
  <c r="D16" i="24" s="1"/>
  <c r="E321" i="4"/>
  <c r="D28" i="24" s="1"/>
  <c r="E96" i="4"/>
  <c r="D15" i="24" s="1"/>
  <c r="E196" i="4"/>
  <c r="D19" i="24" s="1"/>
  <c r="E296" i="4"/>
  <c r="D27" i="24" s="1"/>
  <c r="E396" i="4"/>
  <c r="D31" i="24" s="1"/>
  <c r="H268" i="4"/>
  <c r="H344" i="4"/>
  <c r="H419" i="4"/>
  <c r="E71" i="4"/>
  <c r="D14" i="24" s="1"/>
  <c r="H443" i="4"/>
  <c r="H343" i="4"/>
  <c r="H294" i="4"/>
  <c r="H69" i="4"/>
  <c r="H219" i="4"/>
  <c r="H494" i="4"/>
  <c r="H43" i="4"/>
  <c r="H193" i="4"/>
  <c r="H218" i="4"/>
  <c r="H393" i="4"/>
  <c r="H119" i="4"/>
  <c r="H269" i="4"/>
  <c r="H468" i="4"/>
  <c r="H93" i="4"/>
  <c r="H194" i="4"/>
  <c r="H469" i="4"/>
  <c r="H293" i="4"/>
  <c r="H243" i="4"/>
  <c r="H369" i="4"/>
  <c r="H394" i="4"/>
  <c r="H318" i="4"/>
  <c r="H143" i="4"/>
  <c r="H44" i="4"/>
  <c r="B10" i="1" l="1"/>
  <c r="B9" i="1"/>
  <c r="H492" i="4"/>
  <c r="H442" i="4"/>
  <c r="H417" i="4"/>
  <c r="H317" i="4"/>
  <c r="H292" i="4"/>
  <c r="H242" i="4"/>
  <c r="H217" i="4"/>
  <c r="H67" i="4"/>
  <c r="H22" i="4"/>
  <c r="H23" i="4"/>
  <c r="H21" i="4"/>
  <c r="H20" i="4"/>
  <c r="H19" i="4" l="1"/>
  <c r="H167" i="4"/>
  <c r="H142" i="4"/>
  <c r="H117" i="4"/>
  <c r="H467" i="4"/>
  <c r="H392" i="4"/>
  <c r="H367" i="4"/>
  <c r="H342" i="4"/>
  <c r="H267" i="4"/>
  <c r="H192" i="4"/>
  <c r="H92" i="4"/>
  <c r="H42" i="4"/>
  <c r="H18" i="4"/>
  <c r="B10" i="4" l="1"/>
  <c r="B9" i="4"/>
  <c r="E27" i="21" l="1"/>
  <c r="E16" i="16" l="1"/>
  <c r="B10" i="26" l="1"/>
  <c r="B9" i="26"/>
  <c r="B10" i="21"/>
  <c r="B9" i="21"/>
  <c r="B10" i="25"/>
  <c r="B9" i="25"/>
  <c r="B10" i="16"/>
  <c r="B9" i="16"/>
  <c r="B10" i="18"/>
  <c r="B9" i="18"/>
  <c r="B59" i="15" l="1"/>
  <c r="H15" i="16"/>
  <c r="H17" i="4" l="1"/>
  <c r="E20" i="18" l="1"/>
  <c r="E21" i="18" s="1"/>
  <c r="D7" i="24" l="1"/>
  <c r="E20" i="16"/>
  <c r="E21" i="16" l="1"/>
  <c r="B39" i="15"/>
  <c r="B38" i="15"/>
  <c r="B37" i="15"/>
  <c r="B36" i="15"/>
  <c r="B35" i="15"/>
  <c r="B34" i="15"/>
  <c r="H17" i="18" l="1"/>
  <c r="H14" i="2" l="1"/>
  <c r="B33" i="15" l="1"/>
  <c r="B32" i="15"/>
  <c r="B31" i="15"/>
  <c r="B30" i="15"/>
  <c r="H16" i="16" s="1"/>
  <c r="H14" i="16" s="1"/>
  <c r="D17" i="1" s="1"/>
  <c r="C28" i="23"/>
  <c r="C27" i="23"/>
  <c r="C26" i="23"/>
  <c r="C25" i="23"/>
  <c r="C24" i="23"/>
  <c r="E22" i="23"/>
  <c r="C22" i="23"/>
  <c r="E21" i="23"/>
  <c r="C21" i="23"/>
  <c r="E20" i="23"/>
  <c r="C20" i="23"/>
  <c r="E19" i="23"/>
  <c r="C19" i="23"/>
  <c r="E18" i="23"/>
  <c r="C18" i="23"/>
  <c r="E15" i="23"/>
  <c r="E14" i="23"/>
  <c r="E13" i="23"/>
  <c r="E12" i="23"/>
  <c r="E43" i="21"/>
  <c r="H29" i="25"/>
  <c r="H18" i="25"/>
  <c r="H17" i="25"/>
  <c r="H18" i="18"/>
  <c r="H16" i="18" s="1"/>
  <c r="H15" i="2" l="1"/>
  <c r="H13" i="2" s="1"/>
  <c r="D14" i="1" s="1"/>
  <c r="D15" i="26"/>
  <c r="E37" i="21"/>
  <c r="D25" i="26"/>
  <c r="E20" i="21"/>
  <c r="E28" i="21" s="1"/>
  <c r="H16" i="25"/>
  <c r="D24" i="26"/>
  <c r="D27" i="26"/>
  <c r="D21" i="26"/>
  <c r="E45" i="21" l="1"/>
  <c r="D19" i="1" s="1"/>
  <c r="D21" i="1" l="1"/>
</calcChain>
</file>

<file path=xl/sharedStrings.xml><?xml version="1.0" encoding="utf-8"?>
<sst xmlns="http://schemas.openxmlformats.org/spreadsheetml/2006/main" count="1982" uniqueCount="377">
  <si>
    <t>Project Name:</t>
  </si>
  <si>
    <t>Read Me Worksheet</t>
  </si>
  <si>
    <t>GHG Summary Worksheet</t>
  </si>
  <si>
    <t>Date Completed:</t>
  </si>
  <si>
    <t>Contact Name:</t>
  </si>
  <si>
    <t>Contact Phone Number:</t>
  </si>
  <si>
    <t>Contact Email:</t>
  </si>
  <si>
    <t>Grant ID, if applicable:</t>
  </si>
  <si>
    <t>Emission Reduction Factors Worksheet</t>
  </si>
  <si>
    <t xml:space="preserve">Questions on this document should be sent to: </t>
  </si>
  <si>
    <t>Conversion Factors</t>
  </si>
  <si>
    <t>lb/MT</t>
  </si>
  <si>
    <t>Questions on the Forest Health Program should be sent to:</t>
  </si>
  <si>
    <t>Reforestation</t>
  </si>
  <si>
    <t>Pest Management</t>
  </si>
  <si>
    <t>Fuels Reduction</t>
  </si>
  <si>
    <t>Forest Conservation</t>
  </si>
  <si>
    <t>Biomass Utilization</t>
  </si>
  <si>
    <t>Conversions Worksheet</t>
  </si>
  <si>
    <t>Pest Management Worksheet</t>
  </si>
  <si>
    <t>Fuels Reduction Worksheet</t>
  </si>
  <si>
    <t>Biomass Utilization Worksheet</t>
  </si>
  <si>
    <t>Area subject to site preparation (acres)</t>
  </si>
  <si>
    <t>Land cover type (select from options)</t>
  </si>
  <si>
    <t>Biomass removed via mechanical treatments (BDT)</t>
  </si>
  <si>
    <t>Type of conversion threat (select from options)</t>
  </si>
  <si>
    <t>Biomass that would be removed and landfilled without project (BDT)</t>
  </si>
  <si>
    <t>Biomass that would be removed and open pile burned without project (BDT)</t>
  </si>
  <si>
    <t>Biomass that would be removed and left to decay on-site without project (BDT)</t>
  </si>
  <si>
    <t>Biomass that will go into Softwood Lumber (%)</t>
  </si>
  <si>
    <t>Biomass that will go into Hardwood Lumber (%)</t>
  </si>
  <si>
    <t>Biomass that will go into Softwood Plywood (%)</t>
  </si>
  <si>
    <t>Biomass that will go into Nonstructural Panels (%)</t>
  </si>
  <si>
    <t>Biomass that will go into Paper (%)</t>
  </si>
  <si>
    <t>Enter data below using the appropriate on-site carbon stock accounting tools identified in Table 2 of the quantification methodology.  If the pest management treatment or impact boundary overlaps with another activity's treatment or impact boundary, apportion the acreage as instructed in Table 3 of the quantification methodology.</t>
  </si>
  <si>
    <t>Enter data below using the appropriate on-site carbon stock accounting tools identified in Table 2 of the quantification methodology.  If the fuels reduction treatment or impact boundary overlaps with another activity's treatment or impact boundary, apportion the acreage as instructed in Table 3 of the quantification methodology.</t>
  </si>
  <si>
    <r>
      <t>GHG benefit from reforestation activities (MT CO</t>
    </r>
    <r>
      <rPr>
        <vertAlign val="subscript"/>
        <sz val="12"/>
        <color theme="1"/>
        <rFont val="Arial"/>
        <family val="2"/>
      </rPr>
      <t>2</t>
    </r>
    <r>
      <rPr>
        <sz val="12"/>
        <color theme="1"/>
        <rFont val="Arial"/>
        <family val="2"/>
      </rPr>
      <t>e)</t>
    </r>
  </si>
  <si>
    <r>
      <t>GHG benefit from pest management activities (MT CO</t>
    </r>
    <r>
      <rPr>
        <vertAlign val="subscript"/>
        <sz val="12"/>
        <color theme="1"/>
        <rFont val="Arial"/>
        <family val="2"/>
      </rPr>
      <t>2</t>
    </r>
    <r>
      <rPr>
        <sz val="12"/>
        <color theme="1"/>
        <rFont val="Arial"/>
        <family val="2"/>
      </rPr>
      <t>e)</t>
    </r>
  </si>
  <si>
    <r>
      <t>GHG benefit from fuels reduction activities (MT CO</t>
    </r>
    <r>
      <rPr>
        <vertAlign val="subscript"/>
        <sz val="12"/>
        <color theme="1"/>
        <rFont val="Arial"/>
        <family val="2"/>
      </rPr>
      <t>2</t>
    </r>
    <r>
      <rPr>
        <sz val="12"/>
        <color theme="1"/>
        <rFont val="Arial"/>
        <family val="2"/>
      </rPr>
      <t>e)</t>
    </r>
  </si>
  <si>
    <r>
      <t>GHG benefit from biomass utilization activities (MT CO</t>
    </r>
    <r>
      <rPr>
        <vertAlign val="subscript"/>
        <sz val="12"/>
        <color theme="1"/>
        <rFont val="Arial"/>
        <family val="2"/>
      </rPr>
      <t>2</t>
    </r>
    <r>
      <rPr>
        <sz val="12"/>
        <color theme="1"/>
        <rFont val="Arial"/>
        <family val="2"/>
      </rPr>
      <t>e)</t>
    </r>
  </si>
  <si>
    <r>
      <t>On-site carbon storage and project emissions in reforestation project scenario (MT CO</t>
    </r>
    <r>
      <rPr>
        <vertAlign val="subscript"/>
        <sz val="12"/>
        <color theme="1"/>
        <rFont val="Arial"/>
        <family val="2"/>
      </rPr>
      <t>2</t>
    </r>
    <r>
      <rPr>
        <sz val="12"/>
        <color theme="1"/>
        <rFont val="Arial"/>
        <family val="2"/>
      </rPr>
      <t>e)</t>
    </r>
  </si>
  <si>
    <r>
      <t>On-site carbon storage in baseline scenario (MT CO</t>
    </r>
    <r>
      <rPr>
        <vertAlign val="subscript"/>
        <sz val="12"/>
        <color theme="1"/>
        <rFont val="Arial"/>
        <family val="2"/>
      </rPr>
      <t>2</t>
    </r>
    <r>
      <rPr>
        <sz val="12"/>
        <color theme="1"/>
        <rFont val="Arial"/>
        <family val="2"/>
      </rPr>
      <t>e)</t>
    </r>
  </si>
  <si>
    <r>
      <t>On-site carbon storage and project emissions in pest management project scenario (MT CO</t>
    </r>
    <r>
      <rPr>
        <vertAlign val="subscript"/>
        <sz val="12"/>
        <color theme="1"/>
        <rFont val="Arial"/>
        <family val="2"/>
      </rPr>
      <t>2</t>
    </r>
    <r>
      <rPr>
        <sz val="12"/>
        <color theme="1"/>
        <rFont val="Arial"/>
        <family val="2"/>
      </rPr>
      <t>e)</t>
    </r>
  </si>
  <si>
    <r>
      <t>On-site carbon storage and project emissions in fuels reduction project scenario (MT CO</t>
    </r>
    <r>
      <rPr>
        <vertAlign val="subscript"/>
        <sz val="12"/>
        <color theme="1"/>
        <rFont val="Arial"/>
        <family val="2"/>
      </rPr>
      <t>2</t>
    </r>
    <r>
      <rPr>
        <sz val="12"/>
        <color theme="1"/>
        <rFont val="Arial"/>
        <family val="2"/>
      </rPr>
      <t>e)</t>
    </r>
  </si>
  <si>
    <r>
      <t>On-site carbon storage in forest conservation project scenario (MT CO</t>
    </r>
    <r>
      <rPr>
        <vertAlign val="subscript"/>
        <sz val="12"/>
        <color theme="1"/>
        <rFont val="Arial"/>
        <family val="2"/>
      </rPr>
      <t>2</t>
    </r>
    <r>
      <rPr>
        <sz val="12"/>
        <color theme="1"/>
        <rFont val="Arial"/>
        <family val="2"/>
      </rPr>
      <t>e)</t>
    </r>
  </si>
  <si>
    <r>
      <t>GHG benefit from avoided biomass disposal emissions (MT CO</t>
    </r>
    <r>
      <rPr>
        <vertAlign val="subscript"/>
        <sz val="12"/>
        <color theme="1"/>
        <rFont val="Arial"/>
        <family val="2"/>
      </rPr>
      <t>2</t>
    </r>
    <r>
      <rPr>
        <sz val="12"/>
        <color theme="1"/>
        <rFont val="Arial"/>
        <family val="2"/>
      </rPr>
      <t>e)</t>
    </r>
  </si>
  <si>
    <r>
      <t>GHG benefit from utilizing biomass for electricity generation (MT CO</t>
    </r>
    <r>
      <rPr>
        <vertAlign val="subscript"/>
        <sz val="12"/>
        <color theme="1"/>
        <rFont val="Arial"/>
        <family val="2"/>
      </rPr>
      <t>2</t>
    </r>
    <r>
      <rPr>
        <sz val="12"/>
        <color theme="1"/>
        <rFont val="Arial"/>
        <family val="2"/>
      </rPr>
      <t>e)</t>
    </r>
  </si>
  <si>
    <r>
      <t>GHG benefit of carbon stored long-term in wood products (MT CO</t>
    </r>
    <r>
      <rPr>
        <vertAlign val="subscript"/>
        <sz val="12"/>
        <color theme="1"/>
        <rFont val="Arial"/>
        <family val="2"/>
      </rPr>
      <t>2</t>
    </r>
    <r>
      <rPr>
        <sz val="12"/>
        <color theme="1"/>
        <rFont val="Arial"/>
        <family val="2"/>
      </rPr>
      <t>e)</t>
    </r>
  </si>
  <si>
    <t>For all biomass utilization activities that send biomass to a biomass energy facility:</t>
  </si>
  <si>
    <t>For all biomass utilization activities that send biomass to a mill:</t>
  </si>
  <si>
    <t>Carbon lost from removal of shrubs and herbaceous understory during reforestation site preparation (grass cover) (MT CO2e/acre)</t>
  </si>
  <si>
    <t>Carbon lost from removal of shrubs and herbaceous understory during reforestation site preparation (light to medium shrub cover) (MT CO2e/acre)</t>
  </si>
  <si>
    <t xml:space="preserve">Scott, J.H. and Burgan, R.E. (2005)  Standard fire behavior fuel models: A comprehensive set for use with Rothermel's surface fire spread model </t>
  </si>
  <si>
    <t>California Air Resources Board, Detailed California-Modified GREET Pathway for Cellulosic Ethanol from Forest Waste (February 27, 2009) https://www.arb.ca.gov/fuels/lcfs/022709lcfs_forestw.pdf</t>
  </si>
  <si>
    <t>Conversion impact when threatened with conversion to recreational use</t>
  </si>
  <si>
    <t>Conversion impact when threatened with conversion to mining  use</t>
  </si>
  <si>
    <t>Conversion impact when threatened with conversion to commercial use</t>
  </si>
  <si>
    <t>Conversion impact when threatened with conversion to industrial use</t>
  </si>
  <si>
    <t>California Air Resources Board, Compliance Offset Protocol U.S. Forest Projects (June 25, 2015) https://www.arb.ca.gov/cc/capandtrade/protocols/usforest/forestprotocol2015.pdf</t>
  </si>
  <si>
    <t>Conversion impact when threatened with conversion to agricultural  use</t>
  </si>
  <si>
    <t xml:space="preserve">California Air Resources Board, Draft Method for Estimating Greenhouse Gas Emission Reductions from Diversion of Organic Waste from Landfills to Compost Facilities (March 2016)
https://www.arb.ca.gov/cc/waste/waste.htm
</t>
  </si>
  <si>
    <t>Carbon storage factor for softwood lumber</t>
  </si>
  <si>
    <t>Carbon storage factor for hardwood lumber</t>
  </si>
  <si>
    <t>Carbon storage factor for softwood plywood</t>
  </si>
  <si>
    <t>Carbon storage factor for oriented standboard</t>
  </si>
  <si>
    <t>Carbon storage factor for nonstructural panels</t>
  </si>
  <si>
    <t>Carbon storage factor for paper</t>
  </si>
  <si>
    <t>Carbon storage factor for miscellaneous products</t>
  </si>
  <si>
    <t>MT/ton</t>
  </si>
  <si>
    <t>Placer County Air Pollution Control District, Biomass Waste for Energy Project Reporting Protocol (January 2013)
http://www.placer.ca.gov/~media/apc/documents/apcd biomass/biomasswasteforenergyproject.pdf</t>
  </si>
  <si>
    <t>Placer County Air Pollution Control District, Biomass Waste for Energy Project Reporting Protocol (January 2013)
http://www.placer.ca.gov/~/media/apc/documents/apcd biomass/biomasswasteforenergyproject.pdf</t>
  </si>
  <si>
    <r>
      <t>CO</t>
    </r>
    <r>
      <rPr>
        <vertAlign val="subscript"/>
        <sz val="12"/>
        <color theme="1"/>
        <rFont val="Arial"/>
        <family val="2"/>
      </rPr>
      <t>2</t>
    </r>
    <r>
      <rPr>
        <sz val="12"/>
        <color theme="1"/>
        <rFont val="Arial"/>
        <family val="2"/>
      </rPr>
      <t>e/C</t>
    </r>
  </si>
  <si>
    <t>Level of brush cover (select from options)</t>
  </si>
  <si>
    <t>Grass</t>
  </si>
  <si>
    <t>Heavy shrubs</t>
  </si>
  <si>
    <t>Light to medium shrubs</t>
  </si>
  <si>
    <t>Light (0-25% brush cover)</t>
  </si>
  <si>
    <t xml:space="preserve">Medium (&gt;25-50% dense brush cover) </t>
  </si>
  <si>
    <t xml:space="preserve">Heavy (&gt;50% brush cover, stump removal) </t>
  </si>
  <si>
    <t>Annual probability of fire occurrence (%)</t>
  </si>
  <si>
    <t>Agricultural Use</t>
  </si>
  <si>
    <t>Mining Use</t>
  </si>
  <si>
    <t>Recreational Use</t>
  </si>
  <si>
    <t>Commercial Use</t>
  </si>
  <si>
    <t>Industrial Use</t>
  </si>
  <si>
    <t>Residential Use</t>
  </si>
  <si>
    <t>Amount of biomass that would be removed from within the treatment boundary and utilized without the conservation easement (BDT)</t>
  </si>
  <si>
    <t>Maximum amount of biomass that would be removed from within the treatment boundary without the conservation easement (BDT)</t>
  </si>
  <si>
    <t>Carbon transferred to wood products</t>
  </si>
  <si>
    <t>Unit carbon/unit biomass</t>
  </si>
  <si>
    <t>lb/short ton or bone dry ton (BDT)</t>
  </si>
  <si>
    <t>Metric Ton Carbon Dioxide Equivalent</t>
  </si>
  <si>
    <t>Metric Ton Carbon</t>
  </si>
  <si>
    <t>Hectares</t>
  </si>
  <si>
    <t>Acres</t>
  </si>
  <si>
    <t>Metric Ton Carbon/Acre</t>
  </si>
  <si>
    <t>Metric Ton Carbon/Hectare</t>
  </si>
  <si>
    <t>Bone Dry Ton Biomass</t>
  </si>
  <si>
    <t xml:space="preserve">Short Ton Carbon </t>
  </si>
  <si>
    <t>Carbon removed as part of pest management treatment (MT C)</t>
  </si>
  <si>
    <t>Carbon within the treatment boundary at the end of the project with the conservation easement (MT C)</t>
  </si>
  <si>
    <t>Carbon within the treatment boundary at end of project without reforestation (MT C)</t>
  </si>
  <si>
    <t>Reforestation Activity 1</t>
  </si>
  <si>
    <r>
      <t>GHG benefit from reforestation activity 1 
(MT CO</t>
    </r>
    <r>
      <rPr>
        <vertAlign val="subscript"/>
        <sz val="12"/>
        <color theme="1"/>
        <rFont val="Arial"/>
        <family val="2"/>
      </rPr>
      <t>2</t>
    </r>
    <r>
      <rPr>
        <sz val="12"/>
        <color theme="1"/>
        <rFont val="Arial"/>
        <family val="2"/>
      </rPr>
      <t>e)</t>
    </r>
  </si>
  <si>
    <t>Pest Management Activity 1</t>
  </si>
  <si>
    <t>Fuels Reduction Activity 1</t>
  </si>
  <si>
    <t>Fuels Reduction Activity 2</t>
  </si>
  <si>
    <t>Fuels Reduction Activity 3</t>
  </si>
  <si>
    <t>Fuels Reduction Activity 4</t>
  </si>
  <si>
    <t>Fuels Reduction Activity 5</t>
  </si>
  <si>
    <r>
      <t>GHG benefit from forest conservation activity 1 (MT CO</t>
    </r>
    <r>
      <rPr>
        <vertAlign val="subscript"/>
        <sz val="12"/>
        <color theme="1"/>
        <rFont val="Arial"/>
        <family val="2"/>
      </rPr>
      <t>2</t>
    </r>
    <r>
      <rPr>
        <sz val="12"/>
        <color theme="1"/>
        <rFont val="Arial"/>
        <family val="2"/>
      </rPr>
      <t>e)</t>
    </r>
  </si>
  <si>
    <r>
      <t>GHG benefit from forest conservation activity 2 (MT CO</t>
    </r>
    <r>
      <rPr>
        <vertAlign val="subscript"/>
        <sz val="12"/>
        <color theme="1"/>
        <rFont val="Arial"/>
        <family val="2"/>
      </rPr>
      <t>2</t>
    </r>
    <r>
      <rPr>
        <sz val="12"/>
        <color theme="1"/>
        <rFont val="Arial"/>
        <family val="2"/>
      </rPr>
      <t>e)</t>
    </r>
  </si>
  <si>
    <t>Mobile combustion emission factor for reforestation site preparation for light brush cover (0-25% brush cover) 
(MT CO2e/acre)</t>
  </si>
  <si>
    <t>Mobile combustion emission factor for reforestation site preparation for medium brush cover (&gt;25-50% dense brush cover) (MT CO2e/acre)</t>
  </si>
  <si>
    <t>Mobile combustion emission factor for reforestation site preparation for heavy brush cover (&gt;50% brush cover, stump removal) (MT CO2e/acre)</t>
  </si>
  <si>
    <t>Mobile combustion emission factor for biomass removal 
(MT CO2e/BDT)</t>
  </si>
  <si>
    <t>Carbon lost from removal of shrubs and herbaceous understory during reforestation site preparation (heavy shrub cover) (MT CO2e/acre)</t>
  </si>
  <si>
    <t>Area subject to herbicide treatment (acres)</t>
  </si>
  <si>
    <t>Sonne, E. (2006)  Greenhouse Gas Emissions from Forestry Operations: A Life Cycle Assessment.  Journal of Environmental Quality, 35, 1439–1450.  https://dl.sciencesocieties.org/publications/jeq/pdfs/35/4/1439</t>
  </si>
  <si>
    <t>Emission factor for herbicide treatment (MT CO2e/acre)</t>
  </si>
  <si>
    <r>
      <t>Mixed Conifer (ft</t>
    </r>
    <r>
      <rPr>
        <vertAlign val="superscript"/>
        <sz val="12"/>
        <color theme="1"/>
        <rFont val="Arial"/>
        <family val="2"/>
      </rPr>
      <t>3</t>
    </r>
    <r>
      <rPr>
        <sz val="12"/>
        <color theme="1"/>
        <rFont val="Arial"/>
        <family val="2"/>
      </rPr>
      <t>)</t>
    </r>
  </si>
  <si>
    <r>
      <t>Douglas-Fir (ft</t>
    </r>
    <r>
      <rPr>
        <vertAlign val="superscript"/>
        <sz val="12"/>
        <color theme="1"/>
        <rFont val="Arial"/>
        <family val="2"/>
      </rPr>
      <t>3</t>
    </r>
    <r>
      <rPr>
        <sz val="12"/>
        <color theme="1"/>
        <rFont val="Arial"/>
        <family val="2"/>
      </rPr>
      <t>)</t>
    </r>
  </si>
  <si>
    <r>
      <t>Fir, Spruce, or Hemlock (ft</t>
    </r>
    <r>
      <rPr>
        <vertAlign val="superscript"/>
        <sz val="12"/>
        <color theme="1"/>
        <rFont val="Arial"/>
        <family val="2"/>
      </rPr>
      <t>3</t>
    </r>
    <r>
      <rPr>
        <sz val="12"/>
        <color theme="1"/>
        <rFont val="Arial"/>
        <family val="2"/>
      </rPr>
      <t>)</t>
    </r>
  </si>
  <si>
    <r>
      <t>Ponderosa Pine (ft</t>
    </r>
    <r>
      <rPr>
        <vertAlign val="superscript"/>
        <sz val="12"/>
        <color theme="1"/>
        <rFont val="Arial"/>
        <family val="2"/>
      </rPr>
      <t>3</t>
    </r>
    <r>
      <rPr>
        <sz val="12"/>
        <color theme="1"/>
        <rFont val="Arial"/>
        <family val="2"/>
      </rPr>
      <t>)</t>
    </r>
  </si>
  <si>
    <r>
      <t>Redwood (ft</t>
    </r>
    <r>
      <rPr>
        <vertAlign val="superscript"/>
        <sz val="12"/>
        <color theme="1"/>
        <rFont val="Arial"/>
        <family val="2"/>
      </rPr>
      <t>3</t>
    </r>
    <r>
      <rPr>
        <sz val="12"/>
        <color theme="1"/>
        <rFont val="Arial"/>
        <family val="2"/>
      </rPr>
      <t>)</t>
    </r>
  </si>
  <si>
    <t>Acres/Hectare</t>
  </si>
  <si>
    <t>Unit Carbon/Unit Biomass</t>
  </si>
  <si>
    <t>Metric Ton (MT)/Short Ton or Bone Dry Ton (BDT)</t>
  </si>
  <si>
    <t>Pound (lb)/Short Ton or Bone Dry Ton (BDT)</t>
  </si>
  <si>
    <t>Kilogram (kg)/Metric Ton (MT)</t>
  </si>
  <si>
    <t>Kilogram (kg)/Short Ton or Bone Dry Ton (BDT)</t>
  </si>
  <si>
    <t xml:space="preserve">Conversion Rates </t>
  </si>
  <si>
    <r>
      <t>Wood Density of Softwoods from Mixed Conifer Forests (lbs/ft</t>
    </r>
    <r>
      <rPr>
        <vertAlign val="superscript"/>
        <sz val="12"/>
        <color theme="1"/>
        <rFont val="Arial"/>
        <family val="2"/>
      </rPr>
      <t>3</t>
    </r>
    <r>
      <rPr>
        <sz val="12"/>
        <color theme="1"/>
        <rFont val="Arial"/>
        <family val="2"/>
      </rPr>
      <t>)</t>
    </r>
  </si>
  <si>
    <r>
      <t>Wood Density of Softwoods from Fir, Spruce, or Hemlock Forests (lbs/ft</t>
    </r>
    <r>
      <rPr>
        <vertAlign val="superscript"/>
        <sz val="12"/>
        <color theme="1"/>
        <rFont val="Arial"/>
        <family val="2"/>
      </rPr>
      <t>3</t>
    </r>
    <r>
      <rPr>
        <sz val="12"/>
        <color theme="1"/>
        <rFont val="Arial"/>
        <family val="2"/>
      </rPr>
      <t>)</t>
    </r>
  </si>
  <si>
    <r>
      <t>Wood Density of Softwoods from Ponderosa Pine Forests (lbs/ft</t>
    </r>
    <r>
      <rPr>
        <vertAlign val="superscript"/>
        <sz val="12"/>
        <color theme="1"/>
        <rFont val="Arial"/>
        <family val="2"/>
      </rPr>
      <t>3</t>
    </r>
    <r>
      <rPr>
        <sz val="12"/>
        <color theme="1"/>
        <rFont val="Arial"/>
        <family val="2"/>
      </rPr>
      <t>)</t>
    </r>
  </si>
  <si>
    <r>
      <t>Wood Density of Softwoods from Redwood Forests (lbs/ft</t>
    </r>
    <r>
      <rPr>
        <vertAlign val="superscript"/>
        <sz val="12"/>
        <color theme="1"/>
        <rFont val="Arial"/>
        <family val="2"/>
      </rPr>
      <t>3</t>
    </r>
    <r>
      <rPr>
        <sz val="12"/>
        <color theme="1"/>
        <rFont val="Arial"/>
        <family val="2"/>
      </rPr>
      <t>)</t>
    </r>
  </si>
  <si>
    <r>
      <t>Wood Density of Hardwoods from Mixed Conifer Forests (lbs/ft</t>
    </r>
    <r>
      <rPr>
        <vertAlign val="superscript"/>
        <sz val="12"/>
        <color theme="1"/>
        <rFont val="Arial"/>
        <family val="2"/>
      </rPr>
      <t>3</t>
    </r>
    <r>
      <rPr>
        <sz val="12"/>
        <color theme="1"/>
        <rFont val="Arial"/>
        <family val="2"/>
      </rPr>
      <t>)</t>
    </r>
  </si>
  <si>
    <t>BDT for Softwoods</t>
  </si>
  <si>
    <t>BDT for Hardwoods</t>
  </si>
  <si>
    <t>Wood Weight by Species Type</t>
  </si>
  <si>
    <t>Wood Volume by Forest Type</t>
  </si>
  <si>
    <t>Area of the treatment boundary at risk of conversion (acres)</t>
  </si>
  <si>
    <t>Area of the treatment boundary (acres)</t>
  </si>
  <si>
    <t>Percent of the treatment boundary at risk of conversion (%)</t>
  </si>
  <si>
    <t>Biomass that would be removed from within the conservation treatment boundary and utilized for wood products without the easement (BDT)</t>
  </si>
  <si>
    <t>Biomass that is expected to be removed from within the conservation treatment boundary and utilized for wood products with the easement (BDT)</t>
  </si>
  <si>
    <t>Avoided Conversion Easement Activity 1</t>
  </si>
  <si>
    <t>Avoided Conversion Easement Activity 2</t>
  </si>
  <si>
    <r>
      <t>GHG benefit from forest management easement activities (MT CO</t>
    </r>
    <r>
      <rPr>
        <vertAlign val="subscript"/>
        <sz val="12"/>
        <color theme="1"/>
        <rFont val="Arial"/>
        <family val="2"/>
      </rPr>
      <t>2</t>
    </r>
    <r>
      <rPr>
        <sz val="12"/>
        <color theme="1"/>
        <rFont val="Arial"/>
        <family val="2"/>
      </rPr>
      <t>e)</t>
    </r>
  </si>
  <si>
    <t>Trees planted in reforestation activities (number of trees)</t>
  </si>
  <si>
    <t>Acres treated in pest management activities (acres)</t>
  </si>
  <si>
    <t>Acres treated in fuels reduction activities (acres)</t>
  </si>
  <si>
    <t>Acres impacted by fuels reduction activities (acres; if calculated)</t>
  </si>
  <si>
    <r>
      <t>Wood Density of Softwoods from Douglas-Fir Forests (lbs/ft</t>
    </r>
    <r>
      <rPr>
        <vertAlign val="superscript"/>
        <sz val="12"/>
        <color theme="1"/>
        <rFont val="Arial"/>
        <family val="2"/>
      </rPr>
      <t>3</t>
    </r>
    <r>
      <rPr>
        <sz val="12"/>
        <color theme="1"/>
        <rFont val="Arial"/>
        <family val="2"/>
      </rPr>
      <t>)</t>
    </r>
  </si>
  <si>
    <t>Pound (lb)/Metric Ton</t>
  </si>
  <si>
    <r>
      <t>Wood Density of Hardwoods from Douglas-Fir Forests (lbs/ft</t>
    </r>
    <r>
      <rPr>
        <vertAlign val="superscript"/>
        <sz val="12"/>
        <color theme="1"/>
        <rFont val="Arial"/>
        <family val="2"/>
      </rPr>
      <t>3</t>
    </r>
    <r>
      <rPr>
        <sz val="12"/>
        <color theme="1"/>
        <rFont val="Arial"/>
        <family val="2"/>
      </rPr>
      <t>)</t>
    </r>
  </si>
  <si>
    <t>Acres conserved via forest management easement activities (acres)</t>
  </si>
  <si>
    <t>Acres conserved via avoided conversion easement activities (acres)</t>
  </si>
  <si>
    <t>Acres planted in reforestation activities (acres)</t>
  </si>
  <si>
    <t>Area subject to reforestation (acres)</t>
  </si>
  <si>
    <t>Acres impacted in pest management activities (acres)</t>
  </si>
  <si>
    <t>Quantity of trees to be planted in reforestation activity (number of trees)</t>
  </si>
  <si>
    <t>Co-benefit Summary Worksheet</t>
  </si>
  <si>
    <t>Area within the treatment boundary (acres)</t>
  </si>
  <si>
    <t>Area within the pest management treatment boundary (acres)</t>
  </si>
  <si>
    <t>Area within the pest management impact boundary (acres)</t>
  </si>
  <si>
    <r>
      <t>GHG benefit from avoided conversion easement activities (MT CO</t>
    </r>
    <r>
      <rPr>
        <vertAlign val="subscript"/>
        <sz val="12"/>
        <color theme="1"/>
        <rFont val="Arial"/>
        <family val="2"/>
      </rPr>
      <t>2</t>
    </r>
    <r>
      <rPr>
        <sz val="12"/>
        <color theme="1"/>
        <rFont val="Arial"/>
        <family val="2"/>
      </rPr>
      <t>e)</t>
    </r>
  </si>
  <si>
    <t>Conversion impact when threatened with conversion to residential use (dependent on number of unique parcels and size of the treatment area entered in Easement--Avoided Conversion tab); Conservation Activity 1</t>
  </si>
  <si>
    <t>Conversion impact when threatened with conversion to residential use (dependent on number of unique parcels and size of the treatment area entered in Easement--Avoided Conversion tab); Conservation Activity 2</t>
  </si>
  <si>
    <t>Conversion impact when threatened with conversion to residential use (dependent on number of unique parcels and size of the treatment area entered in Easement--Avoided Conversion tab); Conservation Activity 3</t>
  </si>
  <si>
    <t>Conversion impact when threatened with conversion to residential use (dependent on number of unique parcels and size of the treatment area entered in Easement--Avoided Conversion tab); Conservation Activity 4</t>
  </si>
  <si>
    <t>Conversion impact when threatened with conversion to residential use (dependent on number of unique parcels and size of the treatment area entered in Easement--Avoided Conversion tab); Conservation Activity 5</t>
  </si>
  <si>
    <t xml:space="preserve">Electricity generated per ton of biomass waste via combustion (MWh/bone dry ton of biomass) </t>
  </si>
  <si>
    <t xml:space="preserve">California Air Resources Board &amp; California Department of Resources, Recycling, and Recovery, Biomass Conversion (September 17, 2013) https://www.arb.ca.gov/cc/waste/biomassconversion.pdf
Calculated using 4,051,000 MWh of annual energy production divided by 4,500,000 bone dry tons of biomass inputs to determine the avoided energy production per ton of waste. </t>
  </si>
  <si>
    <t xml:space="preserve">Electricity generated per ton of biomass waste via gasification (MWh/bone dry ton of biomass) </t>
  </si>
  <si>
    <t>If conversion threat type is residential, number of unique parcels that would be formed in the at-risk area (parcels)</t>
  </si>
  <si>
    <t xml:space="preserve">California Air Resources Board </t>
  </si>
  <si>
    <t>Biomass that will go into Oriented Strandboard (%)</t>
  </si>
  <si>
    <t>Area of treatment boundary subject to active forest management prescriptions (acres)</t>
  </si>
  <si>
    <r>
      <t xml:space="preserve">Carbon within the active forest management area at the end of the project </t>
    </r>
    <r>
      <rPr>
        <i/>
        <sz val="12"/>
        <color theme="1"/>
        <rFont val="Arial"/>
        <family val="2"/>
      </rPr>
      <t>without</t>
    </r>
    <r>
      <rPr>
        <sz val="12"/>
        <color theme="1"/>
        <rFont val="Arial"/>
        <family val="2"/>
      </rPr>
      <t xml:space="preserve"> the conservation easement (MT C)</t>
    </r>
  </si>
  <si>
    <r>
      <t xml:space="preserve">Carbon within the active forest management area at the end of the project </t>
    </r>
    <r>
      <rPr>
        <i/>
        <sz val="12"/>
        <color theme="1"/>
        <rFont val="Arial"/>
        <family val="2"/>
      </rPr>
      <t>with</t>
    </r>
    <r>
      <rPr>
        <sz val="12"/>
        <color theme="1"/>
        <rFont val="Arial"/>
        <family val="2"/>
      </rPr>
      <t xml:space="preserve"> the conservation easement (MT C)</t>
    </r>
  </si>
  <si>
    <r>
      <t xml:space="preserve">Biomass that would be removed from within the active forest management area and utilized for wood products </t>
    </r>
    <r>
      <rPr>
        <i/>
        <sz val="12"/>
        <color theme="1"/>
        <rFont val="Arial"/>
        <family val="2"/>
      </rPr>
      <t>without</t>
    </r>
    <r>
      <rPr>
        <sz val="12"/>
        <color theme="1"/>
        <rFont val="Arial"/>
        <family val="2"/>
      </rPr>
      <t xml:space="preserve"> the easement (BDT)</t>
    </r>
  </si>
  <si>
    <r>
      <t xml:space="preserve">Biomass that is expected to be removed from within the active forest management area and utilized for wood products </t>
    </r>
    <r>
      <rPr>
        <i/>
        <sz val="12"/>
        <color theme="1"/>
        <rFont val="Arial"/>
        <family val="2"/>
      </rPr>
      <t>with</t>
    </r>
    <r>
      <rPr>
        <sz val="12"/>
        <color theme="1"/>
        <rFont val="Arial"/>
        <family val="2"/>
      </rPr>
      <t xml:space="preserve"> conservation easement (BDT)</t>
    </r>
  </si>
  <si>
    <r>
      <t xml:space="preserve">Biomass that would be removed from within the active forest management area and utilized for electricity generation via combustion </t>
    </r>
    <r>
      <rPr>
        <i/>
        <sz val="12"/>
        <color theme="1"/>
        <rFont val="Arial"/>
        <family val="2"/>
      </rPr>
      <t>without</t>
    </r>
    <r>
      <rPr>
        <sz val="12"/>
        <color theme="1"/>
        <rFont val="Arial"/>
        <family val="2"/>
      </rPr>
      <t xml:space="preserve"> the conservation easement (BDT)</t>
    </r>
  </si>
  <si>
    <t>Area of the treatment (easement) boundary (acres)</t>
  </si>
  <si>
    <r>
      <t xml:space="preserve">Carbon within the </t>
    </r>
    <r>
      <rPr>
        <u/>
        <sz val="12"/>
        <color theme="1"/>
        <rFont val="Arial"/>
        <family val="2"/>
      </rPr>
      <t>impact</t>
    </r>
    <r>
      <rPr>
        <sz val="12"/>
        <color theme="1"/>
        <rFont val="Arial"/>
        <family val="2"/>
      </rPr>
      <t xml:space="preserve"> boundary at the end of the project without disturbance or pest management treatment (MT C)</t>
    </r>
  </si>
  <si>
    <r>
      <t xml:space="preserve">Carbon within the </t>
    </r>
    <r>
      <rPr>
        <u/>
        <sz val="12"/>
        <color theme="1"/>
        <rFont val="Arial"/>
        <family val="2"/>
      </rPr>
      <t>treatment</t>
    </r>
    <r>
      <rPr>
        <sz val="12"/>
        <color theme="1"/>
        <rFont val="Arial"/>
        <family val="2"/>
      </rPr>
      <t xml:space="preserve"> boundary at the end of the project without disturbance or pest management treatment (MT C)</t>
    </r>
  </si>
  <si>
    <t>Fuels Reduction Activity 6</t>
  </si>
  <si>
    <t>Fuels Reduction Activity 7</t>
  </si>
  <si>
    <t>Fuels Reduction Activity 8</t>
  </si>
  <si>
    <t>Fuels Reduction Activity 9</t>
  </si>
  <si>
    <t>Fuels Reduction Activity 10</t>
  </si>
  <si>
    <t>Site Productivity Class (I-V)</t>
  </si>
  <si>
    <t>Yes</t>
  </si>
  <si>
    <t>No</t>
  </si>
  <si>
    <t>Ownership Classes</t>
  </si>
  <si>
    <t>US BLM</t>
  </si>
  <si>
    <t>US NPS</t>
  </si>
  <si>
    <t>US DoD</t>
  </si>
  <si>
    <t>USDA-FS (non wilderness)</t>
  </si>
  <si>
    <t>Other Federal</t>
  </si>
  <si>
    <t>State Government</t>
  </si>
  <si>
    <t>Local Government</t>
  </si>
  <si>
    <t>Private</t>
  </si>
  <si>
    <t>Conservation Easement Protected</t>
  </si>
  <si>
    <r>
      <t xml:space="preserve">Percentage of treatment and impact boundaries at risk </t>
    </r>
    <r>
      <rPr>
        <i/>
        <u/>
        <sz val="12"/>
        <color theme="1"/>
        <rFont val="Arial"/>
        <family val="2"/>
      </rPr>
      <t>with</t>
    </r>
    <r>
      <rPr>
        <sz val="12"/>
        <color theme="1"/>
        <rFont val="Arial"/>
        <family val="2"/>
      </rPr>
      <t xml:space="preserve"> pest management treatment (%)</t>
    </r>
  </si>
  <si>
    <r>
      <t xml:space="preserve">Biomass that would be removed from within the conservation treatment boundary and utilized for wood products </t>
    </r>
    <r>
      <rPr>
        <u/>
        <sz val="12"/>
        <color theme="1"/>
        <rFont val="Arial"/>
        <family val="2"/>
      </rPr>
      <t>without</t>
    </r>
    <r>
      <rPr>
        <sz val="12"/>
        <color theme="1"/>
        <rFont val="Arial"/>
        <family val="2"/>
      </rPr>
      <t xml:space="preserve"> the easement (BDT)</t>
    </r>
  </si>
  <si>
    <r>
      <t xml:space="preserve">Biomass that is expected to be removed from within the conservation treatment boundary and utilized for wood products </t>
    </r>
    <r>
      <rPr>
        <u/>
        <sz val="12"/>
        <color theme="1"/>
        <rFont val="Arial"/>
        <family val="2"/>
      </rPr>
      <t>with</t>
    </r>
    <r>
      <rPr>
        <sz val="12"/>
        <color theme="1"/>
        <rFont val="Arial"/>
        <family val="2"/>
      </rPr>
      <t xml:space="preserve"> conservation easement (BDT)</t>
    </r>
  </si>
  <si>
    <r>
      <t xml:space="preserve">Biomass that would be removed from within the conservation treatment boundary and utilized for electricity generation via combustion </t>
    </r>
    <r>
      <rPr>
        <u/>
        <sz val="12"/>
        <color theme="1"/>
        <rFont val="Arial"/>
        <family val="2"/>
      </rPr>
      <t>without</t>
    </r>
    <r>
      <rPr>
        <sz val="12"/>
        <color theme="1"/>
        <rFont val="Arial"/>
        <family val="2"/>
      </rPr>
      <t xml:space="preserve"> the conservation easement (BDT)</t>
    </r>
  </si>
  <si>
    <r>
      <t xml:space="preserve">Biomass that is expected to be removed from within the conservation treatment boundary and utilized for electricity generation via combustion </t>
    </r>
    <r>
      <rPr>
        <u/>
        <sz val="12"/>
        <color theme="1"/>
        <rFont val="Arial"/>
        <family val="2"/>
      </rPr>
      <t>with</t>
    </r>
    <r>
      <rPr>
        <sz val="12"/>
        <color theme="1"/>
        <rFont val="Arial"/>
        <family val="2"/>
      </rPr>
      <t xml:space="preserve"> the conservation easement (BDT)</t>
    </r>
  </si>
  <si>
    <r>
      <t xml:space="preserve">Biomass that would be removed from within the conservation treatment boundary and utilized for electricity generation via gasification </t>
    </r>
    <r>
      <rPr>
        <u/>
        <sz val="12"/>
        <color theme="1"/>
        <rFont val="Arial"/>
        <family val="2"/>
      </rPr>
      <t>without</t>
    </r>
    <r>
      <rPr>
        <sz val="12"/>
        <color theme="1"/>
        <rFont val="Arial"/>
        <family val="2"/>
      </rPr>
      <t xml:space="preserve"> the conservation easement (BDT)</t>
    </r>
  </si>
  <si>
    <r>
      <t xml:space="preserve">Biomass that is expected to be removed from within the conservation treatment boundary and utilized for electricity generation via gasification </t>
    </r>
    <r>
      <rPr>
        <u/>
        <sz val="12"/>
        <color theme="1"/>
        <rFont val="Arial"/>
        <family val="2"/>
      </rPr>
      <t>with</t>
    </r>
    <r>
      <rPr>
        <sz val="12"/>
        <color theme="1"/>
        <rFont val="Arial"/>
        <family val="2"/>
      </rPr>
      <t xml:space="preserve"> the conservation easement (BDT)</t>
    </r>
  </si>
  <si>
    <t>Class I</t>
  </si>
  <si>
    <t>Class II or III</t>
  </si>
  <si>
    <t>Class IV or V</t>
  </si>
  <si>
    <t>Site Productivity</t>
  </si>
  <si>
    <t>Forest Practice Site Class (I-V)</t>
  </si>
  <si>
    <t>Land ownership type (prior to easement)</t>
  </si>
  <si>
    <t>Conversion impact when threatened with conversion to residential use (dependent on number of unique parcels and size of the treatment area entered in Easement--Avoided Conversion tab); Conservation Activity 6</t>
  </si>
  <si>
    <t>Conversion impact when threatened with conversion to residential use (dependent on number of unique parcels and size of the treatment area entered in Easement--Avoided Conversion tab); Conservation Activity 7</t>
  </si>
  <si>
    <t>Conversion impact when threatened with conversion to residential use (dependent on number of unique parcels and size of the treatment area entered in Easement--Avoided Conversion tab); Conservation Activity 8</t>
  </si>
  <si>
    <t>Conversion impact when threatened with conversion to residential use (dependent on number of unique parcels and size of the treatment area entered in Easement--Avoided Conversion tab); Conservation Activity 9</t>
  </si>
  <si>
    <t>Conversion impact when threatened with conversion to residential use (dependent on number of unique parcels and size of the treatment area entered in Easement--Avoided Conversion tab); Conservation Activity 10</t>
  </si>
  <si>
    <r>
      <t xml:space="preserve">Biomass that would be removed from within the active forest management area and utilized for electricity generation via gasification </t>
    </r>
    <r>
      <rPr>
        <i/>
        <u/>
        <sz val="12"/>
        <color theme="1"/>
        <rFont val="Arial"/>
        <family val="2"/>
      </rPr>
      <t>without</t>
    </r>
    <r>
      <rPr>
        <sz val="12"/>
        <color theme="1"/>
        <rFont val="Arial"/>
        <family val="2"/>
      </rPr>
      <t xml:space="preserve"> the conservation easement (BDT)</t>
    </r>
  </si>
  <si>
    <r>
      <t xml:space="preserve">Biomass that is expected to be removed from within the active forest management area and utilized for electricity generation via gasification </t>
    </r>
    <r>
      <rPr>
        <i/>
        <u/>
        <sz val="12"/>
        <color theme="1"/>
        <rFont val="Arial"/>
        <family val="2"/>
      </rPr>
      <t>with</t>
    </r>
    <r>
      <rPr>
        <sz val="12"/>
        <color theme="1"/>
        <rFont val="Arial"/>
        <family val="2"/>
      </rPr>
      <t xml:space="preserve"> the conservation easement (BDT)</t>
    </r>
  </si>
  <si>
    <r>
      <t xml:space="preserve">Biomass that is expected to be removed from within the active forest management area and utilized for electricity generation via combustion </t>
    </r>
    <r>
      <rPr>
        <i/>
        <u/>
        <sz val="12"/>
        <color theme="1"/>
        <rFont val="Arial"/>
        <family val="2"/>
      </rPr>
      <t>with</t>
    </r>
    <r>
      <rPr>
        <sz val="12"/>
        <color theme="1"/>
        <rFont val="Arial"/>
        <family val="2"/>
      </rPr>
      <t xml:space="preserve"> the conservation easement (BDT)</t>
    </r>
  </si>
  <si>
    <t>RF1</t>
  </si>
  <si>
    <t>RF2</t>
  </si>
  <si>
    <t>RF3</t>
  </si>
  <si>
    <t>RF4</t>
  </si>
  <si>
    <t>RF5</t>
  </si>
  <si>
    <t>PM1</t>
  </si>
  <si>
    <t>PM2</t>
  </si>
  <si>
    <t>PM3</t>
  </si>
  <si>
    <t>PM4</t>
  </si>
  <si>
    <t>PM5</t>
  </si>
  <si>
    <t>FR1</t>
  </si>
  <si>
    <t>FR2</t>
  </si>
  <si>
    <t>FR3</t>
  </si>
  <si>
    <t>FR4</t>
  </si>
  <si>
    <t>FR5</t>
  </si>
  <si>
    <t>FR6</t>
  </si>
  <si>
    <t>FR7</t>
  </si>
  <si>
    <t>FR8</t>
  </si>
  <si>
    <t>FR9</t>
  </si>
  <si>
    <t>FR10</t>
  </si>
  <si>
    <t>EAC1</t>
  </si>
  <si>
    <t>EAC2</t>
  </si>
  <si>
    <t>EFM1</t>
  </si>
  <si>
    <t>EFM2</t>
  </si>
  <si>
    <t>End of Project</t>
  </si>
  <si>
    <t>Activitiy</t>
  </si>
  <si>
    <t>Quantification period (end of project, in years)</t>
  </si>
  <si>
    <r>
      <t xml:space="preserve">Biomass that is expected to be removed from within the conservation treatment boundary and utilized for electricity generation </t>
    </r>
    <r>
      <rPr>
        <u/>
        <sz val="12"/>
        <color theme="1"/>
        <rFont val="Arial"/>
        <family val="2"/>
      </rPr>
      <t>via combustion</t>
    </r>
    <r>
      <rPr>
        <sz val="12"/>
        <color theme="1"/>
        <rFont val="Arial"/>
        <family val="2"/>
      </rPr>
      <t xml:space="preserve"> without the conservation easement (BDT)</t>
    </r>
  </si>
  <si>
    <r>
      <t xml:space="preserve">Biomass that is expected to be removed from within the conservation treatment boundary and utilized for electricity generation </t>
    </r>
    <r>
      <rPr>
        <u/>
        <sz val="12"/>
        <color theme="1"/>
        <rFont val="Arial"/>
        <family val="2"/>
      </rPr>
      <t>via combustion</t>
    </r>
    <r>
      <rPr>
        <sz val="12"/>
        <color theme="1"/>
        <rFont val="Arial"/>
        <family val="2"/>
      </rPr>
      <t xml:space="preserve"> with the conservation easement (BDT)</t>
    </r>
  </si>
  <si>
    <r>
      <t xml:space="preserve">Biomass that is expected to be removed from within the conservation treatment boundary and utilized for electricity generation </t>
    </r>
    <r>
      <rPr>
        <u/>
        <sz val="12"/>
        <color theme="1"/>
        <rFont val="Arial"/>
        <family val="2"/>
      </rPr>
      <t>via gasification</t>
    </r>
    <r>
      <rPr>
        <sz val="12"/>
        <color theme="1"/>
        <rFont val="Arial"/>
        <family val="2"/>
      </rPr>
      <t xml:space="preserve"> without the conservation easement (BDT)</t>
    </r>
  </si>
  <si>
    <r>
      <t xml:space="preserve">Biomass that is expected to be removed from within the conservation treatment boundary and utilized for electricity generation </t>
    </r>
    <r>
      <rPr>
        <u/>
        <sz val="12"/>
        <color theme="1"/>
        <rFont val="Arial"/>
        <family val="2"/>
      </rPr>
      <t>via gasification</t>
    </r>
    <r>
      <rPr>
        <sz val="12"/>
        <color theme="1"/>
        <rFont val="Arial"/>
        <family val="2"/>
      </rPr>
      <t xml:space="preserve"> with the conservation easement (BDT)</t>
    </r>
  </si>
  <si>
    <r>
      <t xml:space="preserve">Biomass to be removed from the project area as part of implementing reforestation or pest management activities and delivered to a biomass facility generating electricity </t>
    </r>
    <r>
      <rPr>
        <u/>
        <sz val="12"/>
        <color theme="1"/>
        <rFont val="Arial"/>
        <family val="2"/>
      </rPr>
      <t>via gasification</t>
    </r>
    <r>
      <rPr>
        <sz val="12"/>
        <color theme="1"/>
        <rFont val="Arial"/>
        <family val="2"/>
      </rPr>
      <t xml:space="preserve"> as part of the project (BDT)</t>
    </r>
  </si>
  <si>
    <r>
      <t xml:space="preserve">Carbon within the treatment boundary at the end of the project </t>
    </r>
    <r>
      <rPr>
        <u/>
        <sz val="12"/>
        <color theme="1"/>
        <rFont val="Arial"/>
        <family val="2"/>
      </rPr>
      <t>with</t>
    </r>
    <r>
      <rPr>
        <sz val="12"/>
        <color theme="1"/>
        <rFont val="Arial"/>
        <family val="2"/>
      </rPr>
      <t xml:space="preserve"> fuels reduction treatment, but </t>
    </r>
    <r>
      <rPr>
        <u/>
        <sz val="12"/>
        <color theme="1"/>
        <rFont val="Arial"/>
        <family val="2"/>
      </rPr>
      <t>without</t>
    </r>
    <r>
      <rPr>
        <sz val="12"/>
        <color theme="1"/>
        <rFont val="Arial"/>
        <family val="2"/>
      </rPr>
      <t xml:space="preserve"> fire disturbance (MT C)</t>
    </r>
  </si>
  <si>
    <r>
      <t xml:space="preserve">Carbon within the treatment boundary at the end of the project </t>
    </r>
    <r>
      <rPr>
        <u/>
        <sz val="12"/>
        <rFont val="Arial"/>
        <family val="2"/>
      </rPr>
      <t>with</t>
    </r>
    <r>
      <rPr>
        <sz val="12"/>
        <rFont val="Arial"/>
        <family val="2"/>
      </rPr>
      <t xml:space="preserve"> fuels reduction treatment and </t>
    </r>
    <r>
      <rPr>
        <u/>
        <sz val="12"/>
        <rFont val="Arial"/>
        <family val="2"/>
      </rPr>
      <t>with</t>
    </r>
    <r>
      <rPr>
        <sz val="12"/>
        <rFont val="Arial"/>
        <family val="2"/>
      </rPr>
      <t xml:space="preserve"> fire disturbance (MT C)</t>
    </r>
  </si>
  <si>
    <r>
      <t xml:space="preserve">Carbon within the treatment boundary at the end of the project </t>
    </r>
    <r>
      <rPr>
        <u/>
        <sz val="12"/>
        <color theme="1"/>
        <rFont val="Arial"/>
        <family val="2"/>
      </rPr>
      <t>without</t>
    </r>
    <r>
      <rPr>
        <sz val="12"/>
        <color theme="1"/>
        <rFont val="Arial"/>
        <family val="2"/>
      </rPr>
      <t xml:space="preserve"> fuels reduction treatment and </t>
    </r>
    <r>
      <rPr>
        <u/>
        <sz val="12"/>
        <color theme="1"/>
        <rFont val="Arial"/>
        <family val="2"/>
      </rPr>
      <t>without</t>
    </r>
    <r>
      <rPr>
        <sz val="12"/>
        <color theme="1"/>
        <rFont val="Arial"/>
        <family val="2"/>
      </rPr>
      <t xml:space="preserve"> fire disturbance (MT C)</t>
    </r>
  </si>
  <si>
    <r>
      <t xml:space="preserve">Carbon within the treatment boundary at the end of the project </t>
    </r>
    <r>
      <rPr>
        <u/>
        <sz val="12"/>
        <color theme="1"/>
        <rFont val="Arial"/>
        <family val="2"/>
      </rPr>
      <t>without</t>
    </r>
    <r>
      <rPr>
        <sz val="12"/>
        <color theme="1"/>
        <rFont val="Arial"/>
        <family val="2"/>
      </rPr>
      <t xml:space="preserve"> fuels reduction treatment, but </t>
    </r>
    <r>
      <rPr>
        <u/>
        <sz val="12"/>
        <color theme="1"/>
        <rFont val="Arial"/>
        <family val="2"/>
      </rPr>
      <t>with</t>
    </r>
    <r>
      <rPr>
        <sz val="12"/>
        <color theme="1"/>
        <rFont val="Arial"/>
        <family val="2"/>
      </rPr>
      <t xml:space="preserve"> fire disturbance (MT C)</t>
    </r>
  </si>
  <si>
    <t>kg/ton</t>
  </si>
  <si>
    <t>g/lb</t>
  </si>
  <si>
    <t>Table 5A in:  Sonoma County Water Agency, Feasibility of Using Residual Woody Biomass to Generate Electricity for Sonoma County, 2013 https://evogov.s3.amazonaws.com/185/media/182331.pdf</t>
  </si>
  <si>
    <r>
      <t>Fossil fuel displacement emission reduction factor for electricity generated via combustion (MT CO</t>
    </r>
    <r>
      <rPr>
        <vertAlign val="subscript"/>
        <sz val="12"/>
        <color theme="1"/>
        <rFont val="Avenir LT Std 55 Roman"/>
        <family val="2"/>
      </rPr>
      <t>2</t>
    </r>
    <r>
      <rPr>
        <sz val="12"/>
        <color theme="1"/>
        <rFont val="Avenir LT Std 55 Roman"/>
        <family val="2"/>
      </rPr>
      <t>e/BDT)</t>
    </r>
  </si>
  <si>
    <r>
      <t xml:space="preserve">California Air Resources Board &amp; California Department of Resources, Recycling, and Recovery, Biomass Conversion (September 17, 2013) https://www.arb.ca.gov/cc/waste/biomassconversion.pdf
</t>
    </r>
    <r>
      <rPr>
        <i/>
        <sz val="12"/>
        <color theme="1"/>
        <rFont val="Avenir LT Std 55 Roman"/>
        <family val="2"/>
      </rPr>
      <t>Note: This methodology assumes that the wood waste is delivered to a biomass energy facility that produces electricity via combustion where the biomass is incinerated in boiler to produce steam which powers a turbine-driven generator that produces electricity.  Applicants that propose eligible projects that cannot be calculated using the GHG Calculator Tool, such as projects that utilize biomass energy technology not included in the calculator, may propose the use of alternative GHG quantification methods.  See the acccompanying quantification methodology for more details.</t>
    </r>
  </si>
  <si>
    <r>
      <t>Fossil fuel displacement emission reduction factor for electricity generated via gasification (MT CO</t>
    </r>
    <r>
      <rPr>
        <vertAlign val="subscript"/>
        <sz val="12"/>
        <color theme="1"/>
        <rFont val="Avenir LT Std 55 Roman"/>
        <family val="2"/>
      </rPr>
      <t>2</t>
    </r>
    <r>
      <rPr>
        <sz val="12"/>
        <color theme="1"/>
        <rFont val="Avenir LT Std 55 Roman"/>
        <family val="2"/>
      </rPr>
      <t>e/BDT)</t>
    </r>
  </si>
  <si>
    <r>
      <t xml:space="preserve">California Air Resources Board, Detailed California-Modified GREET Pathway for Cellulosic Ethanol from Forest Waste (February 27, 2009) https://www.arb.ca.gov/fuels/lcfs/022709lcfs_forestw.pdf
Sonoma County Water Agency, Feasibility of Using Residual Woody Biomass to Generate Electricity for Sonoma County (2013)
http://www.scwa.ca.gov/files/docs/carbon-free-water/SCWA Bioenergy Feasibility Assessment_WDFeatherman_FINAL REPORT_2014-05-17.pdf
</t>
    </r>
    <r>
      <rPr>
        <i/>
        <sz val="12"/>
        <color theme="1"/>
        <rFont val="Avenir LT Std 55 Roman"/>
        <family val="2"/>
      </rPr>
      <t>Note: This methodology assumes that the wood waste is delivered to a biomass energy facility that produces electricity via gasification where the biomass is heated in an oxygen-limited environment to produce hydrogen and carbon monoxide rich gas (syn gas) which powers a turbine-driven generator or internal combustion engine that produces electricity.  Applicants that propose eligible projects that cannot be calculated using the GHG Calculator Tool, such as projects that utilize biomass energy technology not included in the Calculator, may propose the use of alternative GHG quantification methods.  See the acccompanying quantification methodology for more details.</t>
    </r>
  </si>
  <si>
    <r>
      <t>Avoided Open Pile Burn Emissions (ton CO</t>
    </r>
    <r>
      <rPr>
        <vertAlign val="subscript"/>
        <sz val="12"/>
        <color theme="1"/>
        <rFont val="Avenir LT Std 55 Roman"/>
        <family val="2"/>
      </rPr>
      <t>2</t>
    </r>
    <r>
      <rPr>
        <sz val="12"/>
        <color theme="1"/>
        <rFont val="Avenir LT Std 55 Roman"/>
        <family val="2"/>
      </rPr>
      <t>e/BDT)</t>
    </r>
  </si>
  <si>
    <r>
      <t>Avoided landfill emissions (MT CO</t>
    </r>
    <r>
      <rPr>
        <vertAlign val="subscript"/>
        <sz val="12"/>
        <color theme="1"/>
        <rFont val="Avenir LT Std 55 Roman"/>
        <family val="2"/>
      </rPr>
      <t>2</t>
    </r>
    <r>
      <rPr>
        <sz val="12"/>
        <color theme="1"/>
        <rFont val="Avenir LT Std 55 Roman"/>
        <family val="2"/>
      </rPr>
      <t>e/short ton)</t>
    </r>
  </si>
  <si>
    <r>
      <t>Avoided on-site decay emissions (ton CO</t>
    </r>
    <r>
      <rPr>
        <vertAlign val="subscript"/>
        <sz val="12"/>
        <color theme="1"/>
        <rFont val="Avenir LT Std 55 Roman"/>
        <family val="2"/>
      </rPr>
      <t>2</t>
    </r>
    <r>
      <rPr>
        <sz val="12"/>
        <color theme="1"/>
        <rFont val="Avenir LT Std 55 Roman"/>
        <family val="2"/>
      </rPr>
      <t>e/BDT)</t>
    </r>
  </si>
  <si>
    <r>
      <t xml:space="preserve">Biomass to be removed from the project area as part of implementing reforestation, pest management, or fuels reduction activities and delivered to a biomass facility generating electricity </t>
    </r>
    <r>
      <rPr>
        <u/>
        <sz val="12"/>
        <color theme="1"/>
        <rFont val="Arial"/>
        <family val="2"/>
      </rPr>
      <t>via combustion</t>
    </r>
    <r>
      <rPr>
        <sz val="12"/>
        <color theme="1"/>
        <rFont val="Arial"/>
        <family val="2"/>
      </rPr>
      <t xml:space="preserve"> as part of the project (BDT)</t>
    </r>
  </si>
  <si>
    <t xml:space="preserve">available at: </t>
  </si>
  <si>
    <t>Co-Benefits &amp; Key Variables Summary</t>
  </si>
  <si>
    <t>Total land restored/treated (acres)</t>
  </si>
  <si>
    <t>Total land conserved (acres)</t>
  </si>
  <si>
    <t>Soil benefit (acres)</t>
  </si>
  <si>
    <t>Renewable energy generated (kWh)</t>
  </si>
  <si>
    <t>FR11</t>
  </si>
  <si>
    <t>FR12</t>
  </si>
  <si>
    <t>FR13</t>
  </si>
  <si>
    <t>FR14</t>
  </si>
  <si>
    <t>Forest Restoration and Management</t>
  </si>
  <si>
    <t>Benefits Calculator Tool</t>
  </si>
  <si>
    <t xml:space="preserve">The California Air Resources Board (CARB) is responsible for providing the quantification methodology to estimate greenhouse gas (GHG) emission reductions </t>
  </si>
  <si>
    <t xml:space="preserve">from California Climate Investment projects receiving monies from the Greenhouse Gas Reduction Fund (GGRF). </t>
  </si>
  <si>
    <t>This Forest Restoration and Management Benefits Calculator Tool is accompanied by a quantification methodology</t>
  </si>
  <si>
    <r>
      <t>Net GHG benefit (MT CO</t>
    </r>
    <r>
      <rPr>
        <vertAlign val="subscript"/>
        <sz val="12"/>
        <color theme="1"/>
        <rFont val="Arial"/>
        <family val="2"/>
      </rPr>
      <t>2</t>
    </r>
    <r>
      <rPr>
        <sz val="12"/>
        <color theme="1"/>
        <rFont val="Arial"/>
        <family val="2"/>
      </rPr>
      <t>e)</t>
    </r>
  </si>
  <si>
    <t>ForestHealth@fire.ca.gov</t>
  </si>
  <si>
    <t>Fuels Reduction Activity 11</t>
  </si>
  <si>
    <t>Fuels Reduction Activity 12</t>
  </si>
  <si>
    <t>Fuels Reduction Activity 13</t>
  </si>
  <si>
    <t>Fuels Reduction Activity 14</t>
  </si>
  <si>
    <t>Fuels Reduction Activity 15</t>
  </si>
  <si>
    <t>Fuels Reduction Activity 16</t>
  </si>
  <si>
    <t>Fuels Reduction Activity 17</t>
  </si>
  <si>
    <t>Fuels Reduction Activity 18</t>
  </si>
  <si>
    <t>Fuels Reduction Activity 19</t>
  </si>
  <si>
    <t>Fuels Reduction Activity 20</t>
  </si>
  <si>
    <t>Project Lifespan (Years)</t>
  </si>
  <si>
    <t>Source</t>
  </si>
  <si>
    <t>Value</t>
  </si>
  <si>
    <t>Intake form</t>
  </si>
  <si>
    <t>Treatment Year</t>
  </si>
  <si>
    <t>End of Project (Year)</t>
  </si>
  <si>
    <r>
      <t xml:space="preserve">Percentage of treatment and impact boundaries at risk </t>
    </r>
    <r>
      <rPr>
        <i/>
        <u val="double"/>
        <sz val="12"/>
        <color theme="1"/>
        <rFont val="Arial"/>
        <family val="2"/>
      </rPr>
      <t>without</t>
    </r>
    <r>
      <rPr>
        <sz val="12"/>
        <color theme="1"/>
        <rFont val="Arial"/>
        <family val="2"/>
      </rPr>
      <t xml:space="preserve"> pest management treatment (%)</t>
    </r>
  </si>
  <si>
    <t>TCN:</t>
  </si>
  <si>
    <t>Fiscal Year 2025-2026</t>
  </si>
  <si>
    <t>ForestHealthQM@arb.ca.gov</t>
  </si>
  <si>
    <t>https://www.caclimateinvestments.ca.gov/tools</t>
  </si>
  <si>
    <t>Treatment year</t>
  </si>
  <si>
    <t>TRIAADS</t>
  </si>
  <si>
    <t>Year of simulated wildfire</t>
  </si>
  <si>
    <r>
      <t>Proportion of</t>
    </r>
    <r>
      <rPr>
        <b/>
        <sz val="12"/>
        <color theme="1"/>
        <rFont val="Arial"/>
        <family val="2"/>
      </rPr>
      <t xml:space="preserve"> impact area </t>
    </r>
    <r>
      <rPr>
        <sz val="12"/>
        <color theme="1"/>
        <rFont val="Arial"/>
        <family val="2"/>
      </rPr>
      <t xml:space="preserve">likely to burn at high severity </t>
    </r>
    <r>
      <rPr>
        <b/>
        <u/>
        <sz val="12"/>
        <color theme="1"/>
        <rFont val="Arial"/>
        <family val="2"/>
      </rPr>
      <t>with</t>
    </r>
    <r>
      <rPr>
        <sz val="12"/>
        <color theme="1"/>
        <rFont val="Arial"/>
        <family val="2"/>
      </rPr>
      <t xml:space="preserve"> fuels reduction treatment  (%)</t>
    </r>
  </si>
  <si>
    <r>
      <t xml:space="preserve">Proportion of </t>
    </r>
    <r>
      <rPr>
        <b/>
        <sz val="12"/>
        <color theme="1"/>
        <rFont val="Arial"/>
        <family val="2"/>
      </rPr>
      <t>impact area</t>
    </r>
    <r>
      <rPr>
        <sz val="12"/>
        <color theme="1"/>
        <rFont val="Arial"/>
        <family val="2"/>
      </rPr>
      <t xml:space="preserve"> likely to burn at high severity </t>
    </r>
    <r>
      <rPr>
        <b/>
        <u/>
        <sz val="12"/>
        <color theme="1"/>
        <rFont val="Arial"/>
        <family val="2"/>
      </rPr>
      <t>without</t>
    </r>
    <r>
      <rPr>
        <sz val="12"/>
        <color theme="1"/>
        <rFont val="Arial"/>
        <family val="2"/>
      </rPr>
      <t xml:space="preserve"> fuels reduction treatment (%)</t>
    </r>
  </si>
  <si>
    <r>
      <t xml:space="preserve">Mean conditional burn probability </t>
    </r>
    <r>
      <rPr>
        <b/>
        <u/>
        <sz val="12"/>
        <color theme="1"/>
        <rFont val="Arial"/>
        <family val="2"/>
      </rPr>
      <t>without</t>
    </r>
    <r>
      <rPr>
        <b/>
        <sz val="12"/>
        <color theme="1"/>
        <rFont val="Arial"/>
        <family val="2"/>
      </rPr>
      <t xml:space="preserve"> </t>
    </r>
    <r>
      <rPr>
        <sz val="12"/>
        <color theme="1"/>
        <rFont val="Arial"/>
        <family val="2"/>
      </rPr>
      <t xml:space="preserve">fuels reduction treatment for the portion of the </t>
    </r>
    <r>
      <rPr>
        <b/>
        <sz val="12"/>
        <color theme="1"/>
        <rFont val="Arial"/>
        <family val="2"/>
      </rPr>
      <t>impact area</t>
    </r>
    <r>
      <rPr>
        <sz val="12"/>
        <color theme="1"/>
        <rFont val="Arial"/>
        <family val="2"/>
      </rPr>
      <t xml:space="preserve"> likely to burn at high severity in the baseline scenario  (%)</t>
    </r>
  </si>
  <si>
    <r>
      <t>Mean conditional burn probability in the project scenario (</t>
    </r>
    <r>
      <rPr>
        <b/>
        <u/>
        <sz val="12"/>
        <color theme="1"/>
        <rFont val="Arial"/>
        <family val="2"/>
      </rPr>
      <t>with</t>
    </r>
    <r>
      <rPr>
        <sz val="12"/>
        <color theme="1"/>
        <rFont val="Arial"/>
        <family val="2"/>
      </rPr>
      <t xml:space="preserve"> fuels reduction treatment) for the portion of the</t>
    </r>
    <r>
      <rPr>
        <b/>
        <sz val="12"/>
        <color theme="1"/>
        <rFont val="Arial"/>
        <family val="2"/>
      </rPr>
      <t xml:space="preserve"> impact area</t>
    </r>
    <r>
      <rPr>
        <sz val="12"/>
        <color theme="1"/>
        <rFont val="Arial"/>
        <family val="2"/>
      </rPr>
      <t xml:space="preserve"> likely to burn at high severity in the treatment scenario (%)</t>
    </r>
  </si>
  <si>
    <r>
      <t>Mean conditional burn probability in the project scenario (</t>
    </r>
    <r>
      <rPr>
        <b/>
        <u/>
        <sz val="12"/>
        <color theme="1"/>
        <rFont val="Arial"/>
        <family val="2"/>
      </rPr>
      <t>with</t>
    </r>
    <r>
      <rPr>
        <sz val="12"/>
        <color theme="1"/>
        <rFont val="Arial"/>
        <family val="2"/>
      </rPr>
      <t xml:space="preserve"> fuels reduction treatment) for the portion of the</t>
    </r>
    <r>
      <rPr>
        <b/>
        <sz val="12"/>
        <color theme="1"/>
        <rFont val="Arial"/>
        <family val="2"/>
      </rPr>
      <t xml:space="preserve"> treatment area </t>
    </r>
    <r>
      <rPr>
        <sz val="12"/>
        <color theme="1"/>
        <rFont val="Arial"/>
        <family val="2"/>
      </rPr>
      <t>likely to burn at high severity in the treatment scenario (%)</t>
    </r>
  </si>
  <si>
    <r>
      <t xml:space="preserve">Mean conditional burn probability </t>
    </r>
    <r>
      <rPr>
        <b/>
        <u/>
        <sz val="12"/>
        <color theme="1"/>
        <rFont val="Arial"/>
        <family val="2"/>
      </rPr>
      <t>without</t>
    </r>
    <r>
      <rPr>
        <b/>
        <sz val="12"/>
        <color theme="1"/>
        <rFont val="Arial"/>
        <family val="2"/>
      </rPr>
      <t xml:space="preserve"> </t>
    </r>
    <r>
      <rPr>
        <sz val="12"/>
        <color theme="1"/>
        <rFont val="Arial"/>
        <family val="2"/>
      </rPr>
      <t>fuels reduction treatment for the portion of the</t>
    </r>
    <r>
      <rPr>
        <b/>
        <sz val="12"/>
        <color theme="1"/>
        <rFont val="Arial"/>
        <family val="2"/>
      </rPr>
      <t xml:space="preserve"> treatment area</t>
    </r>
    <r>
      <rPr>
        <sz val="12"/>
        <color theme="1"/>
        <rFont val="Arial"/>
        <family val="2"/>
      </rPr>
      <t xml:space="preserve"> likely to burn at high severity in the baseline scenario (%)</t>
    </r>
  </si>
  <si>
    <r>
      <t>Carbon within the</t>
    </r>
    <r>
      <rPr>
        <b/>
        <sz val="12"/>
        <color theme="1"/>
        <rFont val="Arial"/>
        <family val="2"/>
      </rPr>
      <t xml:space="preserve"> impact area</t>
    </r>
    <r>
      <rPr>
        <sz val="12"/>
        <color theme="1"/>
        <rFont val="Arial"/>
        <family val="2"/>
      </rPr>
      <t xml:space="preserve"> at the end of the project </t>
    </r>
    <r>
      <rPr>
        <u/>
        <sz val="12"/>
        <color theme="1"/>
        <rFont val="Arial"/>
        <family val="2"/>
      </rPr>
      <t>without</t>
    </r>
    <r>
      <rPr>
        <sz val="12"/>
        <color theme="1"/>
        <rFont val="Arial"/>
        <family val="2"/>
      </rPr>
      <t xml:space="preserve"> fire disturbance (MT C)</t>
    </r>
  </si>
  <si>
    <r>
      <t xml:space="preserve">Carbon within the </t>
    </r>
    <r>
      <rPr>
        <b/>
        <sz val="12"/>
        <color theme="1"/>
        <rFont val="Arial"/>
        <family val="2"/>
      </rPr>
      <t>impact area</t>
    </r>
    <r>
      <rPr>
        <sz val="12"/>
        <color theme="1"/>
        <rFont val="Arial"/>
        <family val="2"/>
      </rPr>
      <t xml:space="preserve"> at the end of the project </t>
    </r>
    <r>
      <rPr>
        <u/>
        <sz val="12"/>
        <color theme="1"/>
        <rFont val="Arial"/>
        <family val="2"/>
      </rPr>
      <t>without</t>
    </r>
    <r>
      <rPr>
        <sz val="12"/>
        <color theme="1"/>
        <rFont val="Arial"/>
        <family val="2"/>
      </rPr>
      <t xml:space="preserve"> fuels reduction treatment but </t>
    </r>
    <r>
      <rPr>
        <u/>
        <sz val="12"/>
        <color theme="1"/>
        <rFont val="Arial"/>
        <family val="2"/>
      </rPr>
      <t>with</t>
    </r>
    <r>
      <rPr>
        <sz val="12"/>
        <color theme="1"/>
        <rFont val="Arial"/>
        <family val="2"/>
      </rPr>
      <t xml:space="preserve"> fire disturbance (MT C)</t>
    </r>
  </si>
  <si>
    <t>Probability of wildfire occurring within the treatment effectiveness period (%)</t>
  </si>
  <si>
    <t>Carbon in impact area in treatment-wildfire scenario</t>
  </si>
  <si>
    <r>
      <t xml:space="preserve">Carbon in treatment area in </t>
    </r>
    <r>
      <rPr>
        <sz val="12"/>
        <rFont val="Avenir Next LT Pro"/>
        <family val="2"/>
      </rPr>
      <t>treatment-wildfire scenario</t>
    </r>
  </si>
  <si>
    <r>
      <t>Proportion of</t>
    </r>
    <r>
      <rPr>
        <b/>
        <sz val="12"/>
        <color theme="1"/>
        <rFont val="Arial"/>
        <family val="2"/>
      </rPr>
      <t xml:space="preserve"> treatment area </t>
    </r>
    <r>
      <rPr>
        <sz val="12"/>
        <color theme="1"/>
        <rFont val="Arial"/>
        <family val="2"/>
      </rPr>
      <t xml:space="preserve">likely to burn at high severity </t>
    </r>
    <r>
      <rPr>
        <b/>
        <u/>
        <sz val="12"/>
        <color theme="1"/>
        <rFont val="Arial"/>
        <family val="2"/>
      </rPr>
      <t>with</t>
    </r>
    <r>
      <rPr>
        <sz val="12"/>
        <color theme="1"/>
        <rFont val="Arial"/>
        <family val="2"/>
      </rPr>
      <t xml:space="preserve"> fuels reduction treatment  (%)</t>
    </r>
  </si>
  <si>
    <r>
      <t xml:space="preserve">Proportion of </t>
    </r>
    <r>
      <rPr>
        <b/>
        <sz val="12"/>
        <color theme="1"/>
        <rFont val="Arial"/>
        <family val="2"/>
      </rPr>
      <t>treatment area</t>
    </r>
    <r>
      <rPr>
        <sz val="12"/>
        <color theme="1"/>
        <rFont val="Arial"/>
        <family val="2"/>
      </rPr>
      <t xml:space="preserve"> likely to burn at high severity </t>
    </r>
    <r>
      <rPr>
        <b/>
        <u/>
        <sz val="12"/>
        <color theme="1"/>
        <rFont val="Arial"/>
        <family val="2"/>
      </rPr>
      <t>without</t>
    </r>
    <r>
      <rPr>
        <sz val="12"/>
        <color theme="1"/>
        <rFont val="Arial"/>
        <family val="2"/>
      </rPr>
      <t xml:space="preserve"> fuels reduction treatment (%)</t>
    </r>
  </si>
  <si>
    <t>Carbon in treatment and impact areas in treatment-no-wildfire scenario</t>
  </si>
  <si>
    <t>Carbon in treatment and impact areas in no-treatment-no-wildfire scenario</t>
  </si>
  <si>
    <t>TCN(s):</t>
  </si>
  <si>
    <r>
      <t>GHG benefit from fuels reduction activity (MT CO</t>
    </r>
    <r>
      <rPr>
        <vertAlign val="subscript"/>
        <sz val="12"/>
        <color theme="1"/>
        <rFont val="Arial"/>
        <family val="2"/>
      </rPr>
      <t>2</t>
    </r>
    <r>
      <rPr>
        <sz val="12"/>
        <color theme="1"/>
        <rFont val="Arial"/>
        <family val="2"/>
      </rPr>
      <t>e)</t>
    </r>
  </si>
  <si>
    <r>
      <t>Mean CBP in the</t>
    </r>
    <r>
      <rPr>
        <b/>
        <sz val="12"/>
        <color theme="1"/>
        <rFont val="Arial"/>
        <family val="2"/>
      </rPr>
      <t xml:space="preserve"> treatment scenario</t>
    </r>
    <r>
      <rPr>
        <sz val="12"/>
        <color theme="1"/>
        <rFont val="Arial"/>
        <family val="2"/>
      </rPr>
      <t xml:space="preserve"> for the portion of the</t>
    </r>
    <r>
      <rPr>
        <b/>
        <sz val="12"/>
        <color theme="1"/>
        <rFont val="Arial"/>
        <family val="2"/>
      </rPr>
      <t xml:space="preserve"> impact area</t>
    </r>
    <r>
      <rPr>
        <sz val="12"/>
        <color theme="1"/>
        <rFont val="Arial"/>
        <family val="2"/>
      </rPr>
      <t xml:space="preserve"> likely to burn at high severity (%)</t>
    </r>
  </si>
  <si>
    <r>
      <t xml:space="preserve">Mean CBP in the </t>
    </r>
    <r>
      <rPr>
        <b/>
        <sz val="12"/>
        <color theme="1"/>
        <rFont val="Arial"/>
        <family val="2"/>
      </rPr>
      <t>no-treatment scenario</t>
    </r>
    <r>
      <rPr>
        <sz val="12"/>
        <color theme="1"/>
        <rFont val="Arial"/>
        <family val="2"/>
      </rPr>
      <t xml:space="preserve"> for the portion of the </t>
    </r>
    <r>
      <rPr>
        <b/>
        <sz val="12"/>
        <color theme="1"/>
        <rFont val="Arial"/>
        <family val="2"/>
      </rPr>
      <t>impact area</t>
    </r>
    <r>
      <rPr>
        <sz val="12"/>
        <color theme="1"/>
        <rFont val="Arial"/>
        <family val="2"/>
      </rPr>
      <t xml:space="preserve"> likely to burn at high severity (%)</t>
    </r>
  </si>
  <si>
    <r>
      <t xml:space="preserve">Mean CBP </t>
    </r>
    <r>
      <rPr>
        <b/>
        <u/>
        <sz val="12"/>
        <color theme="1"/>
        <rFont val="Arial"/>
        <family val="2"/>
      </rPr>
      <t>without</t>
    </r>
    <r>
      <rPr>
        <b/>
        <sz val="12"/>
        <color theme="1"/>
        <rFont val="Arial"/>
        <family val="2"/>
      </rPr>
      <t xml:space="preserve"> </t>
    </r>
    <r>
      <rPr>
        <sz val="12"/>
        <color theme="1"/>
        <rFont val="Arial"/>
        <family val="2"/>
      </rPr>
      <t>fuels reduction treatment for the portion of the</t>
    </r>
    <r>
      <rPr>
        <b/>
        <sz val="12"/>
        <color theme="1"/>
        <rFont val="Arial"/>
        <family val="2"/>
      </rPr>
      <t xml:space="preserve"> treatment area</t>
    </r>
    <r>
      <rPr>
        <sz val="12"/>
        <color theme="1"/>
        <rFont val="Arial"/>
        <family val="2"/>
      </rPr>
      <t xml:space="preserve"> likely to burn at high severity (%)</t>
    </r>
  </si>
  <si>
    <r>
      <t>Mean CBP in the treatment scenario  for the portion of the</t>
    </r>
    <r>
      <rPr>
        <b/>
        <sz val="12"/>
        <color theme="1"/>
        <rFont val="Arial"/>
        <family val="2"/>
      </rPr>
      <t xml:space="preserve"> treatment area </t>
    </r>
    <r>
      <rPr>
        <sz val="12"/>
        <color theme="1"/>
        <rFont val="Arial"/>
        <family val="2"/>
      </rPr>
      <t>likely to burn at high severity (%)</t>
    </r>
  </si>
  <si>
    <t>FVS → Script 5</t>
  </si>
  <si>
    <t>FSim → R Script 4</t>
  </si>
  <si>
    <t>FVS → R Script 3</t>
  </si>
  <si>
    <t xml:space="preserve">Carbon within the treatment boundary at end of project with reforestation (MT C) </t>
  </si>
  <si>
    <t>Year of planting</t>
  </si>
  <si>
    <t>Year of site preparation</t>
  </si>
  <si>
    <t xml:space="preserve">Total TPA planted </t>
  </si>
  <si>
    <t>NIDRM R → Script 6</t>
  </si>
  <si>
    <r>
      <t>GHG benefit from pest management activity (MT CO</t>
    </r>
    <r>
      <rPr>
        <vertAlign val="subscript"/>
        <sz val="12"/>
        <color theme="1"/>
        <rFont val="Arial"/>
        <family val="2"/>
      </rPr>
      <t>2</t>
    </r>
    <r>
      <rPr>
        <sz val="12"/>
        <color theme="1"/>
        <rFont val="Arial"/>
        <family val="2"/>
      </rPr>
      <t>e)</t>
    </r>
  </si>
  <si>
    <t>Pest Management Activity 2</t>
  </si>
  <si>
    <t>Pest Management Activity 3</t>
  </si>
  <si>
    <t>Pest Management Activity 4</t>
  </si>
  <si>
    <t>Pest Management Activity 5</t>
  </si>
  <si>
    <t>FR15</t>
  </si>
  <si>
    <t>FR16</t>
  </si>
  <si>
    <t>FR17</t>
  </si>
  <si>
    <t>FR18</t>
  </si>
  <si>
    <t>FR19</t>
  </si>
  <si>
    <t>FR20</t>
  </si>
  <si>
    <t>Reforestation Activity 2</t>
  </si>
  <si>
    <r>
      <t>GHG benefit from reforestation activity 2
(MT CO</t>
    </r>
    <r>
      <rPr>
        <vertAlign val="subscript"/>
        <sz val="12"/>
        <color theme="1"/>
        <rFont val="Arial"/>
        <family val="2"/>
      </rPr>
      <t>2</t>
    </r>
    <r>
      <rPr>
        <sz val="12"/>
        <color theme="1"/>
        <rFont val="Arial"/>
        <family val="2"/>
      </rPr>
      <t>e)</t>
    </r>
  </si>
  <si>
    <t>Reforestation Activity 3</t>
  </si>
  <si>
    <r>
      <t>GHG benefit from reforestation activity 3 
(MT CO</t>
    </r>
    <r>
      <rPr>
        <vertAlign val="subscript"/>
        <sz val="12"/>
        <color theme="1"/>
        <rFont val="Arial"/>
        <family val="2"/>
      </rPr>
      <t>2</t>
    </r>
    <r>
      <rPr>
        <sz val="12"/>
        <color theme="1"/>
        <rFont val="Arial"/>
        <family val="2"/>
      </rPr>
      <t>e)</t>
    </r>
  </si>
  <si>
    <t>Reforestation Activity 4</t>
  </si>
  <si>
    <r>
      <t>GHG benefit from reforestation activity 4
(MT CO</t>
    </r>
    <r>
      <rPr>
        <vertAlign val="subscript"/>
        <sz val="12"/>
        <color theme="1"/>
        <rFont val="Arial"/>
        <family val="2"/>
      </rPr>
      <t>2</t>
    </r>
    <r>
      <rPr>
        <sz val="12"/>
        <color theme="1"/>
        <rFont val="Arial"/>
        <family val="2"/>
      </rPr>
      <t>e)</t>
    </r>
  </si>
  <si>
    <t>Reforestation Activity 5</t>
  </si>
  <si>
    <r>
      <t>GHG benefit from reforestation activity 5 
(MT CO</t>
    </r>
    <r>
      <rPr>
        <vertAlign val="subscript"/>
        <sz val="12"/>
        <color theme="1"/>
        <rFont val="Arial"/>
        <family val="2"/>
      </rPr>
      <t>2</t>
    </r>
    <r>
      <rPr>
        <sz val="12"/>
        <color theme="1"/>
        <rFont val="Arial"/>
        <family val="2"/>
      </rPr>
      <t>e)</t>
    </r>
  </si>
  <si>
    <t>Reforestation Acres</t>
  </si>
  <si>
    <t>Pest Acres</t>
  </si>
  <si>
    <t>Pest Impact Area</t>
  </si>
  <si>
    <t>FR Acres</t>
  </si>
  <si>
    <t>Area within the impact boundary (acres)</t>
  </si>
  <si>
    <t>FRI Acres</t>
  </si>
  <si>
    <t>Trees planted</t>
  </si>
  <si>
    <t>Year of easement or fee title</t>
  </si>
  <si>
    <t>Intake form (optional)</t>
  </si>
  <si>
    <t>Forest Management Easement Worksheet</t>
  </si>
  <si>
    <t>Forest Management Easement Activity 1</t>
  </si>
  <si>
    <t>Biomass that will go into Miscellaneous Products (%) (100% if product class categories are not available)</t>
  </si>
  <si>
    <t>Mill efficiency (%) (if not known, use default efficiencies in Table 4 of the Quantification Methodology)</t>
  </si>
  <si>
    <t>For projects that facilitate the utilization of biomass that would otherwise be removed from outside the project area without the current project:</t>
  </si>
  <si>
    <t>Biomass to be removed from the project area as part of implementing reforestation, pest management, or fuels reduction activities and delivered to a mill, with and without the current project (BDT)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</si>
</sst>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0.0000"/>
    <numFmt numFmtId="165" formatCode="0.0"/>
    <numFmt numFmtId="166" formatCode="0.000"/>
    <numFmt numFmtId="167" formatCode="0.00000"/>
    <numFmt numFmtId="168" formatCode="#,##0.0"/>
    <numFmt numFmtId="169" formatCode="0.0%"/>
    <numFmt numFmtId="170" formatCode="[$-409]mmmm\ d\,\ yyyy;@"/>
    <numFmt numFmtId="171" formatCode="#,##0.0000"/>
  </numFmts>
  <fonts count="46" x14ac:knownFonts="1">
    <font>
      <sz val="11"/>
      <color theme="1"/>
      <name val="Calibri"/>
      <family val="2"/>
      <scheme val="minor"/>
    </font>
    <font>
      <sz val="12"/>
      <color theme="1"/>
      <name val="Calibri"/>
      <family val="2"/>
      <scheme val="minor"/>
    </font>
    <font>
      <b/>
      <sz val="11"/>
      <color theme="1"/>
      <name val="Calibri"/>
      <family val="2"/>
      <scheme val="minor"/>
    </font>
    <font>
      <b/>
      <sz val="11"/>
      <color rgb="FFFF0000"/>
      <name val="Calibri"/>
      <family val="2"/>
      <scheme val="minor"/>
    </font>
    <font>
      <sz val="12"/>
      <color theme="1"/>
      <name val="Arial"/>
      <family val="2"/>
    </font>
    <font>
      <sz val="12"/>
      <name val="Arial"/>
      <family val="2"/>
    </font>
    <font>
      <b/>
      <sz val="12"/>
      <color theme="1"/>
      <name val="Arial"/>
      <family val="2"/>
    </font>
    <font>
      <b/>
      <sz val="14"/>
      <color theme="1"/>
      <name val="Calibri"/>
      <family val="2"/>
      <scheme val="minor"/>
    </font>
    <font>
      <u/>
      <sz val="11"/>
      <color theme="10"/>
      <name val="Calibri"/>
      <family val="2"/>
      <scheme val="minor"/>
    </font>
    <font>
      <u/>
      <sz val="12"/>
      <color theme="10"/>
      <name val="Arial"/>
      <family val="2"/>
    </font>
    <font>
      <b/>
      <sz val="12"/>
      <name val="Arial"/>
      <family val="2"/>
    </font>
    <font>
      <b/>
      <sz val="11"/>
      <name val="Calibri"/>
      <family val="2"/>
      <scheme val="minor"/>
    </font>
    <font>
      <b/>
      <sz val="14"/>
      <color rgb="FFFF0000"/>
      <name val="Calibri"/>
      <family val="2"/>
      <scheme val="minor"/>
    </font>
    <font>
      <vertAlign val="subscript"/>
      <sz val="12"/>
      <color theme="1"/>
      <name val="Arial"/>
      <family val="2"/>
    </font>
    <font>
      <b/>
      <sz val="12"/>
      <color rgb="FFFF0000"/>
      <name val="Arial"/>
      <family val="2"/>
    </font>
    <font>
      <b/>
      <sz val="14"/>
      <name val="Calibri"/>
      <family val="2"/>
      <scheme val="minor"/>
    </font>
    <font>
      <sz val="12"/>
      <color rgb="FFFF0000"/>
      <name val="Arial"/>
      <family val="2"/>
    </font>
    <font>
      <i/>
      <sz val="12"/>
      <color theme="1"/>
      <name val="Arial"/>
      <family val="2"/>
    </font>
    <font>
      <sz val="11"/>
      <color theme="0"/>
      <name val="Calibri"/>
      <family val="2"/>
      <scheme val="minor"/>
    </font>
    <font>
      <sz val="12"/>
      <color theme="0"/>
      <name val="Arial"/>
      <family val="2"/>
    </font>
    <font>
      <vertAlign val="superscript"/>
      <sz val="12"/>
      <color theme="1"/>
      <name val="Arial"/>
      <family val="2"/>
    </font>
    <font>
      <sz val="11"/>
      <color theme="1"/>
      <name val="Calibri"/>
      <family val="2"/>
      <scheme val="minor"/>
    </font>
    <font>
      <u/>
      <sz val="12"/>
      <color theme="1"/>
      <name val="Arial"/>
      <family val="2"/>
    </font>
    <font>
      <b/>
      <sz val="12"/>
      <color rgb="FFFF0000"/>
      <name val="Calibri"/>
      <family val="2"/>
      <scheme val="minor"/>
    </font>
    <font>
      <i/>
      <u/>
      <sz val="12"/>
      <color theme="1"/>
      <name val="Arial"/>
      <family val="2"/>
    </font>
    <font>
      <u/>
      <sz val="12"/>
      <name val="Arial"/>
      <family val="2"/>
    </font>
    <font>
      <sz val="10"/>
      <name val="Arial"/>
      <family val="2"/>
    </font>
    <font>
      <u/>
      <sz val="11"/>
      <color theme="10"/>
      <name val="Calibri"/>
      <family val="2"/>
    </font>
    <font>
      <sz val="12"/>
      <color theme="1"/>
      <name val="Avenir LT Std 55 Roman"/>
      <family val="2"/>
    </font>
    <font>
      <sz val="12"/>
      <name val="Avenir LT Std 55 Roman"/>
      <family val="2"/>
    </font>
    <font>
      <vertAlign val="subscript"/>
      <sz val="12"/>
      <color theme="1"/>
      <name val="Avenir LT Std 55 Roman"/>
      <family val="2"/>
    </font>
    <font>
      <sz val="11"/>
      <color theme="1"/>
      <name val="Avenir LT Std 55 Roman"/>
      <family val="2"/>
    </font>
    <font>
      <b/>
      <sz val="14"/>
      <color theme="1"/>
      <name val="Avenir LT Std 55 Roman"/>
      <family val="2"/>
    </font>
    <font>
      <b/>
      <sz val="14"/>
      <name val="Avenir LT Std 55 Roman"/>
      <family val="2"/>
    </font>
    <font>
      <i/>
      <sz val="12"/>
      <color theme="1"/>
      <name val="Avenir LT Std 55 Roman"/>
      <family val="2"/>
    </font>
    <font>
      <sz val="8"/>
      <name val="Calibri"/>
      <family val="2"/>
      <scheme val="minor"/>
    </font>
    <font>
      <b/>
      <sz val="12"/>
      <name val="Calibri"/>
      <family val="2"/>
      <scheme val="minor"/>
    </font>
    <font>
      <i/>
      <sz val="11"/>
      <color theme="1"/>
      <name val="Calibri"/>
      <family val="2"/>
      <scheme val="minor"/>
    </font>
    <font>
      <i/>
      <u val="double"/>
      <sz val="12"/>
      <color theme="1"/>
      <name val="Arial"/>
      <family val="2"/>
    </font>
    <font>
      <b/>
      <u/>
      <sz val="12"/>
      <color theme="1"/>
      <name val="Arial"/>
      <family val="2"/>
    </font>
    <font>
      <sz val="12"/>
      <name val="Avenir Next LT Pro"/>
      <family val="2"/>
    </font>
    <font>
      <sz val="12"/>
      <color theme="1"/>
      <name val="Aptos"/>
      <family val="2"/>
    </font>
    <font>
      <sz val="12"/>
      <name val="Aptos"/>
      <family val="2"/>
    </font>
    <font>
      <b/>
      <sz val="11"/>
      <color theme="1"/>
      <name val="Aptos"/>
      <family val="2"/>
    </font>
    <font>
      <sz val="11"/>
      <color theme="1"/>
      <name val="Aptos"/>
      <family val="2"/>
    </font>
    <font>
      <sz val="11"/>
      <color rgb="FF000000"/>
      <name val="Aptos"/>
      <family val="2"/>
    </font>
  </fonts>
  <fills count="13">
    <fill>
      <patternFill patternType="none"/>
    </fill>
    <fill>
      <patternFill patternType="gray125"/>
    </fill>
    <fill>
      <patternFill patternType="solid">
        <fgColor theme="0" tint="-0.14999847407452621"/>
        <bgColor indexed="64"/>
      </patternFill>
    </fill>
    <fill>
      <patternFill patternType="solid">
        <fgColor rgb="FFF6FE94"/>
        <bgColor indexed="64"/>
      </patternFill>
    </fill>
    <fill>
      <patternFill patternType="solid">
        <fgColor rgb="FFFFFF99"/>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92D050"/>
        <bgColor indexed="64"/>
      </patternFill>
    </fill>
    <fill>
      <patternFill patternType="solid">
        <fgColor theme="0"/>
        <bgColor indexed="64"/>
      </patternFill>
    </fill>
    <fill>
      <patternFill patternType="solid">
        <fgColor theme="6"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4">
    <xf numFmtId="0" fontId="0" fillId="0" borderId="0"/>
    <xf numFmtId="0" fontId="8" fillId="0" borderId="0" applyNumberFormat="0" applyFill="0" applyBorder="0" applyAlignment="0" applyProtection="0"/>
    <xf numFmtId="43" fontId="21" fillId="0" borderId="0" applyFont="0" applyFill="0" applyBorder="0" applyAlignment="0" applyProtection="0"/>
    <xf numFmtId="0" fontId="21" fillId="0" borderId="0"/>
    <xf numFmtId="43" fontId="26" fillId="0" borderId="0" applyFont="0" applyFill="0" applyBorder="0" applyAlignment="0" applyProtection="0"/>
    <xf numFmtId="0" fontId="21" fillId="0" borderId="0"/>
    <xf numFmtId="0" fontId="9" fillId="0" borderId="0" applyNumberFormat="0" applyFill="0" applyBorder="0" applyAlignment="0" applyProtection="0"/>
    <xf numFmtId="0" fontId="21" fillId="0" borderId="0"/>
    <xf numFmtId="0" fontId="21" fillId="0" borderId="0"/>
    <xf numFmtId="0" fontId="21" fillId="0" borderId="0"/>
    <xf numFmtId="0" fontId="26" fillId="0" borderId="0"/>
    <xf numFmtId="0" fontId="27" fillId="0" borderId="0" applyNumberFormat="0" applyFill="0" applyBorder="0" applyAlignment="0" applyProtection="0">
      <alignment vertical="top"/>
      <protection locked="0"/>
    </xf>
    <xf numFmtId="0" fontId="8" fillId="0" borderId="0" applyNumberFormat="0" applyFill="0" applyBorder="0" applyAlignment="0" applyProtection="0"/>
    <xf numFmtId="9" fontId="21" fillId="0" borderId="0" applyFont="0" applyFill="0" applyBorder="0" applyAlignment="0" applyProtection="0"/>
  </cellStyleXfs>
  <cellXfs count="310">
    <xf numFmtId="0" fontId="0" fillId="0" borderId="0" xfId="0"/>
    <xf numFmtId="0" fontId="2" fillId="0" borderId="0" xfId="0" applyFont="1"/>
    <xf numFmtId="0" fontId="7" fillId="0" borderId="0" xfId="0" applyFont="1" applyAlignment="1">
      <alignment horizontal="center"/>
    </xf>
    <xf numFmtId="0" fontId="7" fillId="0" borderId="0" xfId="0" applyFont="1"/>
    <xf numFmtId="0" fontId="4" fillId="0" borderId="0" xfId="0" applyFont="1" applyAlignment="1">
      <alignment vertical="top" wrapText="1"/>
    </xf>
    <xf numFmtId="0" fontId="4" fillId="0" borderId="0" xfId="0" applyFont="1" applyAlignment="1">
      <alignment wrapText="1"/>
    </xf>
    <xf numFmtId="0" fontId="5" fillId="0" borderId="0" xfId="0" applyFont="1" applyAlignment="1">
      <alignment wrapText="1"/>
    </xf>
    <xf numFmtId="0" fontId="2" fillId="0" borderId="0" xfId="0" applyFont="1" applyAlignment="1">
      <alignment horizontal="left"/>
    </xf>
    <xf numFmtId="0" fontId="0" fillId="0" borderId="0" xfId="0" applyAlignment="1">
      <alignment horizontal="left"/>
    </xf>
    <xf numFmtId="0" fontId="2" fillId="0" borderId="0" xfId="0" applyFont="1" applyAlignment="1">
      <alignment horizontal="center"/>
    </xf>
    <xf numFmtId="0" fontId="0" fillId="0" borderId="0" xfId="0" applyAlignment="1">
      <alignment horizontal="center" vertical="center" wrapText="1"/>
    </xf>
    <xf numFmtId="0" fontId="5" fillId="0" borderId="0" xfId="0" applyFont="1" applyAlignment="1">
      <alignment vertical="top" wrapText="1"/>
    </xf>
    <xf numFmtId="0" fontId="0" fillId="0" borderId="0" xfId="0" applyAlignment="1">
      <alignment wrapText="1"/>
    </xf>
    <xf numFmtId="0" fontId="0" fillId="0" borderId="0" xfId="0" applyAlignment="1">
      <alignment vertical="center" wrapText="1"/>
    </xf>
    <xf numFmtId="0" fontId="0" fillId="0" borderId="0" xfId="0" applyAlignment="1">
      <alignment vertical="center"/>
    </xf>
    <xf numFmtId="0" fontId="11" fillId="0" borderId="0" xfId="0" applyFont="1"/>
    <xf numFmtId="3" fontId="0" fillId="0" borderId="0" xfId="0" applyNumberFormat="1"/>
    <xf numFmtId="0" fontId="0" fillId="0" borderId="0" xfId="0" applyAlignment="1">
      <alignment horizontal="right"/>
    </xf>
    <xf numFmtId="0" fontId="3" fillId="0" borderId="0" xfId="0" applyFont="1" applyAlignment="1">
      <alignment horizontal="center"/>
    </xf>
    <xf numFmtId="0" fontId="4" fillId="0" borderId="0" xfId="0" applyFont="1"/>
    <xf numFmtId="0" fontId="12" fillId="0" borderId="0" xfId="0" applyFont="1" applyAlignment="1">
      <alignment horizontal="center"/>
    </xf>
    <xf numFmtId="0" fontId="15" fillId="0" borderId="0" xfId="0" applyFont="1" applyAlignment="1">
      <alignment horizontal="center"/>
    </xf>
    <xf numFmtId="0" fontId="9" fillId="0" borderId="0" xfId="1" applyFont="1" applyAlignment="1" applyProtection="1">
      <alignment vertical="top"/>
    </xf>
    <xf numFmtId="0" fontId="5" fillId="0" borderId="0" xfId="0" applyFont="1"/>
    <xf numFmtId="0" fontId="9" fillId="0" borderId="0" xfId="1" applyFont="1" applyAlignment="1" applyProtection="1"/>
    <xf numFmtId="0" fontId="0" fillId="0" borderId="0" xfId="0"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xf>
    <xf numFmtId="0" fontId="6" fillId="0" borderId="2" xfId="0" applyFont="1" applyBorder="1"/>
    <xf numFmtId="3" fontId="4" fillId="2" borderId="1" xfId="0" applyNumberFormat="1" applyFont="1" applyFill="1" applyBorder="1" applyAlignment="1">
      <alignment horizontal="right"/>
    </xf>
    <xf numFmtId="3" fontId="4" fillId="2" borderId="1" xfId="0" applyNumberFormat="1" applyFont="1" applyFill="1" applyBorder="1" applyAlignment="1">
      <alignment horizontal="right" vertical="center"/>
    </xf>
    <xf numFmtId="0" fontId="4" fillId="0" borderId="1" xfId="0" applyFont="1" applyBorder="1" applyAlignment="1">
      <alignment horizontal="left"/>
    </xf>
    <xf numFmtId="0" fontId="4" fillId="0" borderId="1" xfId="0" applyFont="1" applyBorder="1"/>
    <xf numFmtId="165" fontId="5" fillId="0" borderId="1" xfId="0" applyNumberFormat="1" applyFont="1" applyBorder="1" applyAlignment="1">
      <alignment horizontal="left" vertical="center"/>
    </xf>
    <xf numFmtId="2" fontId="4" fillId="0" borderId="1" xfId="0" applyNumberFormat="1" applyFont="1" applyBorder="1" applyAlignment="1">
      <alignment vertical="center"/>
    </xf>
    <xf numFmtId="0" fontId="4" fillId="0" borderId="0" xfId="0" applyFont="1" applyAlignment="1">
      <alignment vertical="center"/>
    </xf>
    <xf numFmtId="0" fontId="4" fillId="0" borderId="1" xfId="0" applyFont="1" applyBorder="1" applyAlignment="1">
      <alignment vertical="center"/>
    </xf>
    <xf numFmtId="0" fontId="6" fillId="0" borderId="0" xfId="0" applyFont="1"/>
    <xf numFmtId="0" fontId="14" fillId="0" borderId="0" xfId="0" applyFont="1"/>
    <xf numFmtId="0" fontId="10" fillId="0" borderId="0" xfId="0" applyFont="1" applyAlignment="1">
      <alignment horizontal="left"/>
    </xf>
    <xf numFmtId="3" fontId="0" fillId="0" borderId="0" xfId="0" applyNumberFormat="1" applyAlignment="1">
      <alignment horizontal="right"/>
    </xf>
    <xf numFmtId="0" fontId="4" fillId="10" borderId="1" xfId="0" applyFont="1" applyFill="1" applyBorder="1" applyAlignment="1" applyProtection="1">
      <alignment horizontal="right" vertical="center" wrapText="1"/>
      <protection locked="0"/>
    </xf>
    <xf numFmtId="0" fontId="0" fillId="0" borderId="0" xfId="0" applyAlignment="1">
      <alignment horizontal="center"/>
    </xf>
    <xf numFmtId="0" fontId="10" fillId="0" borderId="2" xfId="0" applyFont="1" applyBorder="1"/>
    <xf numFmtId="9" fontId="4" fillId="3" borderId="1" xfId="0" applyNumberFormat="1" applyFont="1" applyFill="1" applyBorder="1" applyAlignment="1" applyProtection="1">
      <alignment horizontal="right" vertical="center"/>
      <protection locked="0"/>
    </xf>
    <xf numFmtId="10" fontId="4" fillId="3" borderId="1" xfId="0" applyNumberFormat="1" applyFont="1" applyFill="1" applyBorder="1" applyAlignment="1" applyProtection="1">
      <alignment horizontal="right" vertical="center"/>
      <protection locked="0"/>
    </xf>
    <xf numFmtId="0" fontId="4" fillId="0" borderId="0" xfId="0" applyFont="1" applyAlignment="1">
      <alignment horizontal="right"/>
    </xf>
    <xf numFmtId="0" fontId="4" fillId="0" borderId="7" xfId="0" applyFont="1" applyBorder="1" applyAlignment="1">
      <alignment vertical="center"/>
    </xf>
    <xf numFmtId="0" fontId="4" fillId="3" borderId="1" xfId="0" applyFont="1" applyFill="1" applyBorder="1" applyProtection="1">
      <protection locked="0"/>
    </xf>
    <xf numFmtId="3" fontId="4" fillId="2" borderId="1" xfId="0" applyNumberFormat="1" applyFont="1" applyFill="1" applyBorder="1" applyAlignment="1">
      <alignment vertical="center"/>
    </xf>
    <xf numFmtId="3" fontId="4" fillId="2" borderId="5" xfId="0" applyNumberFormat="1" applyFont="1" applyFill="1" applyBorder="1" applyAlignment="1">
      <alignment horizontal="right" vertical="center"/>
    </xf>
    <xf numFmtId="3" fontId="4" fillId="3" borderId="1" xfId="0" applyNumberFormat="1" applyFont="1" applyFill="1" applyBorder="1" applyAlignment="1" applyProtection="1">
      <alignment horizontal="right" vertical="center"/>
      <protection locked="0"/>
    </xf>
    <xf numFmtId="0" fontId="4" fillId="0" borderId="0" xfId="0" applyFont="1" applyProtection="1">
      <protection locked="0"/>
    </xf>
    <xf numFmtId="0" fontId="4" fillId="0" borderId="0" xfId="0" applyFont="1" applyAlignment="1">
      <alignment horizontal="left" vertical="top" wrapText="1"/>
    </xf>
    <xf numFmtId="0" fontId="9" fillId="0" borderId="0" xfId="1" applyFont="1" applyAlignment="1" applyProtection="1">
      <alignment horizontal="left" vertical="top" wrapText="1"/>
    </xf>
    <xf numFmtId="0" fontId="10" fillId="0" borderId="0" xfId="0" applyFont="1"/>
    <xf numFmtId="0" fontId="9" fillId="0" borderId="0" xfId="1" applyFont="1" applyAlignment="1" applyProtection="1">
      <alignment horizontal="left" wrapText="1"/>
    </xf>
    <xf numFmtId="0" fontId="5" fillId="0" borderId="0" xfId="0" applyFont="1" applyAlignment="1">
      <alignment horizontal="left" vertical="top"/>
    </xf>
    <xf numFmtId="14" fontId="6" fillId="0" borderId="0" xfId="0" applyNumberFormat="1" applyFont="1" applyAlignment="1" applyProtection="1">
      <alignment horizontal="left"/>
      <protection locked="0"/>
    </xf>
    <xf numFmtId="0" fontId="4" fillId="0" borderId="2" xfId="0" applyFont="1" applyBorder="1" applyAlignment="1">
      <alignment vertical="center" wrapText="1"/>
    </xf>
    <xf numFmtId="0" fontId="9" fillId="0" borderId="0" xfId="1" applyFont="1" applyAlignment="1" applyProtection="1">
      <alignment vertical="top" wrapText="1"/>
    </xf>
    <xf numFmtId="0" fontId="6" fillId="0" borderId="0" xfId="0" applyFont="1" applyAlignment="1" applyProtection="1">
      <alignment horizontal="left"/>
      <protection locked="0"/>
    </xf>
    <xf numFmtId="0" fontId="6" fillId="0" borderId="0" xfId="0" applyFont="1" applyAlignment="1">
      <alignment horizontal="left"/>
    </xf>
    <xf numFmtId="0" fontId="14" fillId="0" borderId="0" xfId="0" applyFont="1" applyAlignment="1">
      <alignment horizontal="left"/>
    </xf>
    <xf numFmtId="164" fontId="0" fillId="0" borderId="0" xfId="0" applyNumberFormat="1"/>
    <xf numFmtId="0" fontId="4" fillId="0" borderId="0" xfId="0" applyFont="1" applyAlignment="1">
      <alignment horizontal="left"/>
    </xf>
    <xf numFmtId="167" fontId="4" fillId="0" borderId="1" xfId="0" applyNumberFormat="1" applyFont="1" applyBorder="1"/>
    <xf numFmtId="3" fontId="4" fillId="0" borderId="1" xfId="0" applyNumberFormat="1" applyFont="1" applyBorder="1"/>
    <xf numFmtId="3" fontId="4" fillId="0" borderId="7" xfId="0" applyNumberFormat="1" applyFont="1" applyBorder="1" applyAlignment="1">
      <alignment vertical="center"/>
    </xf>
    <xf numFmtId="168" fontId="4" fillId="0" borderId="7" xfId="0" applyNumberFormat="1" applyFont="1" applyBorder="1" applyAlignment="1">
      <alignment vertical="center"/>
    </xf>
    <xf numFmtId="165" fontId="4" fillId="2" borderId="1" xfId="0" applyNumberFormat="1" applyFont="1" applyFill="1" applyBorder="1"/>
    <xf numFmtId="1" fontId="4" fillId="2" borderId="1" xfId="0" applyNumberFormat="1" applyFont="1" applyFill="1" applyBorder="1"/>
    <xf numFmtId="0" fontId="4" fillId="0" borderId="6" xfId="0" applyFont="1" applyBorder="1" applyAlignment="1" applyProtection="1">
      <alignment horizontal="center"/>
      <protection locked="0"/>
    </xf>
    <xf numFmtId="0" fontId="6" fillId="0" borderId="0" xfId="0" applyFont="1" applyAlignment="1">
      <alignment horizontal="center"/>
    </xf>
    <xf numFmtId="0" fontId="0" fillId="11" borderId="0" xfId="0" applyFill="1"/>
    <xf numFmtId="0" fontId="2" fillId="11" borderId="0" xfId="0" applyFont="1" applyFill="1"/>
    <xf numFmtId="0" fontId="6" fillId="11" borderId="2" xfId="0" applyFont="1" applyFill="1" applyBorder="1"/>
    <xf numFmtId="0" fontId="6" fillId="11" borderId="0" xfId="0" applyFont="1" applyFill="1"/>
    <xf numFmtId="0" fontId="10" fillId="11" borderId="2" xfId="0" applyFont="1" applyFill="1" applyBorder="1"/>
    <xf numFmtId="0" fontId="14" fillId="11" borderId="0" xfId="0" applyFont="1" applyFill="1"/>
    <xf numFmtId="0" fontId="7" fillId="11" borderId="0" xfId="0" applyFont="1" applyFill="1"/>
    <xf numFmtId="0" fontId="0" fillId="11" borderId="0" xfId="0" applyFill="1" applyAlignment="1">
      <alignment horizontal="center"/>
    </xf>
    <xf numFmtId="0" fontId="0" fillId="11" borderId="0" xfId="0" applyFill="1" applyAlignment="1">
      <alignment horizontal="right"/>
    </xf>
    <xf numFmtId="3" fontId="0" fillId="11" borderId="0" xfId="0" applyNumberFormat="1" applyFill="1" applyAlignment="1">
      <alignment horizontal="right"/>
    </xf>
    <xf numFmtId="0" fontId="4" fillId="11" borderId="2" xfId="0" applyFont="1" applyFill="1" applyBorder="1" applyAlignment="1">
      <alignment vertical="center" wrapText="1"/>
    </xf>
    <xf numFmtId="0" fontId="0" fillId="11" borderId="0" xfId="0" applyFill="1" applyAlignment="1">
      <alignment vertical="center"/>
    </xf>
    <xf numFmtId="0" fontId="0" fillId="11" borderId="0" xfId="0" applyFill="1" applyAlignment="1">
      <alignment horizontal="left" vertical="center"/>
    </xf>
    <xf numFmtId="0" fontId="19" fillId="11" borderId="0" xfId="0" applyFont="1" applyFill="1" applyAlignment="1">
      <alignment horizontal="left" vertical="center" wrapText="1"/>
    </xf>
    <xf numFmtId="3" fontId="19" fillId="11" borderId="0" xfId="0" applyNumberFormat="1" applyFont="1" applyFill="1" applyAlignment="1">
      <alignment horizontal="right" vertical="center"/>
    </xf>
    <xf numFmtId="4" fontId="4" fillId="11" borderId="0" xfId="0" applyNumberFormat="1" applyFont="1" applyFill="1" applyAlignment="1">
      <alignment horizontal="right" vertical="center"/>
    </xf>
    <xf numFmtId="0" fontId="2" fillId="11" borderId="0" xfId="0" applyFont="1" applyFill="1" applyAlignment="1">
      <alignment horizontal="center"/>
    </xf>
    <xf numFmtId="0" fontId="2" fillId="11" borderId="0" xfId="0" applyFont="1" applyFill="1" applyAlignment="1">
      <alignment horizontal="left"/>
    </xf>
    <xf numFmtId="0" fontId="0" fillId="11" borderId="0" xfId="0" applyFill="1" applyAlignment="1">
      <alignment horizontal="left"/>
    </xf>
    <xf numFmtId="0" fontId="6" fillId="11" borderId="0" xfId="0" applyFont="1" applyFill="1" applyAlignment="1">
      <alignment horizontal="center"/>
    </xf>
    <xf numFmtId="3" fontId="4" fillId="10" borderId="1" xfId="0" applyNumberFormat="1" applyFont="1" applyFill="1" applyBorder="1" applyAlignment="1" applyProtection="1">
      <alignment horizontal="right" vertical="center"/>
      <protection locked="0"/>
    </xf>
    <xf numFmtId="169" fontId="4" fillId="3" borderId="1" xfId="0" applyNumberFormat="1" applyFont="1" applyFill="1" applyBorder="1" applyAlignment="1" applyProtection="1">
      <alignment horizontal="right" vertical="center"/>
      <protection locked="0"/>
    </xf>
    <xf numFmtId="0" fontId="16" fillId="0" borderId="0" xfId="0" applyFont="1" applyAlignment="1">
      <alignment vertical="center"/>
    </xf>
    <xf numFmtId="0" fontId="18" fillId="0" borderId="0" xfId="0" applyFont="1" applyAlignment="1">
      <alignment vertical="center"/>
    </xf>
    <xf numFmtId="0" fontId="18" fillId="0" borderId="0" xfId="0" applyFont="1" applyAlignment="1">
      <alignment horizontal="left" vertical="center"/>
    </xf>
    <xf numFmtId="166" fontId="29" fillId="0" borderId="1" xfId="0" applyNumberFormat="1" applyFont="1" applyBorder="1" applyAlignment="1">
      <alignment horizontal="center" vertical="center"/>
    </xf>
    <xf numFmtId="0" fontId="31" fillId="0" borderId="0" xfId="0" applyFont="1"/>
    <xf numFmtId="0" fontId="33" fillId="0" borderId="0" xfId="0" applyFont="1" applyAlignment="1">
      <alignment horizontal="center" vertical="center"/>
    </xf>
    <xf numFmtId="0" fontId="32" fillId="0" borderId="0" xfId="0" applyFont="1"/>
    <xf numFmtId="0" fontId="29" fillId="0" borderId="7" xfId="0" applyFont="1" applyBorder="1" applyAlignment="1">
      <alignment vertical="center" wrapText="1"/>
    </xf>
    <xf numFmtId="165" fontId="29" fillId="0" borderId="1" xfId="0" applyNumberFormat="1" applyFont="1" applyBorder="1" applyAlignment="1">
      <alignment horizontal="center" vertical="center"/>
    </xf>
    <xf numFmtId="164" fontId="29" fillId="0" borderId="1" xfId="0" applyNumberFormat="1" applyFont="1" applyBorder="1" applyAlignment="1">
      <alignment horizontal="center" vertical="center"/>
    </xf>
    <xf numFmtId="0" fontId="29" fillId="0" borderId="1" xfId="0" applyFont="1" applyBorder="1" applyAlignment="1">
      <alignment horizontal="center" vertical="center" wrapText="1"/>
    </xf>
    <xf numFmtId="0" fontId="29" fillId="0" borderId="7" xfId="0" applyFont="1" applyBorder="1" applyAlignment="1">
      <alignment horizontal="left" vertical="center" wrapText="1"/>
    </xf>
    <xf numFmtId="9" fontId="29" fillId="0" borderId="1" xfId="0" applyNumberFormat="1" applyFont="1" applyBorder="1" applyAlignment="1">
      <alignment horizontal="center" vertical="center" wrapText="1"/>
    </xf>
    <xf numFmtId="0" fontId="28" fillId="0" borderId="7" xfId="0" applyFont="1" applyBorder="1" applyAlignment="1">
      <alignment vertical="center" wrapText="1"/>
    </xf>
    <xf numFmtId="2" fontId="29" fillId="0" borderId="1" xfId="0" applyNumberFormat="1" applyFont="1" applyBorder="1" applyAlignment="1">
      <alignment horizontal="center" vertical="center"/>
    </xf>
    <xf numFmtId="0" fontId="28" fillId="0" borderId="11" xfId="0" applyFont="1" applyBorder="1" applyAlignment="1">
      <alignment vertical="center" wrapText="1"/>
    </xf>
    <xf numFmtId="2" fontId="29" fillId="0" borderId="5" xfId="0" applyNumberFormat="1" applyFont="1" applyBorder="1" applyAlignment="1">
      <alignment horizontal="center" vertical="center"/>
    </xf>
    <xf numFmtId="39" fontId="29" fillId="0" borderId="1" xfId="2" applyNumberFormat="1" applyFont="1" applyFill="1" applyBorder="1" applyAlignment="1">
      <alignment horizontal="center" vertical="center"/>
    </xf>
    <xf numFmtId="0" fontId="7" fillId="11" borderId="0" xfId="0" applyFont="1" applyFill="1" applyAlignment="1">
      <alignment horizontal="center"/>
    </xf>
    <xf numFmtId="0" fontId="15" fillId="11" borderId="0" xfId="0" applyFont="1" applyFill="1" applyAlignment="1">
      <alignment horizontal="center"/>
    </xf>
    <xf numFmtId="0" fontId="12" fillId="0" borderId="0" xfId="3" applyFont="1" applyAlignment="1">
      <alignment horizontal="center"/>
    </xf>
    <xf numFmtId="0" fontId="4" fillId="11" borderId="2" xfId="0" applyFont="1" applyFill="1" applyBorder="1" applyAlignment="1">
      <alignment horizontal="left"/>
    </xf>
    <xf numFmtId="0" fontId="4" fillId="11" borderId="3" xfId="0" applyFont="1" applyFill="1" applyBorder="1" applyAlignment="1">
      <alignment horizontal="left"/>
    </xf>
    <xf numFmtId="0" fontId="4" fillId="11" borderId="4" xfId="0" applyFont="1" applyFill="1" applyBorder="1" applyAlignment="1">
      <alignment horizontal="left"/>
    </xf>
    <xf numFmtId="0" fontId="5" fillId="0" borderId="0" xfId="0" applyFont="1" applyAlignment="1">
      <alignment vertical="top"/>
    </xf>
    <xf numFmtId="0" fontId="5" fillId="0" borderId="0" xfId="0" applyFont="1" applyAlignment="1">
      <alignment horizontal="centerContinuous" vertical="top"/>
    </xf>
    <xf numFmtId="0" fontId="10" fillId="2" borderId="12" xfId="0" applyFont="1" applyFill="1" applyBorder="1" applyAlignment="1">
      <alignment horizontal="centerContinuous"/>
    </xf>
    <xf numFmtId="0" fontId="10" fillId="2" borderId="13" xfId="0" applyFont="1" applyFill="1" applyBorder="1" applyAlignment="1">
      <alignment horizontal="centerContinuous"/>
    </xf>
    <xf numFmtId="0" fontId="6" fillId="2" borderId="2" xfId="0" applyFont="1" applyFill="1" applyBorder="1" applyAlignment="1">
      <alignment horizontal="centerContinuous"/>
    </xf>
    <xf numFmtId="0" fontId="6" fillId="2" borderId="4" xfId="0" applyFont="1" applyFill="1" applyBorder="1" applyAlignment="1">
      <alignment horizontal="centerContinuous"/>
    </xf>
    <xf numFmtId="0" fontId="28" fillId="5" borderId="8" xfId="0" applyFont="1" applyFill="1" applyBorder="1" applyAlignment="1">
      <alignment horizontal="centerContinuous" vertical="center"/>
    </xf>
    <xf numFmtId="0" fontId="28" fillId="5" borderId="9" xfId="0" applyFont="1" applyFill="1" applyBorder="1" applyAlignment="1">
      <alignment horizontal="centerContinuous" vertical="center"/>
    </xf>
    <xf numFmtId="0" fontId="28" fillId="0" borderId="1" xfId="0" applyFont="1" applyBorder="1" applyAlignment="1">
      <alignment vertical="center" wrapText="1"/>
    </xf>
    <xf numFmtId="0" fontId="29" fillId="0" borderId="1" xfId="0" applyFont="1" applyBorder="1" applyAlignment="1">
      <alignment vertical="center" wrapText="1"/>
    </xf>
    <xf numFmtId="0" fontId="28" fillId="5" borderId="14" xfId="0" applyFont="1" applyFill="1" applyBorder="1" applyAlignment="1">
      <alignment horizontal="centerContinuous" vertical="center"/>
    </xf>
    <xf numFmtId="0" fontId="29" fillId="0" borderId="1" xfId="0" applyFont="1" applyBorder="1" applyAlignment="1">
      <alignment vertical="top" wrapText="1"/>
    </xf>
    <xf numFmtId="0" fontId="28" fillId="0" borderId="5" xfId="0" applyFont="1" applyBorder="1" applyAlignment="1">
      <alignment vertical="center" wrapText="1"/>
    </xf>
    <xf numFmtId="0" fontId="29" fillId="8" borderId="15" xfId="0" applyFont="1" applyFill="1" applyBorder="1" applyAlignment="1">
      <alignment horizontal="centerContinuous" vertical="center" wrapText="1"/>
    </xf>
    <xf numFmtId="0" fontId="29" fillId="8" borderId="3" xfId="0" applyFont="1" applyFill="1" applyBorder="1" applyAlignment="1">
      <alignment horizontal="centerContinuous" vertical="center" wrapText="1"/>
    </xf>
    <xf numFmtId="0" fontId="29" fillId="8" borderId="4" xfId="0" applyFont="1" applyFill="1" applyBorder="1" applyAlignment="1">
      <alignment horizontal="centerContinuous" vertical="center" wrapText="1"/>
    </xf>
    <xf numFmtId="0" fontId="29" fillId="7" borderId="15" xfId="0" applyFont="1" applyFill="1" applyBorder="1" applyAlignment="1">
      <alignment horizontal="centerContinuous" vertical="center" wrapText="1"/>
    </xf>
    <xf numFmtId="0" fontId="29" fillId="7" borderId="3" xfId="0" applyFont="1" applyFill="1" applyBorder="1" applyAlignment="1">
      <alignment horizontal="centerContinuous" vertical="center" wrapText="1"/>
    </xf>
    <xf numFmtId="0" fontId="29" fillId="7" borderId="4" xfId="0" applyFont="1" applyFill="1" applyBorder="1" applyAlignment="1">
      <alignment horizontal="centerContinuous" vertical="center" wrapText="1"/>
    </xf>
    <xf numFmtId="0" fontId="29" fillId="6" borderId="15" xfId="0" applyFont="1" applyFill="1" applyBorder="1" applyAlignment="1">
      <alignment horizontal="centerContinuous" vertical="center" wrapText="1"/>
    </xf>
    <xf numFmtId="0" fontId="29" fillId="6" borderId="3" xfId="0" applyFont="1" applyFill="1" applyBorder="1" applyAlignment="1">
      <alignment horizontal="centerContinuous" vertical="center" wrapText="1"/>
    </xf>
    <xf numFmtId="0" fontId="29" fillId="6" borderId="4" xfId="0" applyFont="1" applyFill="1" applyBorder="1" applyAlignment="1">
      <alignment horizontal="centerContinuous" vertical="center" wrapText="1"/>
    </xf>
    <xf numFmtId="0" fontId="29" fillId="9" borderId="15" xfId="0" applyFont="1" applyFill="1" applyBorder="1" applyAlignment="1">
      <alignment horizontal="centerContinuous" vertical="center" wrapText="1"/>
    </xf>
    <xf numFmtId="0" fontId="29" fillId="9" borderId="3" xfId="0" applyFont="1" applyFill="1" applyBorder="1" applyAlignment="1">
      <alignment horizontal="centerContinuous" vertical="center" wrapText="1"/>
    </xf>
    <xf numFmtId="0" fontId="29" fillId="9" borderId="4" xfId="0" applyFont="1" applyFill="1" applyBorder="1" applyAlignment="1">
      <alignment horizontal="centerContinuous" vertical="center" wrapText="1"/>
    </xf>
    <xf numFmtId="0" fontId="6" fillId="2" borderId="2" xfId="0" applyFont="1" applyFill="1" applyBorder="1" applyAlignment="1">
      <alignment horizontal="centerContinuous" vertical="center"/>
    </xf>
    <xf numFmtId="0" fontId="6" fillId="2" borderId="4" xfId="0" applyFont="1" applyFill="1" applyBorder="1" applyAlignment="1">
      <alignment horizontal="centerContinuous" vertical="center"/>
    </xf>
    <xf numFmtId="0" fontId="4" fillId="0" borderId="2" xfId="0" applyFont="1" applyBorder="1"/>
    <xf numFmtId="0" fontId="4" fillId="0" borderId="3" xfId="0" applyFont="1" applyBorder="1"/>
    <xf numFmtId="0" fontId="4" fillId="0" borderId="4" xfId="0" applyFont="1" applyBorder="1"/>
    <xf numFmtId="165" fontId="5" fillId="0" borderId="2" xfId="0" applyNumberFormat="1" applyFont="1" applyBorder="1" applyAlignment="1">
      <alignment vertical="center"/>
    </xf>
    <xf numFmtId="165" fontId="5" fillId="0" borderId="3" xfId="0" applyNumberFormat="1" applyFont="1" applyBorder="1" applyAlignment="1">
      <alignment vertical="center"/>
    </xf>
    <xf numFmtId="165" fontId="5" fillId="0" borderId="4" xfId="0" applyNumberFormat="1" applyFont="1" applyBorder="1" applyAlignment="1">
      <alignment vertical="center"/>
    </xf>
    <xf numFmtId="0" fontId="4" fillId="0" borderId="6" xfId="0" applyFont="1" applyBorder="1" applyAlignment="1" applyProtection="1">
      <alignment horizontal="centerContinuous"/>
      <protection locked="0"/>
    </xf>
    <xf numFmtId="0" fontId="32" fillId="0" borderId="0" xfId="0" applyFont="1" applyAlignment="1">
      <alignment wrapText="1"/>
    </xf>
    <xf numFmtId="0" fontId="32" fillId="0" borderId="0" xfId="3" applyFont="1"/>
    <xf numFmtId="0" fontId="33" fillId="0" borderId="0" xfId="0" applyFont="1"/>
    <xf numFmtId="0" fontId="4" fillId="11" borderId="2" xfId="0" applyFont="1" applyFill="1" applyBorder="1"/>
    <xf numFmtId="0" fontId="4" fillId="11" borderId="3" xfId="0" applyFont="1" applyFill="1" applyBorder="1"/>
    <xf numFmtId="0" fontId="4" fillId="11" borderId="4" xfId="0" applyFont="1" applyFill="1" applyBorder="1"/>
    <xf numFmtId="0" fontId="4" fillId="11" borderId="2" xfId="0" applyFont="1" applyFill="1" applyBorder="1" applyAlignment="1">
      <alignment vertical="center"/>
    </xf>
    <xf numFmtId="0" fontId="4" fillId="11" borderId="3" xfId="0" applyFont="1" applyFill="1" applyBorder="1" applyAlignment="1">
      <alignment vertical="center"/>
    </xf>
    <xf numFmtId="0" fontId="4" fillId="11" borderId="4" xfId="0" applyFont="1" applyFill="1" applyBorder="1" applyAlignment="1">
      <alignment vertical="center"/>
    </xf>
    <xf numFmtId="0" fontId="4" fillId="0" borderId="0" xfId="0" applyFont="1" applyAlignment="1">
      <alignment vertical="top"/>
    </xf>
    <xf numFmtId="0" fontId="10" fillId="4" borderId="1" xfId="0" applyFont="1" applyFill="1" applyBorder="1" applyProtection="1">
      <protection locked="0"/>
    </xf>
    <xf numFmtId="14" fontId="10" fillId="4" borderId="1" xfId="0" applyNumberFormat="1" applyFont="1" applyFill="1" applyBorder="1" applyProtection="1">
      <protection locked="0"/>
    </xf>
    <xf numFmtId="0" fontId="4" fillId="0" borderId="2" xfId="0" applyFont="1" applyBorder="1" applyAlignment="1">
      <alignment vertical="center"/>
    </xf>
    <xf numFmtId="0" fontId="4" fillId="0" borderId="3"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6" fillId="0" borderId="0" xfId="0" applyFont="1" applyAlignment="1">
      <alignment horizontal="centerContinuous"/>
    </xf>
    <xf numFmtId="0" fontId="4" fillId="11" borderId="2" xfId="0" applyFont="1" applyFill="1" applyBorder="1" applyAlignment="1">
      <alignment horizontal="left" indent="2"/>
    </xf>
    <xf numFmtId="0" fontId="4" fillId="11" borderId="3" xfId="0" applyFont="1" applyFill="1" applyBorder="1" applyAlignment="1">
      <alignment horizontal="left" indent="2"/>
    </xf>
    <xf numFmtId="169" fontId="4" fillId="2" borderId="1" xfId="0" applyNumberFormat="1" applyFont="1" applyFill="1" applyBorder="1" applyAlignment="1">
      <alignment horizontal="right" vertical="center"/>
    </xf>
    <xf numFmtId="0" fontId="4" fillId="0" borderId="1" xfId="0" applyFont="1" applyBorder="1" applyAlignment="1">
      <alignment horizontal="left" vertical="center" wrapText="1"/>
    </xf>
    <xf numFmtId="170" fontId="23" fillId="0" borderId="0" xfId="3" applyNumberFormat="1" applyFont="1" applyAlignment="1">
      <alignment horizontal="center"/>
    </xf>
    <xf numFmtId="0" fontId="12" fillId="11" borderId="0" xfId="3" applyFont="1" applyFill="1" applyAlignment="1">
      <alignment horizontal="center"/>
    </xf>
    <xf numFmtId="170" fontId="23" fillId="11" borderId="0" xfId="3" applyNumberFormat="1" applyFont="1" applyFill="1" applyAlignment="1">
      <alignment horizontal="center"/>
    </xf>
    <xf numFmtId="0" fontId="1" fillId="0" borderId="0" xfId="0" applyFont="1" applyAlignment="1">
      <alignment vertical="center"/>
    </xf>
    <xf numFmtId="0" fontId="1" fillId="0" borderId="0" xfId="0" applyFont="1"/>
    <xf numFmtId="0" fontId="19" fillId="0" borderId="0" xfId="0" applyFont="1" applyAlignment="1">
      <alignment horizontal="left" vertical="center" wrapText="1"/>
    </xf>
    <xf numFmtId="3" fontId="19" fillId="0" borderId="0" xfId="0" applyNumberFormat="1" applyFont="1" applyAlignment="1">
      <alignment horizontal="right" vertical="center"/>
    </xf>
    <xf numFmtId="0" fontId="18" fillId="0" borderId="0" xfId="0" applyFont="1" applyAlignment="1">
      <alignment horizontal="right" vertical="center"/>
    </xf>
    <xf numFmtId="9" fontId="4" fillId="0" borderId="0" xfId="13" applyFont="1" applyFill="1" applyBorder="1" applyAlignment="1" applyProtection="1">
      <alignment horizontal="center" vertical="center"/>
    </xf>
    <xf numFmtId="0" fontId="6" fillId="0" borderId="0" xfId="0" applyFont="1" applyAlignment="1">
      <alignment vertical="top" wrapText="1"/>
    </xf>
    <xf numFmtId="0" fontId="9" fillId="0" borderId="0" xfId="1" applyFont="1"/>
    <xf numFmtId="170" fontId="36" fillId="0" borderId="0" xfId="3" applyNumberFormat="1" applyFont="1" applyAlignment="1">
      <alignment horizontal="center"/>
    </xf>
    <xf numFmtId="0" fontId="37" fillId="0" borderId="0" xfId="0" applyFont="1" applyAlignment="1">
      <alignment horizont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4" xfId="0" applyFont="1" applyBorder="1" applyAlignment="1">
      <alignment horizontal="left" vertical="center"/>
    </xf>
    <xf numFmtId="0" fontId="4" fillId="0" borderId="2" xfId="0" applyFont="1" applyBorder="1" applyAlignment="1">
      <alignment horizontal="left" vertical="center"/>
    </xf>
    <xf numFmtId="1" fontId="4" fillId="10" borderId="1" xfId="0" applyNumberFormat="1" applyFont="1" applyFill="1" applyBorder="1" applyAlignment="1" applyProtection="1">
      <alignment horizontal="right" vertical="center"/>
      <protection locked="0"/>
    </xf>
    <xf numFmtId="1" fontId="4" fillId="2" borderId="1" xfId="0" applyNumberFormat="1" applyFont="1" applyFill="1" applyBorder="1" applyAlignment="1">
      <alignment horizontal="right" vertical="center"/>
    </xf>
    <xf numFmtId="9" fontId="4" fillId="10" borderId="1" xfId="0" applyNumberFormat="1" applyFont="1" applyFill="1" applyBorder="1" applyAlignment="1" applyProtection="1">
      <alignment horizontal="right" vertical="center"/>
      <protection locked="0"/>
    </xf>
    <xf numFmtId="0" fontId="6" fillId="0" borderId="0" xfId="0" applyFont="1" applyAlignment="1">
      <alignment horizontal="right"/>
    </xf>
    <xf numFmtId="0" fontId="8" fillId="0" borderId="0" xfId="1" applyAlignment="1" applyProtection="1">
      <alignment vertical="top"/>
    </xf>
    <xf numFmtId="0" fontId="5" fillId="0" borderId="4" xfId="1" applyFont="1" applyBorder="1" applyAlignment="1" applyProtection="1">
      <alignment horizontal="left" vertical="center" wrapText="1"/>
    </xf>
    <xf numFmtId="165" fontId="4" fillId="3" borderId="1" xfId="0" applyNumberFormat="1" applyFont="1" applyFill="1" applyBorder="1" applyAlignment="1" applyProtection="1">
      <alignment horizontal="right" vertical="center"/>
      <protection locked="0"/>
    </xf>
    <xf numFmtId="0" fontId="6" fillId="2" borderId="2" xfId="0" applyFont="1" applyFill="1" applyBorder="1" applyAlignment="1">
      <alignment horizontal="center"/>
    </xf>
    <xf numFmtId="0" fontId="6" fillId="11" borderId="0" xfId="0" applyFont="1" applyFill="1" applyAlignment="1">
      <alignment horizontal="centerContinuous"/>
    </xf>
    <xf numFmtId="0" fontId="10" fillId="11" borderId="0" xfId="0" applyFont="1" applyFill="1" applyAlignment="1">
      <alignment horizontal="centerContinuous"/>
    </xf>
    <xf numFmtId="0" fontId="10" fillId="2" borderId="12" xfId="0" applyFont="1" applyFill="1" applyBorder="1" applyAlignment="1">
      <alignment horizontal="center"/>
    </xf>
    <xf numFmtId="0" fontId="4" fillId="2" borderId="4" xfId="0" applyFont="1" applyFill="1" applyBorder="1" applyAlignment="1">
      <alignment horizontal="left" vertical="center" wrapText="1"/>
    </xf>
    <xf numFmtId="0" fontId="4" fillId="10" borderId="1" xfId="0" applyFont="1" applyFill="1" applyBorder="1" applyAlignment="1" applyProtection="1">
      <alignment horizontal="right"/>
      <protection locked="0"/>
    </xf>
    <xf numFmtId="171" fontId="4" fillId="2" borderId="1" xfId="0" applyNumberFormat="1" applyFont="1" applyFill="1" applyBorder="1" applyAlignment="1">
      <alignment horizontal="right" vertical="center"/>
    </xf>
    <xf numFmtId="166" fontId="4" fillId="3" borderId="1" xfId="0" applyNumberFormat="1" applyFont="1" applyFill="1" applyBorder="1" applyAlignment="1" applyProtection="1">
      <alignment horizontal="right" vertical="center"/>
      <protection locked="0"/>
    </xf>
    <xf numFmtId="3" fontId="4" fillId="2" borderId="16" xfId="0" applyNumberFormat="1" applyFont="1" applyFill="1" applyBorder="1" applyAlignment="1">
      <alignment horizontal="right" vertical="center"/>
    </xf>
    <xf numFmtId="3" fontId="6" fillId="2" borderId="17" xfId="0" applyNumberFormat="1" applyFont="1" applyFill="1" applyBorder="1" applyAlignment="1">
      <alignment horizontal="right" vertical="center"/>
    </xf>
    <xf numFmtId="0" fontId="41" fillId="0" borderId="0" xfId="0" applyFont="1" applyAlignment="1">
      <alignment vertical="center"/>
    </xf>
    <xf numFmtId="0" fontId="4" fillId="0" borderId="1" xfId="0" applyFont="1" applyBorder="1" applyAlignment="1">
      <alignment horizontal="left" vertical="center" indent="1"/>
    </xf>
    <xf numFmtId="0" fontId="4" fillId="0" borderId="0" xfId="0" applyFont="1" applyAlignment="1">
      <alignment vertical="center" wrapText="1"/>
    </xf>
    <xf numFmtId="0" fontId="4" fillId="0" borderId="0" xfId="0" applyFont="1" applyAlignment="1">
      <alignment horizontal="left" wrapText="1"/>
    </xf>
    <xf numFmtId="0" fontId="4" fillId="0" borderId="3" xfId="0" applyFont="1" applyBorder="1" applyAlignment="1">
      <alignment horizontal="left" vertical="center"/>
    </xf>
    <xf numFmtId="0" fontId="6" fillId="2" borderId="1" xfId="0" applyFont="1" applyFill="1" applyBorder="1" applyAlignment="1">
      <alignment horizontal="center"/>
    </xf>
    <xf numFmtId="0" fontId="4" fillId="0" borderId="18" xfId="0" applyFont="1" applyBorder="1" applyAlignment="1">
      <alignment horizontal="left" vertical="center"/>
    </xf>
    <xf numFmtId="0" fontId="4" fillId="0" borderId="10" xfId="0" applyFont="1" applyBorder="1" applyAlignment="1">
      <alignment horizontal="left" vertical="center" wrapText="1"/>
    </xf>
    <xf numFmtId="0" fontId="4" fillId="0" borderId="19" xfId="0" applyFont="1" applyBorder="1" applyAlignment="1">
      <alignment horizontal="lef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5" fillId="0" borderId="4" xfId="0" applyFont="1" applyBorder="1" applyAlignment="1">
      <alignment vertical="center" wrapText="1"/>
    </xf>
    <xf numFmtId="0" fontId="10" fillId="2" borderId="16" xfId="0" applyFont="1" applyFill="1" applyBorder="1" applyAlignment="1">
      <alignment horizontal="center"/>
    </xf>
    <xf numFmtId="3" fontId="4" fillId="2" borderId="4" xfId="0" applyNumberFormat="1" applyFont="1" applyFill="1" applyBorder="1" applyAlignment="1">
      <alignment horizontal="right" vertical="center"/>
    </xf>
    <xf numFmtId="0" fontId="42" fillId="12" borderId="25" xfId="0" applyFont="1" applyFill="1" applyBorder="1" applyAlignment="1">
      <alignment horizontal="left" vertical="center" wrapText="1"/>
    </xf>
    <xf numFmtId="0" fontId="42" fillId="12" borderId="26" xfId="0" applyFont="1" applyFill="1" applyBorder="1" applyAlignment="1">
      <alignment horizontal="left" vertical="center" wrapText="1"/>
    </xf>
    <xf numFmtId="0" fontId="42" fillId="12" borderId="27" xfId="0" applyFont="1" applyFill="1" applyBorder="1" applyAlignment="1">
      <alignment horizontal="left" vertical="center" wrapText="1"/>
    </xf>
    <xf numFmtId="0" fontId="42" fillId="0" borderId="28" xfId="0" applyFont="1" applyBorder="1" applyAlignment="1">
      <alignment horizontal="left" vertical="center" wrapText="1"/>
    </xf>
    <xf numFmtId="0" fontId="44" fillId="0" borderId="0" xfId="0" applyFont="1"/>
    <xf numFmtId="0" fontId="44" fillId="0" borderId="0" xfId="0" applyFont="1" applyAlignment="1">
      <alignment horizontal="left"/>
    </xf>
    <xf numFmtId="0" fontId="42" fillId="0" borderId="29" xfId="0" applyFont="1" applyBorder="1" applyAlignment="1">
      <alignment horizontal="left" vertical="center" wrapText="1"/>
    </xf>
    <xf numFmtId="0" fontId="42" fillId="0" borderId="0" xfId="0" applyFont="1" applyAlignment="1">
      <alignment horizontal="left" vertical="center" wrapText="1"/>
    </xf>
    <xf numFmtId="0" fontId="43" fillId="12" borderId="25" xfId="0" applyFont="1" applyFill="1" applyBorder="1" applyAlignment="1">
      <alignment wrapText="1"/>
    </xf>
    <xf numFmtId="0" fontId="43" fillId="0" borderId="0" xfId="0" applyFont="1" applyAlignment="1">
      <alignment wrapText="1"/>
    </xf>
    <xf numFmtId="0" fontId="44" fillId="12" borderId="26" xfId="0" applyFont="1" applyFill="1" applyBorder="1" applyAlignment="1">
      <alignment wrapText="1"/>
    </xf>
    <xf numFmtId="0" fontId="44" fillId="0" borderId="0" xfId="0" applyFont="1" applyAlignment="1">
      <alignment wrapText="1"/>
    </xf>
    <xf numFmtId="0" fontId="44" fillId="12" borderId="27" xfId="0" applyFont="1" applyFill="1" applyBorder="1" applyAlignment="1">
      <alignment wrapText="1"/>
    </xf>
    <xf numFmtId="0" fontId="44" fillId="12" borderId="25" xfId="0" applyFont="1" applyFill="1" applyBorder="1" applyAlignment="1">
      <alignment wrapText="1"/>
    </xf>
    <xf numFmtId="0" fontId="43" fillId="0" borderId="0" xfId="0" applyFont="1"/>
    <xf numFmtId="0" fontId="45" fillId="0" borderId="0" xfId="0" applyFont="1" applyAlignment="1">
      <alignment vertical="center"/>
    </xf>
    <xf numFmtId="0" fontId="44" fillId="0" borderId="0" xfId="0" applyFont="1" applyAlignment="1">
      <alignment horizontal="left" vertical="center"/>
    </xf>
    <xf numFmtId="0" fontId="44" fillId="0" borderId="0" xfId="0" applyFont="1" applyAlignment="1">
      <alignment vertical="center"/>
    </xf>
    <xf numFmtId="165" fontId="43" fillId="12" borderId="20" xfId="0" applyNumberFormat="1" applyFont="1" applyFill="1" applyBorder="1"/>
    <xf numFmtId="0" fontId="43" fillId="12" borderId="21" xfId="0" applyFont="1" applyFill="1" applyBorder="1"/>
    <xf numFmtId="165" fontId="44" fillId="12" borderId="7" xfId="0" applyNumberFormat="1" applyFont="1" applyFill="1" applyBorder="1"/>
    <xf numFmtId="3" fontId="44" fillId="12" borderId="22" xfId="0" applyNumberFormat="1" applyFont="1" applyFill="1" applyBorder="1"/>
    <xf numFmtId="165" fontId="44" fillId="12" borderId="23" xfId="0" applyNumberFormat="1" applyFont="1" applyFill="1" applyBorder="1"/>
    <xf numFmtId="3" fontId="44" fillId="12" borderId="24" xfId="0" applyNumberFormat="1" applyFont="1" applyFill="1" applyBorder="1"/>
    <xf numFmtId="165" fontId="44" fillId="12" borderId="28" xfId="0" applyNumberFormat="1" applyFont="1" applyFill="1" applyBorder="1"/>
    <xf numFmtId="0" fontId="44" fillId="12" borderId="30" xfId="0" applyFont="1" applyFill="1" applyBorder="1"/>
    <xf numFmtId="165" fontId="44" fillId="12" borderId="29" xfId="0" applyNumberFormat="1" applyFont="1" applyFill="1" applyBorder="1"/>
    <xf numFmtId="3" fontId="44" fillId="12" borderId="31" xfId="0" applyNumberFormat="1" applyFont="1" applyFill="1" applyBorder="1"/>
    <xf numFmtId="0" fontId="44" fillId="12" borderId="32" xfId="0" applyFont="1" applyFill="1" applyBorder="1"/>
    <xf numFmtId="0" fontId="44" fillId="12" borderId="33" xfId="0" applyFont="1" applyFill="1" applyBorder="1"/>
    <xf numFmtId="0" fontId="44" fillId="12" borderId="28" xfId="0" applyFont="1" applyFill="1" applyBorder="1"/>
    <xf numFmtId="3" fontId="44" fillId="12" borderId="33" xfId="0" applyNumberFormat="1" applyFont="1" applyFill="1" applyBorder="1"/>
    <xf numFmtId="165" fontId="44" fillId="12" borderId="32" xfId="0" applyNumberFormat="1" applyFont="1" applyFill="1" applyBorder="1"/>
    <xf numFmtId="0" fontId="44" fillId="12" borderId="31" xfId="0" applyFont="1" applyFill="1" applyBorder="1"/>
    <xf numFmtId="0" fontId="44" fillId="11" borderId="0" xfId="0" applyFont="1" applyFill="1"/>
    <xf numFmtId="3" fontId="4" fillId="2" borderId="17" xfId="0" applyNumberFormat="1" applyFont="1" applyFill="1" applyBorder="1" applyAlignment="1">
      <alignment horizontal="right" vertical="center"/>
    </xf>
    <xf numFmtId="0" fontId="6" fillId="0" borderId="6" xfId="0" applyFont="1" applyBorder="1" applyAlignment="1">
      <alignment horizontal="left" wrapText="1"/>
    </xf>
    <xf numFmtId="0" fontId="4" fillId="2" borderId="1" xfId="0" applyFont="1" applyFill="1" applyBorder="1" applyAlignment="1">
      <alignment horizontal="left" vertical="center" wrapText="1"/>
    </xf>
    <xf numFmtId="0" fontId="4" fillId="2" borderId="1" xfId="0" applyFont="1" applyFill="1" applyBorder="1" applyAlignment="1">
      <alignment horizontal="left"/>
    </xf>
    <xf numFmtId="169" fontId="4" fillId="10" borderId="1" xfId="0" applyNumberFormat="1" applyFont="1" applyFill="1" applyBorder="1" applyAlignment="1" applyProtection="1">
      <alignment horizontal="right" vertical="center"/>
      <protection locked="0"/>
    </xf>
    <xf numFmtId="3" fontId="4" fillId="2" borderId="17" xfId="0" applyNumberFormat="1" applyFont="1" applyFill="1" applyBorder="1" applyAlignment="1">
      <alignment horizontal="right"/>
    </xf>
    <xf numFmtId="0" fontId="4" fillId="0" borderId="1" xfId="0" applyFont="1" applyBorder="1" applyAlignment="1">
      <alignment vertical="center" wrapText="1"/>
    </xf>
    <xf numFmtId="0" fontId="4" fillId="2" borderId="1" xfId="0" applyFont="1" applyFill="1" applyBorder="1" applyAlignment="1">
      <alignment vertical="center" wrapText="1"/>
    </xf>
    <xf numFmtId="165" fontId="4" fillId="10" borderId="1" xfId="0" applyNumberFormat="1" applyFont="1" applyFill="1" applyBorder="1" applyAlignment="1" applyProtection="1">
      <alignment horizontal="right" vertical="center"/>
      <protection locked="0"/>
    </xf>
    <xf numFmtId="0" fontId="4" fillId="0" borderId="1" xfId="0" applyFont="1" applyBorder="1" applyAlignment="1">
      <alignment horizontal="left"/>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horizontal="left"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4" fillId="0" borderId="12" xfId="0" applyFont="1" applyBorder="1" applyAlignment="1">
      <alignment horizontal="left" vertical="center" wrapText="1"/>
    </xf>
    <xf numFmtId="0" fontId="4" fillId="0" borderId="6" xfId="0" applyFont="1" applyBorder="1" applyAlignment="1">
      <alignment horizontal="left" vertical="center" wrapText="1"/>
    </xf>
    <xf numFmtId="0" fontId="4" fillId="0" borderId="13" xfId="0" applyFont="1" applyBorder="1" applyAlignment="1">
      <alignment horizontal="lef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4" fillId="11" borderId="2" xfId="0" applyFont="1" applyFill="1" applyBorder="1" applyAlignment="1">
      <alignment horizontal="left" vertical="center" wrapText="1"/>
    </xf>
    <xf numFmtId="0" fontId="6" fillId="11" borderId="3" xfId="0" applyFont="1" applyFill="1" applyBorder="1" applyAlignment="1">
      <alignment horizontal="left" vertical="center" wrapText="1"/>
    </xf>
    <xf numFmtId="0" fontId="6" fillId="11" borderId="4" xfId="0" applyFont="1" applyFill="1" applyBorder="1" applyAlignment="1">
      <alignment horizontal="left" vertical="center" wrapText="1"/>
    </xf>
    <xf numFmtId="0" fontId="4" fillId="11" borderId="3" xfId="0" applyFont="1" applyFill="1" applyBorder="1" applyAlignment="1">
      <alignment horizontal="left" vertical="center" wrapText="1"/>
    </xf>
    <xf numFmtId="0" fontId="4" fillId="11" borderId="4" xfId="0" applyFont="1" applyFill="1" applyBorder="1" applyAlignment="1">
      <alignment horizontal="left" vertical="center" wrapText="1"/>
    </xf>
    <xf numFmtId="0" fontId="0" fillId="11" borderId="10" xfId="0" applyFill="1" applyBorder="1" applyAlignment="1">
      <alignment horizontal="center"/>
    </xf>
    <xf numFmtId="0" fontId="6" fillId="11" borderId="0" xfId="0" applyFont="1" applyFill="1" applyAlignment="1">
      <alignment horizontal="left"/>
    </xf>
    <xf numFmtId="0" fontId="4" fillId="11" borderId="12" xfId="0" applyFont="1" applyFill="1" applyBorder="1" applyAlignment="1">
      <alignment horizontal="left" vertical="center" wrapText="1"/>
    </xf>
    <xf numFmtId="0" fontId="4" fillId="11" borderId="6" xfId="0" applyFont="1" applyFill="1" applyBorder="1" applyAlignment="1">
      <alignment horizontal="left" vertical="center" wrapText="1"/>
    </xf>
    <xf numFmtId="0" fontId="4" fillId="11" borderId="13" xfId="0" applyFont="1" applyFill="1" applyBorder="1" applyAlignment="1">
      <alignment horizontal="left" vertical="center" wrapText="1"/>
    </xf>
    <xf numFmtId="0" fontId="4" fillId="0" borderId="18" xfId="0" applyFont="1" applyBorder="1" applyAlignment="1">
      <alignment horizontal="left" vertical="center" wrapText="1"/>
    </xf>
    <xf numFmtId="0" fontId="4" fillId="0" borderId="10" xfId="0" applyFont="1" applyBorder="1" applyAlignment="1">
      <alignment horizontal="left" vertical="center" wrapText="1"/>
    </xf>
    <xf numFmtId="0" fontId="4" fillId="0" borderId="19" xfId="0" applyFont="1" applyBorder="1" applyAlignment="1">
      <alignment horizontal="left" vertical="center" wrapText="1"/>
    </xf>
    <xf numFmtId="0" fontId="6" fillId="0" borderId="6" xfId="0" applyFont="1" applyBorder="1" applyAlignment="1">
      <alignment horizontal="left" wrapText="1"/>
    </xf>
    <xf numFmtId="0" fontId="6" fillId="0" borderId="0" xfId="0" applyFont="1" applyAlignment="1">
      <alignment horizontal="left" wrapText="1"/>
    </xf>
    <xf numFmtId="0" fontId="4" fillId="0" borderId="2" xfId="0" applyFont="1" applyBorder="1" applyAlignment="1">
      <alignment horizontal="left"/>
    </xf>
    <xf numFmtId="0" fontId="4" fillId="0" borderId="2" xfId="0" applyFont="1" applyBorder="1" applyAlignment="1">
      <alignment horizontal="left" wrapText="1"/>
    </xf>
    <xf numFmtId="0" fontId="4" fillId="0" borderId="3" xfId="0" applyFont="1" applyBorder="1" applyAlignment="1">
      <alignment horizontal="left" wrapText="1"/>
    </xf>
    <xf numFmtId="0" fontId="4" fillId="0" borderId="4" xfId="0" applyFont="1" applyBorder="1" applyAlignment="1">
      <alignment horizontal="left" wrapText="1"/>
    </xf>
    <xf numFmtId="0" fontId="4" fillId="0" borderId="3" xfId="0" applyFont="1" applyBorder="1" applyAlignment="1">
      <alignment horizontal="left"/>
    </xf>
    <xf numFmtId="0" fontId="4" fillId="0" borderId="4" xfId="0" applyFont="1" applyBorder="1" applyAlignment="1">
      <alignment horizontal="left"/>
    </xf>
  </cellXfs>
  <cellStyles count="14">
    <cellStyle name="Comma" xfId="2" builtinId="3"/>
    <cellStyle name="Comma 3" xfId="4" xr:uid="{00000000-0005-0000-0000-000001000000}"/>
    <cellStyle name="Hyperlink" xfId="1" builtinId="8"/>
    <cellStyle name="Hyperlink 2" xfId="11" xr:uid="{00000000-0005-0000-0000-000003000000}"/>
    <cellStyle name="Hyperlink 3" xfId="12" xr:uid="{00000000-0005-0000-0000-000004000000}"/>
    <cellStyle name="Hyperlink 4" xfId="6" xr:uid="{00000000-0005-0000-0000-000005000000}"/>
    <cellStyle name="Normal" xfId="0" builtinId="0"/>
    <cellStyle name="Normal 10" xfId="10" xr:uid="{00000000-0005-0000-0000-000007000000}"/>
    <cellStyle name="Normal 13" xfId="3" xr:uid="{00000000-0005-0000-0000-000008000000}"/>
    <cellStyle name="Normal 14" xfId="8" xr:uid="{00000000-0005-0000-0000-000009000000}"/>
    <cellStyle name="Normal 16" xfId="9" xr:uid="{00000000-0005-0000-0000-00000A000000}"/>
    <cellStyle name="Normal 3" xfId="7" xr:uid="{00000000-0005-0000-0000-00000B000000}"/>
    <cellStyle name="Normal 9" xfId="5" xr:uid="{00000000-0005-0000-0000-00000C000000}"/>
    <cellStyle name="Percent" xfId="13" builtinId="5"/>
  </cellStyles>
  <dxfs count="0"/>
  <tableStyles count="0" defaultTableStyle="TableStyleMedium2" defaultPivotStyle="PivotStyleLight16"/>
  <colors>
    <mruColors>
      <color rgb="FFF6FE94"/>
      <color rgb="FFD2ECB6"/>
      <color rgb="FFBAE18F"/>
      <color rgb="FF0000FF"/>
      <color rgb="FFF8FC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1828800</xdr:colOff>
      <xdr:row>8</xdr:row>
      <xdr:rowOff>19050</xdr:rowOff>
    </xdr:to>
    <xdr:pic>
      <xdr:nvPicPr>
        <xdr:cNvPr id="2" name="Picture 1" descr="Logo&#10;&#10;AI-generated content may be incorrect.">
          <a:extLst>
            <a:ext uri="{FF2B5EF4-FFF2-40B4-BE49-F238E27FC236}">
              <a16:creationId xmlns:a16="http://schemas.microsoft.com/office/drawing/2014/main" id="{321B0611-505A-4BB7-2558-D156E1DF46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828800" cy="182880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1828800</xdr:colOff>
      <xdr:row>7</xdr:row>
      <xdr:rowOff>146050</xdr:rowOff>
    </xdr:to>
    <xdr:pic>
      <xdr:nvPicPr>
        <xdr:cNvPr id="2" name="Picture 1" descr="Logo&#10;&#10;AI-generated content may be incorrect.">
          <a:extLst>
            <a:ext uri="{FF2B5EF4-FFF2-40B4-BE49-F238E27FC236}">
              <a16:creationId xmlns:a16="http://schemas.microsoft.com/office/drawing/2014/main" id="{2325ADBA-4973-F777-45A0-785CA69A92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828800" cy="182880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1209675</xdr:colOff>
      <xdr:row>8</xdr:row>
      <xdr:rowOff>9525</xdr:rowOff>
    </xdr:to>
    <xdr:pic>
      <xdr:nvPicPr>
        <xdr:cNvPr id="2" name="Picture 1" descr="Logo&#10;&#10;AI-generated content may be incorrect.">
          <a:extLst>
            <a:ext uri="{FF2B5EF4-FFF2-40B4-BE49-F238E27FC236}">
              <a16:creationId xmlns:a16="http://schemas.microsoft.com/office/drawing/2014/main" id="{F6A7699C-40DE-6C5F-A722-1F72334304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828800" cy="18288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114300</xdr:colOff>
      <xdr:row>7</xdr:row>
      <xdr:rowOff>124883</xdr:rowOff>
    </xdr:to>
    <xdr:pic>
      <xdr:nvPicPr>
        <xdr:cNvPr id="3" name="Picture 2" descr="Logo&#10;&#10;AI-generated content may be incorrect.">
          <a:extLst>
            <a:ext uri="{FF2B5EF4-FFF2-40B4-BE49-F238E27FC236}">
              <a16:creationId xmlns:a16="http://schemas.microsoft.com/office/drawing/2014/main" id="{B556AA86-F087-8DB9-1E3B-56A09082BB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828800" cy="18288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1828800</xdr:colOff>
      <xdr:row>7</xdr:row>
      <xdr:rowOff>124883</xdr:rowOff>
    </xdr:to>
    <xdr:pic>
      <xdr:nvPicPr>
        <xdr:cNvPr id="2" name="Picture 1" descr="Logo&#10;&#10;AI-generated content may be incorrect.">
          <a:extLst>
            <a:ext uri="{FF2B5EF4-FFF2-40B4-BE49-F238E27FC236}">
              <a16:creationId xmlns:a16="http://schemas.microsoft.com/office/drawing/2014/main" id="{F28C3CAA-6C0A-0298-50AC-66D4213E9D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828800" cy="18288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114300</xdr:colOff>
      <xdr:row>7</xdr:row>
      <xdr:rowOff>181535</xdr:rowOff>
    </xdr:to>
    <xdr:pic>
      <xdr:nvPicPr>
        <xdr:cNvPr id="2" name="Picture 1" descr="Logo&#10;&#10;AI-generated content may be incorrect.">
          <a:extLst>
            <a:ext uri="{FF2B5EF4-FFF2-40B4-BE49-F238E27FC236}">
              <a16:creationId xmlns:a16="http://schemas.microsoft.com/office/drawing/2014/main" id="{050C02EE-031D-340C-7753-E8989F20E5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828800" cy="18288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114300</xdr:colOff>
      <xdr:row>7</xdr:row>
      <xdr:rowOff>124883</xdr:rowOff>
    </xdr:to>
    <xdr:pic>
      <xdr:nvPicPr>
        <xdr:cNvPr id="2" name="Picture 1" descr="Logo&#10;&#10;AI-generated content may be incorrect.">
          <a:extLst>
            <a:ext uri="{FF2B5EF4-FFF2-40B4-BE49-F238E27FC236}">
              <a16:creationId xmlns:a16="http://schemas.microsoft.com/office/drawing/2014/main" id="{096BA435-73CA-C114-8E9E-F2325A133C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828800" cy="182880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1828800</xdr:colOff>
      <xdr:row>7</xdr:row>
      <xdr:rowOff>124883</xdr:rowOff>
    </xdr:to>
    <xdr:pic>
      <xdr:nvPicPr>
        <xdr:cNvPr id="2" name="Picture 1" descr="Logo&#10;&#10;AI-generated content may be incorrect.">
          <a:extLst>
            <a:ext uri="{FF2B5EF4-FFF2-40B4-BE49-F238E27FC236}">
              <a16:creationId xmlns:a16="http://schemas.microsoft.com/office/drawing/2014/main" id="{C82B1623-1830-CCF2-04BD-0600023A65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828800" cy="182880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114300</xdr:colOff>
      <xdr:row>7</xdr:row>
      <xdr:rowOff>168275</xdr:rowOff>
    </xdr:to>
    <xdr:pic>
      <xdr:nvPicPr>
        <xdr:cNvPr id="2" name="Picture 1" descr="Logo&#10;&#10;AI-generated content may be incorrect.">
          <a:extLst>
            <a:ext uri="{FF2B5EF4-FFF2-40B4-BE49-F238E27FC236}">
              <a16:creationId xmlns:a16="http://schemas.microsoft.com/office/drawing/2014/main" id="{905C2F9C-AB57-15F4-C15C-EBE8FD68D6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828800" cy="182880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137583</xdr:colOff>
      <xdr:row>0</xdr:row>
      <xdr:rowOff>42333</xdr:rowOff>
    </xdr:from>
    <xdr:to>
      <xdr:col>1</xdr:col>
      <xdr:colOff>251883</xdr:colOff>
      <xdr:row>7</xdr:row>
      <xdr:rowOff>209550</xdr:rowOff>
    </xdr:to>
    <xdr:pic>
      <xdr:nvPicPr>
        <xdr:cNvPr id="3" name="Picture 2" descr="Logo&#10;&#10;AI-generated content may be incorrect.">
          <a:extLst>
            <a:ext uri="{FF2B5EF4-FFF2-40B4-BE49-F238E27FC236}">
              <a16:creationId xmlns:a16="http://schemas.microsoft.com/office/drawing/2014/main" id="{6C330416-62AD-36BC-CEB0-6A3A76B95D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583" y="42333"/>
          <a:ext cx="1828800" cy="182880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169334</xdr:colOff>
      <xdr:row>0</xdr:row>
      <xdr:rowOff>148168</xdr:rowOff>
    </xdr:from>
    <xdr:to>
      <xdr:col>1</xdr:col>
      <xdr:colOff>74084</xdr:colOff>
      <xdr:row>7</xdr:row>
      <xdr:rowOff>63501</xdr:rowOff>
    </xdr:to>
    <xdr:pic>
      <xdr:nvPicPr>
        <xdr:cNvPr id="2" name="Picture 1" descr="Logo&#10;&#10;AI-generated content may be incorrect.">
          <a:extLst>
            <a:ext uri="{FF2B5EF4-FFF2-40B4-BE49-F238E27FC236}">
              <a16:creationId xmlns:a16="http://schemas.microsoft.com/office/drawing/2014/main" id="{57832A71-F501-2466-020C-93DB92157C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9334" y="148168"/>
          <a:ext cx="1619250" cy="161925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rb.ca.gov/cci-quantification" TargetMode="External"/><Relationship Id="rId2" Type="http://schemas.openxmlformats.org/officeDocument/2006/relationships/hyperlink" Target="mailto:ForestHealth@fire.ca.gov" TargetMode="External"/><Relationship Id="rId1" Type="http://schemas.openxmlformats.org/officeDocument/2006/relationships/hyperlink" Target="mailto:ForestHealthQM@arb.ca.gov"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caclimateinvestments.ca.gov/tool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32"/>
  <sheetViews>
    <sheetView showGridLines="0" showRuler="0" zoomScaleNormal="100" workbookViewId="0">
      <selection activeCell="A12" sqref="A12"/>
    </sheetView>
  </sheetViews>
  <sheetFormatPr defaultColWidth="9.140625" defaultRowHeight="15" x14ac:dyDescent="0.25"/>
  <cols>
    <col min="1" max="1" width="27.7109375" customWidth="1"/>
    <col min="2" max="2" width="36" customWidth="1"/>
    <col min="3" max="3" width="26.7109375" customWidth="1"/>
    <col min="4" max="4" width="58.7109375" customWidth="1"/>
    <col min="5" max="23" width="5.7109375" customWidth="1"/>
  </cols>
  <sheetData>
    <row r="1" spans="1:10" ht="18.75" x14ac:dyDescent="0.3">
      <c r="C1" s="2" t="s">
        <v>176</v>
      </c>
      <c r="E1" s="2"/>
      <c r="F1" s="2"/>
    </row>
    <row r="2" spans="1:10" ht="18.75" x14ac:dyDescent="0.3">
      <c r="C2" s="2" t="s">
        <v>283</v>
      </c>
      <c r="E2" s="2"/>
      <c r="F2" s="2"/>
    </row>
    <row r="3" spans="1:10" ht="18.75" x14ac:dyDescent="0.3">
      <c r="C3" s="2" t="s">
        <v>284</v>
      </c>
    </row>
    <row r="4" spans="1:10" ht="18.75" x14ac:dyDescent="0.3">
      <c r="C4" s="21" t="s">
        <v>308</v>
      </c>
      <c r="E4" s="2"/>
      <c r="F4" s="2"/>
    </row>
    <row r="5" spans="1:10" ht="18.75" x14ac:dyDescent="0.3">
      <c r="C5" s="116"/>
      <c r="E5" s="2"/>
      <c r="F5" s="2"/>
    </row>
    <row r="6" spans="1:10" ht="18.75" x14ac:dyDescent="0.3">
      <c r="C6" s="186">
        <v>45966</v>
      </c>
      <c r="E6" s="2"/>
      <c r="F6" s="2"/>
    </row>
    <row r="7" spans="1:10" x14ac:dyDescent="0.25">
      <c r="C7" s="187"/>
    </row>
    <row r="10" spans="1:10" ht="18.75" x14ac:dyDescent="0.3">
      <c r="A10" s="3" t="s">
        <v>1</v>
      </c>
    </row>
    <row r="11" spans="1:10" ht="20.100000000000001" customHeight="1" x14ac:dyDescent="0.25">
      <c r="A11" s="57" t="s">
        <v>285</v>
      </c>
      <c r="B11" s="11"/>
      <c r="C11" s="11"/>
      <c r="D11" s="11"/>
      <c r="E11" s="11"/>
      <c r="F11" s="11"/>
      <c r="G11" s="11"/>
      <c r="H11" s="11"/>
      <c r="I11" s="11"/>
    </row>
    <row r="12" spans="1:10" ht="15" customHeight="1" x14ac:dyDescent="0.25">
      <c r="A12" s="57" t="s">
        <v>286</v>
      </c>
      <c r="B12" s="11"/>
      <c r="C12" s="11"/>
      <c r="D12" s="11"/>
      <c r="E12" s="11"/>
      <c r="F12" s="11"/>
      <c r="G12" s="11"/>
      <c r="H12" s="11"/>
      <c r="I12" s="11"/>
    </row>
    <row r="13" spans="1:10" ht="15" customHeight="1" x14ac:dyDescent="0.25">
      <c r="A13" s="121"/>
      <c r="B13" s="11"/>
      <c r="C13" s="11"/>
      <c r="D13" s="11"/>
      <c r="E13" s="11"/>
      <c r="F13" s="11"/>
      <c r="G13" s="11"/>
      <c r="H13" s="11"/>
      <c r="I13" s="11"/>
    </row>
    <row r="14" spans="1:10" ht="15" customHeight="1" x14ac:dyDescent="0.25">
      <c r="A14" s="57" t="s">
        <v>287</v>
      </c>
      <c r="B14" s="11"/>
      <c r="C14" s="11"/>
      <c r="D14" s="11"/>
      <c r="E14" s="11"/>
      <c r="F14" s="11"/>
      <c r="G14" s="11"/>
      <c r="H14" s="11"/>
      <c r="I14" s="11"/>
      <c r="J14" s="11"/>
    </row>
    <row r="15" spans="1:10" ht="15" customHeight="1" x14ac:dyDescent="0.25">
      <c r="A15" s="4" t="s">
        <v>273</v>
      </c>
      <c r="B15" s="197" t="s">
        <v>310</v>
      </c>
      <c r="C15" s="60"/>
      <c r="D15" s="60"/>
      <c r="E15" s="60"/>
      <c r="F15" s="60"/>
      <c r="G15" s="22"/>
      <c r="H15" s="22"/>
      <c r="I15" s="22"/>
    </row>
    <row r="16" spans="1:10" ht="15" customHeight="1" x14ac:dyDescent="0.25">
      <c r="A16" s="53"/>
      <c r="B16" s="54"/>
      <c r="C16" s="54"/>
      <c r="D16" s="54"/>
      <c r="E16" s="54"/>
      <c r="F16" s="54"/>
      <c r="G16" s="54"/>
      <c r="H16" s="22"/>
      <c r="I16" s="22"/>
      <c r="J16" s="22"/>
    </row>
    <row r="17" spans="1:15" ht="15" customHeight="1" x14ac:dyDescent="0.25">
      <c r="A17" s="184"/>
      <c r="B17" s="185"/>
      <c r="C17" s="163"/>
      <c r="D17" s="163"/>
      <c r="E17" s="4"/>
      <c r="F17" s="4"/>
      <c r="G17" s="4"/>
      <c r="H17" s="4"/>
      <c r="I17" s="4"/>
      <c r="J17" s="4"/>
      <c r="K17" s="4"/>
      <c r="L17" s="4"/>
      <c r="M17" s="4"/>
      <c r="N17" s="4"/>
      <c r="O17" s="4"/>
    </row>
    <row r="18" spans="1:15" ht="15" customHeight="1" x14ac:dyDescent="0.25">
      <c r="A18" s="4"/>
      <c r="B18" s="4"/>
      <c r="C18" s="4"/>
      <c r="D18" s="4"/>
      <c r="E18" s="4"/>
      <c r="F18" s="4"/>
      <c r="G18" s="4"/>
      <c r="H18" s="4"/>
      <c r="I18" s="4"/>
      <c r="J18" s="4"/>
      <c r="K18" s="4"/>
      <c r="L18" s="4"/>
      <c r="M18" s="4"/>
    </row>
    <row r="19" spans="1:15" ht="18" customHeight="1" x14ac:dyDescent="0.25">
      <c r="A19" s="55" t="s">
        <v>0</v>
      </c>
      <c r="B19" s="164"/>
      <c r="C19" s="61"/>
      <c r="D19" s="61"/>
      <c r="E19" s="61"/>
      <c r="F19" s="61"/>
    </row>
    <row r="20" spans="1:15" ht="18" customHeight="1" x14ac:dyDescent="0.25">
      <c r="A20" s="39" t="s">
        <v>7</v>
      </c>
      <c r="B20" s="164"/>
      <c r="C20" s="61"/>
      <c r="D20" s="61"/>
      <c r="E20" s="61"/>
      <c r="F20" s="61"/>
    </row>
    <row r="21" spans="1:15" ht="18" customHeight="1" x14ac:dyDescent="0.25">
      <c r="A21" s="55" t="s">
        <v>4</v>
      </c>
      <c r="B21" s="164"/>
      <c r="C21" s="61"/>
      <c r="D21" s="61"/>
      <c r="E21" s="61"/>
      <c r="F21" s="61"/>
    </row>
    <row r="22" spans="1:15" ht="18" customHeight="1" x14ac:dyDescent="0.25">
      <c r="A22" s="55" t="s">
        <v>5</v>
      </c>
      <c r="B22" s="164"/>
      <c r="C22" s="61"/>
      <c r="D22" s="61"/>
      <c r="E22" s="61"/>
      <c r="F22" s="61"/>
      <c r="J22" s="12"/>
      <c r="K22" s="12"/>
      <c r="L22" s="12"/>
      <c r="M22" s="12"/>
    </row>
    <row r="23" spans="1:15" ht="18" customHeight="1" x14ac:dyDescent="0.25">
      <c r="A23" s="55" t="s">
        <v>6</v>
      </c>
      <c r="B23" s="165"/>
      <c r="C23" s="58"/>
      <c r="D23" s="58"/>
      <c r="E23" s="58"/>
      <c r="F23" s="58"/>
      <c r="J23" s="12"/>
      <c r="K23" s="12"/>
      <c r="L23" s="12"/>
      <c r="M23" s="12"/>
    </row>
    <row r="24" spans="1:15" ht="18" customHeight="1" x14ac:dyDescent="0.25">
      <c r="A24" s="55" t="s">
        <v>3</v>
      </c>
      <c r="B24" s="165"/>
      <c r="C24" s="58"/>
      <c r="D24" s="58"/>
      <c r="E24" s="58"/>
      <c r="F24" s="58"/>
      <c r="J24" s="12"/>
      <c r="K24" s="12"/>
      <c r="L24" s="12"/>
      <c r="M24" s="12"/>
    </row>
    <row r="25" spans="1:15" ht="15" customHeight="1" x14ac:dyDescent="0.25">
      <c r="A25" s="39"/>
      <c r="B25" s="39"/>
      <c r="C25" s="39"/>
      <c r="D25" s="58"/>
      <c r="E25" s="58"/>
      <c r="F25" s="58"/>
      <c r="G25" s="58"/>
      <c r="H25" s="58"/>
      <c r="I25" s="58"/>
      <c r="K25" s="12"/>
      <c r="L25" s="12"/>
      <c r="M25" s="12"/>
      <c r="N25" s="12"/>
    </row>
    <row r="26" spans="1:15" ht="15" customHeight="1" x14ac:dyDescent="0.25">
      <c r="A26" s="23"/>
      <c r="B26" s="23"/>
      <c r="C26" s="23"/>
      <c r="D26" s="23"/>
      <c r="E26" s="6"/>
      <c r="F26" s="6"/>
      <c r="G26" s="6"/>
      <c r="H26" s="6"/>
      <c r="I26" s="6"/>
      <c r="J26" s="6"/>
      <c r="K26" s="6"/>
      <c r="L26" s="6"/>
      <c r="M26" s="6"/>
      <c r="N26" s="6"/>
      <c r="O26" s="6"/>
    </row>
    <row r="27" spans="1:15" ht="15" customHeight="1" x14ac:dyDescent="0.25">
      <c r="A27" s="120"/>
      <c r="B27" s="11"/>
      <c r="C27" s="11"/>
      <c r="D27" s="11"/>
      <c r="E27" s="11"/>
      <c r="F27" s="11"/>
      <c r="G27" s="11"/>
      <c r="H27" s="11"/>
      <c r="I27" s="11"/>
      <c r="J27" s="11"/>
      <c r="K27" s="11"/>
    </row>
    <row r="28" spans="1:15" ht="15" customHeight="1" x14ac:dyDescent="0.25">
      <c r="A28" s="19" t="s">
        <v>9</v>
      </c>
      <c r="B28" s="19"/>
      <c r="C28" s="24" t="s">
        <v>309</v>
      </c>
      <c r="D28" s="24"/>
      <c r="E28" s="56"/>
      <c r="F28" s="56"/>
      <c r="I28" s="5"/>
      <c r="J28" s="5"/>
      <c r="K28" s="5"/>
      <c r="L28" s="5"/>
    </row>
    <row r="29" spans="1:15" ht="15" customHeight="1" x14ac:dyDescent="0.25">
      <c r="A29" s="23" t="s">
        <v>12</v>
      </c>
      <c r="B29" s="23"/>
      <c r="C29" s="24" t="s">
        <v>289</v>
      </c>
      <c r="D29" s="23"/>
      <c r="E29" s="23"/>
      <c r="F29" s="23"/>
      <c r="H29" s="23"/>
      <c r="I29" s="23"/>
      <c r="J29" s="23"/>
      <c r="K29" s="23"/>
      <c r="L29" s="23"/>
      <c r="M29" s="23"/>
      <c r="N29" s="23"/>
      <c r="O29" s="23"/>
    </row>
    <row r="30" spans="1:15" ht="15" customHeight="1" x14ac:dyDescent="0.25">
      <c r="A30" s="6"/>
      <c r="B30" s="6"/>
      <c r="C30" s="6"/>
      <c r="D30" s="6"/>
      <c r="E30" s="6"/>
      <c r="F30" s="6"/>
      <c r="G30" s="6"/>
      <c r="H30" s="24"/>
      <c r="I30" s="24"/>
      <c r="J30" s="24"/>
      <c r="K30" s="24"/>
      <c r="L30" s="24"/>
      <c r="M30" s="24"/>
      <c r="N30" s="24"/>
      <c r="O30" s="24"/>
    </row>
    <row r="31" spans="1:15" ht="15" customHeight="1" x14ac:dyDescent="0.25">
      <c r="B31" s="6"/>
      <c r="C31" s="6"/>
      <c r="D31" s="6"/>
      <c r="E31" s="6"/>
      <c r="F31" s="6"/>
      <c r="G31" s="6"/>
      <c r="H31" s="6"/>
      <c r="I31" s="6"/>
      <c r="J31" s="6"/>
      <c r="K31" s="6"/>
      <c r="L31" s="6"/>
      <c r="M31" s="6"/>
    </row>
    <row r="32" spans="1:15" ht="15" customHeight="1" x14ac:dyDescent="0.25">
      <c r="B32" s="6"/>
      <c r="C32" s="6"/>
      <c r="D32" s="6"/>
      <c r="E32" s="6"/>
      <c r="F32" s="6"/>
      <c r="G32" s="6"/>
      <c r="H32" s="6"/>
      <c r="I32" s="6"/>
      <c r="J32" s="6"/>
      <c r="K32" s="6"/>
      <c r="L32" s="6"/>
      <c r="M32" s="6"/>
    </row>
  </sheetData>
  <hyperlinks>
    <hyperlink ref="C28" r:id="rId1" xr:uid="{00000000-0004-0000-0000-000000000000}"/>
    <hyperlink ref="C29" r:id="rId2" xr:uid="{00000000-0004-0000-0000-000001000000}"/>
    <hyperlink ref="B15" r:id="rId3" tooltip="CCI Quantification Materials webpage" display="www.arb.ca.gov/cci-quantification" xr:uid="{00000000-0004-0000-0000-000003000000}"/>
    <hyperlink ref="B15" r:id="rId4" xr:uid="{00000000-0004-0000-0000-000005000000}"/>
  </hyperlinks>
  <pageMargins left="0.7" right="0.7" top="0.7" bottom="0.75" header="0.3" footer="0.3"/>
  <pageSetup scale="33" orientation="portrait" r:id="rId5"/>
  <headerFooter>
    <oddFooter>&amp;CPage 1 of 12
Read Me Worksheet</oddFooter>
  </headerFooter>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dimension ref="A1:J114"/>
  <sheetViews>
    <sheetView zoomScaleNormal="100" workbookViewId="0">
      <selection activeCell="J26" sqref="J26"/>
    </sheetView>
  </sheetViews>
  <sheetFormatPr defaultColWidth="8.85546875" defaultRowHeight="15" x14ac:dyDescent="0.25"/>
  <cols>
    <col min="1" max="1" width="45" style="228" customWidth="1"/>
    <col min="2" max="2" width="7.28515625" style="228" customWidth="1"/>
    <col min="3" max="16384" width="8.85546875" style="228"/>
  </cols>
  <sheetData>
    <row r="1" spans="1:10" s="229" customFormat="1" ht="18" customHeight="1" x14ac:dyDescent="0.25">
      <c r="A1" s="224" t="s">
        <v>76</v>
      </c>
      <c r="B1" s="227"/>
      <c r="C1" s="242" t="s">
        <v>251</v>
      </c>
      <c r="D1" s="243" t="s">
        <v>250</v>
      </c>
      <c r="E1" s="228"/>
      <c r="F1" s="254" t="s">
        <v>362</v>
      </c>
      <c r="G1" s="249"/>
      <c r="I1" s="254" t="s">
        <v>368</v>
      </c>
      <c r="J1" s="249"/>
    </row>
    <row r="2" spans="1:10" s="229" customFormat="1" ht="18" customHeight="1" x14ac:dyDescent="0.25">
      <c r="A2" s="225" t="s">
        <v>77</v>
      </c>
      <c r="B2" s="230"/>
      <c r="C2" s="244" t="s">
        <v>226</v>
      </c>
      <c r="D2" s="245" t="str">
        <f>Reforestation!E18</f>
        <v/>
      </c>
      <c r="E2" s="228"/>
      <c r="F2" s="244" t="s">
        <v>226</v>
      </c>
      <c r="G2" s="251">
        <f>Reforestation!E14</f>
        <v>0</v>
      </c>
      <c r="I2" s="244" t="s">
        <v>226</v>
      </c>
      <c r="J2" s="251">
        <f>Reforestation!E22</f>
        <v>0</v>
      </c>
    </row>
    <row r="3" spans="1:10" s="229" customFormat="1" ht="18" customHeight="1" thickBot="1" x14ac:dyDescent="0.3">
      <c r="A3" s="226" t="s">
        <v>78</v>
      </c>
      <c r="B3" s="230"/>
      <c r="C3" s="244" t="s">
        <v>227</v>
      </c>
      <c r="D3" s="245" t="str">
        <f>Reforestation!E33</f>
        <v/>
      </c>
      <c r="E3" s="228"/>
      <c r="F3" s="244" t="s">
        <v>227</v>
      </c>
      <c r="G3" s="251">
        <f>Reforestation!E29</f>
        <v>0</v>
      </c>
      <c r="I3" s="244" t="s">
        <v>227</v>
      </c>
      <c r="J3" s="251">
        <f>Reforestation!E37</f>
        <v>0</v>
      </c>
    </row>
    <row r="4" spans="1:10" ht="18" customHeight="1" thickBot="1" x14ac:dyDescent="0.3">
      <c r="C4" s="244" t="s">
        <v>228</v>
      </c>
      <c r="D4" s="245" t="str">
        <f>Reforestation!E47</f>
        <v/>
      </c>
      <c r="F4" s="244" t="s">
        <v>228</v>
      </c>
      <c r="G4" s="251">
        <f>Reforestation!E44</f>
        <v>0</v>
      </c>
      <c r="I4" s="244" t="s">
        <v>228</v>
      </c>
      <c r="J4" s="251">
        <f>Reforestation!E52</f>
        <v>0</v>
      </c>
    </row>
    <row r="5" spans="1:10" ht="18" customHeight="1" x14ac:dyDescent="0.25">
      <c r="A5" s="224" t="s">
        <v>73</v>
      </c>
      <c r="B5" s="230"/>
      <c r="C5" s="244" t="s">
        <v>229</v>
      </c>
      <c r="D5" s="245" t="str">
        <f>Reforestation!E62</f>
        <v/>
      </c>
      <c r="F5" s="244" t="s">
        <v>229</v>
      </c>
      <c r="G5" s="251">
        <f>Reforestation!E59</f>
        <v>0</v>
      </c>
      <c r="I5" s="244" t="s">
        <v>229</v>
      </c>
      <c r="J5" s="251">
        <f>Reforestation!E67</f>
        <v>0</v>
      </c>
    </row>
    <row r="6" spans="1:10" ht="18" customHeight="1" thickBot="1" x14ac:dyDescent="0.3">
      <c r="A6" s="225" t="s">
        <v>75</v>
      </c>
      <c r="B6" s="230"/>
      <c r="C6" s="244" t="s">
        <v>230</v>
      </c>
      <c r="D6" s="245" t="str">
        <f>Reforestation!E78</f>
        <v/>
      </c>
      <c r="F6" s="246" t="s">
        <v>230</v>
      </c>
      <c r="G6" s="255">
        <f>Reforestation!E74</f>
        <v>0</v>
      </c>
      <c r="I6" s="246" t="s">
        <v>230</v>
      </c>
      <c r="J6" s="255">
        <f>Reforestation!E82</f>
        <v>0</v>
      </c>
    </row>
    <row r="7" spans="1:10" ht="18" customHeight="1" thickBot="1" x14ac:dyDescent="0.3">
      <c r="A7" s="226" t="s">
        <v>74</v>
      </c>
      <c r="B7" s="230"/>
      <c r="C7" s="244" t="s">
        <v>231</v>
      </c>
      <c r="D7" s="245" t="str">
        <f>'Pest Management'!E21</f>
        <v/>
      </c>
    </row>
    <row r="8" spans="1:10" ht="15.75" thickBot="1" x14ac:dyDescent="0.3">
      <c r="C8" s="244" t="s">
        <v>232</v>
      </c>
      <c r="D8" s="245" t="str">
        <f>'Pest Management'!E34</f>
        <v/>
      </c>
      <c r="F8" s="248" t="s">
        <v>363</v>
      </c>
      <c r="G8" s="249"/>
    </row>
    <row r="9" spans="1:10" ht="15.75" x14ac:dyDescent="0.25">
      <c r="A9" s="224" t="s">
        <v>80</v>
      </c>
      <c r="B9" s="231"/>
      <c r="C9" s="244" t="s">
        <v>233</v>
      </c>
      <c r="D9" s="245" t="str">
        <f>'Pest Management'!E47</f>
        <v/>
      </c>
      <c r="F9" s="250" t="s">
        <v>231</v>
      </c>
      <c r="G9" s="251">
        <f>'Pest Management'!E16</f>
        <v>0</v>
      </c>
    </row>
    <row r="10" spans="1:10" ht="15.75" x14ac:dyDescent="0.25">
      <c r="A10" s="225" t="s">
        <v>81</v>
      </c>
      <c r="B10" s="231"/>
      <c r="C10" s="244" t="s">
        <v>234</v>
      </c>
      <c r="D10" s="245" t="str">
        <f>'Pest Management'!E60</f>
        <v/>
      </c>
      <c r="F10" s="250" t="s">
        <v>232</v>
      </c>
      <c r="G10" s="251">
        <f>'Pest Management'!E29</f>
        <v>0</v>
      </c>
    </row>
    <row r="11" spans="1:10" ht="15.75" x14ac:dyDescent="0.25">
      <c r="A11" s="225" t="s">
        <v>82</v>
      </c>
      <c r="B11" s="231"/>
      <c r="C11" s="244" t="s">
        <v>235</v>
      </c>
      <c r="D11" s="245" t="str">
        <f>'Pest Management'!E73</f>
        <v/>
      </c>
      <c r="F11" s="250" t="s">
        <v>233</v>
      </c>
      <c r="G11" s="251">
        <f>'Pest Management'!E42</f>
        <v>0</v>
      </c>
    </row>
    <row r="12" spans="1:10" ht="15.75" x14ac:dyDescent="0.25">
      <c r="A12" s="225" t="s">
        <v>83</v>
      </c>
      <c r="B12" s="231"/>
      <c r="C12" s="244" t="s">
        <v>236</v>
      </c>
      <c r="D12" s="245" t="str">
        <f>'Fuels Reduction'!E21</f>
        <v/>
      </c>
      <c r="F12" s="250" t="s">
        <v>234</v>
      </c>
      <c r="G12" s="251">
        <f>'Pest Management'!E55</f>
        <v>0</v>
      </c>
    </row>
    <row r="13" spans="1:10" ht="15.75" x14ac:dyDescent="0.25">
      <c r="A13" s="225" t="s">
        <v>84</v>
      </c>
      <c r="B13" s="231"/>
      <c r="C13" s="244" t="s">
        <v>237</v>
      </c>
      <c r="D13" s="245" t="str">
        <f>'Fuels Reduction'!E46</f>
        <v/>
      </c>
      <c r="F13" s="250" t="s">
        <v>235</v>
      </c>
      <c r="G13" s="251">
        <f>'Pest Management'!E68</f>
        <v>0</v>
      </c>
    </row>
    <row r="14" spans="1:10" ht="16.5" thickBot="1" x14ac:dyDescent="0.3">
      <c r="A14" s="226" t="s">
        <v>85</v>
      </c>
      <c r="B14" s="231"/>
      <c r="C14" s="244" t="s">
        <v>238</v>
      </c>
      <c r="D14" s="245" t="str">
        <f>'Fuels Reduction'!E71</f>
        <v/>
      </c>
      <c r="F14" s="252"/>
      <c r="G14" s="253"/>
    </row>
    <row r="15" spans="1:10" ht="15.75" thickBot="1" x14ac:dyDescent="0.3">
      <c r="C15" s="244" t="s">
        <v>239</v>
      </c>
      <c r="D15" s="245" t="str">
        <f>'Fuels Reduction'!E96</f>
        <v/>
      </c>
      <c r="F15" s="258"/>
      <c r="G15" s="258"/>
    </row>
    <row r="16" spans="1:10" ht="15.75" x14ac:dyDescent="0.25">
      <c r="A16" s="224" t="s">
        <v>193</v>
      </c>
      <c r="B16" s="231"/>
      <c r="C16" s="244" t="s">
        <v>240</v>
      </c>
      <c r="D16" s="245" t="str">
        <f>'Fuels Reduction'!E121</f>
        <v/>
      </c>
      <c r="F16" s="248" t="s">
        <v>364</v>
      </c>
      <c r="G16" s="249"/>
    </row>
    <row r="17" spans="1:7" ht="16.5" thickBot="1" x14ac:dyDescent="0.3">
      <c r="A17" s="226" t="s">
        <v>194</v>
      </c>
      <c r="B17" s="231"/>
      <c r="C17" s="244" t="s">
        <v>241</v>
      </c>
      <c r="D17" s="245" t="str">
        <f>'Fuels Reduction'!E146</f>
        <v/>
      </c>
      <c r="F17" s="250" t="s">
        <v>231</v>
      </c>
      <c r="G17" s="251">
        <f>'Pest Management'!E17</f>
        <v>0</v>
      </c>
    </row>
    <row r="18" spans="1:7" ht="16.5" thickBot="1" x14ac:dyDescent="0.3">
      <c r="A18" s="231"/>
      <c r="B18" s="231"/>
      <c r="C18" s="244" t="s">
        <v>242</v>
      </c>
      <c r="D18" s="245" t="str">
        <f>'Fuels Reduction'!E171</f>
        <v/>
      </c>
      <c r="F18" s="250" t="s">
        <v>232</v>
      </c>
      <c r="G18" s="251">
        <f>'Pest Management'!E30</f>
        <v>0</v>
      </c>
    </row>
    <row r="19" spans="1:7" x14ac:dyDescent="0.25">
      <c r="A19" s="232" t="s">
        <v>195</v>
      </c>
      <c r="B19" s="233"/>
      <c r="C19" s="244" t="s">
        <v>243</v>
      </c>
      <c r="D19" s="245" t="str">
        <f>'Fuels Reduction'!E196</f>
        <v/>
      </c>
      <c r="F19" s="250" t="s">
        <v>233</v>
      </c>
      <c r="G19" s="251">
        <f>'Pest Management'!E43</f>
        <v>0</v>
      </c>
    </row>
    <row r="20" spans="1:7" x14ac:dyDescent="0.25">
      <c r="A20" s="234" t="s">
        <v>203</v>
      </c>
      <c r="B20" s="235"/>
      <c r="C20" s="244" t="s">
        <v>244</v>
      </c>
      <c r="D20" s="245" t="str">
        <f>'Fuels Reduction'!E221</f>
        <v/>
      </c>
      <c r="F20" s="250" t="s">
        <v>234</v>
      </c>
      <c r="G20" s="251">
        <f>'Pest Management'!E56</f>
        <v>0</v>
      </c>
    </row>
    <row r="21" spans="1:7" ht="15.75" thickBot="1" x14ac:dyDescent="0.3">
      <c r="A21" s="234" t="s">
        <v>204</v>
      </c>
      <c r="B21" s="235"/>
      <c r="C21" s="244" t="s">
        <v>245</v>
      </c>
      <c r="D21" s="245" t="str">
        <f>'Fuels Reduction'!E246</f>
        <v/>
      </c>
      <c r="F21" s="256" t="s">
        <v>235</v>
      </c>
      <c r="G21" s="255">
        <f>'Pest Management'!E69</f>
        <v>0</v>
      </c>
    </row>
    <row r="22" spans="1:7" ht="15.75" thickBot="1" x14ac:dyDescent="0.3">
      <c r="A22" s="234" t="s">
        <v>202</v>
      </c>
      <c r="B22" s="235"/>
      <c r="C22" s="244" t="s">
        <v>246</v>
      </c>
      <c r="D22" s="245" t="str">
        <f>'Easement--Avoided Conversion'!E21</f>
        <v/>
      </c>
    </row>
    <row r="23" spans="1:7" x14ac:dyDescent="0.25">
      <c r="A23" s="234" t="s">
        <v>199</v>
      </c>
      <c r="B23" s="235"/>
      <c r="C23" s="244" t="s">
        <v>247</v>
      </c>
      <c r="D23" s="245" t="str">
        <f>'Easement--Avoided Conversion'!$E$40</f>
        <v/>
      </c>
      <c r="F23" s="248" t="s">
        <v>365</v>
      </c>
      <c r="G23" s="249"/>
    </row>
    <row r="24" spans="1:7" x14ac:dyDescent="0.25">
      <c r="A24" s="234" t="s">
        <v>196</v>
      </c>
      <c r="B24" s="235"/>
      <c r="C24" s="244" t="s">
        <v>248</v>
      </c>
      <c r="D24" s="245" t="str">
        <f>'Easement--Forest Management'!E22</f>
        <v/>
      </c>
      <c r="F24" s="250" t="s">
        <v>236</v>
      </c>
      <c r="G24" s="257">
        <f>'Fuels Reduction'!E17</f>
        <v>0</v>
      </c>
    </row>
    <row r="25" spans="1:7" x14ac:dyDescent="0.25">
      <c r="A25" s="234" t="s">
        <v>200</v>
      </c>
      <c r="B25" s="235"/>
      <c r="C25" s="244" t="s">
        <v>249</v>
      </c>
      <c r="D25" s="245" t="str">
        <f>'Easement--Forest Management'!E40</f>
        <v/>
      </c>
      <c r="F25" s="250" t="s">
        <v>237</v>
      </c>
      <c r="G25" s="257">
        <f>'Fuels Reduction'!E42</f>
        <v>0</v>
      </c>
    </row>
    <row r="26" spans="1:7" x14ac:dyDescent="0.25">
      <c r="A26" s="234" t="s">
        <v>197</v>
      </c>
      <c r="B26" s="235"/>
      <c r="C26" s="244" t="s">
        <v>279</v>
      </c>
      <c r="D26" s="245" t="str">
        <f>'Fuels Reduction'!E271</f>
        <v/>
      </c>
      <c r="F26" s="250" t="s">
        <v>238</v>
      </c>
      <c r="G26" s="257">
        <f>'Fuels Reduction'!E67</f>
        <v>0</v>
      </c>
    </row>
    <row r="27" spans="1:7" x14ac:dyDescent="0.25">
      <c r="A27" s="234" t="s">
        <v>198</v>
      </c>
      <c r="B27" s="235"/>
      <c r="C27" s="244" t="s">
        <v>280</v>
      </c>
      <c r="D27" s="245" t="str">
        <f>'Fuels Reduction'!E296</f>
        <v/>
      </c>
      <c r="F27" s="250" t="s">
        <v>239</v>
      </c>
      <c r="G27" s="257">
        <f>'Fuels Reduction'!E92</f>
        <v>0</v>
      </c>
    </row>
    <row r="28" spans="1:7" ht="15.75" thickBot="1" x14ac:dyDescent="0.3">
      <c r="A28" s="236" t="s">
        <v>201</v>
      </c>
      <c r="B28" s="235"/>
      <c r="C28" s="244" t="s">
        <v>281</v>
      </c>
      <c r="D28" s="245" t="str">
        <f>'Fuels Reduction'!E321</f>
        <v/>
      </c>
      <c r="F28" s="250" t="s">
        <v>240</v>
      </c>
      <c r="G28" s="257">
        <f>'Fuels Reduction'!E117</f>
        <v>0</v>
      </c>
    </row>
    <row r="29" spans="1:7" ht="15.75" thickBot="1" x14ac:dyDescent="0.3">
      <c r="C29" s="244" t="s">
        <v>282</v>
      </c>
      <c r="D29" s="245" t="str">
        <f>'Fuels Reduction'!E346</f>
        <v/>
      </c>
      <c r="F29" s="250" t="s">
        <v>241</v>
      </c>
      <c r="G29" s="257">
        <f>'Fuels Reduction'!E142</f>
        <v>0</v>
      </c>
    </row>
    <row r="30" spans="1:7" x14ac:dyDescent="0.25">
      <c r="A30" s="237" t="s">
        <v>215</v>
      </c>
      <c r="B30" s="235"/>
      <c r="C30" s="244" t="s">
        <v>348</v>
      </c>
      <c r="D30" s="245" t="str">
        <f>'Fuels Reduction'!E371</f>
        <v/>
      </c>
      <c r="F30" s="250" t="s">
        <v>242</v>
      </c>
      <c r="G30" s="257">
        <f>'Fuels Reduction'!E167</f>
        <v>0</v>
      </c>
    </row>
    <row r="31" spans="1:7" x14ac:dyDescent="0.25">
      <c r="A31" s="234" t="s">
        <v>212</v>
      </c>
      <c r="B31" s="235"/>
      <c r="C31" s="244" t="s">
        <v>349</v>
      </c>
      <c r="D31" s="245" t="str">
        <f>'Fuels Reduction'!E396</f>
        <v/>
      </c>
      <c r="F31" s="250" t="s">
        <v>243</v>
      </c>
      <c r="G31" s="257">
        <f>'Fuels Reduction'!E192</f>
        <v>0</v>
      </c>
    </row>
    <row r="32" spans="1:7" x14ac:dyDescent="0.25">
      <c r="A32" s="234" t="s">
        <v>213</v>
      </c>
      <c r="B32" s="235"/>
      <c r="C32" s="244" t="s">
        <v>350</v>
      </c>
      <c r="D32" s="245" t="str">
        <f>'Fuels Reduction'!E421</f>
        <v/>
      </c>
      <c r="F32" s="250" t="s">
        <v>244</v>
      </c>
      <c r="G32" s="257">
        <f>'Fuels Reduction'!E217</f>
        <v>0</v>
      </c>
    </row>
    <row r="33" spans="1:7" ht="15.75" thickBot="1" x14ac:dyDescent="0.3">
      <c r="A33" s="236" t="s">
        <v>214</v>
      </c>
      <c r="B33" s="235"/>
      <c r="C33" s="244" t="s">
        <v>351</v>
      </c>
      <c r="D33" s="245" t="str">
        <f>'Fuels Reduction'!E446</f>
        <v/>
      </c>
      <c r="F33" s="250" t="s">
        <v>245</v>
      </c>
      <c r="G33" s="257">
        <f>'Fuels Reduction'!E242</f>
        <v>0</v>
      </c>
    </row>
    <row r="34" spans="1:7" x14ac:dyDescent="0.25">
      <c r="C34" s="244" t="s">
        <v>352</v>
      </c>
      <c r="D34" s="245" t="str">
        <f>'Fuels Reduction'!E471</f>
        <v/>
      </c>
      <c r="F34" s="250" t="s">
        <v>279</v>
      </c>
      <c r="G34" s="257">
        <f>'Fuels Reduction'!E267</f>
        <v>0</v>
      </c>
    </row>
    <row r="35" spans="1:7" ht="15.75" thickBot="1" x14ac:dyDescent="0.3">
      <c r="B35" s="238"/>
      <c r="C35" s="246" t="s">
        <v>353</v>
      </c>
      <c r="D35" s="247" t="str">
        <f>'Fuels Reduction'!E496</f>
        <v/>
      </c>
      <c r="F35" s="250" t="s">
        <v>280</v>
      </c>
      <c r="G35" s="257">
        <f>'Fuels Reduction'!E292</f>
        <v>0</v>
      </c>
    </row>
    <row r="36" spans="1:7" x14ac:dyDescent="0.25">
      <c r="A36" s="239"/>
      <c r="F36" s="250" t="s">
        <v>281</v>
      </c>
      <c r="G36" s="257">
        <f>'Fuels Reduction'!E213</f>
        <v>0</v>
      </c>
    </row>
    <row r="37" spans="1:7" x14ac:dyDescent="0.25">
      <c r="A37" s="239"/>
      <c r="F37" s="250" t="s">
        <v>282</v>
      </c>
      <c r="G37" s="257">
        <f>'Fuels Reduction'!E342</f>
        <v>0</v>
      </c>
    </row>
    <row r="38" spans="1:7" x14ac:dyDescent="0.25">
      <c r="A38" s="239"/>
      <c r="F38" s="250" t="s">
        <v>348</v>
      </c>
      <c r="G38" s="257">
        <f>'Fuels Reduction'!E367</f>
        <v>0</v>
      </c>
    </row>
    <row r="39" spans="1:7" x14ac:dyDescent="0.25">
      <c r="A39" s="239"/>
      <c r="F39" s="250" t="s">
        <v>349</v>
      </c>
      <c r="G39" s="257">
        <f>'Fuels Reduction'!E392</f>
        <v>0</v>
      </c>
    </row>
    <row r="40" spans="1:7" x14ac:dyDescent="0.25">
      <c r="F40" s="250" t="s">
        <v>350</v>
      </c>
      <c r="G40" s="257">
        <f>'Fuels Reduction'!E417</f>
        <v>0</v>
      </c>
    </row>
    <row r="41" spans="1:7" x14ac:dyDescent="0.25">
      <c r="A41" s="239"/>
      <c r="F41" s="250" t="s">
        <v>351</v>
      </c>
      <c r="G41" s="257">
        <f>'Fuels Reduction'!E442</f>
        <v>0</v>
      </c>
    </row>
    <row r="42" spans="1:7" x14ac:dyDescent="0.25">
      <c r="A42" s="239"/>
      <c r="F42" s="250" t="s">
        <v>352</v>
      </c>
      <c r="G42" s="257">
        <f>'Fuels Reduction'!E467</f>
        <v>0</v>
      </c>
    </row>
    <row r="43" spans="1:7" ht="15.75" thickBot="1" x14ac:dyDescent="0.3">
      <c r="A43" s="239"/>
      <c r="F43" s="256" t="s">
        <v>353</v>
      </c>
      <c r="G43" s="253">
        <f>'Fuels Reduction'!E492</f>
        <v>0</v>
      </c>
    </row>
    <row r="44" spans="1:7" ht="15.75" thickBot="1" x14ac:dyDescent="0.3"/>
    <row r="45" spans="1:7" x14ac:dyDescent="0.25">
      <c r="A45" s="239"/>
      <c r="F45" s="248" t="s">
        <v>367</v>
      </c>
      <c r="G45" s="249"/>
    </row>
    <row r="46" spans="1:7" x14ac:dyDescent="0.25">
      <c r="A46" s="240"/>
      <c r="F46" s="250" t="s">
        <v>236</v>
      </c>
      <c r="G46" s="251">
        <f>'Fuels Reduction'!E31</f>
        <v>0</v>
      </c>
    </row>
    <row r="47" spans="1:7" x14ac:dyDescent="0.25">
      <c r="A47" s="241"/>
      <c r="F47" s="250" t="s">
        <v>237</v>
      </c>
      <c r="G47" s="251">
        <f>'Fuels Reduction'!E56</f>
        <v>0</v>
      </c>
    </row>
    <row r="48" spans="1:7" x14ac:dyDescent="0.25">
      <c r="A48" s="241"/>
      <c r="F48" s="250" t="s">
        <v>238</v>
      </c>
      <c r="G48" s="251">
        <f>'Fuels Reduction'!E81</f>
        <v>0</v>
      </c>
    </row>
    <row r="49" spans="1:7" x14ac:dyDescent="0.25">
      <c r="F49" s="250" t="s">
        <v>239</v>
      </c>
      <c r="G49" s="251">
        <f>'Fuels Reduction'!E3106</f>
        <v>0</v>
      </c>
    </row>
    <row r="50" spans="1:7" x14ac:dyDescent="0.25">
      <c r="F50" s="250" t="s">
        <v>240</v>
      </c>
      <c r="G50" s="251">
        <f>'Fuels Reduction'!E131</f>
        <v>0</v>
      </c>
    </row>
    <row r="51" spans="1:7" x14ac:dyDescent="0.25">
      <c r="F51" s="250" t="s">
        <v>241</v>
      </c>
      <c r="G51" s="251">
        <f>'Fuels Reduction'!E156</f>
        <v>0</v>
      </c>
    </row>
    <row r="52" spans="1:7" x14ac:dyDescent="0.25">
      <c r="F52" s="250" t="s">
        <v>242</v>
      </c>
      <c r="G52" s="251">
        <f>'Fuels Reduction'!E181</f>
        <v>0</v>
      </c>
    </row>
    <row r="53" spans="1:7" x14ac:dyDescent="0.25">
      <c r="A53" s="240"/>
      <c r="F53" s="250" t="s">
        <v>243</v>
      </c>
      <c r="G53" s="251">
        <f>'Fuels Reduction'!E206</f>
        <v>0</v>
      </c>
    </row>
    <row r="54" spans="1:7" x14ac:dyDescent="0.25">
      <c r="F54" s="250" t="s">
        <v>244</v>
      </c>
      <c r="G54" s="251">
        <f>'Fuels Reduction'!E231</f>
        <v>0</v>
      </c>
    </row>
    <row r="55" spans="1:7" x14ac:dyDescent="0.25">
      <c r="A55" s="241"/>
      <c r="F55" s="250" t="s">
        <v>245</v>
      </c>
      <c r="G55" s="251">
        <f>'Fuels Reduction'!E256</f>
        <v>0</v>
      </c>
    </row>
    <row r="56" spans="1:7" x14ac:dyDescent="0.25">
      <c r="A56" s="241"/>
      <c r="F56" s="250" t="s">
        <v>279</v>
      </c>
      <c r="G56" s="251">
        <f>'Fuels Reduction'!E281</f>
        <v>0</v>
      </c>
    </row>
    <row r="57" spans="1:7" x14ac:dyDescent="0.25">
      <c r="F57" s="250" t="s">
        <v>280</v>
      </c>
      <c r="G57" s="251">
        <f>'Fuels Reduction'!E306</f>
        <v>0</v>
      </c>
    </row>
    <row r="58" spans="1:7" x14ac:dyDescent="0.25">
      <c r="F58" s="250" t="s">
        <v>281</v>
      </c>
      <c r="G58" s="251">
        <f>'Fuels Reduction'!E331</f>
        <v>0</v>
      </c>
    </row>
    <row r="59" spans="1:7" x14ac:dyDescent="0.25">
      <c r="A59" s="240"/>
      <c r="F59" s="250" t="s">
        <v>282</v>
      </c>
      <c r="G59" s="251">
        <f>'Fuels Reduction'!E356</f>
        <v>0</v>
      </c>
    </row>
    <row r="60" spans="1:7" x14ac:dyDescent="0.25">
      <c r="A60" s="240"/>
      <c r="F60" s="250" t="s">
        <v>348</v>
      </c>
      <c r="G60" s="251">
        <f>'Fuels Reduction'!E381</f>
        <v>0</v>
      </c>
    </row>
    <row r="61" spans="1:7" x14ac:dyDescent="0.25">
      <c r="A61" s="240"/>
      <c r="F61" s="250" t="s">
        <v>349</v>
      </c>
      <c r="G61" s="251">
        <f>'Fuels Reduction'!E406</f>
        <v>0</v>
      </c>
    </row>
    <row r="62" spans="1:7" x14ac:dyDescent="0.25">
      <c r="F62" s="250" t="s">
        <v>350</v>
      </c>
      <c r="G62" s="251">
        <f>'Fuels Reduction'!E431</f>
        <v>0</v>
      </c>
    </row>
    <row r="63" spans="1:7" x14ac:dyDescent="0.25">
      <c r="A63" s="240"/>
      <c r="F63" s="250" t="s">
        <v>351</v>
      </c>
      <c r="G63" s="251">
        <f>'Fuels Reduction'!E456</f>
        <v>0</v>
      </c>
    </row>
    <row r="64" spans="1:7" x14ac:dyDescent="0.25">
      <c r="A64" s="240"/>
      <c r="F64" s="250" t="s">
        <v>352</v>
      </c>
      <c r="G64" s="251">
        <f>'Fuels Reduction'!E481</f>
        <v>0</v>
      </c>
    </row>
    <row r="65" spans="1:7" ht="15.75" thickBot="1" x14ac:dyDescent="0.3">
      <c r="A65" s="240"/>
      <c r="F65" s="256" t="s">
        <v>353</v>
      </c>
      <c r="G65" s="255">
        <f>'Fuels Reduction'!E506</f>
        <v>0</v>
      </c>
    </row>
    <row r="85" spans="2:2" x14ac:dyDescent="0.25">
      <c r="B85" s="239"/>
    </row>
    <row r="86" spans="2:2" x14ac:dyDescent="0.25">
      <c r="B86" s="239"/>
    </row>
    <row r="87" spans="2:2" x14ac:dyDescent="0.25">
      <c r="B87" s="239"/>
    </row>
    <row r="88" spans="2:2" x14ac:dyDescent="0.25">
      <c r="B88" s="239"/>
    </row>
    <row r="90" spans="2:2" x14ac:dyDescent="0.25">
      <c r="B90" s="239"/>
    </row>
    <row r="91" spans="2:2" x14ac:dyDescent="0.25">
      <c r="B91" s="239"/>
    </row>
    <row r="92" spans="2:2" x14ac:dyDescent="0.25">
      <c r="B92" s="239"/>
    </row>
    <row r="94" spans="2:2" x14ac:dyDescent="0.25">
      <c r="B94" s="239"/>
    </row>
    <row r="95" spans="2:2" x14ac:dyDescent="0.25">
      <c r="B95" s="240"/>
    </row>
    <row r="96" spans="2:2" x14ac:dyDescent="0.25">
      <c r="B96" s="241"/>
    </row>
    <row r="97" spans="2:2" x14ac:dyDescent="0.25">
      <c r="B97" s="241"/>
    </row>
    <row r="102" spans="2:2" x14ac:dyDescent="0.25">
      <c r="B102" s="240"/>
    </row>
    <row r="104" spans="2:2" x14ac:dyDescent="0.25">
      <c r="B104" s="241"/>
    </row>
    <row r="105" spans="2:2" x14ac:dyDescent="0.25">
      <c r="B105" s="241"/>
    </row>
    <row r="108" spans="2:2" x14ac:dyDescent="0.25">
      <c r="B108" s="240"/>
    </row>
    <row r="109" spans="2:2" x14ac:dyDescent="0.25">
      <c r="B109" s="240"/>
    </row>
    <row r="110" spans="2:2" x14ac:dyDescent="0.25">
      <c r="B110" s="240"/>
    </row>
    <row r="112" spans="2:2" x14ac:dyDescent="0.25">
      <c r="B112" s="240"/>
    </row>
    <row r="113" spans="2:2" x14ac:dyDescent="0.25">
      <c r="B113" s="240"/>
    </row>
    <row r="114" spans="2:2" x14ac:dyDescent="0.25">
      <c r="B114" s="240"/>
    </row>
  </sheetData>
  <sortState xmlns:xlrd2="http://schemas.microsoft.com/office/spreadsheetml/2017/richdata2" ref="A76:A80">
    <sortCondition ref="A76"/>
  </sortState>
  <phoneticPr fontId="35"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D74"/>
  <sheetViews>
    <sheetView showGridLines="0" zoomScale="90" zoomScaleNormal="90" workbookViewId="0">
      <selection activeCell="C19" sqref="C19"/>
    </sheetView>
  </sheetViews>
  <sheetFormatPr defaultColWidth="8.85546875" defaultRowHeight="15" x14ac:dyDescent="0.25"/>
  <cols>
    <col min="1" max="1" width="60.7109375" customWidth="1"/>
    <col min="2" max="2" width="21.7109375" customWidth="1"/>
    <col min="3" max="3" width="85.42578125" customWidth="1"/>
    <col min="4" max="4" width="60.7109375" customWidth="1"/>
  </cols>
  <sheetData>
    <row r="1" spans="1:4" ht="18.75" x14ac:dyDescent="0.3">
      <c r="A1" s="100"/>
      <c r="B1" s="102"/>
      <c r="C1" s="114" t="s">
        <v>176</v>
      </c>
    </row>
    <row r="2" spans="1:4" ht="18.75" x14ac:dyDescent="0.3">
      <c r="A2" s="100"/>
      <c r="B2" s="102"/>
      <c r="C2" s="114" t="s">
        <v>283</v>
      </c>
    </row>
    <row r="3" spans="1:4" ht="18.75" x14ac:dyDescent="0.3">
      <c r="A3" s="100"/>
      <c r="B3" s="102"/>
      <c r="C3" s="114" t="s">
        <v>284</v>
      </c>
    </row>
    <row r="4" spans="1:4" ht="17.25" customHeight="1" x14ac:dyDescent="0.3">
      <c r="A4" s="100"/>
      <c r="B4" s="154"/>
      <c r="C4" s="115" t="s">
        <v>308</v>
      </c>
    </row>
    <row r="5" spans="1:4" ht="18.75" x14ac:dyDescent="0.3">
      <c r="A5" s="100"/>
      <c r="B5" s="155"/>
      <c r="C5" s="176"/>
    </row>
    <row r="6" spans="1:4" ht="18.75" x14ac:dyDescent="0.3">
      <c r="A6" s="100"/>
      <c r="B6" s="156"/>
      <c r="C6" s="177"/>
    </row>
    <row r="7" spans="1:4" ht="18.75" x14ac:dyDescent="0.3">
      <c r="A7" s="100"/>
      <c r="B7" s="101"/>
      <c r="C7" s="176"/>
    </row>
    <row r="8" spans="1:4" x14ac:dyDescent="0.25">
      <c r="A8" s="100"/>
      <c r="B8" s="100"/>
      <c r="C8" s="100"/>
      <c r="D8" s="100"/>
    </row>
    <row r="9" spans="1:4" x14ac:dyDescent="0.25">
      <c r="A9" s="100"/>
      <c r="B9" s="100"/>
      <c r="C9" s="100"/>
      <c r="D9" s="100"/>
    </row>
    <row r="10" spans="1:4" ht="18.75" x14ac:dyDescent="0.3">
      <c r="A10" s="102" t="s">
        <v>8</v>
      </c>
      <c r="B10" s="100"/>
      <c r="C10" s="100"/>
      <c r="D10" s="100"/>
    </row>
    <row r="11" spans="1:4" ht="15.75" thickBot="1" x14ac:dyDescent="0.3">
      <c r="A11" s="100"/>
      <c r="B11" s="100"/>
      <c r="C11" s="100"/>
      <c r="D11" s="100"/>
    </row>
    <row r="12" spans="1:4" ht="20.100000000000001" customHeight="1" x14ac:dyDescent="0.25">
      <c r="A12" s="126" t="s">
        <v>13</v>
      </c>
      <c r="B12" s="127"/>
      <c r="C12" s="130"/>
    </row>
    <row r="13" spans="1:4" ht="50.1" customHeight="1" x14ac:dyDescent="0.25">
      <c r="A13" s="103" t="s">
        <v>112</v>
      </c>
      <c r="B13" s="99">
        <v>0.09</v>
      </c>
      <c r="C13" s="128" t="s">
        <v>58</v>
      </c>
    </row>
    <row r="14" spans="1:4" ht="49.5" customHeight="1" x14ac:dyDescent="0.25">
      <c r="A14" s="103" t="s">
        <v>113</v>
      </c>
      <c r="B14" s="99">
        <v>0.20200000000000001</v>
      </c>
      <c r="C14" s="128" t="s">
        <v>58</v>
      </c>
    </row>
    <row r="15" spans="1:4" ht="49.5" customHeight="1" x14ac:dyDescent="0.25">
      <c r="A15" s="103" t="s">
        <v>114</v>
      </c>
      <c r="B15" s="99">
        <v>0.42899999999999999</v>
      </c>
      <c r="C15" s="128" t="s">
        <v>58</v>
      </c>
    </row>
    <row r="16" spans="1:4" ht="50.1" customHeight="1" x14ac:dyDescent="0.25">
      <c r="A16" s="103" t="s">
        <v>50</v>
      </c>
      <c r="B16" s="104">
        <v>3.6</v>
      </c>
      <c r="C16" s="129" t="s">
        <v>52</v>
      </c>
    </row>
    <row r="17" spans="1:3" ht="49.5" customHeight="1" x14ac:dyDescent="0.25">
      <c r="A17" s="103" t="s">
        <v>51</v>
      </c>
      <c r="B17" s="104">
        <v>13.9</v>
      </c>
      <c r="C17" s="129" t="s">
        <v>52</v>
      </c>
    </row>
    <row r="18" spans="1:3" ht="49.5" customHeight="1" x14ac:dyDescent="0.25">
      <c r="A18" s="103" t="s">
        <v>116</v>
      </c>
      <c r="B18" s="104">
        <v>24</v>
      </c>
      <c r="C18" s="129" t="s">
        <v>52</v>
      </c>
    </row>
    <row r="19" spans="1:3" ht="49.5" customHeight="1" x14ac:dyDescent="0.25">
      <c r="A19" s="103" t="s">
        <v>119</v>
      </c>
      <c r="B19" s="105">
        <v>6.0699999999999997E-2</v>
      </c>
      <c r="C19" s="129" t="s">
        <v>118</v>
      </c>
    </row>
    <row r="20" spans="1:3" ht="20.100000000000001" customHeight="1" x14ac:dyDescent="0.25">
      <c r="A20" s="136" t="s">
        <v>14</v>
      </c>
      <c r="B20" s="137"/>
      <c r="C20" s="138"/>
    </row>
    <row r="21" spans="1:3" ht="50.1" customHeight="1" x14ac:dyDescent="0.25">
      <c r="A21" s="103" t="s">
        <v>115</v>
      </c>
      <c r="B21" s="106">
        <v>0.06</v>
      </c>
      <c r="C21" s="128" t="s">
        <v>53</v>
      </c>
    </row>
    <row r="22" spans="1:3" ht="20.100000000000001" customHeight="1" x14ac:dyDescent="0.25">
      <c r="A22" s="139" t="s">
        <v>15</v>
      </c>
      <c r="B22" s="140"/>
      <c r="C22" s="141"/>
    </row>
    <row r="23" spans="1:3" ht="50.1" customHeight="1" x14ac:dyDescent="0.25">
      <c r="A23" s="103" t="s">
        <v>115</v>
      </c>
      <c r="B23" s="106">
        <v>0.06</v>
      </c>
      <c r="C23" s="128" t="s">
        <v>53</v>
      </c>
    </row>
    <row r="24" spans="1:3" ht="20.100000000000001" customHeight="1" x14ac:dyDescent="0.25">
      <c r="A24" s="142" t="s">
        <v>16</v>
      </c>
      <c r="B24" s="143"/>
      <c r="C24" s="144"/>
    </row>
    <row r="25" spans="1:3" ht="50.1" customHeight="1" x14ac:dyDescent="0.25">
      <c r="A25" s="107" t="s">
        <v>59</v>
      </c>
      <c r="B25" s="108">
        <v>0.9</v>
      </c>
      <c r="C25" s="128" t="s">
        <v>58</v>
      </c>
    </row>
    <row r="26" spans="1:3" ht="50.1" customHeight="1" x14ac:dyDescent="0.25">
      <c r="A26" s="107" t="s">
        <v>55</v>
      </c>
      <c r="B26" s="108">
        <v>0.9</v>
      </c>
      <c r="C26" s="128" t="s">
        <v>58</v>
      </c>
    </row>
    <row r="27" spans="1:3" ht="50.1" customHeight="1" x14ac:dyDescent="0.25">
      <c r="A27" s="107" t="s">
        <v>54</v>
      </c>
      <c r="B27" s="108">
        <v>0.8</v>
      </c>
      <c r="C27" s="128" t="s">
        <v>58</v>
      </c>
    </row>
    <row r="28" spans="1:3" ht="50.1" customHeight="1" x14ac:dyDescent="0.25">
      <c r="A28" s="107" t="s">
        <v>56</v>
      </c>
      <c r="B28" s="108">
        <v>0.95</v>
      </c>
      <c r="C28" s="128" t="s">
        <v>58</v>
      </c>
    </row>
    <row r="29" spans="1:3" ht="50.1" customHeight="1" x14ac:dyDescent="0.25">
      <c r="A29" s="107" t="s">
        <v>57</v>
      </c>
      <c r="B29" s="108">
        <v>0.95</v>
      </c>
      <c r="C29" s="128" t="s">
        <v>58</v>
      </c>
    </row>
    <row r="30" spans="1:3" ht="63.75" customHeight="1" x14ac:dyDescent="0.25">
      <c r="A30" s="107" t="s">
        <v>167</v>
      </c>
      <c r="B30" s="108" t="str">
        <f>IFERROR(MIN(100%,('Easement--Avoided Conversion'!E24*3/'Easement--Avoided Conversion'!E15)),"dependent on conservation tab inputs")</f>
        <v>dependent on conservation tab inputs</v>
      </c>
      <c r="C30" s="128" t="s">
        <v>58</v>
      </c>
    </row>
    <row r="31" spans="1:3" ht="60" customHeight="1" x14ac:dyDescent="0.25">
      <c r="A31" s="107" t="s">
        <v>168</v>
      </c>
      <c r="B31" s="108" t="str">
        <f>IFERROR(MIN(100%,('Easement--Avoided Conversion'!#REF!*3/'Easement--Avoided Conversion'!#REF!)),"dependent on conservation tab inputs")</f>
        <v>dependent on conservation tab inputs</v>
      </c>
      <c r="C31" s="128" t="s">
        <v>58</v>
      </c>
    </row>
    <row r="32" spans="1:3" ht="59.25" customHeight="1" x14ac:dyDescent="0.25">
      <c r="A32" s="107" t="s">
        <v>169</v>
      </c>
      <c r="B32" s="108" t="str">
        <f>IFERROR(MIN(100%,('Easement--Avoided Conversion'!#REF!*3/'Easement--Avoided Conversion'!#REF!)),"dependent on conservation tab inputs")</f>
        <v>dependent on conservation tab inputs</v>
      </c>
      <c r="C32" s="128" t="s">
        <v>58</v>
      </c>
    </row>
    <row r="33" spans="1:3" ht="57.75" customHeight="1" x14ac:dyDescent="0.25">
      <c r="A33" s="107" t="s">
        <v>170</v>
      </c>
      <c r="B33" s="108" t="str">
        <f>IFERROR(MIN(100%,('Easement--Avoided Conversion'!#REF!*3/'Easement--Avoided Conversion'!#REF!)),"dependent on conservation tab inputs")</f>
        <v>dependent on conservation tab inputs</v>
      </c>
      <c r="C33" s="128" t="s">
        <v>58</v>
      </c>
    </row>
    <row r="34" spans="1:3" ht="63" customHeight="1" x14ac:dyDescent="0.25">
      <c r="A34" s="107" t="s">
        <v>171</v>
      </c>
      <c r="B34" s="108" t="str">
        <f>IFERROR(MIN(100%,('Easement--Avoided Conversion'!#REF!*3/'Easement--Avoided Conversion'!#REF!)),"dependent on conservation tab inputs")</f>
        <v>dependent on conservation tab inputs</v>
      </c>
      <c r="C34" s="128" t="s">
        <v>58</v>
      </c>
    </row>
    <row r="35" spans="1:3" ht="63" customHeight="1" x14ac:dyDescent="0.25">
      <c r="A35" s="107" t="s">
        <v>218</v>
      </c>
      <c r="B35" s="108" t="str">
        <f>IFERROR(MIN(100%,('Easement--Avoided Conversion'!#REF!*3/'Easement--Avoided Conversion'!E22)),"dependent on conservation tab inputs")</f>
        <v>dependent on conservation tab inputs</v>
      </c>
      <c r="C35" s="128" t="s">
        <v>58</v>
      </c>
    </row>
    <row r="36" spans="1:3" ht="63" customHeight="1" x14ac:dyDescent="0.25">
      <c r="A36" s="107" t="s">
        <v>219</v>
      </c>
      <c r="B36" s="108" t="str">
        <f>IFERROR(MIN(100%,('Easement--Avoided Conversion'!#REF!*3/'Easement--Avoided Conversion'!#REF!)),"dependent on conservation tab inputs")</f>
        <v>dependent on conservation tab inputs</v>
      </c>
      <c r="C36" s="128" t="s">
        <v>58</v>
      </c>
    </row>
    <row r="37" spans="1:3" ht="63" customHeight="1" x14ac:dyDescent="0.25">
      <c r="A37" s="107" t="s">
        <v>220</v>
      </c>
      <c r="B37" s="108" t="str">
        <f>IFERROR(MIN(100%,('Easement--Avoided Conversion'!#REF!*3/'Easement--Avoided Conversion'!#REF!)),"dependent on conservation tab inputs")</f>
        <v>dependent on conservation tab inputs</v>
      </c>
      <c r="C37" s="128" t="s">
        <v>58</v>
      </c>
    </row>
    <row r="38" spans="1:3" ht="63" customHeight="1" x14ac:dyDescent="0.25">
      <c r="A38" s="107" t="s">
        <v>221</v>
      </c>
      <c r="B38" s="108" t="str">
        <f>IFERROR(MIN(100%,('Easement--Avoided Conversion'!#REF!*3/'Easement--Avoided Conversion'!#REF!)),"dependent on conservation tab inputs")</f>
        <v>dependent on conservation tab inputs</v>
      </c>
      <c r="C38" s="128" t="s">
        <v>58</v>
      </c>
    </row>
    <row r="39" spans="1:3" ht="63" customHeight="1" x14ac:dyDescent="0.25">
      <c r="A39" s="107" t="s">
        <v>222</v>
      </c>
      <c r="B39" s="108" t="str">
        <f>IFERROR(MIN(100%,('Easement--Avoided Conversion'!#REF!*3/'Easement--Avoided Conversion'!#REF!)),"dependent on conservation tab inputs")</f>
        <v>dependent on conservation tab inputs</v>
      </c>
      <c r="C39" s="128" t="s">
        <v>58</v>
      </c>
    </row>
    <row r="40" spans="1:3" ht="20.100000000000001" customHeight="1" x14ac:dyDescent="0.25">
      <c r="A40" s="133" t="s">
        <v>17</v>
      </c>
      <c r="B40" s="134"/>
      <c r="C40" s="135"/>
    </row>
    <row r="41" spans="1:3" ht="48" customHeight="1" x14ac:dyDescent="0.25">
      <c r="A41" s="109" t="s">
        <v>61</v>
      </c>
      <c r="B41" s="99">
        <v>0.46300000000000002</v>
      </c>
      <c r="C41" s="128" t="s">
        <v>58</v>
      </c>
    </row>
    <row r="42" spans="1:3" ht="48" customHeight="1" x14ac:dyDescent="0.25">
      <c r="A42" s="109" t="s">
        <v>62</v>
      </c>
      <c r="B42" s="99">
        <v>0.25</v>
      </c>
      <c r="C42" s="128" t="s">
        <v>58</v>
      </c>
    </row>
    <row r="43" spans="1:3" ht="48" customHeight="1" x14ac:dyDescent="0.25">
      <c r="A43" s="109" t="s">
        <v>63</v>
      </c>
      <c r="B43" s="99">
        <v>0.48399999999999999</v>
      </c>
      <c r="C43" s="128" t="s">
        <v>58</v>
      </c>
    </row>
    <row r="44" spans="1:3" ht="48" customHeight="1" x14ac:dyDescent="0.25">
      <c r="A44" s="109" t="s">
        <v>64</v>
      </c>
      <c r="B44" s="99">
        <v>0.58199999999999996</v>
      </c>
      <c r="C44" s="128" t="s">
        <v>58</v>
      </c>
    </row>
    <row r="45" spans="1:3" ht="48" customHeight="1" x14ac:dyDescent="0.25">
      <c r="A45" s="109" t="s">
        <v>65</v>
      </c>
      <c r="B45" s="99">
        <v>0.38</v>
      </c>
      <c r="C45" s="128" t="s">
        <v>58</v>
      </c>
    </row>
    <row r="46" spans="1:3" ht="48" customHeight="1" x14ac:dyDescent="0.25">
      <c r="A46" s="109" t="s">
        <v>66</v>
      </c>
      <c r="B46" s="99">
        <v>5.8000000000000003E-2</v>
      </c>
      <c r="C46" s="128" t="s">
        <v>58</v>
      </c>
    </row>
    <row r="47" spans="1:3" ht="48" customHeight="1" x14ac:dyDescent="0.25">
      <c r="A47" s="109" t="s">
        <v>67</v>
      </c>
      <c r="B47" s="99">
        <v>0.17599999999999999</v>
      </c>
      <c r="C47" s="128" t="s">
        <v>58</v>
      </c>
    </row>
    <row r="48" spans="1:3" ht="170.1" customHeight="1" x14ac:dyDescent="0.25">
      <c r="A48" s="109" t="s">
        <v>265</v>
      </c>
      <c r="B48" s="110">
        <v>0.18</v>
      </c>
      <c r="C48" s="128" t="s">
        <v>266</v>
      </c>
    </row>
    <row r="49" spans="1:3" ht="252.75" customHeight="1" x14ac:dyDescent="0.25">
      <c r="A49" s="109" t="s">
        <v>267</v>
      </c>
      <c r="B49" s="110">
        <v>0.23</v>
      </c>
      <c r="C49" s="128" t="s">
        <v>268</v>
      </c>
    </row>
    <row r="50" spans="1:3" ht="65.099999999999994" customHeight="1" x14ac:dyDescent="0.25">
      <c r="A50" s="109" t="s">
        <v>269</v>
      </c>
      <c r="B50" s="110">
        <v>0.16</v>
      </c>
      <c r="C50" s="128" t="s">
        <v>69</v>
      </c>
    </row>
    <row r="51" spans="1:3" ht="65.099999999999994" customHeight="1" x14ac:dyDescent="0.25">
      <c r="A51" s="109" t="s">
        <v>270</v>
      </c>
      <c r="B51" s="110">
        <v>0.21</v>
      </c>
      <c r="C51" s="131" t="s">
        <v>60</v>
      </c>
    </row>
    <row r="52" spans="1:3" ht="65.099999999999994" customHeight="1" x14ac:dyDescent="0.25">
      <c r="A52" s="111" t="s">
        <v>271</v>
      </c>
      <c r="B52" s="112">
        <v>1.25</v>
      </c>
      <c r="C52" s="132" t="s">
        <v>70</v>
      </c>
    </row>
    <row r="53" spans="1:3" ht="93.75" customHeight="1" x14ac:dyDescent="0.25">
      <c r="A53" s="109" t="s">
        <v>172</v>
      </c>
      <c r="B53" s="113">
        <v>0.9</v>
      </c>
      <c r="C53" s="128" t="s">
        <v>173</v>
      </c>
    </row>
    <row r="54" spans="1:3" ht="48" customHeight="1" x14ac:dyDescent="0.25">
      <c r="A54" s="109" t="s">
        <v>174</v>
      </c>
      <c r="B54" s="113">
        <v>1.1100000000000001</v>
      </c>
      <c r="C54" s="128" t="s">
        <v>264</v>
      </c>
    </row>
    <row r="55" spans="1:3" ht="18" customHeight="1" x14ac:dyDescent="0.25">
      <c r="A55" s="14"/>
      <c r="B55" s="14"/>
      <c r="C55" s="14"/>
    </row>
    <row r="56" spans="1:3" ht="18" customHeight="1" x14ac:dyDescent="0.25">
      <c r="A56" s="145" t="s">
        <v>10</v>
      </c>
      <c r="B56" s="146"/>
    </row>
    <row r="57" spans="1:3" ht="18" customHeight="1" x14ac:dyDescent="0.35">
      <c r="A57" s="31" t="s">
        <v>71</v>
      </c>
      <c r="B57" s="32">
        <v>3.67</v>
      </c>
    </row>
    <row r="58" spans="1:3" ht="18" customHeight="1" x14ac:dyDescent="0.25">
      <c r="A58" s="33" t="s">
        <v>89</v>
      </c>
      <c r="B58" s="34">
        <v>0.5</v>
      </c>
    </row>
    <row r="59" spans="1:3" ht="18" customHeight="1" x14ac:dyDescent="0.25">
      <c r="A59" s="33" t="s">
        <v>262</v>
      </c>
      <c r="B59" s="34">
        <f>B61*1000</f>
        <v>907.18500000000006</v>
      </c>
    </row>
    <row r="60" spans="1:3" ht="18" customHeight="1" x14ac:dyDescent="0.25">
      <c r="A60" s="33" t="s">
        <v>263</v>
      </c>
      <c r="B60" s="34">
        <v>453.59199999999998</v>
      </c>
    </row>
    <row r="61" spans="1:3" ht="15.75" x14ac:dyDescent="0.25">
      <c r="A61" s="31" t="s">
        <v>68</v>
      </c>
      <c r="B61" s="32">
        <v>0.90718500000000002</v>
      </c>
    </row>
    <row r="62" spans="1:3" ht="18" customHeight="1" x14ac:dyDescent="0.25">
      <c r="A62" s="33" t="s">
        <v>11</v>
      </c>
      <c r="B62" s="36">
        <v>2204.62</v>
      </c>
    </row>
    <row r="63" spans="1:3" ht="18" customHeight="1" x14ac:dyDescent="0.25">
      <c r="A63" s="33" t="s">
        <v>90</v>
      </c>
      <c r="B63" s="32">
        <v>2000</v>
      </c>
    </row>
    <row r="64" spans="1:3" ht="18" customHeight="1" x14ac:dyDescent="0.25"/>
    <row r="65" spans="4:4" ht="15" customHeight="1" x14ac:dyDescent="0.25">
      <c r="D65" s="13"/>
    </row>
    <row r="67" spans="4:4" ht="48" customHeight="1" x14ac:dyDescent="0.25"/>
    <row r="68" spans="4:4" ht="48" customHeight="1" x14ac:dyDescent="0.25"/>
    <row r="69" spans="4:4" ht="48" customHeight="1" x14ac:dyDescent="0.25"/>
    <row r="74" spans="4:4" s="8" customFormat="1" ht="33.6" customHeight="1" x14ac:dyDescent="0.25"/>
  </sheetData>
  <sheetProtection algorithmName="SHA-512" hashValue="yFMf31H/LrvEbqihUWGerFG0cMkZn0lpTLcvD6Cl4GLyKGfklN4fVJxd4774id0fmNAb7ykE61Cx9jFnFBmTzQ==" saltValue="hM5A304jsTcn/Dmz2otnbw==" spinCount="100000" sheet="1" objects="1" scenarios="1"/>
  <pageMargins left="0.7" right="0.7" top="0.75" bottom="0.75" header="0.3" footer="0.3"/>
  <pageSetup scale="53" fitToHeight="0" orientation="portrait" r:id="rId1"/>
  <headerFooter>
    <oddFooter>&amp;CPage 12 of 12
Emission Reduction Factors Worksheet</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pageSetUpPr fitToPage="1"/>
  </sheetPr>
  <dimension ref="A1:F49"/>
  <sheetViews>
    <sheetView showGridLines="0" zoomScaleNormal="100" workbookViewId="0">
      <selection activeCell="I31" sqref="I31"/>
    </sheetView>
  </sheetViews>
  <sheetFormatPr defaultColWidth="9.140625" defaultRowHeight="15" x14ac:dyDescent="0.25"/>
  <cols>
    <col min="1" max="1" width="9.28515625" customWidth="1"/>
    <col min="2" max="2" width="38.7109375" customWidth="1"/>
    <col min="3" max="3" width="10.7109375" customWidth="1"/>
    <col min="4" max="4" width="26.140625" customWidth="1"/>
    <col min="5" max="5" width="9.28515625" customWidth="1"/>
    <col min="6" max="6" width="33.7109375" customWidth="1"/>
    <col min="7" max="8" width="14.7109375" customWidth="1"/>
  </cols>
  <sheetData>
    <row r="1" spans="1:6" ht="18.75" x14ac:dyDescent="0.3">
      <c r="D1" s="114" t="s">
        <v>176</v>
      </c>
    </row>
    <row r="2" spans="1:6" ht="18.75" x14ac:dyDescent="0.3">
      <c r="D2" s="114" t="s">
        <v>283</v>
      </c>
    </row>
    <row r="3" spans="1:6" ht="18.75" x14ac:dyDescent="0.3">
      <c r="D3" s="114" t="s">
        <v>284</v>
      </c>
    </row>
    <row r="4" spans="1:6" ht="18.75" x14ac:dyDescent="0.3">
      <c r="D4" s="115" t="s">
        <v>308</v>
      </c>
    </row>
    <row r="5" spans="1:6" ht="18.75" x14ac:dyDescent="0.3">
      <c r="D5" s="176"/>
    </row>
    <row r="6" spans="1:6" ht="15.75" x14ac:dyDescent="0.25">
      <c r="D6" s="177"/>
    </row>
    <row r="7" spans="1:6" ht="18.75" x14ac:dyDescent="0.3">
      <c r="D7" s="176"/>
    </row>
    <row r="10" spans="1:6" ht="18.75" x14ac:dyDescent="0.3">
      <c r="A10" s="3" t="s">
        <v>18</v>
      </c>
    </row>
    <row r="12" spans="1:6" s="19" customFormat="1" ht="18" customHeight="1" x14ac:dyDescent="0.2">
      <c r="A12" s="48"/>
      <c r="B12" s="32" t="s">
        <v>96</v>
      </c>
      <c r="C12" s="48"/>
      <c r="D12" s="32" t="s">
        <v>93</v>
      </c>
      <c r="E12" s="71">
        <f>A12*C12</f>
        <v>0</v>
      </c>
      <c r="F12" s="32" t="s">
        <v>92</v>
      </c>
    </row>
    <row r="13" spans="1:6" s="19" customFormat="1" ht="18" customHeight="1" x14ac:dyDescent="0.2">
      <c r="A13" s="48"/>
      <c r="B13" s="32" t="s">
        <v>96</v>
      </c>
      <c r="C13" s="48"/>
      <c r="D13" s="32" t="s">
        <v>94</v>
      </c>
      <c r="E13" s="71">
        <f>A13/A32*C13</f>
        <v>0</v>
      </c>
      <c r="F13" s="32" t="s">
        <v>92</v>
      </c>
    </row>
    <row r="14" spans="1:6" s="19" customFormat="1" ht="18" customHeight="1" x14ac:dyDescent="0.2">
      <c r="A14" s="48"/>
      <c r="B14" s="32" t="s">
        <v>95</v>
      </c>
      <c r="C14" s="48"/>
      <c r="D14" s="32" t="s">
        <v>94</v>
      </c>
      <c r="E14" s="71">
        <f>A14*C14</f>
        <v>0</v>
      </c>
      <c r="F14" s="32" t="s">
        <v>92</v>
      </c>
    </row>
    <row r="15" spans="1:6" s="19" customFormat="1" ht="18" customHeight="1" x14ac:dyDescent="0.2">
      <c r="A15" s="48"/>
      <c r="B15" s="32" t="s">
        <v>95</v>
      </c>
      <c r="C15" s="48"/>
      <c r="D15" s="32" t="s">
        <v>93</v>
      </c>
      <c r="E15" s="71">
        <f>A15*A32*C15</f>
        <v>0</v>
      </c>
      <c r="F15" s="32" t="s">
        <v>92</v>
      </c>
    </row>
    <row r="16" spans="1:6" s="19" customFormat="1" x14ac:dyDescent="0.2">
      <c r="A16" s="52"/>
      <c r="C16" s="52"/>
    </row>
    <row r="17" spans="1:6" s="19" customFormat="1" x14ac:dyDescent="0.2">
      <c r="A17" s="72"/>
      <c r="B17" s="72" t="s">
        <v>140</v>
      </c>
      <c r="C17" s="153" t="s">
        <v>139</v>
      </c>
      <c r="D17" s="153"/>
      <c r="E17" s="153"/>
      <c r="F17" s="153"/>
    </row>
    <row r="18" spans="1:6" s="19" customFormat="1" ht="18" customHeight="1" x14ac:dyDescent="0.2">
      <c r="A18" s="48"/>
      <c r="B18" s="32" t="s">
        <v>120</v>
      </c>
      <c r="C18" s="70">
        <f>A18*A36/A46</f>
        <v>0</v>
      </c>
      <c r="D18" s="32" t="s">
        <v>137</v>
      </c>
      <c r="E18" s="70">
        <f>A18*A41/A46</f>
        <v>0</v>
      </c>
      <c r="F18" s="32" t="s">
        <v>138</v>
      </c>
    </row>
    <row r="19" spans="1:6" s="19" customFormat="1" ht="18" customHeight="1" x14ac:dyDescent="0.2">
      <c r="A19" s="48"/>
      <c r="B19" s="32" t="s">
        <v>121</v>
      </c>
      <c r="C19" s="70">
        <f>A19*A37/A46</f>
        <v>0</v>
      </c>
      <c r="D19" s="32" t="s">
        <v>137</v>
      </c>
      <c r="E19" s="70">
        <f>A19*A42/A46</f>
        <v>0</v>
      </c>
      <c r="F19" s="32" t="s">
        <v>138</v>
      </c>
    </row>
    <row r="20" spans="1:6" s="19" customFormat="1" ht="18" customHeight="1" x14ac:dyDescent="0.2">
      <c r="A20" s="48"/>
      <c r="B20" s="32" t="s">
        <v>122</v>
      </c>
      <c r="C20" s="70">
        <f>A20*A38/A46</f>
        <v>0</v>
      </c>
      <c r="D20" s="32" t="s">
        <v>137</v>
      </c>
      <c r="E20" s="70">
        <f>A20*A43/A46</f>
        <v>0</v>
      </c>
      <c r="F20" s="32" t="s">
        <v>138</v>
      </c>
    </row>
    <row r="21" spans="1:6" s="19" customFormat="1" ht="18" customHeight="1" x14ac:dyDescent="0.2">
      <c r="A21" s="48"/>
      <c r="B21" s="32" t="s">
        <v>123</v>
      </c>
      <c r="C21" s="70">
        <f>A21*A39/A46</f>
        <v>0</v>
      </c>
      <c r="D21" s="32" t="s">
        <v>137</v>
      </c>
      <c r="E21" s="70">
        <f>A21*A44/A46</f>
        <v>0</v>
      </c>
      <c r="F21" s="32" t="s">
        <v>138</v>
      </c>
    </row>
    <row r="22" spans="1:6" s="19" customFormat="1" ht="18" x14ac:dyDescent="0.2">
      <c r="A22" s="48"/>
      <c r="B22" s="32" t="s">
        <v>124</v>
      </c>
      <c r="C22" s="70">
        <f>A22*A40/A46</f>
        <v>0</v>
      </c>
      <c r="D22" s="32" t="s">
        <v>137</v>
      </c>
      <c r="E22" s="70">
        <f>A22*A45/A46</f>
        <v>0</v>
      </c>
      <c r="F22" s="32" t="s">
        <v>138</v>
      </c>
    </row>
    <row r="23" spans="1:6" s="19" customFormat="1" x14ac:dyDescent="0.2">
      <c r="A23" s="52"/>
      <c r="C23" s="52"/>
    </row>
    <row r="24" spans="1:6" s="19" customFormat="1" ht="18" customHeight="1" x14ac:dyDescent="0.2">
      <c r="A24" s="48"/>
      <c r="B24" s="32" t="s">
        <v>93</v>
      </c>
      <c r="C24" s="70">
        <f>A24*A32</f>
        <v>0</v>
      </c>
      <c r="D24" s="32" t="s">
        <v>94</v>
      </c>
    </row>
    <row r="25" spans="1:6" s="19" customFormat="1" ht="18" customHeight="1" x14ac:dyDescent="0.2">
      <c r="A25" s="48"/>
      <c r="B25" s="32" t="s">
        <v>91</v>
      </c>
      <c r="C25" s="71">
        <f>A25/A33</f>
        <v>0</v>
      </c>
      <c r="D25" s="32" t="s">
        <v>92</v>
      </c>
    </row>
    <row r="26" spans="1:6" s="19" customFormat="1" ht="18" customHeight="1" x14ac:dyDescent="0.2">
      <c r="A26" s="48"/>
      <c r="B26" s="32" t="s">
        <v>98</v>
      </c>
      <c r="C26" s="71">
        <f>A26*A35</f>
        <v>0</v>
      </c>
      <c r="D26" s="32" t="s">
        <v>92</v>
      </c>
    </row>
    <row r="27" spans="1:6" s="19" customFormat="1" ht="18" customHeight="1" x14ac:dyDescent="0.2">
      <c r="A27" s="48"/>
      <c r="B27" s="32" t="s">
        <v>97</v>
      </c>
      <c r="C27" s="71">
        <f>A27*A34*A35</f>
        <v>0</v>
      </c>
      <c r="D27" s="32" t="s">
        <v>92</v>
      </c>
    </row>
    <row r="28" spans="1:6" s="19" customFormat="1" ht="18" customHeight="1" x14ac:dyDescent="0.2">
      <c r="A28" s="48"/>
      <c r="B28" s="32" t="s">
        <v>92</v>
      </c>
      <c r="C28" s="70">
        <f>A28/A34/A35</f>
        <v>0</v>
      </c>
      <c r="D28" s="32" t="s">
        <v>97</v>
      </c>
    </row>
    <row r="29" spans="1:6" s="19" customFormat="1" ht="18" customHeight="1" x14ac:dyDescent="0.2">
      <c r="A29" s="52"/>
    </row>
    <row r="31" spans="1:6" ht="18" customHeight="1" x14ac:dyDescent="0.25">
      <c r="A31" s="37" t="s">
        <v>131</v>
      </c>
      <c r="B31" s="19"/>
    </row>
    <row r="32" spans="1:6" ht="18" customHeight="1" x14ac:dyDescent="0.25">
      <c r="A32" s="66">
        <v>2.47105</v>
      </c>
      <c r="B32" s="147" t="s">
        <v>125</v>
      </c>
      <c r="C32" s="148"/>
      <c r="D32" s="149"/>
    </row>
    <row r="33" spans="1:4" ht="18" customHeight="1" x14ac:dyDescent="0.35">
      <c r="A33" s="32">
        <v>3.67</v>
      </c>
      <c r="B33" s="147" t="s">
        <v>71</v>
      </c>
      <c r="C33" s="148"/>
      <c r="D33" s="149"/>
    </row>
    <row r="34" spans="1:4" ht="18" customHeight="1" x14ac:dyDescent="0.25">
      <c r="A34" s="34">
        <v>0.5</v>
      </c>
      <c r="B34" s="150" t="s">
        <v>126</v>
      </c>
      <c r="C34" s="151"/>
      <c r="D34" s="152"/>
    </row>
    <row r="35" spans="1:4" ht="18" customHeight="1" x14ac:dyDescent="0.25">
      <c r="A35" s="32">
        <v>0.90718500000000002</v>
      </c>
      <c r="B35" s="147" t="s">
        <v>127</v>
      </c>
      <c r="C35" s="148"/>
      <c r="D35" s="149"/>
    </row>
    <row r="36" spans="1:4" ht="18" customHeight="1" x14ac:dyDescent="0.25">
      <c r="A36" s="32">
        <v>24.59</v>
      </c>
      <c r="B36" s="147" t="s">
        <v>132</v>
      </c>
      <c r="C36" s="148"/>
      <c r="D36" s="149"/>
    </row>
    <row r="37" spans="1:4" ht="18" customHeight="1" x14ac:dyDescent="0.25">
      <c r="A37" s="32">
        <v>26.77</v>
      </c>
      <c r="B37" s="147" t="s">
        <v>153</v>
      </c>
      <c r="C37" s="148"/>
      <c r="D37" s="149"/>
    </row>
    <row r="38" spans="1:4" ht="18" customHeight="1" x14ac:dyDescent="0.25">
      <c r="A38" s="32">
        <v>23.21</v>
      </c>
      <c r="B38" s="147" t="s">
        <v>133</v>
      </c>
      <c r="C38" s="148"/>
      <c r="D38" s="149"/>
    </row>
    <row r="39" spans="1:4" ht="18" customHeight="1" x14ac:dyDescent="0.25">
      <c r="A39" s="32">
        <v>23.71</v>
      </c>
      <c r="B39" s="147" t="s">
        <v>134</v>
      </c>
      <c r="C39" s="148"/>
      <c r="D39" s="149"/>
    </row>
    <row r="40" spans="1:4" ht="18" customHeight="1" x14ac:dyDescent="0.25">
      <c r="A40" s="32">
        <v>23.46</v>
      </c>
      <c r="B40" s="147" t="s">
        <v>135</v>
      </c>
      <c r="C40" s="148"/>
      <c r="D40" s="149"/>
    </row>
    <row r="41" spans="1:4" ht="18" customHeight="1" x14ac:dyDescent="0.25">
      <c r="A41" s="32">
        <v>32.51</v>
      </c>
      <c r="B41" s="147" t="s">
        <v>136</v>
      </c>
      <c r="C41" s="148"/>
      <c r="D41" s="149"/>
    </row>
    <row r="42" spans="1:4" ht="18" customHeight="1" x14ac:dyDescent="0.25">
      <c r="A42" s="32">
        <v>30.14</v>
      </c>
      <c r="B42" s="147" t="s">
        <v>155</v>
      </c>
      <c r="C42" s="148"/>
      <c r="D42" s="149"/>
    </row>
    <row r="43" spans="1:4" ht="18" customHeight="1" x14ac:dyDescent="0.25">
      <c r="A43" s="32">
        <v>31.82</v>
      </c>
      <c r="B43" s="147" t="s">
        <v>133</v>
      </c>
      <c r="C43" s="148"/>
      <c r="D43" s="149"/>
    </row>
    <row r="44" spans="1:4" ht="18" customHeight="1" x14ac:dyDescent="0.25">
      <c r="A44" s="32">
        <v>31.82</v>
      </c>
      <c r="B44" s="147" t="s">
        <v>134</v>
      </c>
      <c r="C44" s="148"/>
      <c r="D44" s="149"/>
    </row>
    <row r="45" spans="1:4" ht="18" customHeight="1" x14ac:dyDescent="0.25">
      <c r="A45" s="32">
        <v>28.02</v>
      </c>
      <c r="B45" s="147" t="s">
        <v>135</v>
      </c>
      <c r="C45" s="148"/>
      <c r="D45" s="149"/>
    </row>
    <row r="46" spans="1:4" ht="18" customHeight="1" x14ac:dyDescent="0.25">
      <c r="A46" s="67">
        <v>2000</v>
      </c>
      <c r="B46" s="150" t="s">
        <v>128</v>
      </c>
      <c r="C46" s="151"/>
      <c r="D46" s="152"/>
    </row>
    <row r="47" spans="1:4" ht="18" customHeight="1" x14ac:dyDescent="0.25">
      <c r="A47" s="69">
        <v>2204.62</v>
      </c>
      <c r="B47" s="150" t="s">
        <v>154</v>
      </c>
      <c r="C47" s="151"/>
      <c r="D47" s="152"/>
    </row>
    <row r="48" spans="1:4" ht="18" customHeight="1" x14ac:dyDescent="0.25">
      <c r="A48" s="68">
        <v>1000</v>
      </c>
      <c r="B48" s="150" t="s">
        <v>129</v>
      </c>
      <c r="C48" s="151"/>
      <c r="D48" s="152"/>
    </row>
    <row r="49" spans="1:4" ht="18" customHeight="1" x14ac:dyDescent="0.25">
      <c r="A49" s="47">
        <v>907</v>
      </c>
      <c r="B49" s="150" t="s">
        <v>130</v>
      </c>
      <c r="C49" s="151"/>
      <c r="D49" s="152"/>
    </row>
  </sheetData>
  <sheetProtection algorithmName="SHA-512" hashValue="m7r9jx0L9j8gTV95yvVEMD6aKy7O9ekQpnVueLwZGPtRu/kO38Ohyf79+oqdhXyj+5w1qYuc1qT4uVr4Gm4yeA==" saltValue="VvnC49VoskkZ3fHnLd3ZXA==" spinCount="100000" sheet="1" objects="1" scenarios="1"/>
  <pageMargins left="0.7" right="0.7" top="0.75" bottom="0.75" header="0.3" footer="0.3"/>
  <pageSetup scale="71" orientation="portrait" r:id="rId1"/>
  <headerFooter>
    <oddFooter>&amp;CPage 11 of 12
Conversions Worksheet</oddFooter>
  </headerFooter>
  <ignoredErrors>
    <ignoredError sqref="E13"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79998168889431442"/>
    <pageSetUpPr fitToPage="1"/>
  </sheetPr>
  <dimension ref="A1:H86"/>
  <sheetViews>
    <sheetView showGridLines="0" tabSelected="1" showRuler="0" topLeftCell="A10" zoomScale="90" zoomScaleNormal="90" workbookViewId="0">
      <selection activeCell="D29" sqref="D29"/>
    </sheetView>
  </sheetViews>
  <sheetFormatPr defaultColWidth="9.140625" defaultRowHeight="15" x14ac:dyDescent="0.25"/>
  <cols>
    <col min="1" max="1" width="25.7109375" customWidth="1"/>
    <col min="2" max="2" width="46" customWidth="1"/>
    <col min="3" max="3" width="14.140625" customWidth="1"/>
    <col min="4" max="4" width="23" customWidth="1"/>
    <col min="5" max="5" width="24.5703125" customWidth="1"/>
    <col min="6" max="6" width="10.7109375" customWidth="1"/>
    <col min="7" max="7" width="47.7109375" customWidth="1"/>
    <col min="8" max="8" width="15.7109375" customWidth="1"/>
    <col min="9" max="9" width="14.85546875" customWidth="1"/>
    <col min="10" max="10" width="13.7109375" customWidth="1"/>
    <col min="11" max="11" width="22.140625" customWidth="1"/>
    <col min="12" max="12" width="14.7109375" customWidth="1"/>
  </cols>
  <sheetData>
    <row r="1" spans="1:8" ht="18.75" x14ac:dyDescent="0.3">
      <c r="E1" s="2" t="s">
        <v>176</v>
      </c>
      <c r="G1" s="2"/>
      <c r="H1" s="2"/>
    </row>
    <row r="2" spans="1:8" ht="18.75" x14ac:dyDescent="0.3">
      <c r="E2" s="2" t="s">
        <v>283</v>
      </c>
      <c r="G2" s="2"/>
      <c r="H2" s="2"/>
    </row>
    <row r="3" spans="1:8" ht="18.75" x14ac:dyDescent="0.3">
      <c r="E3" s="2" t="s">
        <v>284</v>
      </c>
    </row>
    <row r="4" spans="1:8" ht="18.75" x14ac:dyDescent="0.3">
      <c r="E4" s="21" t="s">
        <v>308</v>
      </c>
      <c r="G4" s="2"/>
      <c r="H4" s="2"/>
    </row>
    <row r="5" spans="1:8" ht="18.75" x14ac:dyDescent="0.3">
      <c r="E5" s="116"/>
      <c r="G5" s="2"/>
      <c r="H5" s="2"/>
    </row>
    <row r="6" spans="1:8" ht="18.75" x14ac:dyDescent="0.3">
      <c r="E6" s="175"/>
      <c r="G6" s="2"/>
      <c r="H6" s="2"/>
    </row>
    <row r="7" spans="1:8" ht="18.75" x14ac:dyDescent="0.3">
      <c r="E7" s="116"/>
      <c r="G7" s="2"/>
      <c r="H7" s="2"/>
    </row>
    <row r="8" spans="1:8" ht="18.75" x14ac:dyDescent="0.3">
      <c r="H8" s="2"/>
    </row>
    <row r="9" spans="1:8" ht="18" customHeight="1" x14ac:dyDescent="0.25">
      <c r="A9" s="28" t="s">
        <v>0</v>
      </c>
      <c r="B9" s="215">
        <f>'Read Me'!B19</f>
        <v>0</v>
      </c>
      <c r="C9" s="201"/>
      <c r="D9" s="37"/>
      <c r="E9" s="37"/>
    </row>
    <row r="10" spans="1:8" ht="18" customHeight="1" x14ac:dyDescent="0.25">
      <c r="A10" s="43" t="s">
        <v>7</v>
      </c>
      <c r="B10" s="215">
        <f>'Read Me'!B20</f>
        <v>0</v>
      </c>
      <c r="C10" s="201"/>
      <c r="D10" s="38"/>
      <c r="E10" s="38"/>
    </row>
    <row r="11" spans="1:8" ht="18" customHeight="1" x14ac:dyDescent="0.25">
      <c r="F11" s="1"/>
      <c r="G11" s="1"/>
      <c r="H11" s="8"/>
    </row>
    <row r="12" spans="1:8" ht="26.25" customHeight="1" x14ac:dyDescent="0.25">
      <c r="A12" s="73" t="s">
        <v>102</v>
      </c>
      <c r="B12" s="196" t="s">
        <v>307</v>
      </c>
      <c r="C12" s="199"/>
      <c r="D12" s="73" t="s">
        <v>301</v>
      </c>
      <c r="E12" s="73" t="s">
        <v>302</v>
      </c>
      <c r="F12" s="170"/>
      <c r="G12" s="170"/>
      <c r="H12" s="170"/>
    </row>
    <row r="13" spans="1:8" ht="35.1" customHeight="1" x14ac:dyDescent="0.25">
      <c r="A13" s="166" t="s">
        <v>192</v>
      </c>
      <c r="B13" s="167"/>
      <c r="C13" s="167"/>
      <c r="D13" s="211" t="s">
        <v>303</v>
      </c>
      <c r="E13" s="94"/>
      <c r="F13" s="73"/>
      <c r="G13" s="59" t="s">
        <v>103</v>
      </c>
      <c r="H13" s="30">
        <f>H14-H15</f>
        <v>0</v>
      </c>
    </row>
    <row r="14" spans="1:8" ht="35.1" customHeight="1" x14ac:dyDescent="0.25">
      <c r="A14" s="166" t="s">
        <v>159</v>
      </c>
      <c r="B14" s="167"/>
      <c r="C14" s="167"/>
      <c r="D14" s="211" t="s">
        <v>303</v>
      </c>
      <c r="E14" s="94"/>
      <c r="F14" s="73"/>
      <c r="G14" s="59" t="s">
        <v>40</v>
      </c>
      <c r="H14" s="30">
        <f>E20*ERFs!B$57-(IF(E25=LISTS!A$1,ERFs!B$13,IF(E25=LISTS!A$2,ERFs!B$14,IF(E25=LISTS!A$3,ERFs!B$15,0))))*E23-E24*ERFs!B$19</f>
        <v>0</v>
      </c>
    </row>
    <row r="15" spans="1:8" s="14" customFormat="1" ht="35.1" customHeight="1" x14ac:dyDescent="0.25">
      <c r="A15" s="166" t="s">
        <v>339</v>
      </c>
      <c r="B15" s="167"/>
      <c r="C15" s="167"/>
      <c r="D15" s="211" t="s">
        <v>303</v>
      </c>
      <c r="E15" s="193"/>
      <c r="F15" s="35"/>
      <c r="G15" s="59" t="s">
        <v>41</v>
      </c>
      <c r="H15" s="30">
        <f>IF(E15&gt;0,E15*ERFs!B$57,0)+(IF(E26=LISTS!A$5,ERFs!B$16,IF(E26=LISTS!A$6,ERFs!B$17,IF(E26=LISTS!A$7,ERFs!B$18,0))))*E23</f>
        <v>0</v>
      </c>
    </row>
    <row r="16" spans="1:8" s="14" customFormat="1" ht="35.1" customHeight="1" x14ac:dyDescent="0.25">
      <c r="A16" s="166" t="s">
        <v>340</v>
      </c>
      <c r="B16" s="167"/>
      <c r="C16" s="167"/>
      <c r="D16" s="211" t="s">
        <v>303</v>
      </c>
      <c r="E16" s="193"/>
      <c r="F16" s="35"/>
      <c r="G16" s="212"/>
    </row>
    <row r="17" spans="1:8" s="14" customFormat="1" ht="35.1" customHeight="1" x14ac:dyDescent="0.25">
      <c r="A17" s="166" t="s">
        <v>300</v>
      </c>
      <c r="B17" s="167"/>
      <c r="C17" s="167"/>
      <c r="D17" s="194"/>
      <c r="E17" s="30" t="str">
        <f>IF(E13="Class I", 50, IF(E13="Class II or III",60, IF(E13="Class IV or V", 80,"")))</f>
        <v/>
      </c>
      <c r="F17" s="35"/>
    </row>
    <row r="18" spans="1:8" s="14" customFormat="1" ht="35.1" customHeight="1" x14ac:dyDescent="0.25">
      <c r="A18" s="166" t="s">
        <v>305</v>
      </c>
      <c r="B18" s="167"/>
      <c r="C18" s="167"/>
      <c r="D18" s="194"/>
      <c r="E18" s="194" t="str">
        <f>IF(OR(E15="",E17=""),"",E15+E17)</f>
        <v/>
      </c>
      <c r="F18" s="35"/>
    </row>
    <row r="19" spans="1:8" s="14" customFormat="1" ht="35.1" customHeight="1" x14ac:dyDescent="0.25">
      <c r="A19" s="166" t="s">
        <v>101</v>
      </c>
      <c r="B19" s="167"/>
      <c r="C19" s="167"/>
      <c r="D19" s="211" t="s">
        <v>335</v>
      </c>
      <c r="E19" s="51"/>
      <c r="F19" s="35"/>
    </row>
    <row r="20" spans="1:8" s="14" customFormat="1" ht="35.1" customHeight="1" x14ac:dyDescent="0.25">
      <c r="A20" s="166" t="s">
        <v>338</v>
      </c>
      <c r="B20" s="167"/>
      <c r="C20" s="167"/>
      <c r="D20" s="211" t="s">
        <v>335</v>
      </c>
      <c r="E20" s="51"/>
      <c r="F20" s="35"/>
    </row>
    <row r="21" spans="1:8" s="14" customFormat="1" ht="35.1" customHeight="1" x14ac:dyDescent="0.25">
      <c r="A21" s="166" t="s">
        <v>341</v>
      </c>
      <c r="B21" s="167"/>
      <c r="C21" s="167"/>
      <c r="D21" s="211" t="s">
        <v>303</v>
      </c>
      <c r="E21" s="193"/>
      <c r="F21" s="35"/>
    </row>
    <row r="22" spans="1:8" ht="30.75" customHeight="1" x14ac:dyDescent="0.25">
      <c r="A22" s="166" t="s">
        <v>161</v>
      </c>
      <c r="B22" s="167"/>
      <c r="C22" s="167"/>
      <c r="D22" s="194"/>
      <c r="E22" s="30">
        <f>E14*E21</f>
        <v>0</v>
      </c>
      <c r="G22" s="179"/>
      <c r="H22" s="179"/>
    </row>
    <row r="23" spans="1:8" s="14" customFormat="1" ht="35.1" customHeight="1" x14ac:dyDescent="0.25">
      <c r="A23" s="166" t="s">
        <v>22</v>
      </c>
      <c r="B23" s="167"/>
      <c r="C23" s="167"/>
      <c r="D23" s="211" t="s">
        <v>303</v>
      </c>
      <c r="E23" s="41"/>
      <c r="F23" s="35"/>
      <c r="H23" s="178"/>
    </row>
    <row r="24" spans="1:8" s="14" customFormat="1" ht="35.1" customHeight="1" x14ac:dyDescent="0.25">
      <c r="A24" s="166" t="s">
        <v>117</v>
      </c>
      <c r="B24" s="167"/>
      <c r="C24" s="167"/>
      <c r="D24" s="211" t="s">
        <v>303</v>
      </c>
      <c r="E24" s="41"/>
      <c r="F24" s="35"/>
      <c r="G24" s="178"/>
      <c r="H24" s="178"/>
    </row>
    <row r="25" spans="1:8" ht="35.1" customHeight="1" x14ac:dyDescent="0.25">
      <c r="A25" s="168" t="s">
        <v>72</v>
      </c>
      <c r="B25" s="169"/>
      <c r="C25" s="169"/>
      <c r="D25" s="211" t="s">
        <v>303</v>
      </c>
      <c r="E25" s="41"/>
      <c r="F25" s="19"/>
      <c r="G25" s="179"/>
      <c r="H25" s="179"/>
    </row>
    <row r="26" spans="1:8" ht="35.1" customHeight="1" x14ac:dyDescent="0.25">
      <c r="A26" s="168" t="s">
        <v>23</v>
      </c>
      <c r="B26" s="169"/>
      <c r="C26" s="169"/>
      <c r="D26" s="211" t="s">
        <v>303</v>
      </c>
      <c r="E26" s="41"/>
      <c r="F26" s="19"/>
      <c r="G26" s="179"/>
      <c r="H26" s="179"/>
    </row>
    <row r="27" spans="1:8" ht="47.25" customHeight="1" x14ac:dyDescent="0.25">
      <c r="A27" s="73" t="s">
        <v>354</v>
      </c>
      <c r="B27" s="196" t="s">
        <v>307</v>
      </c>
      <c r="C27" s="199"/>
      <c r="D27" s="73" t="s">
        <v>301</v>
      </c>
      <c r="E27" s="73" t="s">
        <v>302</v>
      </c>
      <c r="F27" s="170"/>
      <c r="G27" s="170"/>
      <c r="H27" s="170"/>
    </row>
    <row r="28" spans="1:8" ht="35.1" customHeight="1" x14ac:dyDescent="0.25">
      <c r="A28" s="166" t="s">
        <v>192</v>
      </c>
      <c r="B28" s="167"/>
      <c r="C28" s="167"/>
      <c r="D28" s="211" t="s">
        <v>303</v>
      </c>
      <c r="E28" s="94"/>
      <c r="F28" s="73"/>
      <c r="G28" s="59" t="s">
        <v>355</v>
      </c>
      <c r="H28" s="30">
        <f>H29-H30</f>
        <v>0</v>
      </c>
    </row>
    <row r="29" spans="1:8" ht="35.1" customHeight="1" x14ac:dyDescent="0.25">
      <c r="A29" s="166" t="s">
        <v>159</v>
      </c>
      <c r="B29" s="167"/>
      <c r="C29" s="167"/>
      <c r="D29" s="211" t="s">
        <v>303</v>
      </c>
      <c r="E29" s="94"/>
      <c r="F29" s="73"/>
      <c r="G29" s="59" t="s">
        <v>40</v>
      </c>
      <c r="H29" s="30">
        <f>E35*ERFs!B$57-(IF(E40=LISTS!A$1,ERFs!B$13,IF(E40=LISTS!A$2,ERFs!B$14,IF(E40=LISTS!A$3,ERFs!B$15,0))))*E38-E39*ERFs!B$19</f>
        <v>0</v>
      </c>
    </row>
    <row r="30" spans="1:8" s="14" customFormat="1" ht="35.1" customHeight="1" x14ac:dyDescent="0.25">
      <c r="A30" s="166" t="s">
        <v>339</v>
      </c>
      <c r="B30" s="167"/>
      <c r="C30" s="167"/>
      <c r="D30" s="211" t="s">
        <v>303</v>
      </c>
      <c r="E30" s="193"/>
      <c r="F30" s="35"/>
      <c r="G30" s="59" t="s">
        <v>41</v>
      </c>
      <c r="H30" s="30">
        <f>IF(E30&gt;0,E30*ERFs!B$57,0)+(IF(E41=LISTS!A$5,ERFs!B$16,IF(E41=LISTS!A$6,ERFs!B$17,IF(E41=LISTS!A$7,ERFs!B$18,0))))*E38</f>
        <v>0</v>
      </c>
    </row>
    <row r="31" spans="1:8" s="14" customFormat="1" ht="35.1" customHeight="1" x14ac:dyDescent="0.25">
      <c r="A31" s="166" t="s">
        <v>340</v>
      </c>
      <c r="B31" s="167"/>
      <c r="C31" s="167"/>
      <c r="D31" s="211" t="s">
        <v>303</v>
      </c>
      <c r="E31" s="193"/>
      <c r="F31" s="35"/>
      <c r="G31" s="212"/>
    </row>
    <row r="32" spans="1:8" s="14" customFormat="1" ht="35.1" customHeight="1" x14ac:dyDescent="0.25">
      <c r="A32" s="166" t="s">
        <v>300</v>
      </c>
      <c r="B32" s="167"/>
      <c r="C32" s="167"/>
      <c r="D32" s="194"/>
      <c r="E32" s="30" t="str">
        <f>IF(E28="Class I", 50, IF(E28="Class II or III",60, IF(E28="Class IV or V", 80,"")))</f>
        <v/>
      </c>
      <c r="F32" s="35"/>
    </row>
    <row r="33" spans="1:8" s="14" customFormat="1" ht="35.1" customHeight="1" x14ac:dyDescent="0.25">
      <c r="A33" s="166" t="s">
        <v>305</v>
      </c>
      <c r="B33" s="167"/>
      <c r="C33" s="167"/>
      <c r="D33" s="194"/>
      <c r="E33" s="194" t="str">
        <f>IF(OR(E30="",E32=""),"",E30+E32)</f>
        <v/>
      </c>
      <c r="F33" s="35"/>
    </row>
    <row r="34" spans="1:8" s="14" customFormat="1" ht="35.1" customHeight="1" x14ac:dyDescent="0.25">
      <c r="A34" s="166" t="s">
        <v>101</v>
      </c>
      <c r="B34" s="167"/>
      <c r="C34" s="167"/>
      <c r="D34" s="211" t="s">
        <v>335</v>
      </c>
      <c r="E34" s="51"/>
      <c r="F34" s="35"/>
    </row>
    <row r="35" spans="1:8" s="14" customFormat="1" ht="35.1" customHeight="1" x14ac:dyDescent="0.25">
      <c r="A35" s="166" t="s">
        <v>338</v>
      </c>
      <c r="B35" s="167"/>
      <c r="C35" s="167"/>
      <c r="D35" s="211" t="s">
        <v>335</v>
      </c>
      <c r="E35" s="51"/>
      <c r="F35" s="35"/>
    </row>
    <row r="36" spans="1:8" s="14" customFormat="1" ht="35.1" customHeight="1" x14ac:dyDescent="0.25">
      <c r="A36" s="166" t="s">
        <v>341</v>
      </c>
      <c r="B36" s="167"/>
      <c r="C36" s="167"/>
      <c r="D36" s="211" t="s">
        <v>303</v>
      </c>
      <c r="E36" s="193"/>
      <c r="F36" s="35"/>
    </row>
    <row r="37" spans="1:8" ht="30.75" customHeight="1" x14ac:dyDescent="0.25">
      <c r="A37" s="166" t="s">
        <v>161</v>
      </c>
      <c r="B37" s="167"/>
      <c r="C37" s="167"/>
      <c r="D37" s="194"/>
      <c r="E37" s="30">
        <f>E29*E36</f>
        <v>0</v>
      </c>
      <c r="G37" s="179"/>
      <c r="H37" s="179"/>
    </row>
    <row r="38" spans="1:8" s="14" customFormat="1" ht="35.1" customHeight="1" x14ac:dyDescent="0.25">
      <c r="A38" s="166" t="s">
        <v>22</v>
      </c>
      <c r="B38" s="167"/>
      <c r="C38" s="167"/>
      <c r="D38" s="211" t="s">
        <v>303</v>
      </c>
      <c r="E38" s="41"/>
      <c r="F38" s="35"/>
      <c r="H38" s="178"/>
    </row>
    <row r="39" spans="1:8" s="14" customFormat="1" ht="35.1" customHeight="1" x14ac:dyDescent="0.25">
      <c r="A39" s="166" t="s">
        <v>117</v>
      </c>
      <c r="B39" s="167"/>
      <c r="C39" s="167"/>
      <c r="D39" s="211" t="s">
        <v>303</v>
      </c>
      <c r="E39" s="41"/>
      <c r="F39" s="35"/>
      <c r="G39" s="178"/>
      <c r="H39" s="178"/>
    </row>
    <row r="40" spans="1:8" ht="35.1" customHeight="1" x14ac:dyDescent="0.25">
      <c r="A40" s="168" t="s">
        <v>72</v>
      </c>
      <c r="B40" s="169"/>
      <c r="C40" s="169"/>
      <c r="D40" s="211" t="s">
        <v>303</v>
      </c>
      <c r="E40" s="41"/>
      <c r="F40" s="19"/>
      <c r="G40" s="179"/>
      <c r="H40" s="179"/>
    </row>
    <row r="41" spans="1:8" ht="35.1" customHeight="1" x14ac:dyDescent="0.25">
      <c r="A41" s="168" t="s">
        <v>23</v>
      </c>
      <c r="B41" s="169"/>
      <c r="C41" s="169"/>
      <c r="D41" s="211" t="s">
        <v>303</v>
      </c>
      <c r="E41" s="41"/>
      <c r="F41" s="19"/>
      <c r="G41" s="179"/>
      <c r="H41" s="179"/>
    </row>
    <row r="42" spans="1:8" ht="47.25" customHeight="1" x14ac:dyDescent="0.25">
      <c r="A42" s="73" t="s">
        <v>356</v>
      </c>
      <c r="B42" s="196" t="s">
        <v>307</v>
      </c>
      <c r="C42" s="199"/>
      <c r="D42" s="73" t="s">
        <v>301</v>
      </c>
      <c r="E42" s="73" t="s">
        <v>302</v>
      </c>
      <c r="F42" s="170"/>
      <c r="G42" s="170"/>
      <c r="H42" s="170"/>
    </row>
    <row r="43" spans="1:8" ht="35.1" customHeight="1" x14ac:dyDescent="0.25">
      <c r="A43" s="166" t="s">
        <v>192</v>
      </c>
      <c r="B43" s="167"/>
      <c r="C43" s="167"/>
      <c r="D43" s="211" t="s">
        <v>303</v>
      </c>
      <c r="E43" s="94"/>
      <c r="F43" s="73"/>
      <c r="G43" s="59" t="s">
        <v>357</v>
      </c>
      <c r="H43" s="30">
        <f>H44-H45</f>
        <v>0</v>
      </c>
    </row>
    <row r="44" spans="1:8" ht="35.1" customHeight="1" x14ac:dyDescent="0.25">
      <c r="A44" s="166" t="s">
        <v>159</v>
      </c>
      <c r="B44" s="167"/>
      <c r="C44" s="167"/>
      <c r="D44" s="211" t="s">
        <v>303</v>
      </c>
      <c r="E44" s="94"/>
      <c r="F44" s="73"/>
      <c r="G44" s="59" t="s">
        <v>40</v>
      </c>
      <c r="H44" s="30">
        <f>E50*ERFs!B$57-(IF(E55=LISTS!A$1,ERFs!B$13,IF(E55=LISTS!A$2,ERFs!B$14,IF(E55=LISTS!A$3,ERFs!B$15,0))))*E53-E54*ERFs!B$19</f>
        <v>0</v>
      </c>
    </row>
    <row r="45" spans="1:8" s="14" customFormat="1" ht="35.1" customHeight="1" x14ac:dyDescent="0.25">
      <c r="A45" s="166" t="s">
        <v>339</v>
      </c>
      <c r="B45" s="167"/>
      <c r="C45" s="167"/>
      <c r="D45" s="211" t="s">
        <v>303</v>
      </c>
      <c r="E45" s="193"/>
      <c r="F45" s="35"/>
      <c r="G45" s="59" t="s">
        <v>41</v>
      </c>
      <c r="H45" s="30">
        <f>IF(E45&gt;0,E45*ERFs!B$57,0)+(IF(E56=LISTS!A$5,ERFs!B$16,IF(E56=LISTS!A$6,ERFs!B$17,IF(E56=LISTS!A$7,ERFs!B$18,0))))*E53</f>
        <v>0</v>
      </c>
    </row>
    <row r="46" spans="1:8" s="14" customFormat="1" ht="35.1" customHeight="1" x14ac:dyDescent="0.25">
      <c r="A46" s="166" t="s">
        <v>340</v>
      </c>
      <c r="B46" s="167"/>
      <c r="C46" s="167"/>
      <c r="D46" s="211" t="s">
        <v>303</v>
      </c>
      <c r="E46" s="193"/>
      <c r="F46" s="35"/>
      <c r="G46" s="212"/>
    </row>
    <row r="47" spans="1:8" s="14" customFormat="1" ht="35.1" customHeight="1" x14ac:dyDescent="0.25">
      <c r="A47" s="166" t="s">
        <v>300</v>
      </c>
      <c r="B47" s="167"/>
      <c r="C47" s="167"/>
      <c r="D47" s="194"/>
      <c r="E47" s="30" t="str">
        <f>IF(E43="Class I", 50, IF(E43="Class II or III",60, IF(E43="Class IV or V", 80,"")))</f>
        <v/>
      </c>
      <c r="F47" s="35"/>
    </row>
    <row r="48" spans="1:8" s="14" customFormat="1" ht="35.1" customHeight="1" x14ac:dyDescent="0.25">
      <c r="A48" s="166" t="s">
        <v>305</v>
      </c>
      <c r="B48" s="167"/>
      <c r="C48" s="167"/>
      <c r="D48" s="194"/>
      <c r="E48" s="194" t="str">
        <f>IF(OR(E45="",E47=""),"",E45+E47)</f>
        <v/>
      </c>
      <c r="F48" s="35"/>
    </row>
    <row r="49" spans="1:8" s="14" customFormat="1" ht="35.1" customHeight="1" x14ac:dyDescent="0.25">
      <c r="A49" s="166" t="s">
        <v>101</v>
      </c>
      <c r="B49" s="167"/>
      <c r="C49" s="167"/>
      <c r="D49" s="211" t="s">
        <v>335</v>
      </c>
      <c r="E49" s="51"/>
      <c r="F49" s="35"/>
    </row>
    <row r="50" spans="1:8" s="14" customFormat="1" ht="35.1" customHeight="1" x14ac:dyDescent="0.25">
      <c r="A50" s="166" t="s">
        <v>338</v>
      </c>
      <c r="B50" s="167"/>
      <c r="C50" s="167"/>
      <c r="D50" s="211" t="s">
        <v>335</v>
      </c>
      <c r="E50" s="51"/>
      <c r="F50" s="35"/>
    </row>
    <row r="51" spans="1:8" s="14" customFormat="1" ht="35.1" customHeight="1" x14ac:dyDescent="0.25">
      <c r="A51" s="166" t="s">
        <v>341</v>
      </c>
      <c r="B51" s="167"/>
      <c r="C51" s="167"/>
      <c r="D51" s="211" t="s">
        <v>303</v>
      </c>
      <c r="E51" s="193"/>
      <c r="F51" s="35"/>
    </row>
    <row r="52" spans="1:8" ht="30.75" customHeight="1" x14ac:dyDescent="0.25">
      <c r="A52" s="166" t="s">
        <v>161</v>
      </c>
      <c r="B52" s="167"/>
      <c r="C52" s="167"/>
      <c r="D52" s="194"/>
      <c r="E52" s="30">
        <f>E44*E51</f>
        <v>0</v>
      </c>
      <c r="G52" s="179"/>
      <c r="H52" s="179"/>
    </row>
    <row r="53" spans="1:8" s="14" customFormat="1" ht="35.1" customHeight="1" x14ac:dyDescent="0.25">
      <c r="A53" s="166" t="s">
        <v>22</v>
      </c>
      <c r="B53" s="167"/>
      <c r="C53" s="167"/>
      <c r="D53" s="211" t="s">
        <v>303</v>
      </c>
      <c r="E53" s="41"/>
      <c r="F53" s="35"/>
      <c r="H53" s="178"/>
    </row>
    <row r="54" spans="1:8" s="14" customFormat="1" ht="35.1" customHeight="1" x14ac:dyDescent="0.25">
      <c r="A54" s="166" t="s">
        <v>117</v>
      </c>
      <c r="B54" s="167"/>
      <c r="C54" s="167"/>
      <c r="D54" s="211" t="s">
        <v>303</v>
      </c>
      <c r="E54" s="41"/>
      <c r="F54" s="35"/>
      <c r="G54" s="178"/>
      <c r="H54" s="178"/>
    </row>
    <row r="55" spans="1:8" ht="35.1" customHeight="1" x14ac:dyDescent="0.25">
      <c r="A55" s="168" t="s">
        <v>72</v>
      </c>
      <c r="B55" s="169"/>
      <c r="C55" s="169"/>
      <c r="D55" s="211" t="s">
        <v>303</v>
      </c>
      <c r="E55" s="41"/>
      <c r="F55" s="19"/>
      <c r="G55" s="179"/>
      <c r="H55" s="179"/>
    </row>
    <row r="56" spans="1:8" ht="35.1" customHeight="1" x14ac:dyDescent="0.25">
      <c r="A56" s="168" t="s">
        <v>23</v>
      </c>
      <c r="B56" s="169"/>
      <c r="C56" s="169"/>
      <c r="D56" s="211" t="s">
        <v>303</v>
      </c>
      <c r="E56" s="41"/>
      <c r="F56" s="19"/>
      <c r="G56" s="179"/>
      <c r="H56" s="179"/>
    </row>
    <row r="57" spans="1:8" ht="47.25" customHeight="1" x14ac:dyDescent="0.25">
      <c r="A57" s="73" t="s">
        <v>358</v>
      </c>
      <c r="B57" s="196" t="s">
        <v>307</v>
      </c>
      <c r="C57" s="199"/>
      <c r="D57" s="73" t="s">
        <v>301</v>
      </c>
      <c r="E57" s="73" t="s">
        <v>302</v>
      </c>
      <c r="F57" s="170"/>
      <c r="G57" s="170"/>
      <c r="H57" s="170"/>
    </row>
    <row r="58" spans="1:8" ht="35.1" customHeight="1" x14ac:dyDescent="0.25">
      <c r="A58" s="166" t="s">
        <v>192</v>
      </c>
      <c r="B58" s="167"/>
      <c r="C58" s="167"/>
      <c r="D58" s="211" t="s">
        <v>303</v>
      </c>
      <c r="E58" s="94"/>
      <c r="F58" s="73"/>
      <c r="G58" s="59" t="s">
        <v>359</v>
      </c>
      <c r="H58" s="30">
        <f>H59-H60</f>
        <v>0</v>
      </c>
    </row>
    <row r="59" spans="1:8" ht="35.1" customHeight="1" x14ac:dyDescent="0.25">
      <c r="A59" s="166" t="s">
        <v>159</v>
      </c>
      <c r="B59" s="167"/>
      <c r="C59" s="167"/>
      <c r="D59" s="211" t="s">
        <v>303</v>
      </c>
      <c r="E59" s="94"/>
      <c r="F59" s="73"/>
      <c r="G59" s="59" t="s">
        <v>40</v>
      </c>
      <c r="H59" s="30">
        <f>E65*ERFs!B$57-(IF(E70=LISTS!A$1,ERFs!B$13,IF(E70=LISTS!A$2,ERFs!B$14,IF(E70=LISTS!A$3,ERFs!B$15,0))))*E68-E69*ERFs!B$19</f>
        <v>0</v>
      </c>
    </row>
    <row r="60" spans="1:8" s="14" customFormat="1" ht="35.1" customHeight="1" x14ac:dyDescent="0.25">
      <c r="A60" s="166" t="s">
        <v>339</v>
      </c>
      <c r="B60" s="167"/>
      <c r="C60" s="167"/>
      <c r="D60" s="211" t="s">
        <v>303</v>
      </c>
      <c r="E60" s="193"/>
      <c r="F60" s="35"/>
      <c r="G60" s="59" t="s">
        <v>41</v>
      </c>
      <c r="H60" s="30">
        <f>IF(E60&gt;0,E60*ERFs!B$57,0)+(IF(E71=LISTS!A$5,ERFs!B$16,IF(E71=LISTS!A$6,ERFs!B$17,IF(E71=LISTS!A$7,ERFs!B$18,0))))*E68</f>
        <v>0</v>
      </c>
    </row>
    <row r="61" spans="1:8" s="14" customFormat="1" ht="35.1" customHeight="1" x14ac:dyDescent="0.25">
      <c r="A61" s="166" t="s">
        <v>340</v>
      </c>
      <c r="B61" s="167"/>
      <c r="C61" s="167"/>
      <c r="D61" s="211" t="s">
        <v>303</v>
      </c>
      <c r="E61" s="193"/>
      <c r="F61" s="35"/>
      <c r="G61" s="212"/>
    </row>
    <row r="62" spans="1:8" s="14" customFormat="1" ht="35.1" customHeight="1" x14ac:dyDescent="0.25">
      <c r="A62" s="166" t="s">
        <v>300</v>
      </c>
      <c r="B62" s="167"/>
      <c r="C62" s="167"/>
      <c r="D62" s="194"/>
      <c r="E62" s="30" t="str">
        <f>IF(E58="Class I", 50, IF(E58="Class II or III",60, IF(E58="Class IV or V", 80,"")))</f>
        <v/>
      </c>
      <c r="F62" s="35"/>
    </row>
    <row r="63" spans="1:8" s="14" customFormat="1" ht="35.1" customHeight="1" x14ac:dyDescent="0.25">
      <c r="A63" s="166" t="s">
        <v>305</v>
      </c>
      <c r="B63" s="167"/>
      <c r="C63" s="167"/>
      <c r="D63" s="194"/>
      <c r="E63" s="194" t="str">
        <f>IF(OR(E60="",E62=""),"",E60+E62)</f>
        <v/>
      </c>
      <c r="F63" s="35"/>
    </row>
    <row r="64" spans="1:8" s="14" customFormat="1" ht="35.1" customHeight="1" x14ac:dyDescent="0.25">
      <c r="A64" s="166" t="s">
        <v>101</v>
      </c>
      <c r="B64" s="167"/>
      <c r="C64" s="167"/>
      <c r="D64" s="211" t="s">
        <v>335</v>
      </c>
      <c r="E64" s="51"/>
      <c r="F64" s="35"/>
    </row>
    <row r="65" spans="1:8" s="14" customFormat="1" ht="35.1" customHeight="1" x14ac:dyDescent="0.25">
      <c r="A65" s="166" t="s">
        <v>338</v>
      </c>
      <c r="B65" s="167"/>
      <c r="C65" s="167"/>
      <c r="D65" s="211" t="s">
        <v>335</v>
      </c>
      <c r="E65" s="51"/>
      <c r="F65" s="35"/>
    </row>
    <row r="66" spans="1:8" s="14" customFormat="1" ht="35.1" customHeight="1" x14ac:dyDescent="0.25">
      <c r="A66" s="166" t="s">
        <v>341</v>
      </c>
      <c r="B66" s="167"/>
      <c r="C66" s="167"/>
      <c r="D66" s="211" t="s">
        <v>303</v>
      </c>
      <c r="E66" s="193"/>
      <c r="F66" s="35"/>
    </row>
    <row r="67" spans="1:8" ht="30.75" customHeight="1" x14ac:dyDescent="0.25">
      <c r="A67" s="166" t="s">
        <v>161</v>
      </c>
      <c r="B67" s="167"/>
      <c r="C67" s="167"/>
      <c r="D67" s="194"/>
      <c r="E67" s="30">
        <f>E59*E66</f>
        <v>0</v>
      </c>
      <c r="G67" s="179"/>
      <c r="H67" s="179"/>
    </row>
    <row r="68" spans="1:8" s="14" customFormat="1" ht="35.1" customHeight="1" x14ac:dyDescent="0.25">
      <c r="A68" s="166" t="s">
        <v>22</v>
      </c>
      <c r="B68" s="167"/>
      <c r="C68" s="167"/>
      <c r="D68" s="211" t="s">
        <v>303</v>
      </c>
      <c r="E68" s="41"/>
      <c r="F68" s="35"/>
      <c r="H68" s="178"/>
    </row>
    <row r="69" spans="1:8" s="14" customFormat="1" ht="35.1" customHeight="1" x14ac:dyDescent="0.25">
      <c r="A69" s="166" t="s">
        <v>117</v>
      </c>
      <c r="B69" s="167"/>
      <c r="C69" s="167"/>
      <c r="D69" s="211" t="s">
        <v>303</v>
      </c>
      <c r="E69" s="41"/>
      <c r="F69" s="35"/>
      <c r="G69" s="178"/>
      <c r="H69" s="178"/>
    </row>
    <row r="70" spans="1:8" ht="35.1" customHeight="1" x14ac:dyDescent="0.25">
      <c r="A70" s="168" t="s">
        <v>72</v>
      </c>
      <c r="B70" s="169"/>
      <c r="C70" s="169"/>
      <c r="D70" s="211" t="s">
        <v>303</v>
      </c>
      <c r="E70" s="41"/>
      <c r="F70" s="19"/>
      <c r="G70" s="179"/>
      <c r="H70" s="179"/>
    </row>
    <row r="71" spans="1:8" ht="35.1" customHeight="1" x14ac:dyDescent="0.25">
      <c r="A71" s="168" t="s">
        <v>23</v>
      </c>
      <c r="B71" s="169"/>
      <c r="C71" s="169"/>
      <c r="D71" s="211" t="s">
        <v>303</v>
      </c>
      <c r="E71" s="41"/>
      <c r="F71" s="19"/>
      <c r="G71" s="179"/>
      <c r="H71" s="179"/>
    </row>
    <row r="72" spans="1:8" ht="47.25" customHeight="1" x14ac:dyDescent="0.25">
      <c r="A72" s="73" t="s">
        <v>360</v>
      </c>
      <c r="B72" s="196" t="s">
        <v>307</v>
      </c>
      <c r="C72" s="199"/>
      <c r="D72" s="73" t="s">
        <v>301</v>
      </c>
      <c r="E72" s="73" t="s">
        <v>302</v>
      </c>
      <c r="F72" s="170"/>
      <c r="G72" s="170"/>
      <c r="H72" s="170"/>
    </row>
    <row r="73" spans="1:8" ht="35.1" customHeight="1" x14ac:dyDescent="0.25">
      <c r="A73" s="166" t="s">
        <v>192</v>
      </c>
      <c r="B73" s="167"/>
      <c r="C73" s="167"/>
      <c r="D73" s="211" t="s">
        <v>303</v>
      </c>
      <c r="E73" s="94"/>
      <c r="F73" s="73"/>
      <c r="G73" s="59" t="s">
        <v>361</v>
      </c>
      <c r="H73" s="30">
        <f>H74-H75</f>
        <v>0</v>
      </c>
    </row>
    <row r="74" spans="1:8" ht="35.1" customHeight="1" x14ac:dyDescent="0.25">
      <c r="A74" s="166" t="s">
        <v>159</v>
      </c>
      <c r="B74" s="167"/>
      <c r="C74" s="167"/>
      <c r="D74" s="211" t="s">
        <v>303</v>
      </c>
      <c r="E74" s="94"/>
      <c r="F74" s="73"/>
      <c r="G74" s="59" t="s">
        <v>40</v>
      </c>
      <c r="H74" s="30">
        <f>E80*ERFs!B$57-(IF(E85=LISTS!A$1,ERFs!B$13,IF(E85=LISTS!A$2,ERFs!B$14,IF(E85=LISTS!A$3,ERFs!B$15,0))))*E83-E84*ERFs!B$19</f>
        <v>0</v>
      </c>
    </row>
    <row r="75" spans="1:8" s="14" customFormat="1" ht="35.1" customHeight="1" x14ac:dyDescent="0.25">
      <c r="A75" s="166" t="s">
        <v>339</v>
      </c>
      <c r="B75" s="167"/>
      <c r="C75" s="167"/>
      <c r="D75" s="211" t="s">
        <v>303</v>
      </c>
      <c r="E75" s="193"/>
      <c r="F75" s="35"/>
      <c r="G75" s="59" t="s">
        <v>41</v>
      </c>
      <c r="H75" s="30">
        <f>IF(E75&gt;0,E75*ERFs!B$57,0)+(IF(E86=LISTS!A$5,ERFs!B$16,IF(E86=LISTS!A$6,ERFs!B$17,IF(E86=LISTS!A$7,ERFs!B$18,0))))*E83</f>
        <v>0</v>
      </c>
    </row>
    <row r="76" spans="1:8" s="14" customFormat="1" ht="35.1" customHeight="1" x14ac:dyDescent="0.25">
      <c r="A76" s="166" t="s">
        <v>340</v>
      </c>
      <c r="B76" s="167"/>
      <c r="C76" s="167"/>
      <c r="D76" s="211" t="s">
        <v>303</v>
      </c>
      <c r="E76" s="193"/>
      <c r="F76" s="35"/>
      <c r="G76" s="212"/>
    </row>
    <row r="77" spans="1:8" s="14" customFormat="1" ht="35.1" customHeight="1" x14ac:dyDescent="0.25">
      <c r="A77" s="166" t="s">
        <v>300</v>
      </c>
      <c r="B77" s="167"/>
      <c r="C77" s="167"/>
      <c r="D77" s="194"/>
      <c r="E77" s="30" t="str">
        <f>IF(E73="Class I", 50, IF(E73="Class II or III",60, IF(E73="Class IV or V", 80,"")))</f>
        <v/>
      </c>
      <c r="F77" s="35"/>
    </row>
    <row r="78" spans="1:8" s="14" customFormat="1" ht="35.1" customHeight="1" x14ac:dyDescent="0.25">
      <c r="A78" s="166" t="s">
        <v>305</v>
      </c>
      <c r="B78" s="167"/>
      <c r="C78" s="167"/>
      <c r="D78" s="194"/>
      <c r="E78" s="194" t="str">
        <f>IF(OR(E75="",E77=""),"",E75+E77)</f>
        <v/>
      </c>
      <c r="F78" s="35"/>
    </row>
    <row r="79" spans="1:8" s="14" customFormat="1" ht="35.1" customHeight="1" x14ac:dyDescent="0.25">
      <c r="A79" s="166" t="s">
        <v>101</v>
      </c>
      <c r="B79" s="167"/>
      <c r="C79" s="167"/>
      <c r="D79" s="211" t="s">
        <v>335</v>
      </c>
      <c r="E79" s="51"/>
      <c r="F79" s="35"/>
    </row>
    <row r="80" spans="1:8" s="14" customFormat="1" ht="35.1" customHeight="1" x14ac:dyDescent="0.25">
      <c r="A80" s="166" t="s">
        <v>338</v>
      </c>
      <c r="B80" s="167"/>
      <c r="C80" s="167"/>
      <c r="D80" s="211" t="s">
        <v>335</v>
      </c>
      <c r="E80" s="51"/>
      <c r="F80" s="35"/>
    </row>
    <row r="81" spans="1:8" s="14" customFormat="1" ht="35.1" customHeight="1" x14ac:dyDescent="0.25">
      <c r="A81" s="166" t="s">
        <v>341</v>
      </c>
      <c r="B81" s="167"/>
      <c r="C81" s="167"/>
      <c r="D81" s="211" t="s">
        <v>303</v>
      </c>
      <c r="E81" s="193"/>
      <c r="F81" s="35"/>
    </row>
    <row r="82" spans="1:8" ht="30.75" customHeight="1" x14ac:dyDescent="0.25">
      <c r="A82" s="166" t="s">
        <v>161</v>
      </c>
      <c r="B82" s="167"/>
      <c r="C82" s="167"/>
      <c r="D82" s="194"/>
      <c r="E82" s="30">
        <f>E74*E81</f>
        <v>0</v>
      </c>
      <c r="G82" s="179"/>
      <c r="H82" s="179"/>
    </row>
    <row r="83" spans="1:8" s="14" customFormat="1" ht="35.1" customHeight="1" x14ac:dyDescent="0.25">
      <c r="A83" s="166" t="s">
        <v>22</v>
      </c>
      <c r="B83" s="167"/>
      <c r="C83" s="167"/>
      <c r="D83" s="211" t="s">
        <v>303</v>
      </c>
      <c r="E83" s="41"/>
      <c r="F83" s="35"/>
      <c r="H83" s="178"/>
    </row>
    <row r="84" spans="1:8" s="14" customFormat="1" ht="35.1" customHeight="1" x14ac:dyDescent="0.25">
      <c r="A84" s="166" t="s">
        <v>117</v>
      </c>
      <c r="B84" s="167"/>
      <c r="C84" s="167"/>
      <c r="D84" s="211" t="s">
        <v>303</v>
      </c>
      <c r="E84" s="41"/>
      <c r="F84" s="35"/>
      <c r="G84" s="178"/>
      <c r="H84" s="178"/>
    </row>
    <row r="85" spans="1:8" ht="35.1" customHeight="1" x14ac:dyDescent="0.25">
      <c r="A85" s="168" t="s">
        <v>72</v>
      </c>
      <c r="B85" s="169"/>
      <c r="C85" s="169"/>
      <c r="D85" s="211" t="s">
        <v>303</v>
      </c>
      <c r="E85" s="41"/>
      <c r="F85" s="19"/>
      <c r="G85" s="179"/>
      <c r="H85" s="179"/>
    </row>
    <row r="86" spans="1:8" ht="35.1" customHeight="1" x14ac:dyDescent="0.25">
      <c r="A86" s="168" t="s">
        <v>23</v>
      </c>
      <c r="B86" s="169"/>
      <c r="C86" s="169"/>
      <c r="D86" s="211" t="s">
        <v>303</v>
      </c>
      <c r="E86" s="41"/>
      <c r="F86" s="19"/>
      <c r="G86" s="179"/>
      <c r="H86" s="179"/>
    </row>
  </sheetData>
  <sheetProtection algorithmName="SHA-512" hashValue="k9+DK2ymKDOiUCi0DIvIfslogiuQRxiiMDiT70/WGyDUGwYHQuyrZanKX36oV3tcVTpuqcOKuzHBVlQup2jcmw==" saltValue="C0KYGfyFu0eDGldUp/3d/A==" spinCount="100000" sheet="1" objects="1" scenarios="1"/>
  <phoneticPr fontId="35" type="noConversion"/>
  <dataValidations count="9">
    <dataValidation type="decimal" allowBlank="1" showInputMessage="1" showErrorMessage="1" error="Please enter a value between 0 and 1,000,000." prompt="Enter number of acres. Used to calculate emissions from herbicide application." sqref="E24 E39 E69 E84 E54" xr:uid="{00000000-0002-0000-0200-000001000000}">
      <formula1>0</formula1>
      <formula2>1000000</formula2>
    </dataValidation>
    <dataValidation type="whole" allowBlank="1" showInputMessage="1" showErrorMessage="1" error="Please enter a value between 0 and 500,000,000." prompt="Total number of trees planted as part of the reforestation activity. Estimated based on RPF/CS planting prescription." sqref="E22 E37 E52 E67 E82" xr:uid="{00000000-0002-0000-0200-000002000000}">
      <formula1>0</formula1>
      <formula2>500000000</formula2>
    </dataValidation>
    <dataValidation type="decimal" allowBlank="1" showInputMessage="1" showErrorMessage="1" error="Please enter a value between 0 and 1,000,000." prompt="Enter number of acres. Used to calculate mobile combustion emissions." sqref="E23 E38 E53 E83 E68" xr:uid="{00000000-0002-0000-0200-000003000000}">
      <formula1>0</formula1>
      <formula2>1000000</formula2>
    </dataValidation>
    <dataValidation type="list" allowBlank="1" showInputMessage="1" showErrorMessage="1" prompt="Select from dropdown. Used to calculate site preparation emissions." sqref="E25 E55 E70 E85 E40" xr:uid="{00000000-0002-0000-0200-000004000000}">
      <formula1>BrushCover</formula1>
    </dataValidation>
    <dataValidation type="decimal" allowBlank="1" showInputMessage="1" showErrorMessage="1" error="Please enter a value between 0 and 1,000,000,000." prompt="Carbon in the baseline (non-reforestation) scenario. Automatically calculated based on selections for region, site productivity class, and acreage." sqref="E79 E19 E75:E76 E34 E64 E49 E60:E61" xr:uid="{00000000-0002-0000-0200-000005000000}">
      <formula1>0</formula1>
      <formula2>1000000000</formula2>
    </dataValidation>
    <dataValidation type="list" allowBlank="1" showInputMessage="1" showErrorMessage="1" prompt="Select from dropdown. Used to calculate change in carbon pools due to removal of existing vegetation." sqref="E26 E56 E71 E86 E41" xr:uid="{00000000-0002-0000-0200-000007000000}">
      <formula1>LandCoverType</formula1>
    </dataValidation>
    <dataValidation type="decimal" allowBlank="1" showInputMessage="1" showErrorMessage="1" error="Please enter a value between 0 and 1,000,000." prompt="Enter number of acres to be reforested." sqref="E14 E29 E44 E59 E74" xr:uid="{00000000-0002-0000-0200-000008000000}">
      <formula1>0</formula1>
      <formula2>1000000</formula2>
    </dataValidation>
    <dataValidation allowBlank="1" showInputMessage="1" showErrorMessage="1" prompt="Project duration. Automatically calculated based on Site Productivity Class. Class I: 50 yrs; Class II &amp; III: 60 yrs; Class IV &amp; V: 80 yrs." sqref="E17:E18 E32:E33 E47:E48 E62:E63 E77:E78" xr:uid="{C2493769-79F8-42B0-BC0B-EC76169CCB7E}"/>
    <dataValidation allowBlank="1" showErrorMessage="1" prompt="Select from dropdown. If the treatment area includes different site classes, enter the lowest site class (e.g., if class I and II, enter class I). Used to determine project duration." sqref="C12 C27 C42 C57 C72" xr:uid="{6875D6A7-6282-4625-B4CA-9FE0F3413335}"/>
  </dataValidations>
  <pageMargins left="0" right="0.7" top="0" bottom="0.75" header="0.3" footer="0.3"/>
  <pageSetup scale="29" orientation="landscape" r:id="rId1"/>
  <headerFooter>
    <oddFooter>&amp;CPage 3 of 12
Reforestation Worksheet</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Select from dropdown. If the treatment area includes different site classes, enter the lowest site class (e.g., if class I and II, enter class I). Used to determine project duration." xr:uid="{C6AEEEEA-5557-44D7-82B6-5AFFFF7DC2A9}">
          <x14:formula1>
            <xm:f>LISTS!$A$31:$A$33</xm:f>
          </x14:formula1>
          <xm:sqref>E13 E28 E43 E58 E73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2" tint="-9.9978637043366805E-2"/>
    <pageSetUpPr fitToPage="1"/>
  </sheetPr>
  <dimension ref="A1:I79"/>
  <sheetViews>
    <sheetView showGridLines="0" zoomScale="70" zoomScaleNormal="70" workbookViewId="0"/>
  </sheetViews>
  <sheetFormatPr defaultColWidth="9.140625" defaultRowHeight="15" x14ac:dyDescent="0.25"/>
  <cols>
    <col min="1" max="1" width="34" customWidth="1"/>
    <col min="2" max="2" width="35.5703125" customWidth="1"/>
    <col min="3" max="3" width="9.140625" customWidth="1"/>
    <col min="4" max="4" width="25.5703125" customWidth="1"/>
    <col min="5" max="5" width="15.7109375" customWidth="1"/>
    <col min="6" max="6" width="8.7109375" customWidth="1"/>
    <col min="7" max="7" width="51.28515625" customWidth="1"/>
    <col min="8" max="8" width="29.85546875" customWidth="1"/>
    <col min="9" max="9" width="15.28515625" customWidth="1"/>
  </cols>
  <sheetData>
    <row r="1" spans="1:9" ht="18.75" x14ac:dyDescent="0.3">
      <c r="C1" s="2" t="s">
        <v>176</v>
      </c>
      <c r="D1" s="2"/>
      <c r="G1" s="2"/>
      <c r="H1" s="1"/>
      <c r="I1" s="2"/>
    </row>
    <row r="2" spans="1:9" ht="18.75" x14ac:dyDescent="0.3">
      <c r="C2" s="2" t="s">
        <v>283</v>
      </c>
      <c r="D2" s="2"/>
      <c r="G2" s="2"/>
      <c r="H2" s="1"/>
      <c r="I2" s="2"/>
    </row>
    <row r="3" spans="1:9" ht="18.75" x14ac:dyDescent="0.3">
      <c r="C3" s="2" t="s">
        <v>284</v>
      </c>
      <c r="D3" s="2"/>
      <c r="H3" s="1"/>
    </row>
    <row r="4" spans="1:9" ht="18.75" x14ac:dyDescent="0.3">
      <c r="C4" s="21" t="s">
        <v>308</v>
      </c>
      <c r="D4" s="21"/>
      <c r="G4" s="2"/>
      <c r="H4" s="1"/>
      <c r="I4" s="2"/>
    </row>
    <row r="5" spans="1:9" ht="18.75" x14ac:dyDescent="0.3">
      <c r="C5" s="116"/>
      <c r="D5" s="116"/>
      <c r="G5" s="2"/>
      <c r="H5" s="1"/>
      <c r="I5" s="2"/>
    </row>
    <row r="6" spans="1:9" ht="18.75" x14ac:dyDescent="0.3">
      <c r="C6" s="175"/>
      <c r="D6" s="175"/>
      <c r="G6" s="2"/>
      <c r="I6" s="2"/>
    </row>
    <row r="7" spans="1:9" ht="18.75" x14ac:dyDescent="0.3">
      <c r="C7" s="116"/>
      <c r="D7" s="116"/>
      <c r="G7" s="2"/>
      <c r="I7" s="2"/>
    </row>
    <row r="8" spans="1:9" ht="18.75" x14ac:dyDescent="0.3">
      <c r="I8" s="2"/>
    </row>
    <row r="9" spans="1:9" ht="18" customHeight="1" x14ac:dyDescent="0.25">
      <c r="A9" s="28" t="s">
        <v>0</v>
      </c>
      <c r="B9" s="124" t="str">
        <f>IF('Read Me'!B19="","",'Read Me'!B19)</f>
        <v/>
      </c>
      <c r="C9" s="125"/>
      <c r="D9" s="38"/>
      <c r="E9" s="37"/>
      <c r="F9" s="37"/>
      <c r="G9" s="37"/>
    </row>
    <row r="10" spans="1:9" ht="18" customHeight="1" x14ac:dyDescent="0.25">
      <c r="A10" s="43" t="s">
        <v>7</v>
      </c>
      <c r="B10" s="122" t="str">
        <f>IF('Read Me'!B20="","",'Read Me'!B20)</f>
        <v/>
      </c>
      <c r="C10" s="123"/>
      <c r="D10" s="38"/>
      <c r="E10" s="38"/>
      <c r="F10" s="38"/>
      <c r="G10" s="38"/>
    </row>
    <row r="11" spans="1:9" ht="18" customHeight="1" x14ac:dyDescent="0.25">
      <c r="D11" s="38"/>
      <c r="E11" s="1"/>
      <c r="F11" s="1"/>
      <c r="G11" s="1"/>
      <c r="H11" s="7"/>
      <c r="I11" s="8"/>
    </row>
    <row r="12" spans="1:9" ht="18.75" x14ac:dyDescent="0.3">
      <c r="A12" s="3" t="s">
        <v>19</v>
      </c>
      <c r="B12" s="3"/>
      <c r="C12" s="3"/>
      <c r="D12" s="3"/>
    </row>
    <row r="13" spans="1:9" ht="33" customHeight="1" x14ac:dyDescent="0.25">
      <c r="A13" s="273" t="s">
        <v>34</v>
      </c>
      <c r="B13" s="273"/>
      <c r="C13" s="273"/>
      <c r="D13" s="273"/>
      <c r="E13" s="273"/>
      <c r="F13" s="273"/>
      <c r="G13" s="273"/>
      <c r="H13" s="273"/>
      <c r="I13" s="5"/>
    </row>
    <row r="14" spans="1:9" ht="15" customHeight="1" x14ac:dyDescent="0.25">
      <c r="A14" s="42"/>
      <c r="B14" s="17"/>
      <c r="C14" s="40"/>
      <c r="D14" s="40"/>
      <c r="E14" s="40"/>
      <c r="F14" s="40"/>
      <c r="G14" s="40"/>
      <c r="H14" s="40"/>
    </row>
    <row r="15" spans="1:9" ht="31.5" customHeight="1" x14ac:dyDescent="0.25">
      <c r="A15" s="62" t="s">
        <v>104</v>
      </c>
      <c r="B15" s="196" t="s">
        <v>307</v>
      </c>
      <c r="C15" s="199"/>
      <c r="D15" s="73" t="s">
        <v>301</v>
      </c>
      <c r="E15" s="73" t="s">
        <v>302</v>
      </c>
      <c r="F15" s="170"/>
      <c r="G15" s="170"/>
      <c r="H15" s="170"/>
    </row>
    <row r="16" spans="1:9" ht="33" customHeight="1" x14ac:dyDescent="0.25">
      <c r="A16" s="268" t="s">
        <v>164</v>
      </c>
      <c r="B16" s="268"/>
      <c r="C16" s="268"/>
      <c r="D16" s="31" t="s">
        <v>303</v>
      </c>
      <c r="E16" s="94"/>
      <c r="F16" s="73"/>
      <c r="G16" s="59" t="s">
        <v>343</v>
      </c>
      <c r="H16" s="50">
        <f>H17-H18</f>
        <v>0</v>
      </c>
    </row>
    <row r="17" spans="1:8" ht="50.1" customHeight="1" x14ac:dyDescent="0.25">
      <c r="A17" s="268" t="s">
        <v>165</v>
      </c>
      <c r="B17" s="268"/>
      <c r="C17" s="268"/>
      <c r="D17" s="31" t="s">
        <v>303</v>
      </c>
      <c r="E17" s="94"/>
      <c r="F17" s="73"/>
      <c r="G17" s="59" t="s">
        <v>42</v>
      </c>
      <c r="H17" s="49">
        <f>((E22+E23)*(1-E24)-E26)*ERFs!B$57-E27*ERFs!B$21</f>
        <v>0</v>
      </c>
    </row>
    <row r="18" spans="1:8" ht="33" customHeight="1" x14ac:dyDescent="0.25">
      <c r="A18" s="269" t="s">
        <v>216</v>
      </c>
      <c r="B18" s="270"/>
      <c r="C18" s="271"/>
      <c r="D18" s="31" t="s">
        <v>303</v>
      </c>
      <c r="E18" s="94"/>
      <c r="F18" s="73"/>
      <c r="G18" s="59" t="s">
        <v>41</v>
      </c>
      <c r="H18" s="49">
        <f>(E22+E23)*(1-E25)*ERFs!B$57</f>
        <v>0</v>
      </c>
    </row>
    <row r="19" spans="1:8" ht="33" customHeight="1" x14ac:dyDescent="0.25">
      <c r="A19" s="188" t="s">
        <v>304</v>
      </c>
      <c r="B19" s="189"/>
      <c r="C19" s="190"/>
      <c r="D19" s="31" t="s">
        <v>303</v>
      </c>
      <c r="E19" s="193"/>
      <c r="F19" s="73"/>
    </row>
    <row r="20" spans="1:8" ht="50.1" customHeight="1" x14ac:dyDescent="0.25">
      <c r="A20" s="269" t="s">
        <v>300</v>
      </c>
      <c r="B20" s="270"/>
      <c r="C20" s="271"/>
      <c r="D20" s="30"/>
      <c r="E20" s="30" t="str">
        <f>IF(E18="Class I", 50, IF(E18="Class II or III",60, IF(E18="Class IV or V", 80,"")))</f>
        <v/>
      </c>
      <c r="F20" s="73"/>
    </row>
    <row r="21" spans="1:8" s="14" customFormat="1" ht="33" customHeight="1" x14ac:dyDescent="0.25">
      <c r="A21" s="188" t="s">
        <v>305</v>
      </c>
      <c r="B21" s="189"/>
      <c r="C21" s="190"/>
      <c r="D21" s="30"/>
      <c r="E21" s="194" t="str">
        <f>IF(OR(E19="",E20=""),"",E19+E20)</f>
        <v/>
      </c>
      <c r="F21" s="35"/>
    </row>
    <row r="22" spans="1:8" s="14" customFormat="1" ht="50.1" customHeight="1" x14ac:dyDescent="0.25">
      <c r="A22" s="272" t="s">
        <v>186</v>
      </c>
      <c r="B22" s="272"/>
      <c r="C22" s="272"/>
      <c r="D22" s="190" t="s">
        <v>337</v>
      </c>
      <c r="E22" s="51"/>
      <c r="F22" s="35"/>
    </row>
    <row r="23" spans="1:8" s="25" customFormat="1" ht="33" customHeight="1" x14ac:dyDescent="0.25">
      <c r="A23" s="272" t="s">
        <v>185</v>
      </c>
      <c r="B23" s="272"/>
      <c r="C23" s="272"/>
      <c r="D23" s="190" t="s">
        <v>337</v>
      </c>
      <c r="E23" s="51"/>
      <c r="F23" s="27"/>
    </row>
    <row r="24" spans="1:8" s="25" customFormat="1" ht="47.1" customHeight="1" x14ac:dyDescent="0.25">
      <c r="A24" s="272" t="s">
        <v>205</v>
      </c>
      <c r="B24" s="272"/>
      <c r="C24" s="272"/>
      <c r="D24" s="174" t="s">
        <v>303</v>
      </c>
      <c r="E24" s="195"/>
      <c r="F24" s="27"/>
    </row>
    <row r="25" spans="1:8" s="25" customFormat="1" ht="33" customHeight="1" x14ac:dyDescent="0.25">
      <c r="A25" s="272" t="s">
        <v>306</v>
      </c>
      <c r="B25" s="272"/>
      <c r="C25" s="272"/>
      <c r="D25" s="174" t="s">
        <v>342</v>
      </c>
      <c r="E25" s="44"/>
      <c r="F25" s="27"/>
    </row>
    <row r="26" spans="1:8" s="25" customFormat="1" ht="33" customHeight="1" x14ac:dyDescent="0.25">
      <c r="A26" s="272" t="s">
        <v>99</v>
      </c>
      <c r="B26" s="272"/>
      <c r="C26" s="272"/>
      <c r="D26" s="190" t="s">
        <v>337</v>
      </c>
      <c r="E26" s="51"/>
      <c r="F26" s="27"/>
    </row>
    <row r="27" spans="1:8" ht="30" customHeight="1" x14ac:dyDescent="0.25">
      <c r="A27" s="272" t="s">
        <v>24</v>
      </c>
      <c r="B27" s="272"/>
      <c r="C27" s="272"/>
      <c r="D27" s="190" t="s">
        <v>337</v>
      </c>
      <c r="E27" s="51"/>
    </row>
    <row r="28" spans="1:8" ht="31.5" customHeight="1" x14ac:dyDescent="0.25">
      <c r="A28" s="62" t="s">
        <v>344</v>
      </c>
      <c r="B28" s="196" t="s">
        <v>307</v>
      </c>
      <c r="C28" s="199"/>
      <c r="D28" s="73" t="s">
        <v>301</v>
      </c>
      <c r="E28" s="73" t="s">
        <v>302</v>
      </c>
      <c r="F28" s="170"/>
      <c r="G28" s="170"/>
      <c r="H28" s="170"/>
    </row>
    <row r="29" spans="1:8" ht="33" customHeight="1" x14ac:dyDescent="0.25">
      <c r="A29" s="268" t="s">
        <v>164</v>
      </c>
      <c r="B29" s="268"/>
      <c r="C29" s="268"/>
      <c r="D29" s="31" t="s">
        <v>303</v>
      </c>
      <c r="E29" s="94"/>
      <c r="F29" s="73"/>
      <c r="G29" s="59" t="s">
        <v>343</v>
      </c>
      <c r="H29" s="50">
        <f>H30-H31</f>
        <v>0</v>
      </c>
    </row>
    <row r="30" spans="1:8" ht="50.1" customHeight="1" x14ac:dyDescent="0.25">
      <c r="A30" s="268" t="s">
        <v>165</v>
      </c>
      <c r="B30" s="268"/>
      <c r="C30" s="268"/>
      <c r="D30" s="31" t="s">
        <v>303</v>
      </c>
      <c r="E30" s="94"/>
      <c r="F30" s="73"/>
      <c r="G30" s="59" t="s">
        <v>42</v>
      </c>
      <c r="H30" s="49">
        <f>((E35+E36)*(1-E37)-E39)*ERFs!B$57-E40*ERFs!B$21</f>
        <v>0</v>
      </c>
    </row>
    <row r="31" spans="1:8" ht="33" customHeight="1" x14ac:dyDescent="0.25">
      <c r="A31" s="269" t="s">
        <v>216</v>
      </c>
      <c r="B31" s="270"/>
      <c r="C31" s="271"/>
      <c r="D31" s="31" t="s">
        <v>303</v>
      </c>
      <c r="E31" s="94"/>
      <c r="F31" s="73"/>
      <c r="G31" s="59" t="s">
        <v>41</v>
      </c>
      <c r="H31" s="49">
        <f>(E35+E36)*(1-E38)*ERFs!B$57</f>
        <v>0</v>
      </c>
    </row>
    <row r="32" spans="1:8" ht="33" customHeight="1" x14ac:dyDescent="0.25">
      <c r="A32" s="188" t="s">
        <v>304</v>
      </c>
      <c r="B32" s="189"/>
      <c r="C32" s="190"/>
      <c r="D32" s="31" t="s">
        <v>303</v>
      </c>
      <c r="E32" s="193"/>
      <c r="F32" s="73"/>
    </row>
    <row r="33" spans="1:8" ht="50.1" customHeight="1" x14ac:dyDescent="0.25">
      <c r="A33" s="269" t="s">
        <v>300</v>
      </c>
      <c r="B33" s="270"/>
      <c r="C33" s="271"/>
      <c r="D33" s="30"/>
      <c r="E33" s="30" t="str">
        <f>IF(E31="Class I", 50, IF(E31="Class II or III",60, IF(E31="Class IV or V", 80,"")))</f>
        <v/>
      </c>
      <c r="F33" s="73"/>
    </row>
    <row r="34" spans="1:8" s="14" customFormat="1" ht="33" customHeight="1" x14ac:dyDescent="0.25">
      <c r="A34" s="188" t="s">
        <v>305</v>
      </c>
      <c r="B34" s="189"/>
      <c r="C34" s="190"/>
      <c r="D34" s="30"/>
      <c r="E34" s="194" t="str">
        <f>IF(OR(E32="",E33=""),"",E32+E33)</f>
        <v/>
      </c>
      <c r="F34" s="35"/>
    </row>
    <row r="35" spans="1:8" s="14" customFormat="1" ht="50.1" customHeight="1" x14ac:dyDescent="0.25">
      <c r="A35" s="272" t="s">
        <v>186</v>
      </c>
      <c r="B35" s="272"/>
      <c r="C35" s="272"/>
      <c r="D35" s="190" t="s">
        <v>337</v>
      </c>
      <c r="E35" s="51"/>
      <c r="F35" s="35"/>
    </row>
    <row r="36" spans="1:8" s="25" customFormat="1" ht="33" customHeight="1" x14ac:dyDescent="0.25">
      <c r="A36" s="272" t="s">
        <v>185</v>
      </c>
      <c r="B36" s="272"/>
      <c r="C36" s="272"/>
      <c r="D36" s="190" t="s">
        <v>337</v>
      </c>
      <c r="E36" s="51"/>
      <c r="F36" s="27"/>
    </row>
    <row r="37" spans="1:8" s="25" customFormat="1" ht="47.1" customHeight="1" x14ac:dyDescent="0.25">
      <c r="A37" s="272" t="s">
        <v>205</v>
      </c>
      <c r="B37" s="272"/>
      <c r="C37" s="272"/>
      <c r="D37" s="174" t="s">
        <v>303</v>
      </c>
      <c r="E37" s="195"/>
      <c r="F37" s="27"/>
    </row>
    <row r="38" spans="1:8" s="25" customFormat="1" ht="33" customHeight="1" x14ac:dyDescent="0.25">
      <c r="A38" s="272" t="s">
        <v>306</v>
      </c>
      <c r="B38" s="272"/>
      <c r="C38" s="272"/>
      <c r="D38" s="174" t="s">
        <v>342</v>
      </c>
      <c r="E38" s="44"/>
      <c r="F38" s="27"/>
    </row>
    <row r="39" spans="1:8" s="25" customFormat="1" ht="33" customHeight="1" x14ac:dyDescent="0.25">
      <c r="A39" s="272" t="s">
        <v>99</v>
      </c>
      <c r="B39" s="272"/>
      <c r="C39" s="272"/>
      <c r="D39" s="190" t="s">
        <v>337</v>
      </c>
      <c r="E39" s="51"/>
      <c r="F39" s="27"/>
    </row>
    <row r="40" spans="1:8" ht="30" customHeight="1" x14ac:dyDescent="0.25">
      <c r="A40" s="272" t="s">
        <v>24</v>
      </c>
      <c r="B40" s="272"/>
      <c r="C40" s="272"/>
      <c r="D40" s="190" t="s">
        <v>337</v>
      </c>
      <c r="E40" s="51"/>
    </row>
    <row r="41" spans="1:8" ht="31.5" customHeight="1" x14ac:dyDescent="0.25">
      <c r="A41" s="62" t="s">
        <v>345</v>
      </c>
      <c r="B41" s="196" t="s">
        <v>307</v>
      </c>
      <c r="C41" s="199"/>
      <c r="D41" s="73" t="s">
        <v>301</v>
      </c>
      <c r="E41" s="73" t="s">
        <v>302</v>
      </c>
      <c r="F41" s="170"/>
      <c r="G41" s="170"/>
      <c r="H41" s="170"/>
    </row>
    <row r="42" spans="1:8" ht="33" customHeight="1" x14ac:dyDescent="0.25">
      <c r="A42" s="268" t="s">
        <v>164</v>
      </c>
      <c r="B42" s="268"/>
      <c r="C42" s="268"/>
      <c r="D42" s="31" t="s">
        <v>303</v>
      </c>
      <c r="E42" s="94"/>
      <c r="F42" s="73"/>
      <c r="G42" s="59" t="s">
        <v>343</v>
      </c>
      <c r="H42" s="50">
        <f>H43-H44</f>
        <v>0</v>
      </c>
    </row>
    <row r="43" spans="1:8" ht="50.1" customHeight="1" x14ac:dyDescent="0.25">
      <c r="A43" s="268" t="s">
        <v>165</v>
      </c>
      <c r="B43" s="268"/>
      <c r="C43" s="268"/>
      <c r="D43" s="31" t="s">
        <v>303</v>
      </c>
      <c r="E43" s="94"/>
      <c r="F43" s="73"/>
      <c r="G43" s="59" t="s">
        <v>42</v>
      </c>
      <c r="H43" s="49">
        <f>((E48+E49)*(1-E50)-E52)*ERFs!B$57-E53*ERFs!B$21</f>
        <v>0</v>
      </c>
    </row>
    <row r="44" spans="1:8" ht="33" customHeight="1" x14ac:dyDescent="0.25">
      <c r="A44" s="269" t="s">
        <v>216</v>
      </c>
      <c r="B44" s="270"/>
      <c r="C44" s="271"/>
      <c r="D44" s="31" t="s">
        <v>303</v>
      </c>
      <c r="E44" s="94"/>
      <c r="F44" s="73"/>
      <c r="G44" s="59" t="s">
        <v>41</v>
      </c>
      <c r="H44" s="49">
        <f>(E48+E49)*(1-E51)*ERFs!B$57</f>
        <v>0</v>
      </c>
    </row>
    <row r="45" spans="1:8" ht="33" customHeight="1" x14ac:dyDescent="0.25">
      <c r="A45" s="188" t="s">
        <v>304</v>
      </c>
      <c r="B45" s="189"/>
      <c r="C45" s="190"/>
      <c r="D45" s="31" t="s">
        <v>303</v>
      </c>
      <c r="E45" s="193"/>
      <c r="F45" s="73"/>
    </row>
    <row r="46" spans="1:8" ht="50.1" customHeight="1" x14ac:dyDescent="0.25">
      <c r="A46" s="269" t="s">
        <v>300</v>
      </c>
      <c r="B46" s="270"/>
      <c r="C46" s="271"/>
      <c r="D46" s="30"/>
      <c r="E46" s="30" t="str">
        <f>IF(E44="Class I", 50, IF(E44="Class II or III",60, IF(E44="Class IV or V", 80,"")))</f>
        <v/>
      </c>
      <c r="F46" s="73"/>
    </row>
    <row r="47" spans="1:8" s="14" customFormat="1" ht="33" customHeight="1" x14ac:dyDescent="0.25">
      <c r="A47" s="188" t="s">
        <v>305</v>
      </c>
      <c r="B47" s="189"/>
      <c r="C47" s="190"/>
      <c r="D47" s="30"/>
      <c r="E47" s="194" t="str">
        <f>IF(OR(E45="",E46=""),"",E45+E46)</f>
        <v/>
      </c>
      <c r="F47" s="35"/>
    </row>
    <row r="48" spans="1:8" s="14" customFormat="1" ht="50.1" customHeight="1" x14ac:dyDescent="0.25">
      <c r="A48" s="272" t="s">
        <v>186</v>
      </c>
      <c r="B48" s="272"/>
      <c r="C48" s="272"/>
      <c r="D48" s="190" t="s">
        <v>337</v>
      </c>
      <c r="E48" s="51"/>
      <c r="F48" s="35"/>
    </row>
    <row r="49" spans="1:8" s="25" customFormat="1" ht="33" customHeight="1" x14ac:dyDescent="0.25">
      <c r="A49" s="272" t="s">
        <v>185</v>
      </c>
      <c r="B49" s="272"/>
      <c r="C49" s="272"/>
      <c r="D49" s="190" t="s">
        <v>337</v>
      </c>
      <c r="E49" s="51"/>
      <c r="F49" s="27"/>
    </row>
    <row r="50" spans="1:8" s="25" customFormat="1" ht="47.1" customHeight="1" x14ac:dyDescent="0.25">
      <c r="A50" s="272" t="s">
        <v>205</v>
      </c>
      <c r="B50" s="272"/>
      <c r="C50" s="272"/>
      <c r="D50" s="174" t="s">
        <v>303</v>
      </c>
      <c r="E50" s="195"/>
      <c r="F50" s="27"/>
    </row>
    <row r="51" spans="1:8" s="25" customFormat="1" ht="33" customHeight="1" x14ac:dyDescent="0.25">
      <c r="A51" s="272" t="s">
        <v>306</v>
      </c>
      <c r="B51" s="272"/>
      <c r="C51" s="272"/>
      <c r="D51" s="174" t="s">
        <v>342</v>
      </c>
      <c r="E51" s="44"/>
      <c r="F51" s="27"/>
    </row>
    <row r="52" spans="1:8" s="25" customFormat="1" ht="33" customHeight="1" x14ac:dyDescent="0.25">
      <c r="A52" s="272" t="s">
        <v>99</v>
      </c>
      <c r="B52" s="272"/>
      <c r="C52" s="272"/>
      <c r="D52" s="190" t="s">
        <v>337</v>
      </c>
      <c r="E52" s="51"/>
      <c r="F52" s="27"/>
    </row>
    <row r="53" spans="1:8" ht="30" customHeight="1" x14ac:dyDescent="0.25">
      <c r="A53" s="272" t="s">
        <v>24</v>
      </c>
      <c r="B53" s="272"/>
      <c r="C53" s="272"/>
      <c r="D53" s="190" t="s">
        <v>337</v>
      </c>
      <c r="E53" s="51"/>
    </row>
    <row r="54" spans="1:8" ht="31.5" customHeight="1" x14ac:dyDescent="0.25">
      <c r="A54" s="62" t="s">
        <v>346</v>
      </c>
      <c r="B54" s="196" t="s">
        <v>307</v>
      </c>
      <c r="C54" s="199"/>
      <c r="D54" s="73" t="s">
        <v>301</v>
      </c>
      <c r="E54" s="73" t="s">
        <v>302</v>
      </c>
      <c r="F54" s="170"/>
      <c r="G54" s="170"/>
      <c r="H54" s="170"/>
    </row>
    <row r="55" spans="1:8" ht="33" customHeight="1" x14ac:dyDescent="0.25">
      <c r="A55" s="268" t="s">
        <v>164</v>
      </c>
      <c r="B55" s="268"/>
      <c r="C55" s="268"/>
      <c r="D55" s="31" t="s">
        <v>303</v>
      </c>
      <c r="E55" s="94"/>
      <c r="F55" s="73"/>
      <c r="G55" s="59" t="s">
        <v>343</v>
      </c>
      <c r="H55" s="50">
        <f>H56-H57</f>
        <v>0</v>
      </c>
    </row>
    <row r="56" spans="1:8" ht="50.1" customHeight="1" x14ac:dyDescent="0.25">
      <c r="A56" s="268" t="s">
        <v>165</v>
      </c>
      <c r="B56" s="268"/>
      <c r="C56" s="268"/>
      <c r="D56" s="31" t="s">
        <v>303</v>
      </c>
      <c r="E56" s="94"/>
      <c r="F56" s="73"/>
      <c r="G56" s="59" t="s">
        <v>42</v>
      </c>
      <c r="H56" s="49">
        <f>((E61+E62)*(1-E63)-E65)*ERFs!B$57-E66*ERFs!B$21</f>
        <v>0</v>
      </c>
    </row>
    <row r="57" spans="1:8" ht="33" customHeight="1" x14ac:dyDescent="0.25">
      <c r="A57" s="269" t="s">
        <v>216</v>
      </c>
      <c r="B57" s="270"/>
      <c r="C57" s="271"/>
      <c r="D57" s="31" t="s">
        <v>303</v>
      </c>
      <c r="E57" s="94"/>
      <c r="F57" s="73"/>
      <c r="G57" s="59" t="s">
        <v>41</v>
      </c>
      <c r="H57" s="49">
        <f>(E61+E62)*(1-E64)*ERFs!B$57</f>
        <v>0</v>
      </c>
    </row>
    <row r="58" spans="1:8" ht="33" customHeight="1" x14ac:dyDescent="0.25">
      <c r="A58" s="188" t="s">
        <v>304</v>
      </c>
      <c r="B58" s="189"/>
      <c r="C58" s="190"/>
      <c r="D58" s="31" t="s">
        <v>303</v>
      </c>
      <c r="E58" s="193"/>
      <c r="F58" s="73"/>
    </row>
    <row r="59" spans="1:8" ht="50.1" customHeight="1" x14ac:dyDescent="0.25">
      <c r="A59" s="269" t="s">
        <v>300</v>
      </c>
      <c r="B59" s="270"/>
      <c r="C59" s="271"/>
      <c r="D59" s="30"/>
      <c r="E59" s="30" t="str">
        <f>IF(E57="Class I", 50, IF(E57="Class II or III",60, IF(E57="Class IV or V", 80,"")))</f>
        <v/>
      </c>
      <c r="F59" s="73"/>
    </row>
    <row r="60" spans="1:8" s="14" customFormat="1" ht="33" customHeight="1" x14ac:dyDescent="0.25">
      <c r="A60" s="188" t="s">
        <v>305</v>
      </c>
      <c r="B60" s="189"/>
      <c r="C60" s="190"/>
      <c r="D60" s="30"/>
      <c r="E60" s="194" t="str">
        <f>IF(OR(E58="",E59=""),"",E58+E59)</f>
        <v/>
      </c>
      <c r="F60" s="35"/>
    </row>
    <row r="61" spans="1:8" s="14" customFormat="1" ht="50.1" customHeight="1" x14ac:dyDescent="0.25">
      <c r="A61" s="272" t="s">
        <v>186</v>
      </c>
      <c r="B61" s="272"/>
      <c r="C61" s="272"/>
      <c r="D61" s="190" t="s">
        <v>337</v>
      </c>
      <c r="E61" s="51"/>
      <c r="F61" s="35"/>
    </row>
    <row r="62" spans="1:8" s="25" customFormat="1" ht="33" customHeight="1" x14ac:dyDescent="0.25">
      <c r="A62" s="272" t="s">
        <v>185</v>
      </c>
      <c r="B62" s="272"/>
      <c r="C62" s="272"/>
      <c r="D62" s="190" t="s">
        <v>337</v>
      </c>
      <c r="E62" s="51"/>
      <c r="F62" s="27"/>
    </row>
    <row r="63" spans="1:8" s="25" customFormat="1" ht="47.1" customHeight="1" x14ac:dyDescent="0.25">
      <c r="A63" s="272" t="s">
        <v>205</v>
      </c>
      <c r="B63" s="272"/>
      <c r="C63" s="272"/>
      <c r="D63" s="174" t="s">
        <v>303</v>
      </c>
      <c r="E63" s="195"/>
      <c r="F63" s="27"/>
    </row>
    <row r="64" spans="1:8" s="25" customFormat="1" ht="33" customHeight="1" x14ac:dyDescent="0.25">
      <c r="A64" s="272" t="s">
        <v>306</v>
      </c>
      <c r="B64" s="272"/>
      <c r="C64" s="272"/>
      <c r="D64" s="174" t="s">
        <v>342</v>
      </c>
      <c r="E64" s="44"/>
      <c r="F64" s="27"/>
    </row>
    <row r="65" spans="1:8" s="25" customFormat="1" ht="33" customHeight="1" x14ac:dyDescent="0.25">
      <c r="A65" s="272" t="s">
        <v>99</v>
      </c>
      <c r="B65" s="272"/>
      <c r="C65" s="272"/>
      <c r="D65" s="190" t="s">
        <v>337</v>
      </c>
      <c r="E65" s="51"/>
      <c r="F65" s="27"/>
    </row>
    <row r="66" spans="1:8" ht="30" customHeight="1" x14ac:dyDescent="0.25">
      <c r="A66" s="272" t="s">
        <v>24</v>
      </c>
      <c r="B66" s="272"/>
      <c r="C66" s="272"/>
      <c r="D66" s="190" t="s">
        <v>337</v>
      </c>
      <c r="E66" s="51"/>
    </row>
    <row r="67" spans="1:8" ht="31.5" customHeight="1" x14ac:dyDescent="0.25">
      <c r="A67" s="62" t="s">
        <v>347</v>
      </c>
      <c r="B67" s="196" t="s">
        <v>307</v>
      </c>
      <c r="C67" s="199"/>
      <c r="D67" s="73" t="s">
        <v>301</v>
      </c>
      <c r="E67" s="73" t="s">
        <v>302</v>
      </c>
      <c r="F67" s="170"/>
      <c r="G67" s="170"/>
      <c r="H67" s="170"/>
    </row>
    <row r="68" spans="1:8" ht="33" customHeight="1" x14ac:dyDescent="0.25">
      <c r="A68" s="268" t="s">
        <v>164</v>
      </c>
      <c r="B68" s="268"/>
      <c r="C68" s="268"/>
      <c r="D68" s="31" t="s">
        <v>303</v>
      </c>
      <c r="E68" s="94"/>
      <c r="F68" s="73"/>
      <c r="G68" s="59" t="s">
        <v>343</v>
      </c>
      <c r="H68" s="50">
        <f>H69-H70</f>
        <v>0</v>
      </c>
    </row>
    <row r="69" spans="1:8" ht="50.1" customHeight="1" x14ac:dyDescent="0.25">
      <c r="A69" s="268" t="s">
        <v>165</v>
      </c>
      <c r="B69" s="268"/>
      <c r="C69" s="268"/>
      <c r="D69" s="31" t="s">
        <v>303</v>
      </c>
      <c r="E69" s="94"/>
      <c r="F69" s="73"/>
      <c r="G69" s="59" t="s">
        <v>42</v>
      </c>
      <c r="H69" s="49">
        <f>((E74+E75)*(1-E76)-E78)*ERFs!B$57-E79*ERFs!B$21</f>
        <v>0</v>
      </c>
    </row>
    <row r="70" spans="1:8" ht="33" customHeight="1" x14ac:dyDescent="0.25">
      <c r="A70" s="269" t="s">
        <v>216</v>
      </c>
      <c r="B70" s="270"/>
      <c r="C70" s="271"/>
      <c r="D70" s="31" t="s">
        <v>303</v>
      </c>
      <c r="E70" s="94"/>
      <c r="F70" s="73"/>
      <c r="G70" s="59" t="s">
        <v>41</v>
      </c>
      <c r="H70" s="49">
        <f>(E74+E75)*(1-E77)*ERFs!B$57</f>
        <v>0</v>
      </c>
    </row>
    <row r="71" spans="1:8" ht="33" customHeight="1" x14ac:dyDescent="0.25">
      <c r="A71" s="188" t="s">
        <v>304</v>
      </c>
      <c r="B71" s="189"/>
      <c r="C71" s="190"/>
      <c r="D71" s="31" t="s">
        <v>303</v>
      </c>
      <c r="E71" s="193"/>
      <c r="F71" s="73"/>
    </row>
    <row r="72" spans="1:8" ht="50.1" customHeight="1" x14ac:dyDescent="0.25">
      <c r="A72" s="269" t="s">
        <v>300</v>
      </c>
      <c r="B72" s="270"/>
      <c r="C72" s="271"/>
      <c r="D72" s="30"/>
      <c r="E72" s="30" t="str">
        <f>IF(E70="Class I", 50, IF(E70="Class II or III",60, IF(E70="Class IV or V", 80,"")))</f>
        <v/>
      </c>
      <c r="F72" s="73"/>
    </row>
    <row r="73" spans="1:8" s="14" customFormat="1" ht="33" customHeight="1" x14ac:dyDescent="0.25">
      <c r="A73" s="188" t="s">
        <v>305</v>
      </c>
      <c r="B73" s="189"/>
      <c r="C73" s="190"/>
      <c r="D73" s="30"/>
      <c r="E73" s="194" t="str">
        <f>IF(OR(E71="",E72=""),"",E71+E72)</f>
        <v/>
      </c>
      <c r="F73" s="35"/>
    </row>
    <row r="74" spans="1:8" s="14" customFormat="1" ht="50.1" customHeight="1" x14ac:dyDescent="0.25">
      <c r="A74" s="272" t="s">
        <v>186</v>
      </c>
      <c r="B74" s="272"/>
      <c r="C74" s="272"/>
      <c r="D74" s="190" t="s">
        <v>337</v>
      </c>
      <c r="E74" s="51"/>
      <c r="F74" s="35"/>
    </row>
    <row r="75" spans="1:8" s="25" customFormat="1" ht="33" customHeight="1" x14ac:dyDescent="0.25">
      <c r="A75" s="272" t="s">
        <v>185</v>
      </c>
      <c r="B75" s="272"/>
      <c r="C75" s="272"/>
      <c r="D75" s="190" t="s">
        <v>337</v>
      </c>
      <c r="E75" s="51"/>
      <c r="F75" s="27"/>
    </row>
    <row r="76" spans="1:8" s="25" customFormat="1" ht="47.1" customHeight="1" x14ac:dyDescent="0.25">
      <c r="A76" s="272" t="s">
        <v>205</v>
      </c>
      <c r="B76" s="272"/>
      <c r="C76" s="272"/>
      <c r="D76" s="174" t="s">
        <v>303</v>
      </c>
      <c r="E76" s="195"/>
      <c r="F76" s="27"/>
    </row>
    <row r="77" spans="1:8" s="25" customFormat="1" ht="33" customHeight="1" x14ac:dyDescent="0.25">
      <c r="A77" s="272" t="s">
        <v>306</v>
      </c>
      <c r="B77" s="272"/>
      <c r="C77" s="272"/>
      <c r="D77" s="174" t="s">
        <v>342</v>
      </c>
      <c r="E77" s="44"/>
      <c r="F77" s="27"/>
    </row>
    <row r="78" spans="1:8" s="25" customFormat="1" ht="33" customHeight="1" x14ac:dyDescent="0.25">
      <c r="A78" s="272" t="s">
        <v>99</v>
      </c>
      <c r="B78" s="272"/>
      <c r="C78" s="272"/>
      <c r="D78" s="190" t="s">
        <v>337</v>
      </c>
      <c r="E78" s="51"/>
      <c r="F78" s="27"/>
    </row>
    <row r="79" spans="1:8" ht="30" customHeight="1" x14ac:dyDescent="0.25">
      <c r="A79" s="272" t="s">
        <v>24</v>
      </c>
      <c r="B79" s="272"/>
      <c r="C79" s="272"/>
      <c r="D79" s="190" t="s">
        <v>337</v>
      </c>
      <c r="E79" s="51"/>
    </row>
  </sheetData>
  <sheetProtection algorithmName="SHA-512" hashValue="6tk2r5dlrK1CruLzwMqXoe8vUzZ/6ev/TpgLqQFynx0FS+xfJLQlC8zELaTnHxhEm/VleTR3p01chATTmFPiuQ==" saltValue="GpAHZpvWTWy8/aOrIHy99w==" spinCount="100000" sheet="1" objects="1" scenarios="1"/>
  <mergeCells count="51">
    <mergeCell ref="A13:H13"/>
    <mergeCell ref="A16:C16"/>
    <mergeCell ref="A17:C17"/>
    <mergeCell ref="A18:C18"/>
    <mergeCell ref="A20:C20"/>
    <mergeCell ref="A27:C27"/>
    <mergeCell ref="A22:C22"/>
    <mergeCell ref="A23:C23"/>
    <mergeCell ref="A24:C24"/>
    <mergeCell ref="A25:C25"/>
    <mergeCell ref="A26:C26"/>
    <mergeCell ref="A51:C51"/>
    <mergeCell ref="A52:C52"/>
    <mergeCell ref="A53:C53"/>
    <mergeCell ref="A55:C55"/>
    <mergeCell ref="A44:C44"/>
    <mergeCell ref="A46:C46"/>
    <mergeCell ref="A48:C48"/>
    <mergeCell ref="A50:C50"/>
    <mergeCell ref="A49:C49"/>
    <mergeCell ref="A79:C79"/>
    <mergeCell ref="A72:C72"/>
    <mergeCell ref="A74:C74"/>
    <mergeCell ref="A76:C76"/>
    <mergeCell ref="A78:C78"/>
    <mergeCell ref="A75:C75"/>
    <mergeCell ref="A77:C77"/>
    <mergeCell ref="A29:C29"/>
    <mergeCell ref="A33:C33"/>
    <mergeCell ref="A35:C35"/>
    <mergeCell ref="A42:C42"/>
    <mergeCell ref="A43:C43"/>
    <mergeCell ref="A37:C37"/>
    <mergeCell ref="A38:C38"/>
    <mergeCell ref="A39:C39"/>
    <mergeCell ref="A40:C40"/>
    <mergeCell ref="A30:C30"/>
    <mergeCell ref="A31:C31"/>
    <mergeCell ref="A36:C36"/>
    <mergeCell ref="A56:C56"/>
    <mergeCell ref="A57:C57"/>
    <mergeCell ref="A61:C61"/>
    <mergeCell ref="A63:C63"/>
    <mergeCell ref="A70:C70"/>
    <mergeCell ref="A65:C65"/>
    <mergeCell ref="A66:C66"/>
    <mergeCell ref="A68:C68"/>
    <mergeCell ref="A69:C69"/>
    <mergeCell ref="A59:C59"/>
    <mergeCell ref="A62:C62"/>
    <mergeCell ref="A64:C64"/>
  </mergeCells>
  <dataValidations count="12">
    <dataValidation type="decimal" allowBlank="1" showInputMessage="1" showErrorMessage="1" error="Enter a number between 0 and 1,000,000." prompt="Area (acres) to be treated for pest management." sqref="E16 E29 E42 E55 E68" xr:uid="{00000000-0002-0000-0300-000000000000}">
      <formula1>0</formula1>
      <formula2>1000000</formula2>
    </dataValidation>
    <dataValidation type="decimal" allowBlank="1" showInputMessage="1" showErrorMessage="1" prompt="Area (acres) adjacent to the the pest management treatment area that is expected to be positively affected by the treatment." sqref="E17 E30 E43 E56 E69" xr:uid="{00000000-0002-0000-0300-000001000000}">
      <formula1>0</formula1>
      <formula2>1000000</formula2>
    </dataValidation>
    <dataValidation type="decimal" allowBlank="1" showInputMessage="1" showErrorMessage="1" error="Value should be between 0% and 100%." prompt="Percentage of the treatment and impact areas at risk without pest management treatment; see Definitions tab for details. If the risk category for the area is presented as a range (i.e., 1-4%, 5-14%), enter the middle value of the range." sqref="E25 E38 E51 E64 E77" xr:uid="{00000000-0002-0000-0300-000002000000}">
      <formula1>0</formula1>
      <formula2>1</formula2>
    </dataValidation>
    <dataValidation type="decimal" allowBlank="1" showInputMessage="1" showErrorMessage="1" error="Value should be between 0% and 100%." prompt="Percentage of the treatment and impact areas at risk with pest management treatment in place; see Definitions tab for details. If the risk category for the area is presented as a range (i.e., 1-4%, 5-14%), enter the middle value of the range." sqref="E24 E37 E50 E63 E76" xr:uid="{00000000-0002-0000-0300-000003000000}">
      <formula1>0</formula1>
      <formula2>1</formula2>
    </dataValidation>
    <dataValidation type="decimal" allowBlank="1" showInputMessage="1" showErrorMessage="1" prompt="Biomass to be removed from within the treatment boundary via mechanical treatments (used to account for mobile source combustion emissions).  Here, “biomass” refers to both merchantable timber and woody waste material." sqref="E27 E40 E53 E66 E79" xr:uid="{00000000-0002-0000-0300-000004000000}">
      <formula1>0</formula1>
      <formula2>10000000</formula2>
    </dataValidation>
    <dataValidation type="decimal" allowBlank="1" showInputMessage="1" showErrorMessage="1" error="Enter a value between 0 and 10,000,000." prompt="Amount of standing live tree carbon (MT C) to be removed from within the treatment boundary as part of pest management treatment.  Estimated by analyzing current stand conditions and proposed treatments to be implemented." sqref="E26 E39 E52 E65 E78" xr:uid="{00000000-0002-0000-0300-000005000000}">
      <formula1>0</formula1>
      <formula2>10000000</formula2>
    </dataValidation>
    <dataValidation allowBlank="1" showInputMessage="1" showErrorMessage="1" prompt="Project duration. Automatically calculated based on Site Productivity Class. Class I: 50 yrs; Class II &amp; III: 60 yrs; Class IV &amp; V: 80 yrs." sqref="E20 E33 E46 E59 E72" xr:uid="{00000000-0002-0000-0300-000006000000}"/>
    <dataValidation type="decimal" allowBlank="1" showInputMessage="1" showErrorMessage="1" prompt="Enter the carbon stored in standing live trees (from FVS or other allowed data sources) within the treatment boundary at the end of the project assuming no pest management treatment and no threat from pests or disease (baseline scenario)." sqref="E22 E35 E48 E61 E74" xr:uid="{00000000-0002-0000-0300-000007000000}">
      <formula1>0</formula1>
      <formula2>100000000</formula2>
    </dataValidation>
    <dataValidation type="decimal" allowBlank="1" showInputMessage="1" showErrorMessage="1" prompt="Enter the carbon stored in standing live trees (from FVS or other allowed data sources) within the impact boundary at the end of the project assuming no pest management treatment and no threat from pests or disease (baseline scenario)." sqref="E23 E36 E49 E62 E75" xr:uid="{00000000-0002-0000-0300-000008000000}">
      <formula1>0</formula1>
      <formula2>100000000</formula2>
    </dataValidation>
    <dataValidation type="whole" allowBlank="1" showInputMessage="1" showErrorMessage="1" prompt="If the treatment takes multiple years (e.g. thin/pile/burn), enter the first year treatment begins" sqref="E19 E32 E45 E58 E71" xr:uid="{3FDF5A37-FDE2-48ED-9163-4D1E2FE65846}">
      <formula1>2015</formula1>
      <formula2>2045</formula2>
    </dataValidation>
    <dataValidation allowBlank="1" showErrorMessage="1" sqref="E21 A19 E34 A32 E47 A45 E60 A58 E73 A71" xr:uid="{D319DF45-1F89-4DA3-9330-3CAB408259C8}"/>
    <dataValidation allowBlank="1" showErrorMessage="1" prompt="Select from dropdown. If the treatment area includes different site classes, enter the lowest site class (e.g., if class I and II, enter class I). Used to determine project duration." sqref="C15 C28 C41 C54 C67" xr:uid="{5E168B08-786B-41C7-A7EA-57286CF100D2}"/>
  </dataValidations>
  <pageMargins left="0.7" right="0.7" top="0.75" bottom="0.75" header="0.3" footer="0.3"/>
  <pageSetup scale="27" orientation="landscape" r:id="rId1"/>
  <headerFooter>
    <oddFooter>&amp;CPage 4 of 12
Pest Management Worksheet</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Select from dropdown. If the treatment area includes different site classes, enter the lowest site class (e.g., if class I and II, enter class I). Used to determine project duration." xr:uid="{00000000-0002-0000-0300-00000B000000}">
          <x14:formula1>
            <xm:f>LISTS!$A$31:$A$33</xm:f>
          </x14:formula1>
          <xm:sqref>E18 E31 E44 E57 E70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79998168889431442"/>
    <pageSetUpPr fitToPage="1"/>
  </sheetPr>
  <dimension ref="A1:N514"/>
  <sheetViews>
    <sheetView showGridLines="0" showRuler="0" topLeftCell="A505" zoomScaleNormal="100" workbookViewId="0">
      <selection activeCell="K23" sqref="K23"/>
    </sheetView>
  </sheetViews>
  <sheetFormatPr defaultColWidth="9.140625" defaultRowHeight="15" x14ac:dyDescent="0.25"/>
  <cols>
    <col min="1" max="1" width="25.7109375" customWidth="1"/>
    <col min="2" max="2" width="30.7109375" customWidth="1"/>
    <col min="3" max="4" width="31" customWidth="1"/>
    <col min="5" max="5" width="30.42578125" customWidth="1"/>
    <col min="6" max="6" width="10.7109375" customWidth="1"/>
    <col min="7" max="7" width="67.7109375" customWidth="1"/>
    <col min="8" max="8" width="28.85546875" customWidth="1"/>
    <col min="9" max="9" width="20.7109375" customWidth="1"/>
    <col min="10" max="10" width="30.140625" customWidth="1"/>
    <col min="11" max="11" width="19.140625" customWidth="1"/>
    <col min="12" max="12" width="50.7109375" customWidth="1"/>
    <col min="13" max="14" width="9.140625" customWidth="1"/>
    <col min="15" max="15" width="9.28515625" customWidth="1"/>
    <col min="16" max="18" width="9.140625" customWidth="1"/>
  </cols>
  <sheetData>
    <row r="1" spans="1:14" ht="18.75" x14ac:dyDescent="0.3">
      <c r="C1" s="2" t="s">
        <v>176</v>
      </c>
      <c r="D1" s="2"/>
      <c r="E1" s="2"/>
      <c r="I1" s="2"/>
      <c r="J1" s="2"/>
      <c r="K1" s="2"/>
      <c r="L1" s="2"/>
      <c r="M1" s="2"/>
      <c r="N1" s="1"/>
    </row>
    <row r="2" spans="1:14" ht="18.75" x14ac:dyDescent="0.3">
      <c r="C2" s="2" t="s">
        <v>283</v>
      </c>
      <c r="D2" s="2"/>
      <c r="E2" s="2"/>
      <c r="I2" s="2"/>
      <c r="J2" s="2"/>
      <c r="K2" s="2"/>
      <c r="L2" s="2"/>
      <c r="M2" s="2"/>
      <c r="N2" s="1"/>
    </row>
    <row r="3" spans="1:14" ht="18.75" x14ac:dyDescent="0.3">
      <c r="C3" s="2" t="s">
        <v>284</v>
      </c>
      <c r="D3" s="2"/>
      <c r="N3" s="1"/>
    </row>
    <row r="4" spans="1:14" ht="18.75" x14ac:dyDescent="0.3">
      <c r="C4" s="21" t="s">
        <v>308</v>
      </c>
      <c r="D4" s="21"/>
      <c r="E4" s="2"/>
      <c r="I4" s="2"/>
      <c r="J4" s="2"/>
      <c r="K4" s="2"/>
      <c r="L4" s="2"/>
      <c r="M4" s="2"/>
      <c r="N4" s="1"/>
    </row>
    <row r="5" spans="1:14" ht="18.75" x14ac:dyDescent="0.3">
      <c r="C5" s="116"/>
      <c r="D5" s="116"/>
      <c r="E5" s="2"/>
      <c r="I5" s="2"/>
      <c r="J5" s="2"/>
      <c r="K5" s="2"/>
      <c r="L5" s="2"/>
      <c r="M5" s="2"/>
      <c r="N5" s="1"/>
    </row>
    <row r="6" spans="1:14" ht="18.75" x14ac:dyDescent="0.3">
      <c r="C6" s="175"/>
      <c r="D6" s="175"/>
      <c r="E6" s="2"/>
      <c r="I6" s="2"/>
      <c r="J6" s="2"/>
      <c r="K6" s="2"/>
      <c r="L6" s="2"/>
      <c r="M6" s="2"/>
    </row>
    <row r="7" spans="1:14" ht="18.75" x14ac:dyDescent="0.3">
      <c r="A7" s="1"/>
      <c r="B7" s="1"/>
      <c r="C7" s="116"/>
      <c r="D7" s="116"/>
      <c r="E7" s="21"/>
      <c r="I7" s="2"/>
      <c r="J7" s="2"/>
      <c r="K7" s="2"/>
      <c r="L7" s="2"/>
      <c r="M7" s="2"/>
    </row>
    <row r="8" spans="1:14" ht="18.75" x14ac:dyDescent="0.3">
      <c r="A8" s="1"/>
      <c r="B8" s="1"/>
      <c r="G8" s="2"/>
      <c r="H8" s="2"/>
      <c r="I8" s="2"/>
      <c r="J8" s="2"/>
      <c r="K8" s="2"/>
      <c r="L8" s="2"/>
      <c r="M8" s="2"/>
    </row>
    <row r="9" spans="1:14" ht="18" customHeight="1" x14ac:dyDescent="0.25">
      <c r="A9" s="28" t="s">
        <v>0</v>
      </c>
      <c r="B9" s="200" t="str">
        <f>IF('Read Me'!B19="","",'Read Me'!B19)</f>
        <v/>
      </c>
      <c r="C9" s="125"/>
      <c r="D9" s="201"/>
      <c r="E9" s="62"/>
      <c r="F9" s="37"/>
      <c r="G9" s="37"/>
      <c r="H9" s="37"/>
    </row>
    <row r="10" spans="1:14" ht="18" customHeight="1" x14ac:dyDescent="0.25">
      <c r="A10" s="43" t="s">
        <v>7</v>
      </c>
      <c r="B10" s="203" t="str">
        <f>IF('Read Me'!B20="","",'Read Me'!B20)</f>
        <v/>
      </c>
      <c r="C10" s="123"/>
      <c r="D10" s="202"/>
      <c r="E10" s="63"/>
      <c r="F10" s="38"/>
      <c r="G10" s="38"/>
      <c r="H10" s="38"/>
    </row>
    <row r="11" spans="1:14" ht="18" customHeight="1" x14ac:dyDescent="0.25">
      <c r="F11" s="1"/>
      <c r="G11" s="1"/>
      <c r="H11" s="7"/>
      <c r="I11" s="7"/>
      <c r="K11" s="8"/>
    </row>
    <row r="12" spans="1:14" ht="18.75" x14ac:dyDescent="0.3">
      <c r="A12" s="3" t="s">
        <v>20</v>
      </c>
      <c r="B12" s="1"/>
      <c r="C12" s="1"/>
      <c r="D12" s="1"/>
      <c r="E12" s="1"/>
      <c r="F12" s="1"/>
      <c r="G12" s="1"/>
      <c r="H12" s="1"/>
      <c r="I12" s="1"/>
      <c r="J12" s="1"/>
      <c r="K12" s="1"/>
      <c r="L12" s="1"/>
      <c r="M12" s="1"/>
      <c r="N12" s="1"/>
    </row>
    <row r="13" spans="1:14" ht="33" customHeight="1" x14ac:dyDescent="0.25">
      <c r="A13" s="273" t="s">
        <v>35</v>
      </c>
      <c r="B13" s="273"/>
      <c r="C13" s="273"/>
      <c r="D13" s="273"/>
      <c r="E13" s="273"/>
      <c r="F13" s="273"/>
      <c r="G13" s="273"/>
      <c r="H13" s="273"/>
      <c r="I13" s="5"/>
      <c r="J13" s="5"/>
      <c r="K13" s="5"/>
      <c r="L13" s="1"/>
      <c r="M13" s="1"/>
      <c r="N13" s="1"/>
    </row>
    <row r="15" spans="1:14" ht="15.75" x14ac:dyDescent="0.25">
      <c r="A15" s="62" t="s">
        <v>105</v>
      </c>
      <c r="B15" s="170"/>
      <c r="C15" s="170"/>
      <c r="F15" s="170"/>
      <c r="G15" s="170"/>
      <c r="H15" s="170"/>
    </row>
    <row r="16" spans="1:14" ht="16.5" thickBot="1" x14ac:dyDescent="0.3">
      <c r="B16" s="196" t="s">
        <v>329</v>
      </c>
      <c r="C16" s="199"/>
      <c r="D16" s="62" t="s">
        <v>301</v>
      </c>
      <c r="E16" s="62" t="s">
        <v>302</v>
      </c>
    </row>
    <row r="17" spans="1:8" ht="33" customHeight="1" thickBot="1" x14ac:dyDescent="0.3">
      <c r="A17" s="274" t="s">
        <v>163</v>
      </c>
      <c r="B17" s="275"/>
      <c r="C17" s="276"/>
      <c r="D17" s="191" t="s">
        <v>303</v>
      </c>
      <c r="E17" s="205"/>
      <c r="F17" s="73"/>
      <c r="G17" s="59" t="s">
        <v>330</v>
      </c>
      <c r="H17" s="209">
        <f>H18-H19</f>
        <v>0</v>
      </c>
    </row>
    <row r="18" spans="1:8" ht="33" customHeight="1" x14ac:dyDescent="0.25">
      <c r="A18" s="269" t="s">
        <v>216</v>
      </c>
      <c r="B18" s="270"/>
      <c r="C18" s="271"/>
      <c r="D18" s="190" t="s">
        <v>303</v>
      </c>
      <c r="E18" s="94"/>
      <c r="F18" s="73"/>
      <c r="G18" s="59" t="s">
        <v>43</v>
      </c>
      <c r="H18" s="208">
        <f>(H21-H20*(H22-H23-H24))*ERFs!B$57-E28*ERFs!B$23</f>
        <v>0</v>
      </c>
    </row>
    <row r="19" spans="1:8" ht="33" customHeight="1" x14ac:dyDescent="0.25">
      <c r="A19" s="269" t="s">
        <v>300</v>
      </c>
      <c r="B19" s="270"/>
      <c r="C19" s="271"/>
      <c r="D19" s="204"/>
      <c r="E19" s="30" t="str">
        <f>IF(E18="Class I", 50, IF(E18="Class II or III",60, IF(E18="Class IV or V", 80,"")))</f>
        <v/>
      </c>
      <c r="F19" s="73"/>
      <c r="G19" s="59" t="s">
        <v>41</v>
      </c>
      <c r="H19" s="30">
        <f>(H22-H20*(H22-E27-E30))*ERFs!B$57</f>
        <v>0</v>
      </c>
    </row>
    <row r="20" spans="1:8" ht="33" customHeight="1" x14ac:dyDescent="0.25">
      <c r="A20" s="188" t="s">
        <v>311</v>
      </c>
      <c r="B20" s="189"/>
      <c r="C20" s="190"/>
      <c r="D20" s="190" t="s">
        <v>303</v>
      </c>
      <c r="E20" s="193"/>
      <c r="F20" s="73"/>
      <c r="G20" s="59" t="s">
        <v>322</v>
      </c>
      <c r="H20" s="206">
        <f>(1-(1-(E23/100))^10)</f>
        <v>0</v>
      </c>
    </row>
    <row r="21" spans="1:8" ht="33" customHeight="1" x14ac:dyDescent="0.25">
      <c r="A21" s="188" t="s">
        <v>305</v>
      </c>
      <c r="B21" s="189"/>
      <c r="C21" s="190"/>
      <c r="D21" s="204"/>
      <c r="E21" s="194" t="str">
        <f>IF(OR(E19="",E20=""),"",E19+E20)</f>
        <v/>
      </c>
      <c r="F21" s="73"/>
      <c r="G21" s="59" t="s">
        <v>327</v>
      </c>
      <c r="H21" s="30">
        <f>E24+E29</f>
        <v>0</v>
      </c>
    </row>
    <row r="22" spans="1:8" ht="33" customHeight="1" x14ac:dyDescent="0.25">
      <c r="A22" s="216" t="s">
        <v>313</v>
      </c>
      <c r="B22" s="217"/>
      <c r="C22" s="218"/>
      <c r="D22" s="204"/>
      <c r="E22" s="194">
        <f>E20+5</f>
        <v>5</v>
      </c>
      <c r="F22" s="73"/>
      <c r="G22" s="59" t="s">
        <v>328</v>
      </c>
      <c r="H22" s="30">
        <f>E26+E29</f>
        <v>0</v>
      </c>
    </row>
    <row r="23" spans="1:8" ht="33" customHeight="1" x14ac:dyDescent="0.25">
      <c r="A23" s="192" t="s">
        <v>79</v>
      </c>
      <c r="B23" s="214"/>
      <c r="C23" s="191"/>
      <c r="D23" s="198" t="s">
        <v>336</v>
      </c>
      <c r="E23" s="207"/>
      <c r="F23" s="73"/>
      <c r="G23" s="59" t="s">
        <v>324</v>
      </c>
      <c r="H23" s="30">
        <f>E24-(E24-E25)*IF(E38&gt;0,(E35*E39/E34*E38),1)</f>
        <v>0</v>
      </c>
    </row>
    <row r="24" spans="1:8" s="14" customFormat="1" ht="33.75" customHeight="1" x14ac:dyDescent="0.25">
      <c r="A24" s="280" t="s">
        <v>258</v>
      </c>
      <c r="B24" s="281"/>
      <c r="C24" s="282"/>
      <c r="D24" s="190" t="s">
        <v>337</v>
      </c>
      <c r="E24" s="51"/>
      <c r="F24" s="35"/>
      <c r="G24" s="59" t="s">
        <v>323</v>
      </c>
      <c r="H24" s="30">
        <f>E29-(E29-E30)*IF(E36&gt;0,(E33*E37/E32*E36),1)</f>
        <v>0</v>
      </c>
    </row>
    <row r="25" spans="1:8" s="14" customFormat="1" ht="33" customHeight="1" x14ac:dyDescent="0.25">
      <c r="A25" s="277" t="s">
        <v>259</v>
      </c>
      <c r="B25" s="278"/>
      <c r="C25" s="279"/>
      <c r="D25" s="190" t="s">
        <v>337</v>
      </c>
      <c r="E25" s="51"/>
      <c r="F25" s="96"/>
    </row>
    <row r="26" spans="1:8" s="25" customFormat="1" ht="36.950000000000003" customHeight="1" x14ac:dyDescent="0.25">
      <c r="A26" s="269" t="s">
        <v>260</v>
      </c>
      <c r="B26" s="270"/>
      <c r="C26" s="271"/>
      <c r="D26" s="190" t="s">
        <v>337</v>
      </c>
      <c r="E26" s="51"/>
      <c r="F26" s="96"/>
    </row>
    <row r="27" spans="1:8" s="25" customFormat="1" ht="33" customHeight="1" x14ac:dyDescent="0.25">
      <c r="A27" s="269" t="s">
        <v>261</v>
      </c>
      <c r="B27" s="270"/>
      <c r="C27" s="271"/>
      <c r="D27" s="190" t="s">
        <v>337</v>
      </c>
      <c r="E27" s="51"/>
      <c r="F27" s="96"/>
    </row>
    <row r="28" spans="1:8" s="25" customFormat="1" ht="33" customHeight="1" x14ac:dyDescent="0.25">
      <c r="A28" s="269" t="s">
        <v>24</v>
      </c>
      <c r="B28" s="270"/>
      <c r="C28" s="271"/>
      <c r="D28" s="190" t="s">
        <v>337</v>
      </c>
      <c r="E28" s="51"/>
      <c r="F28" s="96"/>
    </row>
    <row r="29" spans="1:8" s="25" customFormat="1" ht="47.1" customHeight="1" x14ac:dyDescent="0.25">
      <c r="A29" s="269" t="s">
        <v>320</v>
      </c>
      <c r="B29" s="270"/>
      <c r="C29" s="271"/>
      <c r="D29" s="190" t="s">
        <v>337</v>
      </c>
      <c r="E29" s="51"/>
      <c r="F29" s="27"/>
    </row>
    <row r="30" spans="1:8" s="25" customFormat="1" ht="33" customHeight="1" x14ac:dyDescent="0.25">
      <c r="A30" s="269" t="s">
        <v>321</v>
      </c>
      <c r="B30" s="270"/>
      <c r="C30" s="271"/>
      <c r="D30" s="190" t="s">
        <v>337</v>
      </c>
      <c r="E30" s="51"/>
      <c r="F30" s="27"/>
    </row>
    <row r="31" spans="1:8" s="25" customFormat="1" ht="33" customHeight="1" x14ac:dyDescent="0.25">
      <c r="A31" s="274" t="s">
        <v>366</v>
      </c>
      <c r="B31" s="275"/>
      <c r="C31" s="276"/>
      <c r="D31" s="174" t="s">
        <v>312</v>
      </c>
      <c r="E31" s="51"/>
      <c r="F31" s="27"/>
    </row>
    <row r="32" spans="1:8" s="25" customFormat="1" ht="33" customHeight="1" x14ac:dyDescent="0.25">
      <c r="A32" s="272" t="s">
        <v>315</v>
      </c>
      <c r="B32" s="272"/>
      <c r="C32" s="272"/>
      <c r="D32" s="174" t="s">
        <v>312</v>
      </c>
      <c r="E32" s="45"/>
      <c r="F32" s="27"/>
    </row>
    <row r="33" spans="1:11" s="25" customFormat="1" ht="33" customHeight="1" x14ac:dyDescent="0.25">
      <c r="A33" s="269" t="s">
        <v>314</v>
      </c>
      <c r="B33" s="270"/>
      <c r="C33" s="271"/>
      <c r="D33" s="190" t="s">
        <v>312</v>
      </c>
      <c r="E33" s="45"/>
      <c r="F33" s="27"/>
    </row>
    <row r="34" spans="1:11" s="25" customFormat="1" ht="33" customHeight="1" x14ac:dyDescent="0.25">
      <c r="A34" s="272" t="s">
        <v>326</v>
      </c>
      <c r="B34" s="272"/>
      <c r="C34" s="272"/>
      <c r="D34" s="174" t="s">
        <v>312</v>
      </c>
      <c r="E34" s="45"/>
      <c r="F34" s="27"/>
    </row>
    <row r="35" spans="1:11" s="25" customFormat="1" ht="33" customHeight="1" x14ac:dyDescent="0.25">
      <c r="A35" s="269" t="s">
        <v>325</v>
      </c>
      <c r="B35" s="270"/>
      <c r="C35" s="271"/>
      <c r="D35" s="190" t="s">
        <v>312</v>
      </c>
      <c r="E35" s="45"/>
      <c r="F35" s="27"/>
    </row>
    <row r="36" spans="1:11" s="25" customFormat="1" ht="49.5" customHeight="1" x14ac:dyDescent="0.25">
      <c r="A36" s="269" t="s">
        <v>332</v>
      </c>
      <c r="B36" s="270"/>
      <c r="C36" s="271"/>
      <c r="D36" s="190" t="s">
        <v>312</v>
      </c>
      <c r="E36" s="95"/>
      <c r="F36" s="27"/>
    </row>
    <row r="37" spans="1:11" s="25" customFormat="1" ht="47.1" customHeight="1" x14ac:dyDescent="0.25">
      <c r="A37" s="269" t="s">
        <v>331</v>
      </c>
      <c r="B37" s="270"/>
      <c r="C37" s="271"/>
      <c r="D37" s="190" t="s">
        <v>312</v>
      </c>
      <c r="E37" s="95"/>
      <c r="F37" s="27"/>
    </row>
    <row r="38" spans="1:11" s="25" customFormat="1" ht="50.1" customHeight="1" x14ac:dyDescent="0.25">
      <c r="A38" s="269" t="s">
        <v>333</v>
      </c>
      <c r="B38" s="270"/>
      <c r="C38" s="271"/>
      <c r="D38" s="190" t="s">
        <v>312</v>
      </c>
      <c r="E38" s="95"/>
      <c r="F38" s="27"/>
      <c r="I38" s="27"/>
    </row>
    <row r="39" spans="1:11" s="25" customFormat="1" ht="50.1" customHeight="1" x14ac:dyDescent="0.25">
      <c r="A39" s="269" t="s">
        <v>334</v>
      </c>
      <c r="B39" s="270"/>
      <c r="C39" s="271"/>
      <c r="D39" s="190" t="s">
        <v>312</v>
      </c>
      <c r="E39" s="95"/>
      <c r="F39" s="27"/>
      <c r="G39" s="27"/>
      <c r="H39" s="27"/>
      <c r="I39" s="27"/>
      <c r="J39" s="26"/>
      <c r="K39" s="183"/>
    </row>
    <row r="40" spans="1:11" s="25" customFormat="1" ht="50.1" customHeight="1" x14ac:dyDescent="0.25">
      <c r="A40" s="62" t="s">
        <v>106</v>
      </c>
      <c r="B40"/>
      <c r="C40"/>
      <c r="D40"/>
      <c r="E40"/>
      <c r="F40" s="27"/>
      <c r="G40" s="27"/>
      <c r="H40" s="27"/>
      <c r="I40" s="27"/>
      <c r="J40" s="26"/>
      <c r="K40" s="183"/>
    </row>
    <row r="41" spans="1:11" ht="16.5" thickBot="1" x14ac:dyDescent="0.3">
      <c r="B41" s="196" t="s">
        <v>329</v>
      </c>
      <c r="C41" s="199"/>
      <c r="D41" s="62" t="s">
        <v>301</v>
      </c>
      <c r="E41" s="62" t="s">
        <v>302</v>
      </c>
    </row>
    <row r="42" spans="1:11" ht="33" customHeight="1" thickBot="1" x14ac:dyDescent="0.3">
      <c r="A42" s="274" t="s">
        <v>163</v>
      </c>
      <c r="B42" s="275"/>
      <c r="C42" s="276"/>
      <c r="D42" s="191" t="s">
        <v>303</v>
      </c>
      <c r="E42" s="205"/>
      <c r="F42" s="73"/>
      <c r="G42" s="59" t="s">
        <v>330</v>
      </c>
      <c r="H42" s="209">
        <f>H43-H44</f>
        <v>0</v>
      </c>
    </row>
    <row r="43" spans="1:11" ht="33" customHeight="1" x14ac:dyDescent="0.25">
      <c r="A43" s="269" t="s">
        <v>216</v>
      </c>
      <c r="B43" s="270"/>
      <c r="C43" s="271"/>
      <c r="D43" s="190" t="s">
        <v>303</v>
      </c>
      <c r="E43" s="94"/>
      <c r="F43" s="73"/>
      <c r="G43" s="59" t="s">
        <v>43</v>
      </c>
      <c r="H43" s="208">
        <f>(H46-H45*(H47-H48-H49))*ERFs!B$57-E53*ERFs!B$23</f>
        <v>0</v>
      </c>
    </row>
    <row r="44" spans="1:11" ht="33" customHeight="1" x14ac:dyDescent="0.25">
      <c r="A44" s="269" t="s">
        <v>300</v>
      </c>
      <c r="B44" s="270"/>
      <c r="C44" s="271"/>
      <c r="D44" s="204"/>
      <c r="E44" s="30" t="str">
        <f>IF(E43="Class I", 50, IF(E43="Class II or III",60, IF(E43="Class IV or V", 80,"")))</f>
        <v/>
      </c>
      <c r="F44" s="73"/>
      <c r="G44" s="59" t="s">
        <v>41</v>
      </c>
      <c r="H44" s="30">
        <f>(H47-H45*(H47-E52-E55))*ERFs!B$57</f>
        <v>0</v>
      </c>
    </row>
    <row r="45" spans="1:11" ht="33" customHeight="1" x14ac:dyDescent="0.25">
      <c r="A45" s="188" t="s">
        <v>311</v>
      </c>
      <c r="B45" s="189"/>
      <c r="C45" s="190"/>
      <c r="D45" s="190" t="s">
        <v>303</v>
      </c>
      <c r="E45" s="193"/>
      <c r="F45" s="73"/>
      <c r="G45" s="59" t="s">
        <v>322</v>
      </c>
      <c r="H45" s="206">
        <f>(1-(1-(E48/100))^10)</f>
        <v>0</v>
      </c>
    </row>
    <row r="46" spans="1:11" ht="33" customHeight="1" x14ac:dyDescent="0.25">
      <c r="A46" s="188" t="s">
        <v>305</v>
      </c>
      <c r="B46" s="189"/>
      <c r="C46" s="190"/>
      <c r="D46" s="204"/>
      <c r="E46" s="194" t="str">
        <f>IF(OR(E44="",E45=""),"",E44+E45)</f>
        <v/>
      </c>
      <c r="F46" s="73"/>
      <c r="G46" s="59" t="s">
        <v>327</v>
      </c>
      <c r="H46" s="30">
        <f>E49+E54</f>
        <v>0</v>
      </c>
    </row>
    <row r="47" spans="1:11" ht="33" customHeight="1" x14ac:dyDescent="0.25">
      <c r="A47" s="192" t="s">
        <v>313</v>
      </c>
      <c r="B47" s="189"/>
      <c r="C47" s="190"/>
      <c r="D47" s="204"/>
      <c r="E47" s="194">
        <f>E45+5</f>
        <v>5</v>
      </c>
      <c r="F47" s="73"/>
      <c r="G47" s="59" t="s">
        <v>328</v>
      </c>
      <c r="H47" s="30">
        <f>E51+E54</f>
        <v>0</v>
      </c>
    </row>
    <row r="48" spans="1:11" ht="33" customHeight="1" x14ac:dyDescent="0.25">
      <c r="A48" s="192" t="s">
        <v>79</v>
      </c>
      <c r="B48" s="189"/>
      <c r="C48" s="190"/>
      <c r="D48" s="198" t="s">
        <v>336</v>
      </c>
      <c r="E48" s="207"/>
      <c r="F48" s="73"/>
      <c r="G48" s="59" t="s">
        <v>324</v>
      </c>
      <c r="H48" s="30">
        <f>E49-(E49-E50)*IF(E63&gt;0,(E60*E64/E59*E63),1)</f>
        <v>0</v>
      </c>
    </row>
    <row r="49" spans="1:11" s="14" customFormat="1" ht="33.75" customHeight="1" x14ac:dyDescent="0.25">
      <c r="A49" s="269" t="s">
        <v>258</v>
      </c>
      <c r="B49" s="270"/>
      <c r="C49" s="271"/>
      <c r="D49" s="190" t="s">
        <v>337</v>
      </c>
      <c r="E49" s="51"/>
      <c r="F49" s="35"/>
      <c r="G49" s="59" t="s">
        <v>323</v>
      </c>
      <c r="H49" s="30">
        <f>E54-(E54-E55)*IF(E61&gt;0,(E58*E62/E57*E61),1)</f>
        <v>0</v>
      </c>
    </row>
    <row r="50" spans="1:11" s="14" customFormat="1" ht="33" customHeight="1" x14ac:dyDescent="0.25">
      <c r="A50" s="277" t="s">
        <v>259</v>
      </c>
      <c r="B50" s="278"/>
      <c r="C50" s="279"/>
      <c r="D50" s="190" t="s">
        <v>337</v>
      </c>
      <c r="E50" s="51"/>
      <c r="F50" s="96"/>
    </row>
    <row r="51" spans="1:11" s="25" customFormat="1" ht="36.950000000000003" customHeight="1" x14ac:dyDescent="0.25">
      <c r="A51" s="269" t="s">
        <v>260</v>
      </c>
      <c r="B51" s="270"/>
      <c r="C51" s="271"/>
      <c r="D51" s="190" t="s">
        <v>337</v>
      </c>
      <c r="E51" s="51"/>
      <c r="F51" s="96"/>
    </row>
    <row r="52" spans="1:11" s="25" customFormat="1" ht="33" customHeight="1" x14ac:dyDescent="0.25">
      <c r="A52" s="269" t="s">
        <v>261</v>
      </c>
      <c r="B52" s="270"/>
      <c r="C52" s="271"/>
      <c r="D52" s="190" t="s">
        <v>337</v>
      </c>
      <c r="E52" s="51"/>
      <c r="F52" s="96"/>
    </row>
    <row r="53" spans="1:11" s="25" customFormat="1" ht="33" customHeight="1" x14ac:dyDescent="0.25">
      <c r="A53" s="269" t="s">
        <v>24</v>
      </c>
      <c r="B53" s="270"/>
      <c r="C53" s="271"/>
      <c r="D53" s="190" t="s">
        <v>337</v>
      </c>
      <c r="E53" s="51"/>
      <c r="F53" s="96"/>
    </row>
    <row r="54" spans="1:11" s="25" customFormat="1" ht="47.1" customHeight="1" x14ac:dyDescent="0.25">
      <c r="A54" s="269" t="s">
        <v>320</v>
      </c>
      <c r="B54" s="270"/>
      <c r="C54" s="271"/>
      <c r="D54" s="190" t="s">
        <v>337</v>
      </c>
      <c r="E54" s="51"/>
      <c r="F54" s="27"/>
    </row>
    <row r="55" spans="1:11" s="25" customFormat="1" ht="33" customHeight="1" x14ac:dyDescent="0.25">
      <c r="A55" s="269" t="s">
        <v>321</v>
      </c>
      <c r="B55" s="270"/>
      <c r="C55" s="271"/>
      <c r="D55" s="190" t="s">
        <v>337</v>
      </c>
      <c r="E55" s="51"/>
      <c r="F55" s="27"/>
    </row>
    <row r="56" spans="1:11" s="25" customFormat="1" ht="33" customHeight="1" x14ac:dyDescent="0.25">
      <c r="A56" s="274" t="s">
        <v>366</v>
      </c>
      <c r="B56" s="275"/>
      <c r="C56" s="276"/>
      <c r="D56" s="174" t="s">
        <v>312</v>
      </c>
      <c r="E56" s="51"/>
      <c r="F56" s="27"/>
    </row>
    <row r="57" spans="1:11" s="25" customFormat="1" ht="33" customHeight="1" x14ac:dyDescent="0.25">
      <c r="A57" s="272" t="s">
        <v>315</v>
      </c>
      <c r="B57" s="272"/>
      <c r="C57" s="272"/>
      <c r="D57" s="174" t="s">
        <v>312</v>
      </c>
      <c r="E57" s="45"/>
      <c r="F57" s="27"/>
    </row>
    <row r="58" spans="1:11" s="25" customFormat="1" ht="33" customHeight="1" x14ac:dyDescent="0.25">
      <c r="A58" s="269" t="s">
        <v>314</v>
      </c>
      <c r="B58" s="270"/>
      <c r="C58" s="271"/>
      <c r="D58" s="190" t="s">
        <v>312</v>
      </c>
      <c r="E58" s="45"/>
      <c r="F58" s="27"/>
    </row>
    <row r="59" spans="1:11" s="25" customFormat="1" ht="33" customHeight="1" x14ac:dyDescent="0.25">
      <c r="A59" s="272" t="s">
        <v>326</v>
      </c>
      <c r="B59" s="272"/>
      <c r="C59" s="272"/>
      <c r="D59" s="174" t="s">
        <v>312</v>
      </c>
      <c r="E59" s="45"/>
      <c r="F59" s="27"/>
    </row>
    <row r="60" spans="1:11" s="25" customFormat="1" ht="33" customHeight="1" x14ac:dyDescent="0.25">
      <c r="A60" s="269" t="s">
        <v>325</v>
      </c>
      <c r="B60" s="270"/>
      <c r="C60" s="271"/>
      <c r="D60" s="190" t="s">
        <v>312</v>
      </c>
      <c r="E60" s="45"/>
      <c r="F60" s="27"/>
    </row>
    <row r="61" spans="1:11" s="25" customFormat="1" ht="49.5" customHeight="1" x14ac:dyDescent="0.25">
      <c r="A61" s="269" t="s">
        <v>316</v>
      </c>
      <c r="B61" s="270"/>
      <c r="C61" s="271"/>
      <c r="D61" s="190" t="s">
        <v>312</v>
      </c>
      <c r="E61" s="95"/>
      <c r="F61" s="27"/>
    </row>
    <row r="62" spans="1:11" s="25" customFormat="1" ht="47.1" customHeight="1" x14ac:dyDescent="0.25">
      <c r="A62" s="269" t="s">
        <v>317</v>
      </c>
      <c r="B62" s="270"/>
      <c r="C62" s="271"/>
      <c r="D62" s="190" t="s">
        <v>312</v>
      </c>
      <c r="E62" s="95"/>
      <c r="F62" s="27"/>
    </row>
    <row r="63" spans="1:11" s="25" customFormat="1" ht="50.1" customHeight="1" x14ac:dyDescent="0.25">
      <c r="A63" s="269" t="s">
        <v>319</v>
      </c>
      <c r="B63" s="270"/>
      <c r="C63" s="271"/>
      <c r="D63" s="190" t="s">
        <v>312</v>
      </c>
      <c r="E63" s="95"/>
      <c r="F63" s="27"/>
      <c r="I63" s="27"/>
    </row>
    <row r="64" spans="1:11" s="25" customFormat="1" ht="50.1" customHeight="1" x14ac:dyDescent="0.25">
      <c r="A64" s="269" t="s">
        <v>318</v>
      </c>
      <c r="B64" s="270"/>
      <c r="C64" s="271"/>
      <c r="D64" s="190" t="s">
        <v>312</v>
      </c>
      <c r="E64" s="95"/>
      <c r="F64" s="27"/>
      <c r="G64" s="27"/>
      <c r="H64" s="27"/>
      <c r="I64" s="27"/>
      <c r="J64" s="26"/>
      <c r="K64" s="183"/>
    </row>
    <row r="65" spans="1:11" s="25" customFormat="1" ht="50.1" customHeight="1" x14ac:dyDescent="0.25">
      <c r="A65" s="62" t="s">
        <v>107</v>
      </c>
      <c r="B65"/>
      <c r="C65"/>
      <c r="D65"/>
      <c r="E65"/>
      <c r="F65" s="27"/>
      <c r="G65" s="27"/>
      <c r="H65" s="27"/>
      <c r="I65" s="27"/>
      <c r="J65" s="26"/>
      <c r="K65" s="183"/>
    </row>
    <row r="66" spans="1:11" ht="16.5" thickBot="1" x14ac:dyDescent="0.3">
      <c r="B66" s="196" t="s">
        <v>329</v>
      </c>
      <c r="C66" s="199"/>
      <c r="D66" s="62" t="s">
        <v>301</v>
      </c>
      <c r="E66" s="62" t="s">
        <v>302</v>
      </c>
    </row>
    <row r="67" spans="1:11" ht="33" customHeight="1" thickBot="1" x14ac:dyDescent="0.3">
      <c r="A67" s="274" t="s">
        <v>163</v>
      </c>
      <c r="B67" s="275"/>
      <c r="C67" s="276"/>
      <c r="D67" s="191" t="s">
        <v>303</v>
      </c>
      <c r="E67" s="205"/>
      <c r="F67" s="73"/>
      <c r="G67" s="59" t="s">
        <v>330</v>
      </c>
      <c r="H67" s="209">
        <f>H68-H69</f>
        <v>0</v>
      </c>
    </row>
    <row r="68" spans="1:11" ht="33" customHeight="1" x14ac:dyDescent="0.25">
      <c r="A68" s="269" t="s">
        <v>216</v>
      </c>
      <c r="B68" s="270"/>
      <c r="C68" s="271"/>
      <c r="D68" s="190" t="s">
        <v>303</v>
      </c>
      <c r="E68" s="94"/>
      <c r="F68" s="73"/>
      <c r="G68" s="59" t="s">
        <v>43</v>
      </c>
      <c r="H68" s="208">
        <f>(H71-H70*(H72-H73-H74))*ERFs!B$57-E78*ERFs!B$23</f>
        <v>0</v>
      </c>
    </row>
    <row r="69" spans="1:11" ht="33" customHeight="1" x14ac:dyDescent="0.25">
      <c r="A69" s="269" t="s">
        <v>300</v>
      </c>
      <c r="B69" s="270"/>
      <c r="C69" s="271"/>
      <c r="D69" s="204"/>
      <c r="E69" s="30" t="str">
        <f>IF(E68="Class I", 50, IF(E68="Class II or III",60, IF(E68="Class IV or V", 80,"")))</f>
        <v/>
      </c>
      <c r="F69" s="73"/>
      <c r="G69" s="59" t="s">
        <v>41</v>
      </c>
      <c r="H69" s="30">
        <f>(H72-H70*(H72-E77-E80))*ERFs!B$57</f>
        <v>0</v>
      </c>
    </row>
    <row r="70" spans="1:11" ht="33" customHeight="1" x14ac:dyDescent="0.25">
      <c r="A70" s="188" t="s">
        <v>311</v>
      </c>
      <c r="B70" s="189"/>
      <c r="C70" s="190"/>
      <c r="D70" s="190" t="s">
        <v>303</v>
      </c>
      <c r="E70" s="193"/>
      <c r="F70" s="73"/>
      <c r="G70" s="59" t="s">
        <v>322</v>
      </c>
      <c r="H70" s="206">
        <f>(1-(1-(E73/100))^10)</f>
        <v>0</v>
      </c>
    </row>
    <row r="71" spans="1:11" ht="33" customHeight="1" x14ac:dyDescent="0.25">
      <c r="A71" s="188" t="s">
        <v>305</v>
      </c>
      <c r="B71" s="189"/>
      <c r="C71" s="190"/>
      <c r="D71" s="204"/>
      <c r="E71" s="194" t="str">
        <f>IF(OR(E69="",E70=""),"",E69+E70)</f>
        <v/>
      </c>
      <c r="F71" s="73"/>
      <c r="G71" s="59" t="s">
        <v>327</v>
      </c>
      <c r="H71" s="30">
        <f>E74+E79</f>
        <v>0</v>
      </c>
    </row>
    <row r="72" spans="1:11" ht="33" customHeight="1" x14ac:dyDescent="0.25">
      <c r="A72" s="192" t="s">
        <v>313</v>
      </c>
      <c r="B72" s="189"/>
      <c r="C72" s="190"/>
      <c r="D72" s="204"/>
      <c r="E72" s="194">
        <f>E70+5</f>
        <v>5</v>
      </c>
      <c r="F72" s="73"/>
      <c r="G72" s="59" t="s">
        <v>328</v>
      </c>
      <c r="H72" s="30">
        <f>E76+E79</f>
        <v>0</v>
      </c>
    </row>
    <row r="73" spans="1:11" ht="33" customHeight="1" x14ac:dyDescent="0.25">
      <c r="A73" s="274" t="s">
        <v>79</v>
      </c>
      <c r="B73" s="275"/>
      <c r="C73" s="276"/>
      <c r="D73" s="198" t="s">
        <v>336</v>
      </c>
      <c r="E73" s="207"/>
      <c r="F73" s="73"/>
      <c r="G73" s="59" t="s">
        <v>324</v>
      </c>
      <c r="H73" s="30">
        <f>E74-(E74-E75)*IF(E88&gt;0,(E85*E89/E84*E88),1)</f>
        <v>0</v>
      </c>
    </row>
    <row r="74" spans="1:11" s="14" customFormat="1" ht="33.75" customHeight="1" x14ac:dyDescent="0.25">
      <c r="A74" s="269" t="s">
        <v>258</v>
      </c>
      <c r="B74" s="270"/>
      <c r="C74" s="271"/>
      <c r="D74" s="190" t="s">
        <v>337</v>
      </c>
      <c r="E74" s="51"/>
      <c r="F74" s="35"/>
      <c r="G74" s="59" t="s">
        <v>323</v>
      </c>
      <c r="H74" s="30">
        <f>E79-(E79-E80)*IF(E86&gt;0,(E83*E87/E82*E86),1)</f>
        <v>0</v>
      </c>
    </row>
    <row r="75" spans="1:11" s="14" customFormat="1" ht="33" customHeight="1" x14ac:dyDescent="0.25">
      <c r="A75" s="277" t="s">
        <v>259</v>
      </c>
      <c r="B75" s="278"/>
      <c r="C75" s="279"/>
      <c r="D75" s="190" t="s">
        <v>337</v>
      </c>
      <c r="E75" s="51"/>
      <c r="F75" s="96"/>
    </row>
    <row r="76" spans="1:11" s="25" customFormat="1" ht="36.950000000000003" customHeight="1" x14ac:dyDescent="0.25">
      <c r="A76" s="269" t="s">
        <v>260</v>
      </c>
      <c r="B76" s="270"/>
      <c r="C76" s="271"/>
      <c r="D76" s="190" t="s">
        <v>337</v>
      </c>
      <c r="E76" s="51"/>
      <c r="F76" s="96"/>
    </row>
    <row r="77" spans="1:11" s="25" customFormat="1" ht="33" customHeight="1" x14ac:dyDescent="0.25">
      <c r="A77" s="269" t="s">
        <v>261</v>
      </c>
      <c r="B77" s="270"/>
      <c r="C77" s="271"/>
      <c r="D77" s="190" t="s">
        <v>337</v>
      </c>
      <c r="E77" s="51"/>
      <c r="F77" s="96"/>
    </row>
    <row r="78" spans="1:11" s="25" customFormat="1" ht="33" customHeight="1" x14ac:dyDescent="0.25">
      <c r="A78" s="269" t="s">
        <v>24</v>
      </c>
      <c r="B78" s="270"/>
      <c r="C78" s="271"/>
      <c r="D78" s="190" t="s">
        <v>337</v>
      </c>
      <c r="E78" s="51"/>
      <c r="F78" s="96"/>
    </row>
    <row r="79" spans="1:11" s="25" customFormat="1" ht="47.1" customHeight="1" x14ac:dyDescent="0.25">
      <c r="A79" s="269" t="s">
        <v>320</v>
      </c>
      <c r="B79" s="270"/>
      <c r="C79" s="271"/>
      <c r="D79" s="190" t="s">
        <v>337</v>
      </c>
      <c r="E79" s="51"/>
      <c r="F79" s="27"/>
    </row>
    <row r="80" spans="1:11" s="25" customFormat="1" ht="33" customHeight="1" x14ac:dyDescent="0.25">
      <c r="A80" s="269" t="s">
        <v>321</v>
      </c>
      <c r="B80" s="270"/>
      <c r="C80" s="271"/>
      <c r="D80" s="190" t="s">
        <v>337</v>
      </c>
      <c r="E80" s="51"/>
      <c r="F80" s="27"/>
    </row>
    <row r="81" spans="1:11" s="25" customFormat="1" ht="33" customHeight="1" x14ac:dyDescent="0.25">
      <c r="A81" s="274" t="s">
        <v>366</v>
      </c>
      <c r="B81" s="275"/>
      <c r="C81" s="276"/>
      <c r="D81" s="174" t="s">
        <v>312</v>
      </c>
      <c r="E81" s="51"/>
      <c r="F81" s="27"/>
    </row>
    <row r="82" spans="1:11" s="25" customFormat="1" ht="33" customHeight="1" x14ac:dyDescent="0.25">
      <c r="A82" s="272" t="s">
        <v>315</v>
      </c>
      <c r="B82" s="272"/>
      <c r="C82" s="272"/>
      <c r="D82" s="174" t="s">
        <v>312</v>
      </c>
      <c r="E82" s="45"/>
      <c r="F82" s="27"/>
    </row>
    <row r="83" spans="1:11" s="25" customFormat="1" ht="33" customHeight="1" x14ac:dyDescent="0.25">
      <c r="A83" s="269" t="s">
        <v>314</v>
      </c>
      <c r="B83" s="270"/>
      <c r="C83" s="271"/>
      <c r="D83" s="190" t="s">
        <v>312</v>
      </c>
      <c r="E83" s="45"/>
      <c r="F83" s="27"/>
    </row>
    <row r="84" spans="1:11" s="25" customFormat="1" ht="33" customHeight="1" x14ac:dyDescent="0.25">
      <c r="A84" s="272" t="s">
        <v>326</v>
      </c>
      <c r="B84" s="272"/>
      <c r="C84" s="272"/>
      <c r="D84" s="174" t="s">
        <v>312</v>
      </c>
      <c r="E84" s="45"/>
      <c r="F84" s="27"/>
    </row>
    <row r="85" spans="1:11" s="25" customFormat="1" ht="33" customHeight="1" x14ac:dyDescent="0.25">
      <c r="A85" s="269" t="s">
        <v>325</v>
      </c>
      <c r="B85" s="270"/>
      <c r="C85" s="271"/>
      <c r="D85" s="190" t="s">
        <v>312</v>
      </c>
      <c r="E85" s="45"/>
      <c r="F85" s="27"/>
    </row>
    <row r="86" spans="1:11" s="25" customFormat="1" ht="49.5" customHeight="1" x14ac:dyDescent="0.25">
      <c r="A86" s="269" t="s">
        <v>316</v>
      </c>
      <c r="B86" s="270"/>
      <c r="C86" s="271"/>
      <c r="D86" s="190" t="s">
        <v>312</v>
      </c>
      <c r="E86" s="95"/>
      <c r="F86" s="27"/>
    </row>
    <row r="87" spans="1:11" s="25" customFormat="1" ht="47.1" customHeight="1" x14ac:dyDescent="0.25">
      <c r="A87" s="269" t="s">
        <v>317</v>
      </c>
      <c r="B87" s="270"/>
      <c r="C87" s="271"/>
      <c r="D87" s="190" t="s">
        <v>312</v>
      </c>
      <c r="E87" s="95"/>
      <c r="F87" s="27"/>
    </row>
    <row r="88" spans="1:11" s="25" customFormat="1" ht="50.1" customHeight="1" x14ac:dyDescent="0.25">
      <c r="A88" s="269" t="s">
        <v>319</v>
      </c>
      <c r="B88" s="270"/>
      <c r="C88" s="271"/>
      <c r="D88" s="190" t="s">
        <v>312</v>
      </c>
      <c r="E88" s="95"/>
      <c r="F88" s="27"/>
      <c r="I88" s="27"/>
    </row>
    <row r="89" spans="1:11" s="25" customFormat="1" ht="50.1" customHeight="1" x14ac:dyDescent="0.25">
      <c r="A89" s="269" t="s">
        <v>318</v>
      </c>
      <c r="B89" s="270"/>
      <c r="C89" s="271"/>
      <c r="D89" s="190" t="s">
        <v>312</v>
      </c>
      <c r="E89" s="95"/>
      <c r="F89" s="27"/>
      <c r="G89" s="27"/>
      <c r="H89" s="27"/>
      <c r="I89" s="27"/>
      <c r="J89" s="26"/>
      <c r="K89" s="183"/>
    </row>
    <row r="90" spans="1:11" s="25" customFormat="1" ht="50.1" customHeight="1" x14ac:dyDescent="0.25">
      <c r="A90" s="62" t="s">
        <v>108</v>
      </c>
      <c r="B90"/>
      <c r="C90"/>
      <c r="D90"/>
      <c r="E90"/>
      <c r="F90" s="27"/>
      <c r="G90" s="27"/>
      <c r="H90" s="27"/>
      <c r="I90" s="27"/>
      <c r="J90" s="26"/>
      <c r="K90" s="183"/>
    </row>
    <row r="91" spans="1:11" ht="16.5" thickBot="1" x14ac:dyDescent="0.3">
      <c r="B91" s="196" t="s">
        <v>329</v>
      </c>
      <c r="C91" s="199"/>
      <c r="D91" s="62" t="s">
        <v>301</v>
      </c>
      <c r="E91" s="62" t="s">
        <v>302</v>
      </c>
    </row>
    <row r="92" spans="1:11" ht="33" customHeight="1" thickBot="1" x14ac:dyDescent="0.3">
      <c r="A92" s="274" t="s">
        <v>163</v>
      </c>
      <c r="B92" s="275"/>
      <c r="C92" s="276"/>
      <c r="D92" s="191" t="s">
        <v>303</v>
      </c>
      <c r="E92" s="205"/>
      <c r="F92" s="73"/>
      <c r="G92" s="59" t="s">
        <v>330</v>
      </c>
      <c r="H92" s="209">
        <f>H93-H94</f>
        <v>0</v>
      </c>
    </row>
    <row r="93" spans="1:11" ht="33" customHeight="1" x14ac:dyDescent="0.25">
      <c r="A93" s="269" t="s">
        <v>216</v>
      </c>
      <c r="B93" s="270"/>
      <c r="C93" s="271"/>
      <c r="D93" s="190" t="s">
        <v>303</v>
      </c>
      <c r="E93" s="94"/>
      <c r="F93" s="73"/>
      <c r="G93" s="59" t="s">
        <v>43</v>
      </c>
      <c r="H93" s="208">
        <f>(H96-H95*(H97-H98-H99))*ERFs!B$57-E103*ERFs!B$23</f>
        <v>0</v>
      </c>
    </row>
    <row r="94" spans="1:11" ht="33" customHeight="1" x14ac:dyDescent="0.25">
      <c r="A94" s="269" t="s">
        <v>300</v>
      </c>
      <c r="B94" s="270"/>
      <c r="C94" s="271"/>
      <c r="D94" s="204"/>
      <c r="E94" s="30" t="str">
        <f>IF(E93="Class I", 50, IF(E93="Class II or III",60, IF(E93="Class IV or V", 80,"")))</f>
        <v/>
      </c>
      <c r="F94" s="73"/>
      <c r="G94" s="59" t="s">
        <v>41</v>
      </c>
      <c r="H94" s="30">
        <f>(H97-H95*(H97-E102-E105))*ERFs!B$57</f>
        <v>0</v>
      </c>
    </row>
    <row r="95" spans="1:11" ht="33" customHeight="1" x14ac:dyDescent="0.25">
      <c r="A95" s="188" t="s">
        <v>311</v>
      </c>
      <c r="B95" s="189"/>
      <c r="C95" s="190"/>
      <c r="D95" s="190" t="s">
        <v>303</v>
      </c>
      <c r="E95" s="193"/>
      <c r="F95" s="73"/>
      <c r="G95" s="59" t="s">
        <v>322</v>
      </c>
      <c r="H95" s="206">
        <f>(1-(1-(E98/100))^10)</f>
        <v>0</v>
      </c>
    </row>
    <row r="96" spans="1:11" ht="33" customHeight="1" x14ac:dyDescent="0.25">
      <c r="A96" s="188" t="s">
        <v>305</v>
      </c>
      <c r="B96" s="189"/>
      <c r="C96" s="190"/>
      <c r="D96" s="204"/>
      <c r="E96" s="194" t="str">
        <f>IF(OR(E94="",E95=""),"",E94+E95)</f>
        <v/>
      </c>
      <c r="F96" s="73"/>
      <c r="G96" s="59" t="s">
        <v>327</v>
      </c>
      <c r="H96" s="30">
        <f>E99+E104</f>
        <v>0</v>
      </c>
    </row>
    <row r="97" spans="1:8" ht="33" customHeight="1" x14ac:dyDescent="0.25">
      <c r="A97" s="192" t="s">
        <v>313</v>
      </c>
      <c r="B97" s="189"/>
      <c r="C97" s="190"/>
      <c r="D97" s="204"/>
      <c r="E97" s="194">
        <f>E95+5</f>
        <v>5</v>
      </c>
      <c r="F97" s="73"/>
      <c r="G97" s="59" t="s">
        <v>328</v>
      </c>
      <c r="H97" s="30">
        <f>E101+E104</f>
        <v>0</v>
      </c>
    </row>
    <row r="98" spans="1:8" ht="33" customHeight="1" x14ac:dyDescent="0.25">
      <c r="A98" s="274" t="s">
        <v>79</v>
      </c>
      <c r="B98" s="275"/>
      <c r="C98" s="276"/>
      <c r="D98" s="198" t="s">
        <v>336</v>
      </c>
      <c r="E98" s="207"/>
      <c r="F98" s="73"/>
      <c r="G98" s="59" t="s">
        <v>324</v>
      </c>
      <c r="H98" s="30">
        <f>E99-(E99-E100)*IF(E113&gt;0,(E110*E114/E109*E113),1)</f>
        <v>0</v>
      </c>
    </row>
    <row r="99" spans="1:8" s="14" customFormat="1" ht="33.75" customHeight="1" x14ac:dyDescent="0.25">
      <c r="A99" s="269" t="s">
        <v>258</v>
      </c>
      <c r="B99" s="270"/>
      <c r="C99" s="271"/>
      <c r="D99" s="190" t="s">
        <v>337</v>
      </c>
      <c r="E99" s="51"/>
      <c r="F99" s="35"/>
      <c r="G99" s="59" t="s">
        <v>323</v>
      </c>
      <c r="H99" s="30">
        <f>E104-(E104-E105)*IF(E111&gt;0,(E108*E112/E107*E111),1)</f>
        <v>0</v>
      </c>
    </row>
    <row r="100" spans="1:8" s="14" customFormat="1" ht="33" customHeight="1" x14ac:dyDescent="0.25">
      <c r="A100" s="277" t="s">
        <v>259</v>
      </c>
      <c r="B100" s="278"/>
      <c r="C100" s="279"/>
      <c r="D100" s="190" t="s">
        <v>337</v>
      </c>
      <c r="E100" s="51"/>
      <c r="F100" s="96"/>
    </row>
    <row r="101" spans="1:8" s="25" customFormat="1" ht="36.950000000000003" customHeight="1" x14ac:dyDescent="0.25">
      <c r="A101" s="269" t="s">
        <v>260</v>
      </c>
      <c r="B101" s="270"/>
      <c r="C101" s="271"/>
      <c r="D101" s="190" t="s">
        <v>337</v>
      </c>
      <c r="E101" s="51"/>
      <c r="F101" s="96"/>
    </row>
    <row r="102" spans="1:8" s="25" customFormat="1" ht="33" customHeight="1" x14ac:dyDescent="0.25">
      <c r="A102" s="269" t="s">
        <v>261</v>
      </c>
      <c r="B102" s="270"/>
      <c r="C102" s="271"/>
      <c r="D102" s="190" t="s">
        <v>337</v>
      </c>
      <c r="E102" s="51"/>
      <c r="F102" s="96"/>
    </row>
    <row r="103" spans="1:8" s="25" customFormat="1" ht="33" customHeight="1" x14ac:dyDescent="0.25">
      <c r="A103" s="269" t="s">
        <v>24</v>
      </c>
      <c r="B103" s="270"/>
      <c r="C103" s="271"/>
      <c r="D103" s="190" t="s">
        <v>337</v>
      </c>
      <c r="E103" s="51"/>
      <c r="F103" s="96"/>
    </row>
    <row r="104" spans="1:8" s="25" customFormat="1" ht="47.1" customHeight="1" x14ac:dyDescent="0.25">
      <c r="A104" s="269" t="s">
        <v>320</v>
      </c>
      <c r="B104" s="270"/>
      <c r="C104" s="271"/>
      <c r="D104" s="190" t="s">
        <v>337</v>
      </c>
      <c r="E104" s="51"/>
      <c r="F104" s="27"/>
    </row>
    <row r="105" spans="1:8" s="25" customFormat="1" ht="33" customHeight="1" x14ac:dyDescent="0.25">
      <c r="A105" s="269" t="s">
        <v>321</v>
      </c>
      <c r="B105" s="270"/>
      <c r="C105" s="271"/>
      <c r="D105" s="190" t="s">
        <v>337</v>
      </c>
      <c r="E105" s="51"/>
      <c r="F105" s="27"/>
    </row>
    <row r="106" spans="1:8" s="25" customFormat="1" ht="33" customHeight="1" x14ac:dyDescent="0.25">
      <c r="A106" s="274" t="s">
        <v>366</v>
      </c>
      <c r="B106" s="275"/>
      <c r="C106" s="276"/>
      <c r="D106" s="174" t="s">
        <v>312</v>
      </c>
      <c r="E106" s="51"/>
      <c r="F106" s="27"/>
    </row>
    <row r="107" spans="1:8" s="25" customFormat="1" ht="33" customHeight="1" x14ac:dyDescent="0.25">
      <c r="A107" s="272" t="s">
        <v>315</v>
      </c>
      <c r="B107" s="272"/>
      <c r="C107" s="272"/>
      <c r="D107" s="174" t="s">
        <v>312</v>
      </c>
      <c r="E107" s="45"/>
      <c r="F107" s="27"/>
    </row>
    <row r="108" spans="1:8" s="25" customFormat="1" ht="33" customHeight="1" x14ac:dyDescent="0.25">
      <c r="A108" s="269" t="s">
        <v>314</v>
      </c>
      <c r="B108" s="270"/>
      <c r="C108" s="271"/>
      <c r="D108" s="190" t="s">
        <v>312</v>
      </c>
      <c r="E108" s="45"/>
      <c r="F108" s="27"/>
    </row>
    <row r="109" spans="1:8" s="25" customFormat="1" ht="33" customHeight="1" x14ac:dyDescent="0.25">
      <c r="A109" s="272" t="s">
        <v>326</v>
      </c>
      <c r="B109" s="272"/>
      <c r="C109" s="272"/>
      <c r="D109" s="174" t="s">
        <v>312</v>
      </c>
      <c r="E109" s="45"/>
      <c r="F109" s="27"/>
    </row>
    <row r="110" spans="1:8" s="25" customFormat="1" ht="33" customHeight="1" x14ac:dyDescent="0.25">
      <c r="A110" s="269" t="s">
        <v>325</v>
      </c>
      <c r="B110" s="270"/>
      <c r="C110" s="271"/>
      <c r="D110" s="190" t="s">
        <v>312</v>
      </c>
      <c r="E110" s="45"/>
      <c r="F110" s="27"/>
    </row>
    <row r="111" spans="1:8" s="25" customFormat="1" ht="49.5" customHeight="1" x14ac:dyDescent="0.25">
      <c r="A111" s="269" t="s">
        <v>316</v>
      </c>
      <c r="B111" s="270"/>
      <c r="C111" s="271"/>
      <c r="D111" s="190" t="s">
        <v>312</v>
      </c>
      <c r="E111" s="95"/>
      <c r="F111" s="27"/>
    </row>
    <row r="112" spans="1:8" s="25" customFormat="1" ht="47.1" customHeight="1" x14ac:dyDescent="0.25">
      <c r="A112" s="269" t="s">
        <v>317</v>
      </c>
      <c r="B112" s="270"/>
      <c r="C112" s="271"/>
      <c r="D112" s="190" t="s">
        <v>312</v>
      </c>
      <c r="E112" s="95"/>
      <c r="F112" s="27"/>
    </row>
    <row r="113" spans="1:11" s="25" customFormat="1" ht="50.1" customHeight="1" x14ac:dyDescent="0.25">
      <c r="A113" s="269" t="s">
        <v>319</v>
      </c>
      <c r="B113" s="270"/>
      <c r="C113" s="271"/>
      <c r="D113" s="190" t="s">
        <v>312</v>
      </c>
      <c r="E113" s="95"/>
      <c r="F113" s="27"/>
      <c r="I113" s="27"/>
    </row>
    <row r="114" spans="1:11" s="25" customFormat="1" ht="50.1" customHeight="1" x14ac:dyDescent="0.25">
      <c r="A114" s="269" t="s">
        <v>318</v>
      </c>
      <c r="B114" s="270"/>
      <c r="C114" s="271"/>
      <c r="D114" s="190" t="s">
        <v>312</v>
      </c>
      <c r="E114" s="95"/>
      <c r="F114" s="27"/>
      <c r="G114" s="27"/>
      <c r="H114" s="27"/>
      <c r="I114" s="27"/>
      <c r="J114" s="26"/>
      <c r="K114" s="183"/>
    </row>
    <row r="115" spans="1:11" s="25" customFormat="1" ht="50.1" customHeight="1" x14ac:dyDescent="0.25">
      <c r="A115" s="62" t="s">
        <v>109</v>
      </c>
      <c r="B115"/>
      <c r="C115"/>
      <c r="D115"/>
      <c r="E115"/>
      <c r="F115" s="27"/>
      <c r="G115" s="27"/>
      <c r="H115" s="27"/>
      <c r="I115" s="27"/>
      <c r="J115" s="26"/>
      <c r="K115" s="183"/>
    </row>
    <row r="116" spans="1:11" ht="16.5" thickBot="1" x14ac:dyDescent="0.3">
      <c r="B116" s="196" t="s">
        <v>329</v>
      </c>
      <c r="C116" s="199"/>
      <c r="D116" s="62" t="s">
        <v>301</v>
      </c>
      <c r="E116" s="62" t="s">
        <v>302</v>
      </c>
    </row>
    <row r="117" spans="1:11" ht="33" customHeight="1" thickBot="1" x14ac:dyDescent="0.3">
      <c r="A117" s="274" t="s">
        <v>163</v>
      </c>
      <c r="B117" s="275"/>
      <c r="C117" s="276"/>
      <c r="D117" s="191" t="s">
        <v>303</v>
      </c>
      <c r="E117" s="205"/>
      <c r="F117" s="73"/>
      <c r="G117" s="59" t="s">
        <v>330</v>
      </c>
      <c r="H117" s="209">
        <f>H118-H119</f>
        <v>0</v>
      </c>
    </row>
    <row r="118" spans="1:11" ht="33" customHeight="1" x14ac:dyDescent="0.25">
      <c r="A118" s="269" t="s">
        <v>216</v>
      </c>
      <c r="B118" s="270"/>
      <c r="C118" s="271"/>
      <c r="D118" s="190" t="s">
        <v>303</v>
      </c>
      <c r="E118" s="94"/>
      <c r="F118" s="73"/>
      <c r="G118" s="59" t="s">
        <v>43</v>
      </c>
      <c r="H118" s="208">
        <f>(H121-H120*(H122-H123-H124))*ERFs!B$57-E128*ERFs!B$23</f>
        <v>0</v>
      </c>
    </row>
    <row r="119" spans="1:11" ht="33" customHeight="1" x14ac:dyDescent="0.25">
      <c r="A119" s="269" t="s">
        <v>300</v>
      </c>
      <c r="B119" s="270"/>
      <c r="C119" s="271"/>
      <c r="D119" s="204"/>
      <c r="E119" s="30" t="str">
        <f>IF(E118="Class I", 50, IF(E118="Class II or III",60, IF(E118="Class IV or V", 80,"")))</f>
        <v/>
      </c>
      <c r="F119" s="73"/>
      <c r="G119" s="59" t="s">
        <v>41</v>
      </c>
      <c r="H119" s="30">
        <f>(H122-H120*(H122-E127-E130))*ERFs!B$57</f>
        <v>0</v>
      </c>
    </row>
    <row r="120" spans="1:11" ht="33" customHeight="1" x14ac:dyDescent="0.25">
      <c r="A120" s="188" t="s">
        <v>311</v>
      </c>
      <c r="B120" s="189"/>
      <c r="C120" s="190"/>
      <c r="D120" s="190" t="s">
        <v>303</v>
      </c>
      <c r="E120" s="193"/>
      <c r="F120" s="73"/>
      <c r="G120" s="59" t="s">
        <v>322</v>
      </c>
      <c r="H120" s="206">
        <f>(1-(1-(E123/100))^10)</f>
        <v>0</v>
      </c>
    </row>
    <row r="121" spans="1:11" ht="33" customHeight="1" x14ac:dyDescent="0.25">
      <c r="A121" s="188" t="s">
        <v>305</v>
      </c>
      <c r="B121" s="189"/>
      <c r="C121" s="190"/>
      <c r="D121" s="204"/>
      <c r="E121" s="194" t="str">
        <f>IF(OR(E119="",E120=""),"",E119+E120)</f>
        <v/>
      </c>
      <c r="F121" s="73"/>
      <c r="G121" s="59" t="s">
        <v>327</v>
      </c>
      <c r="H121" s="30">
        <f>E124+E129</f>
        <v>0</v>
      </c>
    </row>
    <row r="122" spans="1:11" ht="33" customHeight="1" x14ac:dyDescent="0.25">
      <c r="A122" s="192" t="s">
        <v>313</v>
      </c>
      <c r="B122" s="189"/>
      <c r="C122" s="190"/>
      <c r="D122" s="204"/>
      <c r="E122" s="194">
        <f>E120+5</f>
        <v>5</v>
      </c>
      <c r="F122" s="73"/>
      <c r="G122" s="59" t="s">
        <v>328</v>
      </c>
      <c r="H122" s="30">
        <f>E126+E129</f>
        <v>0</v>
      </c>
    </row>
    <row r="123" spans="1:11" ht="33" customHeight="1" x14ac:dyDescent="0.25">
      <c r="A123" s="274" t="s">
        <v>79</v>
      </c>
      <c r="B123" s="275"/>
      <c r="C123" s="276"/>
      <c r="D123" s="198" t="s">
        <v>336</v>
      </c>
      <c r="E123" s="207"/>
      <c r="F123" s="73"/>
      <c r="G123" s="59" t="s">
        <v>324</v>
      </c>
      <c r="H123" s="30">
        <f>E124-(E124-E125)*IF(E138&gt;0,(E135*E139/E134*E138),1)</f>
        <v>0</v>
      </c>
    </row>
    <row r="124" spans="1:11" s="14" customFormat="1" ht="33.75" customHeight="1" x14ac:dyDescent="0.25">
      <c r="A124" s="269" t="s">
        <v>258</v>
      </c>
      <c r="B124" s="270"/>
      <c r="C124" s="271"/>
      <c r="D124" s="190" t="s">
        <v>337</v>
      </c>
      <c r="E124" s="51"/>
      <c r="F124" s="35"/>
      <c r="G124" s="59" t="s">
        <v>323</v>
      </c>
      <c r="H124" s="30">
        <f>E129-(E129-E130)*IF(E136&gt;0,(E133*E137/E132*E136),1)</f>
        <v>0</v>
      </c>
    </row>
    <row r="125" spans="1:11" s="14" customFormat="1" ht="33" customHeight="1" x14ac:dyDescent="0.25">
      <c r="A125" s="277" t="s">
        <v>259</v>
      </c>
      <c r="B125" s="278"/>
      <c r="C125" s="279"/>
      <c r="D125" s="190" t="s">
        <v>337</v>
      </c>
      <c r="E125" s="51"/>
      <c r="F125" s="96"/>
    </row>
    <row r="126" spans="1:11" s="25" customFormat="1" ht="36.950000000000003" customHeight="1" x14ac:dyDescent="0.25">
      <c r="A126" s="269" t="s">
        <v>260</v>
      </c>
      <c r="B126" s="270"/>
      <c r="C126" s="271"/>
      <c r="D126" s="190" t="s">
        <v>337</v>
      </c>
      <c r="E126" s="51"/>
      <c r="F126" s="96"/>
    </row>
    <row r="127" spans="1:11" s="25" customFormat="1" ht="33" customHeight="1" x14ac:dyDescent="0.25">
      <c r="A127" s="269" t="s">
        <v>261</v>
      </c>
      <c r="B127" s="270"/>
      <c r="C127" s="271"/>
      <c r="D127" s="190" t="s">
        <v>337</v>
      </c>
      <c r="E127" s="51"/>
      <c r="F127" s="96"/>
    </row>
    <row r="128" spans="1:11" s="25" customFormat="1" ht="33" customHeight="1" x14ac:dyDescent="0.25">
      <c r="A128" s="269" t="s">
        <v>24</v>
      </c>
      <c r="B128" s="270"/>
      <c r="C128" s="271"/>
      <c r="D128" s="190" t="s">
        <v>337</v>
      </c>
      <c r="E128" s="51"/>
      <c r="F128" s="96"/>
    </row>
    <row r="129" spans="1:11" s="25" customFormat="1" ht="47.1" customHeight="1" x14ac:dyDescent="0.25">
      <c r="A129" s="269" t="s">
        <v>320</v>
      </c>
      <c r="B129" s="270"/>
      <c r="C129" s="271"/>
      <c r="D129" s="190" t="s">
        <v>337</v>
      </c>
      <c r="E129" s="51"/>
      <c r="F129" s="27"/>
    </row>
    <row r="130" spans="1:11" s="25" customFormat="1" ht="33" customHeight="1" x14ac:dyDescent="0.25">
      <c r="A130" s="269" t="s">
        <v>321</v>
      </c>
      <c r="B130" s="270"/>
      <c r="C130" s="271"/>
      <c r="D130" s="190" t="s">
        <v>337</v>
      </c>
      <c r="E130" s="51"/>
      <c r="F130" s="27"/>
    </row>
    <row r="131" spans="1:11" s="25" customFormat="1" ht="33" customHeight="1" x14ac:dyDescent="0.25">
      <c r="A131" s="274" t="s">
        <v>366</v>
      </c>
      <c r="B131" s="275"/>
      <c r="C131" s="276"/>
      <c r="D131" s="174" t="s">
        <v>312</v>
      </c>
      <c r="E131" s="51"/>
      <c r="F131" s="27"/>
    </row>
    <row r="132" spans="1:11" s="25" customFormat="1" ht="33" customHeight="1" x14ac:dyDescent="0.25">
      <c r="A132" s="272" t="s">
        <v>315</v>
      </c>
      <c r="B132" s="272"/>
      <c r="C132" s="272"/>
      <c r="D132" s="174" t="s">
        <v>312</v>
      </c>
      <c r="E132" s="45"/>
      <c r="F132" s="27"/>
    </row>
    <row r="133" spans="1:11" s="25" customFormat="1" ht="33" customHeight="1" x14ac:dyDescent="0.25">
      <c r="A133" s="269" t="s">
        <v>314</v>
      </c>
      <c r="B133" s="270"/>
      <c r="C133" s="271"/>
      <c r="D133" s="190" t="s">
        <v>312</v>
      </c>
      <c r="E133" s="45"/>
      <c r="F133" s="27"/>
    </row>
    <row r="134" spans="1:11" s="25" customFormat="1" ht="33" customHeight="1" x14ac:dyDescent="0.25">
      <c r="A134" s="272" t="s">
        <v>326</v>
      </c>
      <c r="B134" s="272"/>
      <c r="C134" s="272"/>
      <c r="D134" s="174" t="s">
        <v>312</v>
      </c>
      <c r="E134" s="45"/>
      <c r="F134" s="27"/>
    </row>
    <row r="135" spans="1:11" s="25" customFormat="1" ht="33" customHeight="1" x14ac:dyDescent="0.25">
      <c r="A135" s="269" t="s">
        <v>325</v>
      </c>
      <c r="B135" s="270"/>
      <c r="C135" s="271"/>
      <c r="D135" s="190" t="s">
        <v>312</v>
      </c>
      <c r="E135" s="45"/>
      <c r="F135" s="27"/>
    </row>
    <row r="136" spans="1:11" s="25" customFormat="1" ht="49.5" customHeight="1" x14ac:dyDescent="0.25">
      <c r="A136" s="269" t="s">
        <v>316</v>
      </c>
      <c r="B136" s="270"/>
      <c r="C136" s="271"/>
      <c r="D136" s="190" t="s">
        <v>312</v>
      </c>
      <c r="E136" s="95"/>
      <c r="F136" s="27"/>
    </row>
    <row r="137" spans="1:11" s="25" customFormat="1" ht="47.1" customHeight="1" x14ac:dyDescent="0.25">
      <c r="A137" s="269" t="s">
        <v>317</v>
      </c>
      <c r="B137" s="270"/>
      <c r="C137" s="271"/>
      <c r="D137" s="190" t="s">
        <v>312</v>
      </c>
      <c r="E137" s="95"/>
      <c r="F137" s="27"/>
    </row>
    <row r="138" spans="1:11" s="25" customFormat="1" ht="50.1" customHeight="1" x14ac:dyDescent="0.25">
      <c r="A138" s="269" t="s">
        <v>319</v>
      </c>
      <c r="B138" s="270"/>
      <c r="C138" s="271"/>
      <c r="D138" s="190" t="s">
        <v>312</v>
      </c>
      <c r="E138" s="95"/>
      <c r="F138" s="27"/>
      <c r="I138" s="27"/>
    </row>
    <row r="139" spans="1:11" s="25" customFormat="1" ht="50.1" customHeight="1" x14ac:dyDescent="0.25">
      <c r="A139" s="269" t="s">
        <v>318</v>
      </c>
      <c r="B139" s="270"/>
      <c r="C139" s="271"/>
      <c r="D139" s="190" t="s">
        <v>312</v>
      </c>
      <c r="E139" s="95"/>
      <c r="F139" s="27"/>
      <c r="G139" s="27"/>
      <c r="H139" s="27"/>
      <c r="I139" s="27"/>
      <c r="J139" s="26"/>
      <c r="K139" s="183"/>
    </row>
    <row r="140" spans="1:11" s="25" customFormat="1" ht="50.1" customHeight="1" x14ac:dyDescent="0.25">
      <c r="A140" s="62" t="s">
        <v>187</v>
      </c>
      <c r="B140"/>
      <c r="C140"/>
      <c r="D140"/>
      <c r="E140"/>
      <c r="F140" s="27"/>
      <c r="G140" s="27"/>
      <c r="H140" s="27"/>
      <c r="I140" s="27"/>
      <c r="J140" s="26"/>
      <c r="K140" s="183"/>
    </row>
    <row r="141" spans="1:11" ht="16.5" thickBot="1" x14ac:dyDescent="0.3">
      <c r="B141" s="196" t="s">
        <v>329</v>
      </c>
      <c r="C141" s="199"/>
      <c r="D141" s="62" t="s">
        <v>301</v>
      </c>
      <c r="E141" s="62" t="s">
        <v>302</v>
      </c>
    </row>
    <row r="142" spans="1:11" ht="33" customHeight="1" thickBot="1" x14ac:dyDescent="0.3">
      <c r="A142" s="274" t="s">
        <v>163</v>
      </c>
      <c r="B142" s="275"/>
      <c r="C142" s="276"/>
      <c r="D142" s="191" t="s">
        <v>303</v>
      </c>
      <c r="E142" s="205"/>
      <c r="F142" s="73"/>
      <c r="G142" s="59" t="s">
        <v>330</v>
      </c>
      <c r="H142" s="209">
        <f>H143-H144</f>
        <v>0</v>
      </c>
    </row>
    <row r="143" spans="1:11" ht="33" customHeight="1" x14ac:dyDescent="0.25">
      <c r="A143" s="269" t="s">
        <v>216</v>
      </c>
      <c r="B143" s="270"/>
      <c r="C143" s="271"/>
      <c r="D143" s="190" t="s">
        <v>303</v>
      </c>
      <c r="E143" s="94"/>
      <c r="F143" s="73"/>
      <c r="G143" s="59" t="s">
        <v>43</v>
      </c>
      <c r="H143" s="208">
        <f>(H146-H145*(H147-H148-H149))*ERFs!B$57-E153*ERFs!B$23</f>
        <v>0</v>
      </c>
    </row>
    <row r="144" spans="1:11" ht="33" customHeight="1" x14ac:dyDescent="0.25">
      <c r="A144" s="269" t="s">
        <v>300</v>
      </c>
      <c r="B144" s="270"/>
      <c r="C144" s="271"/>
      <c r="D144" s="204"/>
      <c r="E144" s="30" t="str">
        <f>IF(E143="Class I", 50, IF(E143="Class II or III",60, IF(E143="Class IV or V", 80,"")))</f>
        <v/>
      </c>
      <c r="F144" s="73"/>
      <c r="G144" s="59" t="s">
        <v>41</v>
      </c>
      <c r="H144" s="30">
        <f>(H147-H145*(H147-E152-E155))*ERFs!B$57</f>
        <v>0</v>
      </c>
    </row>
    <row r="145" spans="1:8" ht="33" customHeight="1" x14ac:dyDescent="0.25">
      <c r="A145" s="188" t="s">
        <v>311</v>
      </c>
      <c r="B145" s="189"/>
      <c r="C145" s="190"/>
      <c r="D145" s="190" t="s">
        <v>303</v>
      </c>
      <c r="E145" s="193"/>
      <c r="F145" s="73"/>
      <c r="G145" s="59" t="s">
        <v>322</v>
      </c>
      <c r="H145" s="206">
        <f>(1-(1-(E148/100))^10)</f>
        <v>0</v>
      </c>
    </row>
    <row r="146" spans="1:8" ht="33" customHeight="1" x14ac:dyDescent="0.25">
      <c r="A146" s="188" t="s">
        <v>305</v>
      </c>
      <c r="B146" s="189"/>
      <c r="C146" s="190"/>
      <c r="D146" s="204"/>
      <c r="E146" s="194" t="str">
        <f>IF(OR(E144="",E145=""),"",E144+E145)</f>
        <v/>
      </c>
      <c r="F146" s="73"/>
      <c r="G146" s="59" t="s">
        <v>327</v>
      </c>
      <c r="H146" s="30">
        <f>E149+E154</f>
        <v>0</v>
      </c>
    </row>
    <row r="147" spans="1:8" ht="33" customHeight="1" x14ac:dyDescent="0.25">
      <c r="A147" s="192" t="s">
        <v>313</v>
      </c>
      <c r="B147" s="189"/>
      <c r="C147" s="190"/>
      <c r="D147" s="204"/>
      <c r="E147" s="194">
        <f>E145+5</f>
        <v>5</v>
      </c>
      <c r="F147" s="73"/>
      <c r="G147" s="59" t="s">
        <v>328</v>
      </c>
      <c r="H147" s="30">
        <f>E151+E154</f>
        <v>0</v>
      </c>
    </row>
    <row r="148" spans="1:8" ht="33" customHeight="1" x14ac:dyDescent="0.25">
      <c r="A148" s="274" t="s">
        <v>79</v>
      </c>
      <c r="B148" s="275"/>
      <c r="C148" s="276"/>
      <c r="D148" s="198" t="s">
        <v>336</v>
      </c>
      <c r="E148" s="207"/>
      <c r="F148" s="73"/>
      <c r="G148" s="59" t="s">
        <v>324</v>
      </c>
      <c r="H148" s="30">
        <f>E149-(E149-E150)*IF(E163&gt;0,(E160*E164/E159*E163),1)</f>
        <v>0</v>
      </c>
    </row>
    <row r="149" spans="1:8" s="14" customFormat="1" ht="33.75" customHeight="1" x14ac:dyDescent="0.25">
      <c r="A149" s="269" t="s">
        <v>258</v>
      </c>
      <c r="B149" s="270"/>
      <c r="C149" s="271"/>
      <c r="D149" s="190" t="s">
        <v>337</v>
      </c>
      <c r="E149" s="51"/>
      <c r="F149" s="35"/>
      <c r="G149" s="59" t="s">
        <v>323</v>
      </c>
      <c r="H149" s="30">
        <f>E154-(E154-E155)*IF(E161&gt;0,(E158*E162/E157*E161),1)</f>
        <v>0</v>
      </c>
    </row>
    <row r="150" spans="1:8" s="14" customFormat="1" ht="33" customHeight="1" x14ac:dyDescent="0.25">
      <c r="A150" s="277" t="s">
        <v>259</v>
      </c>
      <c r="B150" s="278"/>
      <c r="C150" s="279"/>
      <c r="D150" s="190" t="s">
        <v>337</v>
      </c>
      <c r="E150" s="51"/>
      <c r="F150" s="96"/>
    </row>
    <row r="151" spans="1:8" s="25" customFormat="1" ht="36.950000000000003" customHeight="1" x14ac:dyDescent="0.25">
      <c r="A151" s="269" t="s">
        <v>260</v>
      </c>
      <c r="B151" s="270"/>
      <c r="C151" s="271"/>
      <c r="D151" s="190" t="s">
        <v>337</v>
      </c>
      <c r="E151" s="51"/>
      <c r="F151" s="96"/>
    </row>
    <row r="152" spans="1:8" s="25" customFormat="1" ht="33" customHeight="1" x14ac:dyDescent="0.25">
      <c r="A152" s="269" t="s">
        <v>261</v>
      </c>
      <c r="B152" s="270"/>
      <c r="C152" s="271"/>
      <c r="D152" s="190" t="s">
        <v>337</v>
      </c>
      <c r="E152" s="51"/>
      <c r="F152" s="96"/>
    </row>
    <row r="153" spans="1:8" s="25" customFormat="1" ht="33" customHeight="1" x14ac:dyDescent="0.25">
      <c r="A153" s="269" t="s">
        <v>24</v>
      </c>
      <c r="B153" s="270"/>
      <c r="C153" s="271"/>
      <c r="D153" s="190" t="s">
        <v>337</v>
      </c>
      <c r="E153" s="51"/>
      <c r="F153" s="96"/>
    </row>
    <row r="154" spans="1:8" s="25" customFormat="1" ht="47.1" customHeight="1" x14ac:dyDescent="0.25">
      <c r="A154" s="269" t="s">
        <v>320</v>
      </c>
      <c r="B154" s="270"/>
      <c r="C154" s="271"/>
      <c r="D154" s="190" t="s">
        <v>337</v>
      </c>
      <c r="E154" s="51"/>
      <c r="F154" s="27"/>
    </row>
    <row r="155" spans="1:8" s="25" customFormat="1" ht="33" customHeight="1" x14ac:dyDescent="0.25">
      <c r="A155" s="269" t="s">
        <v>321</v>
      </c>
      <c r="B155" s="270"/>
      <c r="C155" s="271"/>
      <c r="D155" s="190" t="s">
        <v>337</v>
      </c>
      <c r="E155" s="51"/>
      <c r="F155" s="27"/>
    </row>
    <row r="156" spans="1:8" s="25" customFormat="1" ht="33" customHeight="1" x14ac:dyDescent="0.25">
      <c r="A156" s="274" t="s">
        <v>366</v>
      </c>
      <c r="B156" s="275"/>
      <c r="C156" s="276"/>
      <c r="D156" s="174" t="s">
        <v>312</v>
      </c>
      <c r="E156" s="51"/>
      <c r="F156" s="27"/>
    </row>
    <row r="157" spans="1:8" s="25" customFormat="1" ht="33" customHeight="1" x14ac:dyDescent="0.25">
      <c r="A157" s="272" t="s">
        <v>315</v>
      </c>
      <c r="B157" s="272"/>
      <c r="C157" s="272"/>
      <c r="D157" s="174" t="s">
        <v>312</v>
      </c>
      <c r="E157" s="45"/>
      <c r="F157" s="27"/>
    </row>
    <row r="158" spans="1:8" s="25" customFormat="1" ht="33" customHeight="1" x14ac:dyDescent="0.25">
      <c r="A158" s="269" t="s">
        <v>314</v>
      </c>
      <c r="B158" s="270"/>
      <c r="C158" s="271"/>
      <c r="D158" s="190" t="s">
        <v>312</v>
      </c>
      <c r="E158" s="45"/>
      <c r="F158" s="27"/>
    </row>
    <row r="159" spans="1:8" s="25" customFormat="1" ht="33" customHeight="1" x14ac:dyDescent="0.25">
      <c r="A159" s="272" t="s">
        <v>326</v>
      </c>
      <c r="B159" s="272"/>
      <c r="C159" s="272"/>
      <c r="D159" s="174" t="s">
        <v>312</v>
      </c>
      <c r="E159" s="45"/>
      <c r="F159" s="27"/>
    </row>
    <row r="160" spans="1:8" s="25" customFormat="1" ht="33" customHeight="1" x14ac:dyDescent="0.25">
      <c r="A160" s="269" t="s">
        <v>325</v>
      </c>
      <c r="B160" s="270"/>
      <c r="C160" s="271"/>
      <c r="D160" s="190" t="s">
        <v>312</v>
      </c>
      <c r="E160" s="45"/>
      <c r="F160" s="27"/>
    </row>
    <row r="161" spans="1:11" s="25" customFormat="1" ht="49.5" customHeight="1" x14ac:dyDescent="0.25">
      <c r="A161" s="269" t="s">
        <v>316</v>
      </c>
      <c r="B161" s="270"/>
      <c r="C161" s="271"/>
      <c r="D161" s="190" t="s">
        <v>312</v>
      </c>
      <c r="E161" s="95"/>
      <c r="F161" s="27"/>
    </row>
    <row r="162" spans="1:11" s="25" customFormat="1" ht="47.1" customHeight="1" x14ac:dyDescent="0.25">
      <c r="A162" s="269" t="s">
        <v>317</v>
      </c>
      <c r="B162" s="270"/>
      <c r="C162" s="271"/>
      <c r="D162" s="190" t="s">
        <v>312</v>
      </c>
      <c r="E162" s="95"/>
      <c r="F162" s="27"/>
    </row>
    <row r="163" spans="1:11" s="25" customFormat="1" ht="50.1" customHeight="1" x14ac:dyDescent="0.25">
      <c r="A163" s="269" t="s">
        <v>319</v>
      </c>
      <c r="B163" s="270"/>
      <c r="C163" s="271"/>
      <c r="D163" s="190" t="s">
        <v>312</v>
      </c>
      <c r="E163" s="95"/>
      <c r="F163" s="27"/>
      <c r="I163" s="27"/>
    </row>
    <row r="164" spans="1:11" s="25" customFormat="1" ht="50.1" customHeight="1" x14ac:dyDescent="0.25">
      <c r="A164" s="269" t="s">
        <v>318</v>
      </c>
      <c r="B164" s="270"/>
      <c r="C164" s="271"/>
      <c r="D164" s="190" t="s">
        <v>312</v>
      </c>
      <c r="E164" s="95"/>
      <c r="F164" s="27"/>
      <c r="G164" s="27"/>
      <c r="H164" s="27"/>
      <c r="I164" s="27"/>
      <c r="J164" s="26"/>
      <c r="K164" s="183"/>
    </row>
    <row r="165" spans="1:11" s="25" customFormat="1" ht="50.1" customHeight="1" x14ac:dyDescent="0.25">
      <c r="A165" s="62" t="s">
        <v>188</v>
      </c>
      <c r="B165"/>
      <c r="C165"/>
      <c r="D165"/>
      <c r="E165"/>
      <c r="F165" s="27"/>
      <c r="G165" s="27"/>
      <c r="H165" s="27"/>
      <c r="I165" s="27"/>
      <c r="J165" s="26"/>
      <c r="K165" s="183"/>
    </row>
    <row r="166" spans="1:11" ht="16.5" thickBot="1" x14ac:dyDescent="0.3">
      <c r="B166" s="196" t="s">
        <v>329</v>
      </c>
      <c r="C166" s="199"/>
      <c r="D166" s="62" t="s">
        <v>301</v>
      </c>
      <c r="E166" s="62" t="s">
        <v>302</v>
      </c>
    </row>
    <row r="167" spans="1:11" ht="33" customHeight="1" thickBot="1" x14ac:dyDescent="0.3">
      <c r="A167" s="274" t="s">
        <v>163</v>
      </c>
      <c r="B167" s="275"/>
      <c r="C167" s="276"/>
      <c r="D167" s="191" t="s">
        <v>303</v>
      </c>
      <c r="E167" s="205"/>
      <c r="F167" s="73"/>
      <c r="G167" s="59" t="s">
        <v>330</v>
      </c>
      <c r="H167" s="209">
        <f>H168-H169</f>
        <v>0</v>
      </c>
    </row>
    <row r="168" spans="1:11" ht="33" customHeight="1" x14ac:dyDescent="0.25">
      <c r="A168" s="269" t="s">
        <v>216</v>
      </c>
      <c r="B168" s="270"/>
      <c r="C168" s="271"/>
      <c r="D168" s="190" t="s">
        <v>303</v>
      </c>
      <c r="E168" s="94"/>
      <c r="F168" s="73"/>
      <c r="G168" s="59" t="s">
        <v>43</v>
      </c>
      <c r="H168" s="208">
        <f>(H171-H170*(H172-H173-H174))*ERFs!B$57-E178*ERFs!B$23</f>
        <v>0</v>
      </c>
    </row>
    <row r="169" spans="1:11" ht="33" customHeight="1" x14ac:dyDescent="0.25">
      <c r="A169" s="269" t="s">
        <v>300</v>
      </c>
      <c r="B169" s="270"/>
      <c r="C169" s="271"/>
      <c r="D169" s="204"/>
      <c r="E169" s="30" t="str">
        <f>IF(E168="Class I", 50, IF(E168="Class II or III",60, IF(E168="Class IV or V", 80,"")))</f>
        <v/>
      </c>
      <c r="F169" s="73"/>
      <c r="G169" s="59" t="s">
        <v>41</v>
      </c>
      <c r="H169" s="30">
        <f>(H172-H170*(H172-E177-E180))*ERFs!B$57</f>
        <v>0</v>
      </c>
    </row>
    <row r="170" spans="1:11" ht="33" customHeight="1" x14ac:dyDescent="0.25">
      <c r="A170" s="188" t="s">
        <v>311</v>
      </c>
      <c r="B170" s="189"/>
      <c r="C170" s="190"/>
      <c r="D170" s="190" t="s">
        <v>303</v>
      </c>
      <c r="E170" s="193"/>
      <c r="F170" s="73"/>
      <c r="G170" s="59" t="s">
        <v>322</v>
      </c>
      <c r="H170" s="206">
        <f>(1-(1-(E173/100))^10)</f>
        <v>0</v>
      </c>
    </row>
    <row r="171" spans="1:11" ht="33" customHeight="1" x14ac:dyDescent="0.25">
      <c r="A171" s="188" t="s">
        <v>305</v>
      </c>
      <c r="B171" s="189"/>
      <c r="C171" s="190"/>
      <c r="D171" s="204"/>
      <c r="E171" s="194" t="str">
        <f>IF(OR(E169="",E170=""),"",E169+E170)</f>
        <v/>
      </c>
      <c r="F171" s="73"/>
      <c r="G171" s="59" t="s">
        <v>327</v>
      </c>
      <c r="H171" s="30">
        <f>E174+E179</f>
        <v>0</v>
      </c>
    </row>
    <row r="172" spans="1:11" ht="33" customHeight="1" x14ac:dyDescent="0.25">
      <c r="A172" s="192" t="s">
        <v>313</v>
      </c>
      <c r="B172" s="189"/>
      <c r="C172" s="190"/>
      <c r="D172" s="204"/>
      <c r="E172" s="194">
        <f>E170+5</f>
        <v>5</v>
      </c>
      <c r="F172" s="73"/>
      <c r="G172" s="59" t="s">
        <v>328</v>
      </c>
      <c r="H172" s="30">
        <f>E176+E179</f>
        <v>0</v>
      </c>
    </row>
    <row r="173" spans="1:11" ht="33" customHeight="1" x14ac:dyDescent="0.25">
      <c r="A173" s="274" t="s">
        <v>79</v>
      </c>
      <c r="B173" s="275"/>
      <c r="C173" s="276"/>
      <c r="D173" s="198" t="s">
        <v>336</v>
      </c>
      <c r="E173" s="207"/>
      <c r="F173" s="73"/>
      <c r="G173" s="59" t="s">
        <v>324</v>
      </c>
      <c r="H173" s="30">
        <f>E174-(E174-E175)*IF(E188&gt;0,(E185*E189/E184*E188),1)</f>
        <v>0</v>
      </c>
    </row>
    <row r="174" spans="1:11" s="14" customFormat="1" ht="33.75" customHeight="1" x14ac:dyDescent="0.25">
      <c r="A174" s="269" t="s">
        <v>258</v>
      </c>
      <c r="B174" s="270"/>
      <c r="C174" s="271"/>
      <c r="D174" s="190" t="s">
        <v>337</v>
      </c>
      <c r="E174" s="51"/>
      <c r="F174" s="35"/>
      <c r="G174" s="59" t="s">
        <v>323</v>
      </c>
      <c r="H174" s="30">
        <f>E179-(E179-E180)*IF(E186&gt;0,(E183*E187/E182*E186),1)</f>
        <v>0</v>
      </c>
    </row>
    <row r="175" spans="1:11" s="14" customFormat="1" ht="33" customHeight="1" x14ac:dyDescent="0.25">
      <c r="A175" s="277" t="s">
        <v>259</v>
      </c>
      <c r="B175" s="278"/>
      <c r="C175" s="279"/>
      <c r="D175" s="190" t="s">
        <v>337</v>
      </c>
      <c r="E175" s="51"/>
      <c r="F175" s="96"/>
    </row>
    <row r="176" spans="1:11" s="25" customFormat="1" ht="36.950000000000003" customHeight="1" x14ac:dyDescent="0.25">
      <c r="A176" s="269" t="s">
        <v>260</v>
      </c>
      <c r="B176" s="270"/>
      <c r="C176" s="271"/>
      <c r="D176" s="190" t="s">
        <v>337</v>
      </c>
      <c r="E176" s="51"/>
      <c r="F176" s="96"/>
    </row>
    <row r="177" spans="1:11" s="25" customFormat="1" ht="33" customHeight="1" x14ac:dyDescent="0.25">
      <c r="A177" s="269" t="s">
        <v>261</v>
      </c>
      <c r="B177" s="270"/>
      <c r="C177" s="271"/>
      <c r="D177" s="190" t="s">
        <v>337</v>
      </c>
      <c r="E177" s="51"/>
      <c r="F177" s="96"/>
    </row>
    <row r="178" spans="1:11" s="25" customFormat="1" ht="33" customHeight="1" x14ac:dyDescent="0.25">
      <c r="A178" s="269" t="s">
        <v>24</v>
      </c>
      <c r="B178" s="270"/>
      <c r="C178" s="271"/>
      <c r="D178" s="190" t="s">
        <v>337</v>
      </c>
      <c r="E178" s="51"/>
      <c r="F178" s="96"/>
    </row>
    <row r="179" spans="1:11" s="25" customFormat="1" ht="47.1" customHeight="1" x14ac:dyDescent="0.25">
      <c r="A179" s="269" t="s">
        <v>320</v>
      </c>
      <c r="B179" s="270"/>
      <c r="C179" s="271"/>
      <c r="D179" s="190" t="s">
        <v>337</v>
      </c>
      <c r="E179" s="51"/>
      <c r="F179" s="27"/>
    </row>
    <row r="180" spans="1:11" s="25" customFormat="1" ht="33" customHeight="1" x14ac:dyDescent="0.25">
      <c r="A180" s="269" t="s">
        <v>321</v>
      </c>
      <c r="B180" s="270"/>
      <c r="C180" s="271"/>
      <c r="D180" s="190" t="s">
        <v>337</v>
      </c>
      <c r="E180" s="51"/>
      <c r="F180" s="27"/>
    </row>
    <row r="181" spans="1:11" s="25" customFormat="1" ht="33" customHeight="1" x14ac:dyDescent="0.25">
      <c r="A181" s="274" t="s">
        <v>366</v>
      </c>
      <c r="B181" s="275"/>
      <c r="C181" s="276"/>
      <c r="D181" s="174" t="s">
        <v>312</v>
      </c>
      <c r="E181" s="51"/>
      <c r="F181" s="27"/>
    </row>
    <row r="182" spans="1:11" s="25" customFormat="1" ht="33" customHeight="1" x14ac:dyDescent="0.25">
      <c r="A182" s="272" t="s">
        <v>315</v>
      </c>
      <c r="B182" s="272"/>
      <c r="C182" s="272"/>
      <c r="D182" s="174" t="s">
        <v>312</v>
      </c>
      <c r="E182" s="45"/>
      <c r="F182" s="27"/>
    </row>
    <row r="183" spans="1:11" s="25" customFormat="1" ht="33" customHeight="1" x14ac:dyDescent="0.25">
      <c r="A183" s="269" t="s">
        <v>314</v>
      </c>
      <c r="B183" s="270"/>
      <c r="C183" s="271"/>
      <c r="D183" s="190" t="s">
        <v>312</v>
      </c>
      <c r="E183" s="45"/>
      <c r="F183" s="27"/>
    </row>
    <row r="184" spans="1:11" s="25" customFormat="1" ht="33" customHeight="1" x14ac:dyDescent="0.25">
      <c r="A184" s="272" t="s">
        <v>326</v>
      </c>
      <c r="B184" s="272"/>
      <c r="C184" s="272"/>
      <c r="D184" s="174" t="s">
        <v>312</v>
      </c>
      <c r="E184" s="45"/>
      <c r="F184" s="27"/>
    </row>
    <row r="185" spans="1:11" s="25" customFormat="1" ht="33" customHeight="1" x14ac:dyDescent="0.25">
      <c r="A185" s="269" t="s">
        <v>325</v>
      </c>
      <c r="B185" s="270"/>
      <c r="C185" s="271"/>
      <c r="D185" s="190" t="s">
        <v>312</v>
      </c>
      <c r="E185" s="45"/>
      <c r="F185" s="27"/>
    </row>
    <row r="186" spans="1:11" s="25" customFormat="1" ht="49.5" customHeight="1" x14ac:dyDescent="0.25">
      <c r="A186" s="269" t="s">
        <v>316</v>
      </c>
      <c r="B186" s="270"/>
      <c r="C186" s="271"/>
      <c r="D186" s="190" t="s">
        <v>312</v>
      </c>
      <c r="E186" s="95"/>
      <c r="F186" s="27"/>
    </row>
    <row r="187" spans="1:11" s="25" customFormat="1" ht="47.1" customHeight="1" x14ac:dyDescent="0.25">
      <c r="A187" s="269" t="s">
        <v>317</v>
      </c>
      <c r="B187" s="270"/>
      <c r="C187" s="271"/>
      <c r="D187" s="190" t="s">
        <v>312</v>
      </c>
      <c r="E187" s="95"/>
      <c r="F187" s="27"/>
    </row>
    <row r="188" spans="1:11" s="25" customFormat="1" ht="50.1" customHeight="1" x14ac:dyDescent="0.25">
      <c r="A188" s="269" t="s">
        <v>319</v>
      </c>
      <c r="B188" s="270"/>
      <c r="C188" s="271"/>
      <c r="D188" s="190" t="s">
        <v>312</v>
      </c>
      <c r="E188" s="95"/>
      <c r="F188" s="27"/>
      <c r="I188" s="27"/>
    </row>
    <row r="189" spans="1:11" s="25" customFormat="1" ht="50.1" customHeight="1" x14ac:dyDescent="0.25">
      <c r="A189" s="269" t="s">
        <v>318</v>
      </c>
      <c r="B189" s="270"/>
      <c r="C189" s="271"/>
      <c r="D189" s="190" t="s">
        <v>312</v>
      </c>
      <c r="E189" s="95"/>
      <c r="F189" s="27"/>
      <c r="G189" s="27"/>
      <c r="H189" s="27"/>
      <c r="I189" s="27"/>
      <c r="J189" s="26"/>
      <c r="K189" s="183"/>
    </row>
    <row r="190" spans="1:11" s="25" customFormat="1" ht="50.1" customHeight="1" x14ac:dyDescent="0.25">
      <c r="A190" s="62" t="s">
        <v>189</v>
      </c>
      <c r="B190"/>
      <c r="C190"/>
      <c r="D190"/>
      <c r="E190"/>
      <c r="F190" s="27"/>
      <c r="G190" s="27"/>
      <c r="H190" s="27"/>
      <c r="I190" s="27"/>
      <c r="J190" s="26"/>
      <c r="K190" s="183"/>
    </row>
    <row r="191" spans="1:11" ht="16.5" thickBot="1" x14ac:dyDescent="0.3">
      <c r="B191" s="196" t="s">
        <v>329</v>
      </c>
      <c r="C191" s="199"/>
      <c r="D191" s="62" t="s">
        <v>301</v>
      </c>
      <c r="E191" s="62" t="s">
        <v>302</v>
      </c>
    </row>
    <row r="192" spans="1:11" ht="33" customHeight="1" thickBot="1" x14ac:dyDescent="0.3">
      <c r="A192" s="274" t="s">
        <v>163</v>
      </c>
      <c r="B192" s="275"/>
      <c r="C192" s="276"/>
      <c r="D192" s="191" t="s">
        <v>303</v>
      </c>
      <c r="E192" s="205"/>
      <c r="F192" s="73"/>
      <c r="G192" s="59" t="s">
        <v>330</v>
      </c>
      <c r="H192" s="209">
        <f>H193-H194</f>
        <v>0</v>
      </c>
    </row>
    <row r="193" spans="1:8" ht="33" customHeight="1" x14ac:dyDescent="0.25">
      <c r="A193" s="269" t="s">
        <v>216</v>
      </c>
      <c r="B193" s="270"/>
      <c r="C193" s="271"/>
      <c r="D193" s="190" t="s">
        <v>303</v>
      </c>
      <c r="E193" s="94"/>
      <c r="F193" s="73"/>
      <c r="G193" s="59" t="s">
        <v>43</v>
      </c>
      <c r="H193" s="208">
        <f>(H196-H195*(H197-H198-H199))*ERFs!B$57-E203*ERFs!B$23</f>
        <v>0</v>
      </c>
    </row>
    <row r="194" spans="1:8" ht="33" customHeight="1" x14ac:dyDescent="0.25">
      <c r="A194" s="269" t="s">
        <v>300</v>
      </c>
      <c r="B194" s="270"/>
      <c r="C194" s="271"/>
      <c r="D194" s="204"/>
      <c r="E194" s="30" t="str">
        <f>IF(E193="Class I", 50, IF(E193="Class II or III",60, IF(E193="Class IV or V", 80,"")))</f>
        <v/>
      </c>
      <c r="F194" s="73"/>
      <c r="G194" s="59" t="s">
        <v>41</v>
      </c>
      <c r="H194" s="30">
        <f>(H197-H195*(H197-E202-E205))*ERFs!B$57</f>
        <v>0</v>
      </c>
    </row>
    <row r="195" spans="1:8" ht="33" customHeight="1" x14ac:dyDescent="0.25">
      <c r="A195" s="188" t="s">
        <v>311</v>
      </c>
      <c r="B195" s="189"/>
      <c r="C195" s="190"/>
      <c r="D195" s="190" t="s">
        <v>303</v>
      </c>
      <c r="E195" s="193"/>
      <c r="F195" s="73"/>
      <c r="G195" s="59" t="s">
        <v>322</v>
      </c>
      <c r="H195" s="206">
        <f>(1-(1-(E198/100))^10)</f>
        <v>0</v>
      </c>
    </row>
    <row r="196" spans="1:8" ht="33" customHeight="1" x14ac:dyDescent="0.25">
      <c r="A196" s="188" t="s">
        <v>305</v>
      </c>
      <c r="B196" s="189"/>
      <c r="C196" s="190"/>
      <c r="D196" s="204"/>
      <c r="E196" s="194" t="str">
        <f>IF(OR(E194="",E195=""),"",E194+E195)</f>
        <v/>
      </c>
      <c r="F196" s="73"/>
      <c r="G196" s="59" t="s">
        <v>327</v>
      </c>
      <c r="H196" s="30">
        <f>E199+E204</f>
        <v>0</v>
      </c>
    </row>
    <row r="197" spans="1:8" ht="33" customHeight="1" x14ac:dyDescent="0.25">
      <c r="A197" s="192" t="s">
        <v>313</v>
      </c>
      <c r="B197" s="189"/>
      <c r="C197" s="190"/>
      <c r="D197" s="204"/>
      <c r="E197" s="194">
        <f>E195+5</f>
        <v>5</v>
      </c>
      <c r="F197" s="73"/>
      <c r="G197" s="59" t="s">
        <v>328</v>
      </c>
      <c r="H197" s="30">
        <f>E201+E204</f>
        <v>0</v>
      </c>
    </row>
    <row r="198" spans="1:8" ht="33" customHeight="1" x14ac:dyDescent="0.25">
      <c r="A198" s="274" t="s">
        <v>79</v>
      </c>
      <c r="B198" s="275"/>
      <c r="C198" s="276"/>
      <c r="D198" s="198" t="s">
        <v>336</v>
      </c>
      <c r="E198" s="207"/>
      <c r="F198" s="73"/>
      <c r="G198" s="59" t="s">
        <v>324</v>
      </c>
      <c r="H198" s="30">
        <f>E199-(E199-E200)*IF(E213&gt;0,(E210*E214/E209*E213),1)</f>
        <v>0</v>
      </c>
    </row>
    <row r="199" spans="1:8" s="14" customFormat="1" ht="33.75" customHeight="1" x14ac:dyDescent="0.25">
      <c r="A199" s="269" t="s">
        <v>258</v>
      </c>
      <c r="B199" s="270"/>
      <c r="C199" s="271"/>
      <c r="D199" s="190" t="s">
        <v>337</v>
      </c>
      <c r="E199" s="51"/>
      <c r="F199" s="35"/>
      <c r="G199" s="59" t="s">
        <v>323</v>
      </c>
      <c r="H199" s="30">
        <f>E204-(E204-E205)*IF(E211&gt;0,(E208*E212/E207*E211),1)</f>
        <v>0</v>
      </c>
    </row>
    <row r="200" spans="1:8" s="14" customFormat="1" ht="33" customHeight="1" x14ac:dyDescent="0.25">
      <c r="A200" s="277" t="s">
        <v>259</v>
      </c>
      <c r="B200" s="278"/>
      <c r="C200" s="279"/>
      <c r="D200" s="190" t="s">
        <v>337</v>
      </c>
      <c r="E200" s="51"/>
      <c r="F200" s="96"/>
    </row>
    <row r="201" spans="1:8" s="25" customFormat="1" ht="36.950000000000003" customHeight="1" x14ac:dyDescent="0.25">
      <c r="A201" s="269" t="s">
        <v>260</v>
      </c>
      <c r="B201" s="270"/>
      <c r="C201" s="271"/>
      <c r="D201" s="190" t="s">
        <v>337</v>
      </c>
      <c r="E201" s="51"/>
      <c r="F201" s="96"/>
    </row>
    <row r="202" spans="1:8" s="25" customFormat="1" ht="33" customHeight="1" x14ac:dyDescent="0.25">
      <c r="A202" s="269" t="s">
        <v>261</v>
      </c>
      <c r="B202" s="270"/>
      <c r="C202" s="271"/>
      <c r="D202" s="190" t="s">
        <v>337</v>
      </c>
      <c r="E202" s="51"/>
      <c r="F202" s="96"/>
    </row>
    <row r="203" spans="1:8" s="25" customFormat="1" ht="33" customHeight="1" x14ac:dyDescent="0.25">
      <c r="A203" s="269" t="s">
        <v>24</v>
      </c>
      <c r="B203" s="270"/>
      <c r="C203" s="271"/>
      <c r="D203" s="190" t="s">
        <v>337</v>
      </c>
      <c r="E203" s="51"/>
      <c r="F203" s="96"/>
    </row>
    <row r="204" spans="1:8" s="25" customFormat="1" ht="47.1" customHeight="1" x14ac:dyDescent="0.25">
      <c r="A204" s="269" t="s">
        <v>320</v>
      </c>
      <c r="B204" s="270"/>
      <c r="C204" s="271"/>
      <c r="D204" s="190" t="s">
        <v>337</v>
      </c>
      <c r="E204" s="51"/>
      <c r="F204" s="27"/>
    </row>
    <row r="205" spans="1:8" s="25" customFormat="1" ht="33" customHeight="1" x14ac:dyDescent="0.25">
      <c r="A205" s="269" t="s">
        <v>321</v>
      </c>
      <c r="B205" s="270"/>
      <c r="C205" s="271"/>
      <c r="D205" s="190" t="s">
        <v>337</v>
      </c>
      <c r="E205" s="51"/>
      <c r="F205" s="27"/>
    </row>
    <row r="206" spans="1:8" s="25" customFormat="1" ht="33" customHeight="1" x14ac:dyDescent="0.25">
      <c r="A206" s="274" t="s">
        <v>366</v>
      </c>
      <c r="B206" s="275"/>
      <c r="C206" s="276"/>
      <c r="D206" s="174" t="s">
        <v>312</v>
      </c>
      <c r="E206" s="51"/>
      <c r="F206" s="27"/>
    </row>
    <row r="207" spans="1:8" s="25" customFormat="1" ht="33" customHeight="1" x14ac:dyDescent="0.25">
      <c r="A207" s="272" t="s">
        <v>315</v>
      </c>
      <c r="B207" s="272"/>
      <c r="C207" s="272"/>
      <c r="D207" s="174" t="s">
        <v>312</v>
      </c>
      <c r="E207" s="45"/>
      <c r="F207" s="27"/>
    </row>
    <row r="208" spans="1:8" s="25" customFormat="1" ht="33" customHeight="1" x14ac:dyDescent="0.25">
      <c r="A208" s="269" t="s">
        <v>314</v>
      </c>
      <c r="B208" s="270"/>
      <c r="C208" s="271"/>
      <c r="D208" s="190" t="s">
        <v>312</v>
      </c>
      <c r="E208" s="45"/>
      <c r="F208" s="27"/>
    </row>
    <row r="209" spans="1:11" s="25" customFormat="1" ht="33" customHeight="1" x14ac:dyDescent="0.25">
      <c r="A209" s="272" t="s">
        <v>326</v>
      </c>
      <c r="B209" s="272"/>
      <c r="C209" s="272"/>
      <c r="D209" s="174" t="s">
        <v>312</v>
      </c>
      <c r="E209" s="45"/>
      <c r="F209" s="27"/>
    </row>
    <row r="210" spans="1:11" s="25" customFormat="1" ht="33" customHeight="1" x14ac:dyDescent="0.25">
      <c r="A210" s="269" t="s">
        <v>325</v>
      </c>
      <c r="B210" s="270"/>
      <c r="C210" s="271"/>
      <c r="D210" s="190" t="s">
        <v>312</v>
      </c>
      <c r="E210" s="45"/>
      <c r="F210" s="27"/>
    </row>
    <row r="211" spans="1:11" s="25" customFormat="1" ht="49.5" customHeight="1" x14ac:dyDescent="0.25">
      <c r="A211" s="269" t="s">
        <v>316</v>
      </c>
      <c r="B211" s="270"/>
      <c r="C211" s="271"/>
      <c r="D211" s="190" t="s">
        <v>312</v>
      </c>
      <c r="E211" s="95"/>
      <c r="F211" s="27"/>
    </row>
    <row r="212" spans="1:11" s="25" customFormat="1" ht="47.1" customHeight="1" x14ac:dyDescent="0.25">
      <c r="A212" s="269" t="s">
        <v>317</v>
      </c>
      <c r="B212" s="270"/>
      <c r="C212" s="271"/>
      <c r="D212" s="190" t="s">
        <v>312</v>
      </c>
      <c r="E212" s="95"/>
      <c r="F212" s="27"/>
    </row>
    <row r="213" spans="1:11" s="25" customFormat="1" ht="50.1" customHeight="1" x14ac:dyDescent="0.25">
      <c r="A213" s="269" t="s">
        <v>319</v>
      </c>
      <c r="B213" s="270"/>
      <c r="C213" s="271"/>
      <c r="D213" s="190" t="s">
        <v>312</v>
      </c>
      <c r="E213" s="95"/>
      <c r="F213" s="27"/>
      <c r="I213" s="27"/>
    </row>
    <row r="214" spans="1:11" s="25" customFormat="1" ht="50.1" customHeight="1" x14ac:dyDescent="0.25">
      <c r="A214" s="269" t="s">
        <v>318</v>
      </c>
      <c r="B214" s="270"/>
      <c r="C214" s="271"/>
      <c r="D214" s="190" t="s">
        <v>312</v>
      </c>
      <c r="E214" s="95"/>
      <c r="F214" s="27"/>
      <c r="G214" s="27"/>
      <c r="H214" s="27"/>
      <c r="I214" s="27"/>
      <c r="J214" s="26"/>
      <c r="K214" s="183"/>
    </row>
    <row r="215" spans="1:11" s="25" customFormat="1" ht="50.1" customHeight="1" x14ac:dyDescent="0.25">
      <c r="A215" s="62" t="s">
        <v>190</v>
      </c>
      <c r="B215"/>
      <c r="C215"/>
      <c r="D215"/>
      <c r="E215"/>
      <c r="F215" s="27"/>
      <c r="G215" s="27"/>
      <c r="H215" s="27"/>
      <c r="I215" s="27"/>
      <c r="J215" s="26"/>
      <c r="K215" s="183"/>
    </row>
    <row r="216" spans="1:11" ht="16.5" thickBot="1" x14ac:dyDescent="0.3">
      <c r="B216" s="196" t="s">
        <v>329</v>
      </c>
      <c r="C216" s="199"/>
      <c r="D216" s="62" t="s">
        <v>301</v>
      </c>
      <c r="E216" s="62" t="s">
        <v>302</v>
      </c>
    </row>
    <row r="217" spans="1:11" ht="33" customHeight="1" thickBot="1" x14ac:dyDescent="0.3">
      <c r="A217" s="274" t="s">
        <v>163</v>
      </c>
      <c r="B217" s="275"/>
      <c r="C217" s="276"/>
      <c r="D217" s="191" t="s">
        <v>303</v>
      </c>
      <c r="E217" s="205"/>
      <c r="F217" s="73"/>
      <c r="G217" s="59" t="s">
        <v>330</v>
      </c>
      <c r="H217" s="209">
        <f>H218-H219</f>
        <v>0</v>
      </c>
    </row>
    <row r="218" spans="1:11" ht="33" customHeight="1" x14ac:dyDescent="0.25">
      <c r="A218" s="269" t="s">
        <v>216</v>
      </c>
      <c r="B218" s="270"/>
      <c r="C218" s="271"/>
      <c r="D218" s="190" t="s">
        <v>303</v>
      </c>
      <c r="E218" s="94"/>
      <c r="F218" s="73"/>
      <c r="G218" s="59" t="s">
        <v>43</v>
      </c>
      <c r="H218" s="208">
        <f>(H221-H220*(H222-H223-H224))*ERFs!B$57-E228*ERFs!B$23</f>
        <v>0</v>
      </c>
    </row>
    <row r="219" spans="1:11" ht="33" customHeight="1" x14ac:dyDescent="0.25">
      <c r="A219" s="269" t="s">
        <v>300</v>
      </c>
      <c r="B219" s="270"/>
      <c r="C219" s="271"/>
      <c r="D219" s="204"/>
      <c r="E219" s="30" t="str">
        <f>IF(E218="Class I", 50, IF(E218="Class II or III",60, IF(E218="Class IV or V", 80,"")))</f>
        <v/>
      </c>
      <c r="F219" s="73"/>
      <c r="G219" s="59" t="s">
        <v>41</v>
      </c>
      <c r="H219" s="30">
        <f>(H222-H220*(H222-E227-E230))*ERFs!B$57</f>
        <v>0</v>
      </c>
    </row>
    <row r="220" spans="1:11" ht="33" customHeight="1" x14ac:dyDescent="0.25">
      <c r="A220" s="188" t="s">
        <v>311</v>
      </c>
      <c r="B220" s="189"/>
      <c r="C220" s="190"/>
      <c r="D220" s="190" t="s">
        <v>303</v>
      </c>
      <c r="E220" s="193"/>
      <c r="F220" s="73"/>
      <c r="G220" s="59" t="s">
        <v>322</v>
      </c>
      <c r="H220" s="206">
        <f>(1-(1-(E223/100))^10)</f>
        <v>0</v>
      </c>
    </row>
    <row r="221" spans="1:11" ht="33" customHeight="1" x14ac:dyDescent="0.25">
      <c r="A221" s="188" t="s">
        <v>305</v>
      </c>
      <c r="B221" s="189"/>
      <c r="C221" s="190"/>
      <c r="D221" s="204"/>
      <c r="E221" s="194" t="str">
        <f>IF(OR(E219="",E220=""),"",E219+E220)</f>
        <v/>
      </c>
      <c r="F221" s="73"/>
      <c r="G221" s="59" t="s">
        <v>327</v>
      </c>
      <c r="H221" s="30">
        <f>E224+E229</f>
        <v>0</v>
      </c>
    </row>
    <row r="222" spans="1:11" ht="33" customHeight="1" x14ac:dyDescent="0.25">
      <c r="A222" s="192" t="s">
        <v>313</v>
      </c>
      <c r="B222" s="189"/>
      <c r="C222" s="190"/>
      <c r="D222" s="204"/>
      <c r="E222" s="194">
        <f>E220+5</f>
        <v>5</v>
      </c>
      <c r="F222" s="73"/>
      <c r="G222" s="59" t="s">
        <v>328</v>
      </c>
      <c r="H222" s="30">
        <f>E226+E229</f>
        <v>0</v>
      </c>
    </row>
    <row r="223" spans="1:11" ht="33" customHeight="1" x14ac:dyDescent="0.25">
      <c r="A223" s="274" t="s">
        <v>79</v>
      </c>
      <c r="B223" s="275"/>
      <c r="C223" s="276"/>
      <c r="D223" s="198" t="s">
        <v>336</v>
      </c>
      <c r="E223" s="207"/>
      <c r="F223" s="73"/>
      <c r="G223" s="59" t="s">
        <v>324</v>
      </c>
      <c r="H223" s="30">
        <f>E224-(E224-E225)*IF(E238&gt;0,(E235*E239/E234*E238),1)</f>
        <v>0</v>
      </c>
    </row>
    <row r="224" spans="1:11" s="14" customFormat="1" ht="33.75" customHeight="1" x14ac:dyDescent="0.25">
      <c r="A224" s="269" t="s">
        <v>258</v>
      </c>
      <c r="B224" s="270"/>
      <c r="C224" s="271"/>
      <c r="D224" s="190" t="s">
        <v>337</v>
      </c>
      <c r="E224" s="51"/>
      <c r="F224" s="35"/>
      <c r="G224" s="59" t="s">
        <v>323</v>
      </c>
      <c r="H224" s="30">
        <f>E229-(E229-E230)*IF(E236&gt;0,(E233*E237/E232*E236),1)</f>
        <v>0</v>
      </c>
    </row>
    <row r="225" spans="1:11" s="14" customFormat="1" ht="33" customHeight="1" x14ac:dyDescent="0.25">
      <c r="A225" s="277" t="s">
        <v>259</v>
      </c>
      <c r="B225" s="278"/>
      <c r="C225" s="279"/>
      <c r="D225" s="190" t="s">
        <v>337</v>
      </c>
      <c r="E225" s="51"/>
      <c r="F225" s="96"/>
    </row>
    <row r="226" spans="1:11" s="25" customFormat="1" ht="36.950000000000003" customHeight="1" x14ac:dyDescent="0.25">
      <c r="A226" s="269" t="s">
        <v>260</v>
      </c>
      <c r="B226" s="270"/>
      <c r="C226" s="271"/>
      <c r="D226" s="190" t="s">
        <v>337</v>
      </c>
      <c r="E226" s="51"/>
      <c r="F226" s="96"/>
    </row>
    <row r="227" spans="1:11" s="25" customFormat="1" ht="33" customHeight="1" x14ac:dyDescent="0.25">
      <c r="A227" s="269" t="s">
        <v>261</v>
      </c>
      <c r="B227" s="270"/>
      <c r="C227" s="271"/>
      <c r="D227" s="190" t="s">
        <v>337</v>
      </c>
      <c r="E227" s="51"/>
      <c r="F227" s="96"/>
    </row>
    <row r="228" spans="1:11" s="25" customFormat="1" ht="33" customHeight="1" x14ac:dyDescent="0.25">
      <c r="A228" s="269" t="s">
        <v>24</v>
      </c>
      <c r="B228" s="270"/>
      <c r="C228" s="271"/>
      <c r="D228" s="190" t="s">
        <v>337</v>
      </c>
      <c r="E228" s="51"/>
      <c r="F228" s="96"/>
    </row>
    <row r="229" spans="1:11" s="25" customFormat="1" ht="47.1" customHeight="1" x14ac:dyDescent="0.25">
      <c r="A229" s="269" t="s">
        <v>320</v>
      </c>
      <c r="B229" s="270"/>
      <c r="C229" s="271"/>
      <c r="D229" s="190" t="s">
        <v>337</v>
      </c>
      <c r="E229" s="51"/>
      <c r="F229" s="27"/>
    </row>
    <row r="230" spans="1:11" s="25" customFormat="1" ht="33" customHeight="1" x14ac:dyDescent="0.25">
      <c r="A230" s="269" t="s">
        <v>321</v>
      </c>
      <c r="B230" s="270"/>
      <c r="C230" s="271"/>
      <c r="D230" s="190" t="s">
        <v>337</v>
      </c>
      <c r="E230" s="51"/>
      <c r="F230" s="27"/>
    </row>
    <row r="231" spans="1:11" s="25" customFormat="1" ht="33" customHeight="1" x14ac:dyDescent="0.25">
      <c r="A231" s="274" t="s">
        <v>366</v>
      </c>
      <c r="B231" s="275"/>
      <c r="C231" s="276"/>
      <c r="D231" s="174" t="s">
        <v>312</v>
      </c>
      <c r="E231" s="51"/>
      <c r="F231" s="27"/>
    </row>
    <row r="232" spans="1:11" s="25" customFormat="1" ht="33" customHeight="1" x14ac:dyDescent="0.25">
      <c r="A232" s="272" t="s">
        <v>315</v>
      </c>
      <c r="B232" s="272"/>
      <c r="C232" s="272"/>
      <c r="D232" s="174" t="s">
        <v>312</v>
      </c>
      <c r="E232" s="45"/>
      <c r="F232" s="27"/>
    </row>
    <row r="233" spans="1:11" s="25" customFormat="1" ht="33" customHeight="1" x14ac:dyDescent="0.25">
      <c r="A233" s="269" t="s">
        <v>314</v>
      </c>
      <c r="B233" s="270"/>
      <c r="C233" s="271"/>
      <c r="D233" s="190" t="s">
        <v>312</v>
      </c>
      <c r="E233" s="45"/>
      <c r="F233" s="27"/>
    </row>
    <row r="234" spans="1:11" s="25" customFormat="1" ht="33" customHeight="1" x14ac:dyDescent="0.25">
      <c r="A234" s="272" t="s">
        <v>326</v>
      </c>
      <c r="B234" s="272"/>
      <c r="C234" s="272"/>
      <c r="D234" s="174" t="s">
        <v>312</v>
      </c>
      <c r="E234" s="45"/>
      <c r="F234" s="27"/>
    </row>
    <row r="235" spans="1:11" s="25" customFormat="1" ht="33" customHeight="1" x14ac:dyDescent="0.25">
      <c r="A235" s="269" t="s">
        <v>325</v>
      </c>
      <c r="B235" s="270"/>
      <c r="C235" s="271"/>
      <c r="D235" s="190" t="s">
        <v>312</v>
      </c>
      <c r="E235" s="45"/>
      <c r="F235" s="27"/>
    </row>
    <row r="236" spans="1:11" s="25" customFormat="1" ht="49.5" customHeight="1" x14ac:dyDescent="0.25">
      <c r="A236" s="269" t="s">
        <v>316</v>
      </c>
      <c r="B236" s="270"/>
      <c r="C236" s="271"/>
      <c r="D236" s="190" t="s">
        <v>312</v>
      </c>
      <c r="E236" s="95"/>
      <c r="F236" s="27"/>
    </row>
    <row r="237" spans="1:11" s="25" customFormat="1" ht="47.1" customHeight="1" x14ac:dyDescent="0.25">
      <c r="A237" s="269" t="s">
        <v>317</v>
      </c>
      <c r="B237" s="270"/>
      <c r="C237" s="271"/>
      <c r="D237" s="190" t="s">
        <v>312</v>
      </c>
      <c r="E237" s="95"/>
      <c r="F237" s="27"/>
    </row>
    <row r="238" spans="1:11" s="25" customFormat="1" ht="50.1" customHeight="1" x14ac:dyDescent="0.25">
      <c r="A238" s="269" t="s">
        <v>319</v>
      </c>
      <c r="B238" s="270"/>
      <c r="C238" s="271"/>
      <c r="D238" s="190" t="s">
        <v>312</v>
      </c>
      <c r="E238" s="95"/>
      <c r="F238" s="27"/>
      <c r="I238" s="27"/>
    </row>
    <row r="239" spans="1:11" s="25" customFormat="1" ht="50.1" customHeight="1" x14ac:dyDescent="0.25">
      <c r="A239" s="269" t="s">
        <v>318</v>
      </c>
      <c r="B239" s="270"/>
      <c r="C239" s="271"/>
      <c r="D239" s="190" t="s">
        <v>312</v>
      </c>
      <c r="E239" s="95"/>
      <c r="F239" s="27"/>
      <c r="G239" s="27"/>
      <c r="H239" s="27"/>
      <c r="I239" s="27"/>
      <c r="J239" s="26"/>
      <c r="K239" s="183"/>
    </row>
    <row r="240" spans="1:11" s="25" customFormat="1" ht="50.1" customHeight="1" x14ac:dyDescent="0.25">
      <c r="A240" s="62" t="s">
        <v>191</v>
      </c>
      <c r="B240"/>
      <c r="C240"/>
      <c r="D240"/>
      <c r="E240"/>
      <c r="F240" s="27"/>
      <c r="G240" s="27"/>
      <c r="H240" s="27"/>
      <c r="I240" s="27"/>
      <c r="J240" s="26"/>
      <c r="K240" s="183"/>
    </row>
    <row r="241" spans="1:8" ht="16.5" thickBot="1" x14ac:dyDescent="0.3">
      <c r="B241" s="196" t="s">
        <v>329</v>
      </c>
      <c r="C241" s="199"/>
      <c r="D241" s="62" t="s">
        <v>301</v>
      </c>
      <c r="E241" s="62" t="s">
        <v>302</v>
      </c>
    </row>
    <row r="242" spans="1:8" ht="33" customHeight="1" thickBot="1" x14ac:dyDescent="0.3">
      <c r="A242" s="274" t="s">
        <v>163</v>
      </c>
      <c r="B242" s="275"/>
      <c r="C242" s="276"/>
      <c r="D242" s="191" t="s">
        <v>303</v>
      </c>
      <c r="E242" s="205"/>
      <c r="F242" s="73"/>
      <c r="G242" s="59" t="s">
        <v>330</v>
      </c>
      <c r="H242" s="209">
        <f>H243-H244</f>
        <v>0</v>
      </c>
    </row>
    <row r="243" spans="1:8" ht="33" customHeight="1" x14ac:dyDescent="0.25">
      <c r="A243" s="269" t="s">
        <v>216</v>
      </c>
      <c r="B243" s="270"/>
      <c r="C243" s="271"/>
      <c r="D243" s="190" t="s">
        <v>303</v>
      </c>
      <c r="E243" s="94"/>
      <c r="F243" s="73"/>
      <c r="G243" s="59" t="s">
        <v>43</v>
      </c>
      <c r="H243" s="208">
        <f>(H246-H245*(H247-H248-H249))*ERFs!B$57-E253*ERFs!B$23</f>
        <v>0</v>
      </c>
    </row>
    <row r="244" spans="1:8" ht="33" customHeight="1" x14ac:dyDescent="0.25">
      <c r="A244" s="269" t="s">
        <v>300</v>
      </c>
      <c r="B244" s="270"/>
      <c r="C244" s="271"/>
      <c r="D244" s="204"/>
      <c r="E244" s="30" t="str">
        <f>IF(E243="Class I", 50, IF(E243="Class II or III",60, IF(E243="Class IV or V", 80,"")))</f>
        <v/>
      </c>
      <c r="F244" s="73"/>
      <c r="G244" s="59" t="s">
        <v>41</v>
      </c>
      <c r="H244" s="30">
        <f>(H247-H245*(H247-E252-E255))*ERFs!B$57</f>
        <v>0</v>
      </c>
    </row>
    <row r="245" spans="1:8" ht="33" customHeight="1" x14ac:dyDescent="0.25">
      <c r="A245" s="188" t="s">
        <v>311</v>
      </c>
      <c r="B245" s="189"/>
      <c r="C245" s="190"/>
      <c r="D245" s="190" t="s">
        <v>303</v>
      </c>
      <c r="E245" s="193"/>
      <c r="F245" s="73"/>
      <c r="G245" s="59" t="s">
        <v>322</v>
      </c>
      <c r="H245" s="206">
        <f>(1-(1-(E248/100))^10)</f>
        <v>0</v>
      </c>
    </row>
    <row r="246" spans="1:8" ht="33" customHeight="1" x14ac:dyDescent="0.25">
      <c r="A246" s="188" t="s">
        <v>305</v>
      </c>
      <c r="B246" s="189"/>
      <c r="C246" s="190"/>
      <c r="D246" s="204"/>
      <c r="E246" s="194" t="str">
        <f>IF(OR(E244="",E245=""),"",E244+E245)</f>
        <v/>
      </c>
      <c r="F246" s="73"/>
      <c r="G246" s="59" t="s">
        <v>327</v>
      </c>
      <c r="H246" s="30">
        <f>E249+E254</f>
        <v>0</v>
      </c>
    </row>
    <row r="247" spans="1:8" ht="33" customHeight="1" x14ac:dyDescent="0.25">
      <c r="A247" s="192" t="s">
        <v>313</v>
      </c>
      <c r="B247" s="189"/>
      <c r="C247" s="190"/>
      <c r="D247" s="204"/>
      <c r="E247" s="194">
        <f>E245+5</f>
        <v>5</v>
      </c>
      <c r="F247" s="73"/>
      <c r="G247" s="59" t="s">
        <v>328</v>
      </c>
      <c r="H247" s="30">
        <f>E251+E254</f>
        <v>0</v>
      </c>
    </row>
    <row r="248" spans="1:8" ht="33" customHeight="1" x14ac:dyDescent="0.25">
      <c r="A248" s="274" t="s">
        <v>79</v>
      </c>
      <c r="B248" s="275"/>
      <c r="C248" s="276"/>
      <c r="D248" s="198" t="s">
        <v>336</v>
      </c>
      <c r="E248" s="207"/>
      <c r="F248" s="73"/>
      <c r="G248" s="59" t="s">
        <v>324</v>
      </c>
      <c r="H248" s="30">
        <f>E249-(E249-E250)*IF(E263&gt;0,(E260*E264/E259*E263),1)</f>
        <v>0</v>
      </c>
    </row>
    <row r="249" spans="1:8" s="14" customFormat="1" ht="33.75" customHeight="1" x14ac:dyDescent="0.25">
      <c r="A249" s="269" t="s">
        <v>258</v>
      </c>
      <c r="B249" s="270"/>
      <c r="C249" s="271"/>
      <c r="D249" s="190" t="s">
        <v>337</v>
      </c>
      <c r="E249" s="51"/>
      <c r="F249" s="35"/>
      <c r="G249" s="59" t="s">
        <v>323</v>
      </c>
      <c r="H249" s="30">
        <f>E254-(E254-E255)*IF(E261&gt;0,(E258*E262/E257*E261),1)</f>
        <v>0</v>
      </c>
    </row>
    <row r="250" spans="1:8" s="14" customFormat="1" ht="33" customHeight="1" x14ac:dyDescent="0.25">
      <c r="A250" s="277" t="s">
        <v>259</v>
      </c>
      <c r="B250" s="278"/>
      <c r="C250" s="279"/>
      <c r="D250" s="190" t="s">
        <v>337</v>
      </c>
      <c r="E250" s="51"/>
      <c r="F250" s="96"/>
    </row>
    <row r="251" spans="1:8" s="25" customFormat="1" ht="36.950000000000003" customHeight="1" x14ac:dyDescent="0.25">
      <c r="A251" s="269" t="s">
        <v>260</v>
      </c>
      <c r="B251" s="270"/>
      <c r="C251" s="271"/>
      <c r="D251" s="190" t="s">
        <v>337</v>
      </c>
      <c r="E251" s="51"/>
      <c r="F251" s="96"/>
    </row>
    <row r="252" spans="1:8" s="25" customFormat="1" ht="33" customHeight="1" x14ac:dyDescent="0.25">
      <c r="A252" s="269" t="s">
        <v>261</v>
      </c>
      <c r="B252" s="270"/>
      <c r="C252" s="271"/>
      <c r="D252" s="190" t="s">
        <v>337</v>
      </c>
      <c r="E252" s="51"/>
      <c r="F252" s="96"/>
    </row>
    <row r="253" spans="1:8" s="25" customFormat="1" ht="33" customHeight="1" x14ac:dyDescent="0.25">
      <c r="A253" s="269" t="s">
        <v>24</v>
      </c>
      <c r="B253" s="270"/>
      <c r="C253" s="271"/>
      <c r="D253" s="190" t="s">
        <v>337</v>
      </c>
      <c r="E253" s="51"/>
      <c r="F253" s="96"/>
    </row>
    <row r="254" spans="1:8" s="25" customFormat="1" ht="47.1" customHeight="1" x14ac:dyDescent="0.25">
      <c r="A254" s="269" t="s">
        <v>320</v>
      </c>
      <c r="B254" s="270"/>
      <c r="C254" s="271"/>
      <c r="D254" s="190" t="s">
        <v>337</v>
      </c>
      <c r="E254" s="51"/>
      <c r="F254" s="27"/>
    </row>
    <row r="255" spans="1:8" s="25" customFormat="1" ht="33" customHeight="1" x14ac:dyDescent="0.25">
      <c r="A255" s="269" t="s">
        <v>321</v>
      </c>
      <c r="B255" s="270"/>
      <c r="C255" s="271"/>
      <c r="D255" s="190" t="s">
        <v>337</v>
      </c>
      <c r="E255" s="51"/>
      <c r="F255" s="27"/>
    </row>
    <row r="256" spans="1:8" s="25" customFormat="1" ht="33" customHeight="1" x14ac:dyDescent="0.25">
      <c r="A256" s="274" t="s">
        <v>366</v>
      </c>
      <c r="B256" s="275"/>
      <c r="C256" s="276"/>
      <c r="D256" s="174" t="s">
        <v>312</v>
      </c>
      <c r="E256" s="51"/>
      <c r="F256" s="27"/>
    </row>
    <row r="257" spans="1:11" s="25" customFormat="1" ht="33" customHeight="1" x14ac:dyDescent="0.25">
      <c r="A257" s="272" t="s">
        <v>315</v>
      </c>
      <c r="B257" s="272"/>
      <c r="C257" s="272"/>
      <c r="D257" s="174" t="s">
        <v>312</v>
      </c>
      <c r="E257" s="45"/>
      <c r="F257" s="27"/>
    </row>
    <row r="258" spans="1:11" s="25" customFormat="1" ht="33" customHeight="1" x14ac:dyDescent="0.25">
      <c r="A258" s="269" t="s">
        <v>314</v>
      </c>
      <c r="B258" s="270"/>
      <c r="C258" s="271"/>
      <c r="D258" s="190" t="s">
        <v>312</v>
      </c>
      <c r="E258" s="45"/>
      <c r="F258" s="27"/>
    </row>
    <row r="259" spans="1:11" s="25" customFormat="1" ht="33" customHeight="1" x14ac:dyDescent="0.25">
      <c r="A259" s="272" t="s">
        <v>326</v>
      </c>
      <c r="B259" s="272"/>
      <c r="C259" s="272"/>
      <c r="D259" s="174" t="s">
        <v>312</v>
      </c>
      <c r="E259" s="45"/>
      <c r="F259" s="27"/>
    </row>
    <row r="260" spans="1:11" s="25" customFormat="1" ht="33" customHeight="1" x14ac:dyDescent="0.25">
      <c r="A260" s="269" t="s">
        <v>325</v>
      </c>
      <c r="B260" s="270"/>
      <c r="C260" s="271"/>
      <c r="D260" s="190" t="s">
        <v>312</v>
      </c>
      <c r="E260" s="45"/>
      <c r="F260" s="27"/>
    </row>
    <row r="261" spans="1:11" s="25" customFormat="1" ht="49.5" customHeight="1" x14ac:dyDescent="0.25">
      <c r="A261" s="269" t="s">
        <v>316</v>
      </c>
      <c r="B261" s="270"/>
      <c r="C261" s="271"/>
      <c r="D261" s="190" t="s">
        <v>312</v>
      </c>
      <c r="E261" s="95"/>
      <c r="F261" s="27"/>
    </row>
    <row r="262" spans="1:11" s="25" customFormat="1" ht="47.1" customHeight="1" x14ac:dyDescent="0.25">
      <c r="A262" s="269" t="s">
        <v>317</v>
      </c>
      <c r="B262" s="270"/>
      <c r="C262" s="271"/>
      <c r="D262" s="190" t="s">
        <v>312</v>
      </c>
      <c r="E262" s="95"/>
      <c r="F262" s="27"/>
    </row>
    <row r="263" spans="1:11" s="25" customFormat="1" ht="50.1" customHeight="1" x14ac:dyDescent="0.25">
      <c r="A263" s="269" t="s">
        <v>319</v>
      </c>
      <c r="B263" s="270"/>
      <c r="C263" s="271"/>
      <c r="D263" s="190" t="s">
        <v>312</v>
      </c>
      <c r="E263" s="95"/>
      <c r="F263" s="27"/>
      <c r="I263" s="27"/>
    </row>
    <row r="264" spans="1:11" s="25" customFormat="1" ht="50.1" customHeight="1" x14ac:dyDescent="0.25">
      <c r="A264" s="269" t="s">
        <v>318</v>
      </c>
      <c r="B264" s="270"/>
      <c r="C264" s="271"/>
      <c r="D264" s="190" t="s">
        <v>312</v>
      </c>
      <c r="E264" s="95"/>
      <c r="F264" s="27"/>
      <c r="G264" s="27"/>
      <c r="H264" s="27"/>
      <c r="I264" s="27"/>
      <c r="J264" s="26"/>
      <c r="K264" s="183"/>
    </row>
    <row r="265" spans="1:11" s="25" customFormat="1" ht="50.1" customHeight="1" x14ac:dyDescent="0.25">
      <c r="A265" s="62" t="s">
        <v>290</v>
      </c>
      <c r="B265"/>
      <c r="C265"/>
      <c r="D265"/>
      <c r="E265"/>
      <c r="F265" s="27"/>
      <c r="G265" s="27"/>
      <c r="H265" s="27"/>
      <c r="I265" s="27"/>
      <c r="J265" s="26"/>
      <c r="K265" s="183"/>
    </row>
    <row r="266" spans="1:11" ht="16.5" thickBot="1" x14ac:dyDescent="0.3">
      <c r="B266" s="196" t="s">
        <v>329</v>
      </c>
      <c r="C266" s="199"/>
      <c r="D266" s="62" t="s">
        <v>301</v>
      </c>
      <c r="E266" s="62" t="s">
        <v>302</v>
      </c>
    </row>
    <row r="267" spans="1:11" ht="33" customHeight="1" thickBot="1" x14ac:dyDescent="0.3">
      <c r="A267" s="274" t="s">
        <v>163</v>
      </c>
      <c r="B267" s="275"/>
      <c r="C267" s="276"/>
      <c r="D267" s="191" t="s">
        <v>303</v>
      </c>
      <c r="E267" s="205"/>
      <c r="F267" s="73"/>
      <c r="G267" s="59" t="s">
        <v>330</v>
      </c>
      <c r="H267" s="209">
        <f>H268-H269</f>
        <v>0</v>
      </c>
    </row>
    <row r="268" spans="1:11" ht="33" customHeight="1" x14ac:dyDescent="0.25">
      <c r="A268" s="269" t="s">
        <v>216</v>
      </c>
      <c r="B268" s="270"/>
      <c r="C268" s="271"/>
      <c r="D268" s="190" t="s">
        <v>303</v>
      </c>
      <c r="E268" s="94"/>
      <c r="F268" s="73"/>
      <c r="G268" s="59" t="s">
        <v>43</v>
      </c>
      <c r="H268" s="208">
        <f>(H271-H270*(H272-H273-H274))*ERFs!B$57-E278*ERFs!B$23</f>
        <v>0</v>
      </c>
    </row>
    <row r="269" spans="1:11" ht="33" customHeight="1" x14ac:dyDescent="0.25">
      <c r="A269" s="269" t="s">
        <v>300</v>
      </c>
      <c r="B269" s="270"/>
      <c r="C269" s="271"/>
      <c r="D269" s="204"/>
      <c r="E269" s="30" t="str">
        <f>IF(E268="Class I", 50, IF(E268="Class II or III",60, IF(E268="Class IV or V", 80,"")))</f>
        <v/>
      </c>
      <c r="F269" s="73"/>
      <c r="G269" s="59" t="s">
        <v>41</v>
      </c>
      <c r="H269" s="30">
        <f>(H272-H270*(H272-E277-E280))*ERFs!B$57</f>
        <v>0</v>
      </c>
    </row>
    <row r="270" spans="1:11" ht="33" customHeight="1" x14ac:dyDescent="0.25">
      <c r="A270" s="188" t="s">
        <v>311</v>
      </c>
      <c r="B270" s="189"/>
      <c r="C270" s="190"/>
      <c r="D270" s="190" t="s">
        <v>303</v>
      </c>
      <c r="E270" s="193"/>
      <c r="F270" s="73"/>
      <c r="G270" s="59" t="s">
        <v>322</v>
      </c>
      <c r="H270" s="206">
        <f>(1-(1-(E273/100))^10)</f>
        <v>0</v>
      </c>
    </row>
    <row r="271" spans="1:11" ht="33" customHeight="1" x14ac:dyDescent="0.25">
      <c r="A271" s="188" t="s">
        <v>305</v>
      </c>
      <c r="B271" s="189"/>
      <c r="C271" s="190"/>
      <c r="D271" s="204"/>
      <c r="E271" s="194" t="str">
        <f>IF(OR(E269="",E270=""),"",E269+E270)</f>
        <v/>
      </c>
      <c r="F271" s="73"/>
      <c r="G271" s="59" t="s">
        <v>327</v>
      </c>
      <c r="H271" s="30">
        <f>E274+E279</f>
        <v>0</v>
      </c>
    </row>
    <row r="272" spans="1:11" ht="33" customHeight="1" x14ac:dyDescent="0.25">
      <c r="A272" s="192" t="s">
        <v>313</v>
      </c>
      <c r="B272" s="189"/>
      <c r="C272" s="190"/>
      <c r="D272" s="204"/>
      <c r="E272" s="194">
        <f>E270+5</f>
        <v>5</v>
      </c>
      <c r="F272" s="73"/>
      <c r="G272" s="59" t="s">
        <v>328</v>
      </c>
      <c r="H272" s="30">
        <f>E276+E279</f>
        <v>0</v>
      </c>
    </row>
    <row r="273" spans="1:9" ht="33" customHeight="1" x14ac:dyDescent="0.25">
      <c r="A273" s="274" t="s">
        <v>79</v>
      </c>
      <c r="B273" s="275"/>
      <c r="C273" s="276"/>
      <c r="D273" s="198" t="s">
        <v>336</v>
      </c>
      <c r="E273" s="207"/>
      <c r="F273" s="73"/>
      <c r="G273" s="59" t="s">
        <v>324</v>
      </c>
      <c r="H273" s="30">
        <f>E274-(E274-E275)*IF(E288&gt;0,(E285*E289/E284*E288),1)</f>
        <v>0</v>
      </c>
    </row>
    <row r="274" spans="1:9" s="14" customFormat="1" ht="33.75" customHeight="1" x14ac:dyDescent="0.25">
      <c r="A274" s="269" t="s">
        <v>258</v>
      </c>
      <c r="B274" s="270"/>
      <c r="C274" s="271"/>
      <c r="D274" s="190" t="s">
        <v>337</v>
      </c>
      <c r="E274" s="51"/>
      <c r="F274" s="35"/>
      <c r="G274" s="59" t="s">
        <v>323</v>
      </c>
      <c r="H274" s="30">
        <f>E279-(E279-E280)*IF(E286&gt;0,(E283*E287/E282*E286),1)</f>
        <v>0</v>
      </c>
    </row>
    <row r="275" spans="1:9" s="14" customFormat="1" ht="33" customHeight="1" x14ac:dyDescent="0.25">
      <c r="A275" s="277" t="s">
        <v>259</v>
      </c>
      <c r="B275" s="278"/>
      <c r="C275" s="279"/>
      <c r="D275" s="190" t="s">
        <v>337</v>
      </c>
      <c r="E275" s="51"/>
      <c r="F275" s="96"/>
    </row>
    <row r="276" spans="1:9" s="25" customFormat="1" ht="36.950000000000003" customHeight="1" x14ac:dyDescent="0.25">
      <c r="A276" s="269" t="s">
        <v>260</v>
      </c>
      <c r="B276" s="270"/>
      <c r="C276" s="271"/>
      <c r="D276" s="190" t="s">
        <v>337</v>
      </c>
      <c r="E276" s="51"/>
      <c r="F276" s="96"/>
    </row>
    <row r="277" spans="1:9" s="25" customFormat="1" ht="33" customHeight="1" x14ac:dyDescent="0.25">
      <c r="A277" s="269" t="s">
        <v>261</v>
      </c>
      <c r="B277" s="270"/>
      <c r="C277" s="271"/>
      <c r="D277" s="190" t="s">
        <v>337</v>
      </c>
      <c r="E277" s="51"/>
      <c r="F277" s="96"/>
    </row>
    <row r="278" spans="1:9" s="25" customFormat="1" ht="33" customHeight="1" x14ac:dyDescent="0.25">
      <c r="A278" s="269" t="s">
        <v>24</v>
      </c>
      <c r="B278" s="270"/>
      <c r="C278" s="271"/>
      <c r="D278" s="190" t="s">
        <v>337</v>
      </c>
      <c r="E278" s="51"/>
      <c r="F278" s="96"/>
    </row>
    <row r="279" spans="1:9" s="25" customFormat="1" ht="47.1" customHeight="1" x14ac:dyDescent="0.25">
      <c r="A279" s="269" t="s">
        <v>320</v>
      </c>
      <c r="B279" s="270"/>
      <c r="C279" s="271"/>
      <c r="D279" s="190" t="s">
        <v>337</v>
      </c>
      <c r="E279" s="51"/>
      <c r="F279" s="27"/>
    </row>
    <row r="280" spans="1:9" s="25" customFormat="1" ht="33" customHeight="1" x14ac:dyDescent="0.25">
      <c r="A280" s="269" t="s">
        <v>321</v>
      </c>
      <c r="B280" s="270"/>
      <c r="C280" s="271"/>
      <c r="D280" s="190" t="s">
        <v>337</v>
      </c>
      <c r="E280" s="51"/>
      <c r="F280" s="27"/>
    </row>
    <row r="281" spans="1:9" s="25" customFormat="1" ht="33" customHeight="1" x14ac:dyDescent="0.25">
      <c r="A281" s="274" t="s">
        <v>366</v>
      </c>
      <c r="B281" s="275"/>
      <c r="C281" s="276"/>
      <c r="D281" s="174" t="s">
        <v>312</v>
      </c>
      <c r="E281" s="51"/>
      <c r="F281" s="27"/>
    </row>
    <row r="282" spans="1:9" s="25" customFormat="1" ht="33" customHeight="1" x14ac:dyDescent="0.25">
      <c r="A282" s="272" t="s">
        <v>315</v>
      </c>
      <c r="B282" s="272"/>
      <c r="C282" s="272"/>
      <c r="D282" s="174" t="s">
        <v>312</v>
      </c>
      <c r="E282" s="45"/>
      <c r="F282" s="27"/>
    </row>
    <row r="283" spans="1:9" s="25" customFormat="1" ht="33" customHeight="1" x14ac:dyDescent="0.25">
      <c r="A283" s="269" t="s">
        <v>314</v>
      </c>
      <c r="B283" s="270"/>
      <c r="C283" s="271"/>
      <c r="D283" s="190" t="s">
        <v>312</v>
      </c>
      <c r="E283" s="45"/>
      <c r="F283" s="27"/>
    </row>
    <row r="284" spans="1:9" s="25" customFormat="1" ht="33" customHeight="1" x14ac:dyDescent="0.25">
      <c r="A284" s="272" t="s">
        <v>326</v>
      </c>
      <c r="B284" s="272"/>
      <c r="C284" s="272"/>
      <c r="D284" s="174" t="s">
        <v>312</v>
      </c>
      <c r="E284" s="45"/>
      <c r="F284" s="27"/>
    </row>
    <row r="285" spans="1:9" s="25" customFormat="1" ht="33" customHeight="1" x14ac:dyDescent="0.25">
      <c r="A285" s="269" t="s">
        <v>325</v>
      </c>
      <c r="B285" s="270"/>
      <c r="C285" s="271"/>
      <c r="D285" s="190" t="s">
        <v>312</v>
      </c>
      <c r="E285" s="45"/>
      <c r="F285" s="27"/>
    </row>
    <row r="286" spans="1:9" s="25" customFormat="1" ht="49.5" customHeight="1" x14ac:dyDescent="0.25">
      <c r="A286" s="269" t="s">
        <v>316</v>
      </c>
      <c r="B286" s="270"/>
      <c r="C286" s="271"/>
      <c r="D286" s="190" t="s">
        <v>312</v>
      </c>
      <c r="E286" s="95"/>
      <c r="F286" s="27"/>
    </row>
    <row r="287" spans="1:9" s="25" customFormat="1" ht="47.1" customHeight="1" x14ac:dyDescent="0.25">
      <c r="A287" s="269" t="s">
        <v>317</v>
      </c>
      <c r="B287" s="270"/>
      <c r="C287" s="271"/>
      <c r="D287" s="190" t="s">
        <v>312</v>
      </c>
      <c r="E287" s="95"/>
      <c r="F287" s="27"/>
    </row>
    <row r="288" spans="1:9" s="25" customFormat="1" ht="50.1" customHeight="1" x14ac:dyDescent="0.25">
      <c r="A288" s="269" t="s">
        <v>319</v>
      </c>
      <c r="B288" s="270"/>
      <c r="C288" s="271"/>
      <c r="D288" s="190" t="s">
        <v>312</v>
      </c>
      <c r="E288" s="95"/>
      <c r="F288" s="27"/>
      <c r="I288" s="27"/>
    </row>
    <row r="289" spans="1:11" s="25" customFormat="1" ht="50.1" customHeight="1" x14ac:dyDescent="0.25">
      <c r="A289" s="269" t="s">
        <v>318</v>
      </c>
      <c r="B289" s="270"/>
      <c r="C289" s="271"/>
      <c r="D289" s="190" t="s">
        <v>312</v>
      </c>
      <c r="E289" s="95"/>
      <c r="F289" s="27"/>
      <c r="G289" s="27"/>
      <c r="H289" s="27"/>
      <c r="I289" s="27"/>
      <c r="J289" s="26"/>
      <c r="K289" s="183"/>
    </row>
    <row r="290" spans="1:11" s="25" customFormat="1" ht="50.1" customHeight="1" x14ac:dyDescent="0.25">
      <c r="A290" s="62" t="s">
        <v>291</v>
      </c>
      <c r="B290"/>
      <c r="C290"/>
      <c r="D290"/>
      <c r="E290"/>
      <c r="F290" s="27"/>
      <c r="G290" s="27"/>
      <c r="H290" s="27"/>
      <c r="I290" s="27"/>
      <c r="J290" s="26"/>
      <c r="K290" s="183"/>
    </row>
    <row r="291" spans="1:11" ht="16.5" thickBot="1" x14ac:dyDescent="0.3">
      <c r="B291" s="196" t="s">
        <v>329</v>
      </c>
      <c r="C291" s="199"/>
      <c r="D291" s="62" t="s">
        <v>301</v>
      </c>
      <c r="E291" s="62" t="s">
        <v>302</v>
      </c>
    </row>
    <row r="292" spans="1:11" ht="33" customHeight="1" thickBot="1" x14ac:dyDescent="0.3">
      <c r="A292" s="274" t="s">
        <v>163</v>
      </c>
      <c r="B292" s="275"/>
      <c r="C292" s="276"/>
      <c r="D292" s="191" t="s">
        <v>303</v>
      </c>
      <c r="E292" s="205"/>
      <c r="F292" s="73"/>
      <c r="G292" s="59" t="s">
        <v>330</v>
      </c>
      <c r="H292" s="209">
        <f>H293-H294</f>
        <v>0</v>
      </c>
    </row>
    <row r="293" spans="1:11" ht="33" customHeight="1" x14ac:dyDescent="0.25">
      <c r="A293" s="269" t="s">
        <v>216</v>
      </c>
      <c r="B293" s="270"/>
      <c r="C293" s="271"/>
      <c r="D293" s="190" t="s">
        <v>303</v>
      </c>
      <c r="E293" s="94"/>
      <c r="F293" s="73"/>
      <c r="G293" s="59" t="s">
        <v>43</v>
      </c>
      <c r="H293" s="208">
        <f>(H296-H295*(H297-H298-H299))*ERFs!B$57-E303*ERFs!B$23</f>
        <v>0</v>
      </c>
    </row>
    <row r="294" spans="1:11" ht="33" customHeight="1" x14ac:dyDescent="0.25">
      <c r="A294" s="269" t="s">
        <v>300</v>
      </c>
      <c r="B294" s="270"/>
      <c r="C294" s="271"/>
      <c r="D294" s="204"/>
      <c r="E294" s="30" t="str">
        <f>IF(E293="Class I", 50, IF(E293="Class II or III",60, IF(E293="Class IV or V", 80,"")))</f>
        <v/>
      </c>
      <c r="F294" s="73"/>
      <c r="G294" s="59" t="s">
        <v>41</v>
      </c>
      <c r="H294" s="30">
        <f>(H297-H295*(H297-E302-E305))*ERFs!B$57</f>
        <v>0</v>
      </c>
    </row>
    <row r="295" spans="1:11" ht="33" customHeight="1" x14ac:dyDescent="0.25">
      <c r="A295" s="188" t="s">
        <v>311</v>
      </c>
      <c r="B295" s="189"/>
      <c r="C295" s="190"/>
      <c r="D295" s="190" t="s">
        <v>303</v>
      </c>
      <c r="E295" s="193"/>
      <c r="F295" s="73"/>
      <c r="G295" s="59" t="s">
        <v>322</v>
      </c>
      <c r="H295" s="206">
        <f>(1-(1-(E298/100))^10)</f>
        <v>0</v>
      </c>
    </row>
    <row r="296" spans="1:11" ht="33" customHeight="1" x14ac:dyDescent="0.25">
      <c r="A296" s="188" t="s">
        <v>305</v>
      </c>
      <c r="B296" s="189"/>
      <c r="C296" s="190"/>
      <c r="D296" s="204"/>
      <c r="E296" s="194" t="str">
        <f>IF(OR(E294="",E295=""),"",E294+E295)</f>
        <v/>
      </c>
      <c r="F296" s="73"/>
      <c r="G296" s="59" t="s">
        <v>327</v>
      </c>
      <c r="H296" s="30">
        <f>E299+E304</f>
        <v>0</v>
      </c>
    </row>
    <row r="297" spans="1:11" ht="33" customHeight="1" x14ac:dyDescent="0.25">
      <c r="A297" s="192" t="s">
        <v>313</v>
      </c>
      <c r="B297" s="189"/>
      <c r="C297" s="190"/>
      <c r="D297" s="204"/>
      <c r="E297" s="194">
        <f>E295+5</f>
        <v>5</v>
      </c>
      <c r="F297" s="73"/>
      <c r="G297" s="59" t="s">
        <v>328</v>
      </c>
      <c r="H297" s="30">
        <f>E301+E304</f>
        <v>0</v>
      </c>
    </row>
    <row r="298" spans="1:11" ht="33" customHeight="1" x14ac:dyDescent="0.25">
      <c r="A298" s="274" t="s">
        <v>79</v>
      </c>
      <c r="B298" s="275"/>
      <c r="C298" s="276"/>
      <c r="D298" s="198" t="s">
        <v>336</v>
      </c>
      <c r="E298" s="207"/>
      <c r="F298" s="73"/>
      <c r="G298" s="59" t="s">
        <v>324</v>
      </c>
      <c r="H298" s="30">
        <f>E299-(E299-E300)*IF(E313&gt;0,(E310*E314/E309*E313),1)</f>
        <v>0</v>
      </c>
    </row>
    <row r="299" spans="1:11" s="14" customFormat="1" ht="33.75" customHeight="1" x14ac:dyDescent="0.25">
      <c r="A299" s="269" t="s">
        <v>258</v>
      </c>
      <c r="B299" s="270"/>
      <c r="C299" s="271"/>
      <c r="D299" s="190" t="s">
        <v>337</v>
      </c>
      <c r="E299" s="51"/>
      <c r="F299" s="35"/>
      <c r="G299" s="59" t="s">
        <v>323</v>
      </c>
      <c r="H299" s="30">
        <f>E304-(E304-E305)*IF(E311&gt;0,(E308*E312/E307*E311),1)</f>
        <v>0</v>
      </c>
    </row>
    <row r="300" spans="1:11" s="14" customFormat="1" ht="33" customHeight="1" x14ac:dyDescent="0.25">
      <c r="A300" s="277" t="s">
        <v>259</v>
      </c>
      <c r="B300" s="278"/>
      <c r="C300" s="279"/>
      <c r="D300" s="190" t="s">
        <v>337</v>
      </c>
      <c r="E300" s="51"/>
      <c r="F300" s="96"/>
    </row>
    <row r="301" spans="1:11" s="25" customFormat="1" ht="36.950000000000003" customHeight="1" x14ac:dyDescent="0.25">
      <c r="A301" s="269" t="s">
        <v>260</v>
      </c>
      <c r="B301" s="270"/>
      <c r="C301" s="271"/>
      <c r="D301" s="190" t="s">
        <v>337</v>
      </c>
      <c r="E301" s="51"/>
      <c r="F301" s="96"/>
    </row>
    <row r="302" spans="1:11" s="25" customFormat="1" ht="33" customHeight="1" x14ac:dyDescent="0.25">
      <c r="A302" s="269" t="s">
        <v>261</v>
      </c>
      <c r="B302" s="270"/>
      <c r="C302" s="271"/>
      <c r="D302" s="190" t="s">
        <v>337</v>
      </c>
      <c r="E302" s="51"/>
      <c r="F302" s="96"/>
    </row>
    <row r="303" spans="1:11" s="25" customFormat="1" ht="33" customHeight="1" x14ac:dyDescent="0.25">
      <c r="A303" s="269" t="s">
        <v>24</v>
      </c>
      <c r="B303" s="270"/>
      <c r="C303" s="271"/>
      <c r="D303" s="190" t="s">
        <v>337</v>
      </c>
      <c r="E303" s="51"/>
      <c r="F303" s="96"/>
    </row>
    <row r="304" spans="1:11" s="25" customFormat="1" ht="47.1" customHeight="1" x14ac:dyDescent="0.25">
      <c r="A304" s="269" t="s">
        <v>320</v>
      </c>
      <c r="B304" s="270"/>
      <c r="C304" s="271"/>
      <c r="D304" s="190" t="s">
        <v>337</v>
      </c>
      <c r="E304" s="51"/>
      <c r="F304" s="27"/>
    </row>
    <row r="305" spans="1:11" s="25" customFormat="1" ht="33" customHeight="1" x14ac:dyDescent="0.25">
      <c r="A305" s="269" t="s">
        <v>321</v>
      </c>
      <c r="B305" s="270"/>
      <c r="C305" s="271"/>
      <c r="D305" s="190" t="s">
        <v>337</v>
      </c>
      <c r="E305" s="51"/>
      <c r="F305" s="27"/>
    </row>
    <row r="306" spans="1:11" s="25" customFormat="1" ht="33" customHeight="1" x14ac:dyDescent="0.25">
      <c r="A306" s="274" t="s">
        <v>366</v>
      </c>
      <c r="B306" s="275"/>
      <c r="C306" s="276"/>
      <c r="D306" s="174" t="s">
        <v>312</v>
      </c>
      <c r="E306" s="51"/>
      <c r="F306" s="27"/>
    </row>
    <row r="307" spans="1:11" s="25" customFormat="1" ht="33" customHeight="1" x14ac:dyDescent="0.25">
      <c r="A307" s="272" t="s">
        <v>315</v>
      </c>
      <c r="B307" s="272"/>
      <c r="C307" s="272"/>
      <c r="D307" s="174" t="s">
        <v>312</v>
      </c>
      <c r="E307" s="45"/>
      <c r="F307" s="27"/>
    </row>
    <row r="308" spans="1:11" s="25" customFormat="1" ht="33" customHeight="1" x14ac:dyDescent="0.25">
      <c r="A308" s="269" t="s">
        <v>314</v>
      </c>
      <c r="B308" s="270"/>
      <c r="C308" s="271"/>
      <c r="D308" s="190" t="s">
        <v>312</v>
      </c>
      <c r="E308" s="45"/>
      <c r="F308" s="27"/>
    </row>
    <row r="309" spans="1:11" s="25" customFormat="1" ht="33" customHeight="1" x14ac:dyDescent="0.25">
      <c r="A309" s="272" t="s">
        <v>326</v>
      </c>
      <c r="B309" s="272"/>
      <c r="C309" s="272"/>
      <c r="D309" s="174" t="s">
        <v>312</v>
      </c>
      <c r="E309" s="45"/>
      <c r="F309" s="27"/>
    </row>
    <row r="310" spans="1:11" s="25" customFormat="1" ht="33" customHeight="1" x14ac:dyDescent="0.25">
      <c r="A310" s="269" t="s">
        <v>325</v>
      </c>
      <c r="B310" s="270"/>
      <c r="C310" s="271"/>
      <c r="D310" s="190" t="s">
        <v>312</v>
      </c>
      <c r="E310" s="45"/>
      <c r="F310" s="27"/>
    </row>
    <row r="311" spans="1:11" s="25" customFormat="1" ht="49.5" customHeight="1" x14ac:dyDescent="0.25">
      <c r="A311" s="269" t="s">
        <v>316</v>
      </c>
      <c r="B311" s="270"/>
      <c r="C311" s="271"/>
      <c r="D311" s="190" t="s">
        <v>312</v>
      </c>
      <c r="E311" s="95"/>
      <c r="F311" s="27"/>
    </row>
    <row r="312" spans="1:11" s="25" customFormat="1" ht="47.1" customHeight="1" x14ac:dyDescent="0.25">
      <c r="A312" s="269" t="s">
        <v>317</v>
      </c>
      <c r="B312" s="270"/>
      <c r="C312" s="271"/>
      <c r="D312" s="190" t="s">
        <v>312</v>
      </c>
      <c r="E312" s="95"/>
      <c r="F312" s="27"/>
    </row>
    <row r="313" spans="1:11" s="25" customFormat="1" ht="50.1" customHeight="1" x14ac:dyDescent="0.25">
      <c r="A313" s="269" t="s">
        <v>319</v>
      </c>
      <c r="B313" s="270"/>
      <c r="C313" s="271"/>
      <c r="D313" s="190" t="s">
        <v>312</v>
      </c>
      <c r="E313" s="95"/>
      <c r="F313" s="27"/>
      <c r="I313" s="27"/>
    </row>
    <row r="314" spans="1:11" s="25" customFormat="1" ht="50.1" customHeight="1" x14ac:dyDescent="0.25">
      <c r="A314" s="269" t="s">
        <v>318</v>
      </c>
      <c r="B314" s="270"/>
      <c r="C314" s="271"/>
      <c r="D314" s="190" t="s">
        <v>312</v>
      </c>
      <c r="E314" s="95"/>
      <c r="F314" s="27"/>
      <c r="G314" s="27"/>
      <c r="H314" s="27"/>
      <c r="I314" s="27"/>
      <c r="J314" s="26"/>
      <c r="K314" s="183"/>
    </row>
    <row r="315" spans="1:11" s="25" customFormat="1" ht="50.1" customHeight="1" x14ac:dyDescent="0.25">
      <c r="A315" s="62" t="s">
        <v>292</v>
      </c>
      <c r="B315"/>
      <c r="C315"/>
      <c r="D315"/>
      <c r="E315"/>
      <c r="F315" s="27"/>
      <c r="G315" s="27"/>
      <c r="H315" s="27"/>
      <c r="I315" s="27"/>
      <c r="J315" s="26"/>
      <c r="K315" s="183"/>
    </row>
    <row r="316" spans="1:11" ht="16.5" thickBot="1" x14ac:dyDescent="0.3">
      <c r="B316" s="196" t="s">
        <v>329</v>
      </c>
      <c r="C316" s="199"/>
      <c r="D316" s="62" t="s">
        <v>301</v>
      </c>
      <c r="E316" s="62" t="s">
        <v>302</v>
      </c>
    </row>
    <row r="317" spans="1:11" ht="33" customHeight="1" thickBot="1" x14ac:dyDescent="0.3">
      <c r="A317" s="274" t="s">
        <v>163</v>
      </c>
      <c r="B317" s="275"/>
      <c r="C317" s="276"/>
      <c r="D317" s="191" t="s">
        <v>303</v>
      </c>
      <c r="E317" s="205"/>
      <c r="F317" s="73"/>
      <c r="G317" s="59" t="s">
        <v>330</v>
      </c>
      <c r="H317" s="209">
        <f>H318-H319</f>
        <v>0</v>
      </c>
    </row>
    <row r="318" spans="1:11" ht="33" customHeight="1" x14ac:dyDescent="0.25">
      <c r="A318" s="269" t="s">
        <v>216</v>
      </c>
      <c r="B318" s="270"/>
      <c r="C318" s="271"/>
      <c r="D318" s="190" t="s">
        <v>303</v>
      </c>
      <c r="E318" s="94"/>
      <c r="F318" s="73"/>
      <c r="G318" s="59" t="s">
        <v>43</v>
      </c>
      <c r="H318" s="208">
        <f>(H321-H320*(H322-H323-H324))*ERFs!B$57-E328*ERFs!B$23</f>
        <v>0</v>
      </c>
    </row>
    <row r="319" spans="1:11" ht="33" customHeight="1" x14ac:dyDescent="0.25">
      <c r="A319" s="269" t="s">
        <v>300</v>
      </c>
      <c r="B319" s="270"/>
      <c r="C319" s="271"/>
      <c r="D319" s="204"/>
      <c r="E319" s="30" t="str">
        <f>IF(E318="Class I", 50, IF(E318="Class II or III",60, IF(E318="Class IV or V", 80,"")))</f>
        <v/>
      </c>
      <c r="F319" s="73"/>
      <c r="G319" s="59" t="s">
        <v>41</v>
      </c>
      <c r="H319" s="30">
        <f>(H322-H320*(H322-E327-E330))*ERFs!B$57</f>
        <v>0</v>
      </c>
    </row>
    <row r="320" spans="1:11" ht="33" customHeight="1" x14ac:dyDescent="0.25">
      <c r="A320" s="188" t="s">
        <v>311</v>
      </c>
      <c r="B320" s="189"/>
      <c r="C320" s="190"/>
      <c r="D320" s="190" t="s">
        <v>303</v>
      </c>
      <c r="E320" s="193"/>
      <c r="F320" s="73"/>
      <c r="G320" s="59" t="s">
        <v>322</v>
      </c>
      <c r="H320" s="206">
        <f>(1-(1-(E323/100))^10)</f>
        <v>0</v>
      </c>
    </row>
    <row r="321" spans="1:8" ht="33" customHeight="1" x14ac:dyDescent="0.25">
      <c r="A321" s="188" t="s">
        <v>305</v>
      </c>
      <c r="B321" s="189"/>
      <c r="C321" s="190"/>
      <c r="D321" s="204"/>
      <c r="E321" s="194" t="str">
        <f>IF(OR(E319="",E320=""),"",E319+E320)</f>
        <v/>
      </c>
      <c r="F321" s="73"/>
      <c r="G321" s="59" t="s">
        <v>327</v>
      </c>
      <c r="H321" s="30">
        <f>E324+E329</f>
        <v>0</v>
      </c>
    </row>
    <row r="322" spans="1:8" ht="33" customHeight="1" x14ac:dyDescent="0.25">
      <c r="A322" s="192" t="s">
        <v>313</v>
      </c>
      <c r="B322" s="189"/>
      <c r="C322" s="190"/>
      <c r="D322" s="204"/>
      <c r="E322" s="194">
        <f>E320+5</f>
        <v>5</v>
      </c>
      <c r="F322" s="73"/>
      <c r="G322" s="59" t="s">
        <v>328</v>
      </c>
      <c r="H322" s="30">
        <f>E326+E329</f>
        <v>0</v>
      </c>
    </row>
    <row r="323" spans="1:8" ht="33" customHeight="1" x14ac:dyDescent="0.25">
      <c r="A323" s="274" t="s">
        <v>79</v>
      </c>
      <c r="B323" s="275"/>
      <c r="C323" s="276"/>
      <c r="D323" s="198" t="s">
        <v>336</v>
      </c>
      <c r="E323" s="207"/>
      <c r="F323" s="73"/>
      <c r="G323" s="59" t="s">
        <v>324</v>
      </c>
      <c r="H323" s="30">
        <f>E324-(E324-E325)*IF(E338&gt;0,(E335*E339/E334*E338),1)</f>
        <v>0</v>
      </c>
    </row>
    <row r="324" spans="1:8" s="14" customFormat="1" ht="33.75" customHeight="1" x14ac:dyDescent="0.25">
      <c r="A324" s="269" t="s">
        <v>258</v>
      </c>
      <c r="B324" s="270"/>
      <c r="C324" s="271"/>
      <c r="D324" s="190" t="s">
        <v>337</v>
      </c>
      <c r="E324" s="51"/>
      <c r="F324" s="35"/>
      <c r="G324" s="59" t="s">
        <v>323</v>
      </c>
      <c r="H324" s="30">
        <f>E329-(E329-E330)*IF(E336&gt;0,(E333*E337/E332*E336),1)</f>
        <v>0</v>
      </c>
    </row>
    <row r="325" spans="1:8" s="14" customFormat="1" ht="33" customHeight="1" x14ac:dyDescent="0.25">
      <c r="A325" s="277" t="s">
        <v>259</v>
      </c>
      <c r="B325" s="278"/>
      <c r="C325" s="279"/>
      <c r="D325" s="190" t="s">
        <v>337</v>
      </c>
      <c r="E325" s="51"/>
      <c r="F325" s="96"/>
    </row>
    <row r="326" spans="1:8" s="25" customFormat="1" ht="36.950000000000003" customHeight="1" x14ac:dyDescent="0.25">
      <c r="A326" s="269" t="s">
        <v>260</v>
      </c>
      <c r="B326" s="270"/>
      <c r="C326" s="271"/>
      <c r="D326" s="190" t="s">
        <v>337</v>
      </c>
      <c r="E326" s="51"/>
      <c r="F326" s="96"/>
    </row>
    <row r="327" spans="1:8" s="25" customFormat="1" ht="33" customHeight="1" x14ac:dyDescent="0.25">
      <c r="A327" s="269" t="s">
        <v>261</v>
      </c>
      <c r="B327" s="270"/>
      <c r="C327" s="271"/>
      <c r="D327" s="190" t="s">
        <v>337</v>
      </c>
      <c r="E327" s="51"/>
      <c r="F327" s="96"/>
    </row>
    <row r="328" spans="1:8" s="25" customFormat="1" ht="33" customHeight="1" x14ac:dyDescent="0.25">
      <c r="A328" s="269" t="s">
        <v>24</v>
      </c>
      <c r="B328" s="270"/>
      <c r="C328" s="271"/>
      <c r="D328" s="190" t="s">
        <v>337</v>
      </c>
      <c r="E328" s="51"/>
      <c r="F328" s="96"/>
    </row>
    <row r="329" spans="1:8" s="25" customFormat="1" ht="47.1" customHeight="1" x14ac:dyDescent="0.25">
      <c r="A329" s="269" t="s">
        <v>320</v>
      </c>
      <c r="B329" s="270"/>
      <c r="C329" s="271"/>
      <c r="D329" s="190" t="s">
        <v>337</v>
      </c>
      <c r="E329" s="51"/>
      <c r="F329" s="27"/>
    </row>
    <row r="330" spans="1:8" s="25" customFormat="1" ht="33" customHeight="1" x14ac:dyDescent="0.25">
      <c r="A330" s="269" t="s">
        <v>321</v>
      </c>
      <c r="B330" s="270"/>
      <c r="C330" s="271"/>
      <c r="D330" s="190" t="s">
        <v>337</v>
      </c>
      <c r="E330" s="51"/>
      <c r="F330" s="27"/>
    </row>
    <row r="331" spans="1:8" s="25" customFormat="1" ht="33" customHeight="1" x14ac:dyDescent="0.25">
      <c r="A331" s="274" t="s">
        <v>366</v>
      </c>
      <c r="B331" s="275"/>
      <c r="C331" s="276"/>
      <c r="D331" s="174" t="s">
        <v>312</v>
      </c>
      <c r="E331" s="51"/>
      <c r="F331" s="27"/>
    </row>
    <row r="332" spans="1:8" s="25" customFormat="1" ht="33" customHeight="1" x14ac:dyDescent="0.25">
      <c r="A332" s="272" t="s">
        <v>315</v>
      </c>
      <c r="B332" s="272"/>
      <c r="C332" s="272"/>
      <c r="D332" s="174" t="s">
        <v>312</v>
      </c>
      <c r="E332" s="45"/>
      <c r="F332" s="27"/>
    </row>
    <row r="333" spans="1:8" s="25" customFormat="1" ht="33" customHeight="1" x14ac:dyDescent="0.25">
      <c r="A333" s="269" t="s">
        <v>314</v>
      </c>
      <c r="B333" s="270"/>
      <c r="C333" s="271"/>
      <c r="D333" s="190" t="s">
        <v>312</v>
      </c>
      <c r="E333" s="45"/>
      <c r="F333" s="27"/>
    </row>
    <row r="334" spans="1:8" s="25" customFormat="1" ht="33" customHeight="1" x14ac:dyDescent="0.25">
      <c r="A334" s="272" t="s">
        <v>326</v>
      </c>
      <c r="B334" s="272"/>
      <c r="C334" s="272"/>
      <c r="D334" s="174" t="s">
        <v>312</v>
      </c>
      <c r="E334" s="45"/>
      <c r="F334" s="27"/>
    </row>
    <row r="335" spans="1:8" s="25" customFormat="1" ht="33" customHeight="1" x14ac:dyDescent="0.25">
      <c r="A335" s="269" t="s">
        <v>325</v>
      </c>
      <c r="B335" s="270"/>
      <c r="C335" s="271"/>
      <c r="D335" s="190" t="s">
        <v>312</v>
      </c>
      <c r="E335" s="45"/>
      <c r="F335" s="27"/>
    </row>
    <row r="336" spans="1:8" s="25" customFormat="1" ht="49.5" customHeight="1" x14ac:dyDescent="0.25">
      <c r="A336" s="269" t="s">
        <v>316</v>
      </c>
      <c r="B336" s="270"/>
      <c r="C336" s="271"/>
      <c r="D336" s="190" t="s">
        <v>312</v>
      </c>
      <c r="E336" s="95"/>
      <c r="F336" s="27"/>
    </row>
    <row r="337" spans="1:11" s="25" customFormat="1" ht="47.1" customHeight="1" x14ac:dyDescent="0.25">
      <c r="A337" s="269" t="s">
        <v>317</v>
      </c>
      <c r="B337" s="270"/>
      <c r="C337" s="271"/>
      <c r="D337" s="190" t="s">
        <v>312</v>
      </c>
      <c r="E337" s="95"/>
      <c r="F337" s="27"/>
    </row>
    <row r="338" spans="1:11" s="25" customFormat="1" ht="50.1" customHeight="1" x14ac:dyDescent="0.25">
      <c r="A338" s="269" t="s">
        <v>319</v>
      </c>
      <c r="B338" s="270"/>
      <c r="C338" s="271"/>
      <c r="D338" s="190" t="s">
        <v>312</v>
      </c>
      <c r="E338" s="95"/>
      <c r="F338" s="27"/>
      <c r="I338" s="27"/>
    </row>
    <row r="339" spans="1:11" s="25" customFormat="1" ht="50.1" customHeight="1" x14ac:dyDescent="0.25">
      <c r="A339" s="269" t="s">
        <v>318</v>
      </c>
      <c r="B339" s="270"/>
      <c r="C339" s="271"/>
      <c r="D339" s="190" t="s">
        <v>312</v>
      </c>
      <c r="E339" s="95"/>
      <c r="F339" s="27"/>
      <c r="G339" s="27"/>
      <c r="H339" s="27"/>
      <c r="I339" s="27"/>
      <c r="J339" s="26"/>
      <c r="K339" s="183"/>
    </row>
    <row r="340" spans="1:11" s="25" customFormat="1" ht="50.1" customHeight="1" x14ac:dyDescent="0.25">
      <c r="A340" s="62" t="s">
        <v>293</v>
      </c>
      <c r="B340"/>
      <c r="C340"/>
      <c r="D340"/>
      <c r="E340"/>
      <c r="F340" s="27"/>
      <c r="G340" s="27"/>
      <c r="H340" s="27"/>
      <c r="I340" s="27"/>
      <c r="J340" s="26"/>
      <c r="K340" s="183"/>
    </row>
    <row r="341" spans="1:11" ht="16.5" thickBot="1" x14ac:dyDescent="0.3">
      <c r="B341" s="196" t="s">
        <v>329</v>
      </c>
      <c r="C341" s="199"/>
      <c r="D341" s="62" t="s">
        <v>301</v>
      </c>
      <c r="E341" s="62" t="s">
        <v>302</v>
      </c>
    </row>
    <row r="342" spans="1:11" ht="33" customHeight="1" thickBot="1" x14ac:dyDescent="0.3">
      <c r="A342" s="274" t="s">
        <v>163</v>
      </c>
      <c r="B342" s="275"/>
      <c r="C342" s="276"/>
      <c r="D342" s="191" t="s">
        <v>303</v>
      </c>
      <c r="E342" s="205"/>
      <c r="F342" s="73"/>
      <c r="G342" s="59" t="s">
        <v>330</v>
      </c>
      <c r="H342" s="209">
        <f>H343-H344</f>
        <v>0</v>
      </c>
    </row>
    <row r="343" spans="1:11" ht="33" customHeight="1" x14ac:dyDescent="0.25">
      <c r="A343" s="269" t="s">
        <v>216</v>
      </c>
      <c r="B343" s="270"/>
      <c r="C343" s="271"/>
      <c r="D343" s="190" t="s">
        <v>303</v>
      </c>
      <c r="E343" s="94"/>
      <c r="F343" s="73"/>
      <c r="G343" s="59" t="s">
        <v>43</v>
      </c>
      <c r="H343" s="208">
        <f>(H346-H345*(H347-H348-H349))*ERFs!B$57-E353*ERFs!B$23</f>
        <v>0</v>
      </c>
    </row>
    <row r="344" spans="1:11" ht="33" customHeight="1" x14ac:dyDescent="0.25">
      <c r="A344" s="269" t="s">
        <v>300</v>
      </c>
      <c r="B344" s="270"/>
      <c r="C344" s="271"/>
      <c r="D344" s="204"/>
      <c r="E344" s="30" t="str">
        <f>IF(E343="Class I", 50, IF(E343="Class II or III",60, IF(E343="Class IV or V", 80,"")))</f>
        <v/>
      </c>
      <c r="F344" s="73"/>
      <c r="G344" s="59" t="s">
        <v>41</v>
      </c>
      <c r="H344" s="30">
        <f>(H347-H345*(H347-E352-E355))*ERFs!B$57</f>
        <v>0</v>
      </c>
    </row>
    <row r="345" spans="1:11" ht="33" customHeight="1" x14ac:dyDescent="0.25">
      <c r="A345" s="188" t="s">
        <v>311</v>
      </c>
      <c r="B345" s="189"/>
      <c r="C345" s="190"/>
      <c r="D345" s="190" t="s">
        <v>303</v>
      </c>
      <c r="E345" s="193"/>
      <c r="F345" s="73"/>
      <c r="G345" s="59" t="s">
        <v>322</v>
      </c>
      <c r="H345" s="206">
        <f>(1-(1-(E348/100))^10)</f>
        <v>0</v>
      </c>
    </row>
    <row r="346" spans="1:11" ht="33" customHeight="1" x14ac:dyDescent="0.25">
      <c r="A346" s="188" t="s">
        <v>305</v>
      </c>
      <c r="B346" s="189"/>
      <c r="C346" s="190"/>
      <c r="D346" s="204"/>
      <c r="E346" s="194" t="str">
        <f>IF(OR(E344="",E345=""),"",E344+E345)</f>
        <v/>
      </c>
      <c r="F346" s="73"/>
      <c r="G346" s="59" t="s">
        <v>327</v>
      </c>
      <c r="H346" s="30">
        <f>E349+E354</f>
        <v>0</v>
      </c>
    </row>
    <row r="347" spans="1:11" ht="33" customHeight="1" x14ac:dyDescent="0.25">
      <c r="A347" s="192" t="s">
        <v>313</v>
      </c>
      <c r="B347" s="189"/>
      <c r="C347" s="190"/>
      <c r="D347" s="204"/>
      <c r="E347" s="194">
        <f>E345+5</f>
        <v>5</v>
      </c>
      <c r="F347" s="73"/>
      <c r="G347" s="59" t="s">
        <v>328</v>
      </c>
      <c r="H347" s="30">
        <f>E351+E354</f>
        <v>0</v>
      </c>
    </row>
    <row r="348" spans="1:11" ht="33" customHeight="1" x14ac:dyDescent="0.25">
      <c r="A348" s="274" t="s">
        <v>79</v>
      </c>
      <c r="B348" s="275"/>
      <c r="C348" s="276"/>
      <c r="D348" s="198" t="s">
        <v>336</v>
      </c>
      <c r="E348" s="207"/>
      <c r="F348" s="73"/>
      <c r="G348" s="59" t="s">
        <v>324</v>
      </c>
      <c r="H348" s="30">
        <f>E349-(E349-E350)*IF(E363&gt;0,(E360*E364/E359*E363),1)</f>
        <v>0</v>
      </c>
    </row>
    <row r="349" spans="1:11" s="14" customFormat="1" ht="33.75" customHeight="1" x14ac:dyDescent="0.25">
      <c r="A349" s="269" t="s">
        <v>258</v>
      </c>
      <c r="B349" s="270"/>
      <c r="C349" s="271"/>
      <c r="D349" s="190" t="s">
        <v>337</v>
      </c>
      <c r="E349" s="51"/>
      <c r="F349" s="35"/>
      <c r="G349" s="59" t="s">
        <v>323</v>
      </c>
      <c r="H349" s="30">
        <f>E354-(E354-E355)*IF(E361&gt;0,(E358*E362/E357*E361),1)</f>
        <v>0</v>
      </c>
    </row>
    <row r="350" spans="1:11" s="14" customFormat="1" ht="33" customHeight="1" x14ac:dyDescent="0.25">
      <c r="A350" s="277" t="s">
        <v>259</v>
      </c>
      <c r="B350" s="278"/>
      <c r="C350" s="279"/>
      <c r="D350" s="190" t="s">
        <v>337</v>
      </c>
      <c r="E350" s="51"/>
      <c r="F350" s="96"/>
    </row>
    <row r="351" spans="1:11" s="25" customFormat="1" ht="36.950000000000003" customHeight="1" x14ac:dyDescent="0.25">
      <c r="A351" s="269" t="s">
        <v>260</v>
      </c>
      <c r="B351" s="270"/>
      <c r="C351" s="271"/>
      <c r="D351" s="190" t="s">
        <v>337</v>
      </c>
      <c r="E351" s="51"/>
      <c r="F351" s="96"/>
    </row>
    <row r="352" spans="1:11" s="25" customFormat="1" ht="33" customHeight="1" x14ac:dyDescent="0.25">
      <c r="A352" s="269" t="s">
        <v>261</v>
      </c>
      <c r="B352" s="270"/>
      <c r="C352" s="271"/>
      <c r="D352" s="190" t="s">
        <v>337</v>
      </c>
      <c r="E352" s="51"/>
      <c r="F352" s="96"/>
    </row>
    <row r="353" spans="1:11" s="25" customFormat="1" ht="33" customHeight="1" x14ac:dyDescent="0.25">
      <c r="A353" s="269" t="s">
        <v>24</v>
      </c>
      <c r="B353" s="270"/>
      <c r="C353" s="271"/>
      <c r="D353" s="190" t="s">
        <v>337</v>
      </c>
      <c r="E353" s="51"/>
      <c r="F353" s="96"/>
    </row>
    <row r="354" spans="1:11" s="25" customFormat="1" ht="47.1" customHeight="1" x14ac:dyDescent="0.25">
      <c r="A354" s="269" t="s">
        <v>320</v>
      </c>
      <c r="B354" s="270"/>
      <c r="C354" s="271"/>
      <c r="D354" s="190" t="s">
        <v>337</v>
      </c>
      <c r="E354" s="51"/>
      <c r="F354" s="27"/>
    </row>
    <row r="355" spans="1:11" s="25" customFormat="1" ht="33" customHeight="1" x14ac:dyDescent="0.25">
      <c r="A355" s="269" t="s">
        <v>321</v>
      </c>
      <c r="B355" s="270"/>
      <c r="C355" s="271"/>
      <c r="D355" s="190" t="s">
        <v>337</v>
      </c>
      <c r="E355" s="51"/>
      <c r="F355" s="27"/>
    </row>
    <row r="356" spans="1:11" s="25" customFormat="1" ht="33" customHeight="1" x14ac:dyDescent="0.25">
      <c r="A356" s="274" t="s">
        <v>366</v>
      </c>
      <c r="B356" s="275"/>
      <c r="C356" s="276"/>
      <c r="D356" s="174" t="s">
        <v>312</v>
      </c>
      <c r="E356" s="51"/>
      <c r="F356" s="27"/>
    </row>
    <row r="357" spans="1:11" s="25" customFormat="1" ht="33" customHeight="1" x14ac:dyDescent="0.25">
      <c r="A357" s="272" t="s">
        <v>315</v>
      </c>
      <c r="B357" s="272"/>
      <c r="C357" s="272"/>
      <c r="D357" s="174" t="s">
        <v>312</v>
      </c>
      <c r="E357" s="45"/>
      <c r="F357" s="27"/>
    </row>
    <row r="358" spans="1:11" s="25" customFormat="1" ht="33" customHeight="1" x14ac:dyDescent="0.25">
      <c r="A358" s="269" t="s">
        <v>314</v>
      </c>
      <c r="B358" s="270"/>
      <c r="C358" s="271"/>
      <c r="D358" s="190" t="s">
        <v>312</v>
      </c>
      <c r="E358" s="45"/>
      <c r="F358" s="27"/>
    </row>
    <row r="359" spans="1:11" s="25" customFormat="1" ht="33" customHeight="1" x14ac:dyDescent="0.25">
      <c r="A359" s="272" t="s">
        <v>326</v>
      </c>
      <c r="B359" s="272"/>
      <c r="C359" s="272"/>
      <c r="D359" s="174" t="s">
        <v>312</v>
      </c>
      <c r="E359" s="45"/>
      <c r="F359" s="27"/>
    </row>
    <row r="360" spans="1:11" s="25" customFormat="1" ht="33" customHeight="1" x14ac:dyDescent="0.25">
      <c r="A360" s="269" t="s">
        <v>325</v>
      </c>
      <c r="B360" s="270"/>
      <c r="C360" s="271"/>
      <c r="D360" s="190" t="s">
        <v>312</v>
      </c>
      <c r="E360" s="45"/>
      <c r="F360" s="27"/>
    </row>
    <row r="361" spans="1:11" s="25" customFormat="1" ht="49.5" customHeight="1" x14ac:dyDescent="0.25">
      <c r="A361" s="269" t="s">
        <v>316</v>
      </c>
      <c r="B361" s="270"/>
      <c r="C361" s="271"/>
      <c r="D361" s="190" t="s">
        <v>312</v>
      </c>
      <c r="E361" s="95"/>
      <c r="F361" s="27"/>
    </row>
    <row r="362" spans="1:11" s="25" customFormat="1" ht="47.1" customHeight="1" x14ac:dyDescent="0.25">
      <c r="A362" s="269" t="s">
        <v>317</v>
      </c>
      <c r="B362" s="270"/>
      <c r="C362" s="271"/>
      <c r="D362" s="190" t="s">
        <v>312</v>
      </c>
      <c r="E362" s="95"/>
      <c r="F362" s="27"/>
    </row>
    <row r="363" spans="1:11" s="25" customFormat="1" ht="50.1" customHeight="1" x14ac:dyDescent="0.25">
      <c r="A363" s="269" t="s">
        <v>319</v>
      </c>
      <c r="B363" s="270"/>
      <c r="C363" s="271"/>
      <c r="D363" s="190" t="s">
        <v>312</v>
      </c>
      <c r="E363" s="95"/>
      <c r="F363" s="27"/>
      <c r="I363" s="27"/>
    </row>
    <row r="364" spans="1:11" s="25" customFormat="1" ht="50.1" customHeight="1" x14ac:dyDescent="0.25">
      <c r="A364" s="269" t="s">
        <v>318</v>
      </c>
      <c r="B364" s="270"/>
      <c r="C364" s="271"/>
      <c r="D364" s="190" t="s">
        <v>312</v>
      </c>
      <c r="E364" s="95"/>
      <c r="F364" s="27"/>
      <c r="G364" s="27"/>
      <c r="H364" s="27"/>
      <c r="I364" s="27"/>
      <c r="J364" s="26"/>
      <c r="K364" s="183"/>
    </row>
    <row r="365" spans="1:11" s="25" customFormat="1" ht="50.1" customHeight="1" x14ac:dyDescent="0.25">
      <c r="A365" s="62" t="s">
        <v>294</v>
      </c>
      <c r="B365"/>
      <c r="C365"/>
      <c r="D365"/>
      <c r="E365"/>
      <c r="F365" s="27"/>
      <c r="G365" s="27"/>
      <c r="H365" s="27"/>
      <c r="I365" s="27"/>
      <c r="J365" s="26"/>
      <c r="K365" s="183"/>
    </row>
    <row r="366" spans="1:11" ht="16.5" thickBot="1" x14ac:dyDescent="0.3">
      <c r="B366" s="196" t="s">
        <v>329</v>
      </c>
      <c r="C366" s="199"/>
      <c r="D366" s="62" t="s">
        <v>301</v>
      </c>
      <c r="E366" s="62" t="s">
        <v>302</v>
      </c>
    </row>
    <row r="367" spans="1:11" ht="33" customHeight="1" thickBot="1" x14ac:dyDescent="0.3">
      <c r="A367" s="274" t="s">
        <v>163</v>
      </c>
      <c r="B367" s="275"/>
      <c r="C367" s="276"/>
      <c r="D367" s="191" t="s">
        <v>303</v>
      </c>
      <c r="E367" s="205"/>
      <c r="F367" s="73"/>
      <c r="G367" s="59" t="s">
        <v>330</v>
      </c>
      <c r="H367" s="209">
        <f>H368-H369</f>
        <v>0</v>
      </c>
    </row>
    <row r="368" spans="1:11" ht="33" customHeight="1" x14ac:dyDescent="0.25">
      <c r="A368" s="269" t="s">
        <v>216</v>
      </c>
      <c r="B368" s="270"/>
      <c r="C368" s="271"/>
      <c r="D368" s="190" t="s">
        <v>303</v>
      </c>
      <c r="E368" s="94"/>
      <c r="F368" s="73"/>
      <c r="G368" s="59" t="s">
        <v>43</v>
      </c>
      <c r="H368" s="208">
        <f>(H371-H370*(H372-H373-H374))*ERFs!B$57-E378*ERFs!B$23</f>
        <v>0</v>
      </c>
    </row>
    <row r="369" spans="1:8" ht="33" customHeight="1" x14ac:dyDescent="0.25">
      <c r="A369" s="269" t="s">
        <v>300</v>
      </c>
      <c r="B369" s="270"/>
      <c r="C369" s="271"/>
      <c r="D369" s="204"/>
      <c r="E369" s="30" t="str">
        <f>IF(E368="Class I", 50, IF(E368="Class II or III",60, IF(E368="Class IV or V", 80,"")))</f>
        <v/>
      </c>
      <c r="F369" s="73"/>
      <c r="G369" s="59" t="s">
        <v>41</v>
      </c>
      <c r="H369" s="30">
        <f>(H372-H370*(H372-E377-E380))*ERFs!B$57</f>
        <v>0</v>
      </c>
    </row>
    <row r="370" spans="1:8" ht="33" customHeight="1" x14ac:dyDescent="0.25">
      <c r="A370" s="188" t="s">
        <v>311</v>
      </c>
      <c r="B370" s="189"/>
      <c r="C370" s="190"/>
      <c r="D370" s="190" t="s">
        <v>303</v>
      </c>
      <c r="E370" s="193"/>
      <c r="F370" s="73"/>
      <c r="G370" s="59" t="s">
        <v>322</v>
      </c>
      <c r="H370" s="206">
        <f>(1-(1-(E373/100))^10)</f>
        <v>0</v>
      </c>
    </row>
    <row r="371" spans="1:8" ht="33" customHeight="1" x14ac:dyDescent="0.25">
      <c r="A371" s="188" t="s">
        <v>305</v>
      </c>
      <c r="B371" s="189"/>
      <c r="C371" s="190"/>
      <c r="D371" s="204"/>
      <c r="E371" s="194" t="str">
        <f>IF(OR(E369="",E370=""),"",E369+E370)</f>
        <v/>
      </c>
      <c r="F371" s="73"/>
      <c r="G371" s="59" t="s">
        <v>327</v>
      </c>
      <c r="H371" s="30">
        <f>E374+E379</f>
        <v>0</v>
      </c>
    </row>
    <row r="372" spans="1:8" ht="33" customHeight="1" x14ac:dyDescent="0.25">
      <c r="A372" s="192" t="s">
        <v>313</v>
      </c>
      <c r="B372" s="189"/>
      <c r="C372" s="190"/>
      <c r="D372" s="204"/>
      <c r="E372" s="194">
        <f>E370+5</f>
        <v>5</v>
      </c>
      <c r="F372" s="73"/>
      <c r="G372" s="59" t="s">
        <v>328</v>
      </c>
      <c r="H372" s="30">
        <f>E376+E379</f>
        <v>0</v>
      </c>
    </row>
    <row r="373" spans="1:8" ht="33" customHeight="1" x14ac:dyDescent="0.25">
      <c r="A373" s="274" t="s">
        <v>79</v>
      </c>
      <c r="B373" s="275"/>
      <c r="C373" s="276"/>
      <c r="D373" s="198" t="s">
        <v>336</v>
      </c>
      <c r="E373" s="207"/>
      <c r="F373" s="73"/>
      <c r="G373" s="59" t="s">
        <v>324</v>
      </c>
      <c r="H373" s="30">
        <f>E374-(E374-E375)*IF(E388&gt;0,(E385*E389/E384*E388),1)</f>
        <v>0</v>
      </c>
    </row>
    <row r="374" spans="1:8" s="14" customFormat="1" ht="33.75" customHeight="1" x14ac:dyDescent="0.25">
      <c r="A374" s="269" t="s">
        <v>258</v>
      </c>
      <c r="B374" s="270"/>
      <c r="C374" s="271"/>
      <c r="D374" s="190" t="s">
        <v>337</v>
      </c>
      <c r="E374" s="51"/>
      <c r="F374" s="35"/>
      <c r="G374" s="59" t="s">
        <v>323</v>
      </c>
      <c r="H374" s="30">
        <f>E379-(E379-E380)*IF(E386&gt;0,(E383*E387/E382*E386),1)</f>
        <v>0</v>
      </c>
    </row>
    <row r="375" spans="1:8" s="14" customFormat="1" ht="33" customHeight="1" x14ac:dyDescent="0.25">
      <c r="A375" s="277" t="s">
        <v>259</v>
      </c>
      <c r="B375" s="278"/>
      <c r="C375" s="279"/>
      <c r="D375" s="190" t="s">
        <v>337</v>
      </c>
      <c r="E375" s="51"/>
      <c r="F375" s="96"/>
    </row>
    <row r="376" spans="1:8" s="25" customFormat="1" ht="36.950000000000003" customHeight="1" x14ac:dyDescent="0.25">
      <c r="A376" s="269" t="s">
        <v>260</v>
      </c>
      <c r="B376" s="270"/>
      <c r="C376" s="271"/>
      <c r="D376" s="190" t="s">
        <v>337</v>
      </c>
      <c r="E376" s="51"/>
      <c r="F376" s="96"/>
    </row>
    <row r="377" spans="1:8" s="25" customFormat="1" ht="33" customHeight="1" x14ac:dyDescent="0.25">
      <c r="A377" s="269" t="s">
        <v>261</v>
      </c>
      <c r="B377" s="270"/>
      <c r="C377" s="271"/>
      <c r="D377" s="190" t="s">
        <v>337</v>
      </c>
      <c r="E377" s="51"/>
      <c r="F377" s="96"/>
    </row>
    <row r="378" spans="1:8" s="25" customFormat="1" ht="33" customHeight="1" x14ac:dyDescent="0.25">
      <c r="A378" s="269" t="s">
        <v>24</v>
      </c>
      <c r="B378" s="270"/>
      <c r="C378" s="271"/>
      <c r="D378" s="190" t="s">
        <v>337</v>
      </c>
      <c r="E378" s="51"/>
      <c r="F378" s="96"/>
    </row>
    <row r="379" spans="1:8" s="25" customFormat="1" ht="47.1" customHeight="1" x14ac:dyDescent="0.25">
      <c r="A379" s="269" t="s">
        <v>320</v>
      </c>
      <c r="B379" s="270"/>
      <c r="C379" s="271"/>
      <c r="D379" s="190" t="s">
        <v>337</v>
      </c>
      <c r="E379" s="51"/>
      <c r="F379" s="27"/>
    </row>
    <row r="380" spans="1:8" s="25" customFormat="1" ht="33" customHeight="1" x14ac:dyDescent="0.25">
      <c r="A380" s="269" t="s">
        <v>321</v>
      </c>
      <c r="B380" s="270"/>
      <c r="C380" s="271"/>
      <c r="D380" s="190" t="s">
        <v>337</v>
      </c>
      <c r="E380" s="51"/>
      <c r="F380" s="27"/>
    </row>
    <row r="381" spans="1:8" s="25" customFormat="1" ht="33" customHeight="1" x14ac:dyDescent="0.25">
      <c r="A381" s="274" t="s">
        <v>366</v>
      </c>
      <c r="B381" s="275"/>
      <c r="C381" s="276"/>
      <c r="D381" s="174" t="s">
        <v>312</v>
      </c>
      <c r="E381" s="51"/>
      <c r="F381" s="27"/>
    </row>
    <row r="382" spans="1:8" s="25" customFormat="1" ht="33" customHeight="1" x14ac:dyDescent="0.25">
      <c r="A382" s="272" t="s">
        <v>315</v>
      </c>
      <c r="B382" s="272"/>
      <c r="C382" s="272"/>
      <c r="D382" s="174" t="s">
        <v>312</v>
      </c>
      <c r="E382" s="45"/>
      <c r="F382" s="27"/>
    </row>
    <row r="383" spans="1:8" s="25" customFormat="1" ht="33" customHeight="1" x14ac:dyDescent="0.25">
      <c r="A383" s="269" t="s">
        <v>314</v>
      </c>
      <c r="B383" s="270"/>
      <c r="C383" s="271"/>
      <c r="D383" s="190" t="s">
        <v>312</v>
      </c>
      <c r="E383" s="45"/>
      <c r="F383" s="27"/>
    </row>
    <row r="384" spans="1:8" s="25" customFormat="1" ht="33" customHeight="1" x14ac:dyDescent="0.25">
      <c r="A384" s="272" t="s">
        <v>326</v>
      </c>
      <c r="B384" s="272"/>
      <c r="C384" s="272"/>
      <c r="D384" s="174" t="s">
        <v>312</v>
      </c>
      <c r="E384" s="45"/>
      <c r="F384" s="27"/>
    </row>
    <row r="385" spans="1:11" s="25" customFormat="1" ht="33" customHeight="1" x14ac:dyDescent="0.25">
      <c r="A385" s="269" t="s">
        <v>325</v>
      </c>
      <c r="B385" s="270"/>
      <c r="C385" s="271"/>
      <c r="D385" s="190" t="s">
        <v>312</v>
      </c>
      <c r="E385" s="45"/>
      <c r="F385" s="27"/>
    </row>
    <row r="386" spans="1:11" s="25" customFormat="1" ht="49.5" customHeight="1" x14ac:dyDescent="0.25">
      <c r="A386" s="269" t="s">
        <v>316</v>
      </c>
      <c r="B386" s="270"/>
      <c r="C386" s="271"/>
      <c r="D386" s="190" t="s">
        <v>312</v>
      </c>
      <c r="E386" s="95"/>
      <c r="F386" s="27"/>
    </row>
    <row r="387" spans="1:11" s="25" customFormat="1" ht="47.1" customHeight="1" x14ac:dyDescent="0.25">
      <c r="A387" s="269" t="s">
        <v>317</v>
      </c>
      <c r="B387" s="270"/>
      <c r="C387" s="271"/>
      <c r="D387" s="190" t="s">
        <v>312</v>
      </c>
      <c r="E387" s="95"/>
      <c r="F387" s="27"/>
    </row>
    <row r="388" spans="1:11" s="25" customFormat="1" ht="50.1" customHeight="1" x14ac:dyDescent="0.25">
      <c r="A388" s="269" t="s">
        <v>319</v>
      </c>
      <c r="B388" s="270"/>
      <c r="C388" s="271"/>
      <c r="D388" s="190" t="s">
        <v>312</v>
      </c>
      <c r="E388" s="95"/>
      <c r="F388" s="27"/>
      <c r="I388" s="27"/>
    </row>
    <row r="389" spans="1:11" s="25" customFormat="1" ht="50.1" customHeight="1" x14ac:dyDescent="0.25">
      <c r="A389" s="269" t="s">
        <v>318</v>
      </c>
      <c r="B389" s="270"/>
      <c r="C389" s="271"/>
      <c r="D389" s="190" t="s">
        <v>312</v>
      </c>
      <c r="E389" s="95"/>
      <c r="F389" s="27"/>
      <c r="G389" s="27"/>
      <c r="H389" s="27"/>
      <c r="I389" s="27"/>
      <c r="J389" s="26"/>
      <c r="K389" s="183"/>
    </row>
    <row r="390" spans="1:11" s="25" customFormat="1" ht="50.1" customHeight="1" x14ac:dyDescent="0.25">
      <c r="A390" s="62" t="s">
        <v>295</v>
      </c>
      <c r="B390"/>
      <c r="C390"/>
      <c r="D390"/>
      <c r="E390"/>
      <c r="F390" s="27"/>
      <c r="G390" s="27"/>
      <c r="H390" s="27"/>
      <c r="I390" s="27"/>
      <c r="J390" s="26"/>
      <c r="K390" s="183"/>
    </row>
    <row r="391" spans="1:11" ht="16.5" thickBot="1" x14ac:dyDescent="0.3">
      <c r="B391" s="196" t="s">
        <v>329</v>
      </c>
      <c r="C391" s="199"/>
      <c r="D391" s="62" t="s">
        <v>301</v>
      </c>
      <c r="E391" s="62" t="s">
        <v>302</v>
      </c>
    </row>
    <row r="392" spans="1:11" ht="33" customHeight="1" thickBot="1" x14ac:dyDescent="0.3">
      <c r="A392" s="274" t="s">
        <v>163</v>
      </c>
      <c r="B392" s="275"/>
      <c r="C392" s="276"/>
      <c r="D392" s="191" t="s">
        <v>303</v>
      </c>
      <c r="E392" s="205"/>
      <c r="F392" s="73"/>
      <c r="G392" s="59" t="s">
        <v>330</v>
      </c>
      <c r="H392" s="209">
        <f>H393-H394</f>
        <v>0</v>
      </c>
    </row>
    <row r="393" spans="1:11" ht="33" customHeight="1" x14ac:dyDescent="0.25">
      <c r="A393" s="269" t="s">
        <v>216</v>
      </c>
      <c r="B393" s="270"/>
      <c r="C393" s="271"/>
      <c r="D393" s="190" t="s">
        <v>303</v>
      </c>
      <c r="E393" s="94"/>
      <c r="F393" s="73"/>
      <c r="G393" s="59" t="s">
        <v>43</v>
      </c>
      <c r="H393" s="208">
        <f>(H396-H395*(H397-H398-H399))*ERFs!B$57-E403*ERFs!B$23</f>
        <v>0</v>
      </c>
    </row>
    <row r="394" spans="1:11" ht="33" customHeight="1" x14ac:dyDescent="0.25">
      <c r="A394" s="269" t="s">
        <v>300</v>
      </c>
      <c r="B394" s="270"/>
      <c r="C394" s="271"/>
      <c r="D394" s="204"/>
      <c r="E394" s="30" t="str">
        <f>IF(E393="Class I", 50, IF(E393="Class II or III",60, IF(E393="Class IV or V", 80,"")))</f>
        <v/>
      </c>
      <c r="F394" s="73"/>
      <c r="G394" s="59" t="s">
        <v>41</v>
      </c>
      <c r="H394" s="30">
        <f>(H397-H395*(H397-E402-E405))*ERFs!B$57</f>
        <v>0</v>
      </c>
    </row>
    <row r="395" spans="1:11" ht="33" customHeight="1" x14ac:dyDescent="0.25">
      <c r="A395" s="188" t="s">
        <v>311</v>
      </c>
      <c r="B395" s="189"/>
      <c r="C395" s="190"/>
      <c r="D395" s="190" t="s">
        <v>303</v>
      </c>
      <c r="E395" s="193"/>
      <c r="F395" s="73"/>
      <c r="G395" s="59" t="s">
        <v>322</v>
      </c>
      <c r="H395" s="206">
        <f>(1-(1-(E398/100))^10)</f>
        <v>0</v>
      </c>
    </row>
    <row r="396" spans="1:11" ht="33" customHeight="1" x14ac:dyDescent="0.25">
      <c r="A396" s="188" t="s">
        <v>305</v>
      </c>
      <c r="B396" s="189"/>
      <c r="C396" s="190"/>
      <c r="D396" s="204"/>
      <c r="E396" s="194" t="str">
        <f>IF(OR(E394="",E395=""),"",E394+E395)</f>
        <v/>
      </c>
      <c r="F396" s="73"/>
      <c r="G396" s="59" t="s">
        <v>327</v>
      </c>
      <c r="H396" s="30">
        <f>E399+E404</f>
        <v>0</v>
      </c>
    </row>
    <row r="397" spans="1:11" ht="33" customHeight="1" x14ac:dyDescent="0.25">
      <c r="A397" s="192" t="s">
        <v>313</v>
      </c>
      <c r="B397" s="189"/>
      <c r="C397" s="190"/>
      <c r="D397" s="204"/>
      <c r="E397" s="194">
        <f>E395+5</f>
        <v>5</v>
      </c>
      <c r="F397" s="73"/>
      <c r="G397" s="59" t="s">
        <v>328</v>
      </c>
      <c r="H397" s="30">
        <f>E401+E404</f>
        <v>0</v>
      </c>
    </row>
    <row r="398" spans="1:11" ht="33" customHeight="1" x14ac:dyDescent="0.25">
      <c r="A398" s="274" t="s">
        <v>79</v>
      </c>
      <c r="B398" s="275"/>
      <c r="C398" s="276"/>
      <c r="D398" s="198" t="s">
        <v>336</v>
      </c>
      <c r="E398" s="207"/>
      <c r="F398" s="73"/>
      <c r="G398" s="59" t="s">
        <v>324</v>
      </c>
      <c r="H398" s="30">
        <f>E399-(E399-E400)*IF(E413&gt;0,(E410*E414/E409*E413),1)</f>
        <v>0</v>
      </c>
    </row>
    <row r="399" spans="1:11" s="14" customFormat="1" ht="33.75" customHeight="1" x14ac:dyDescent="0.25">
      <c r="A399" s="269" t="s">
        <v>258</v>
      </c>
      <c r="B399" s="270"/>
      <c r="C399" s="271"/>
      <c r="D399" s="190" t="s">
        <v>337</v>
      </c>
      <c r="E399" s="51"/>
      <c r="F399" s="35"/>
      <c r="G399" s="59" t="s">
        <v>323</v>
      </c>
      <c r="H399" s="30">
        <f>E404-(E404-E405)*IF(E411&gt;0,(E408*E412/E407*E411),1)</f>
        <v>0</v>
      </c>
    </row>
    <row r="400" spans="1:11" s="14" customFormat="1" ht="33" customHeight="1" x14ac:dyDescent="0.25">
      <c r="A400" s="277" t="s">
        <v>259</v>
      </c>
      <c r="B400" s="278"/>
      <c r="C400" s="279"/>
      <c r="D400" s="190" t="s">
        <v>337</v>
      </c>
      <c r="E400" s="51"/>
      <c r="F400" s="96"/>
    </row>
    <row r="401" spans="1:11" s="25" customFormat="1" ht="36.950000000000003" customHeight="1" x14ac:dyDescent="0.25">
      <c r="A401" s="269" t="s">
        <v>260</v>
      </c>
      <c r="B401" s="270"/>
      <c r="C401" s="271"/>
      <c r="D401" s="190" t="s">
        <v>337</v>
      </c>
      <c r="E401" s="51"/>
      <c r="F401" s="96"/>
    </row>
    <row r="402" spans="1:11" s="25" customFormat="1" ht="33" customHeight="1" x14ac:dyDescent="0.25">
      <c r="A402" s="269" t="s">
        <v>261</v>
      </c>
      <c r="B402" s="270"/>
      <c r="C402" s="271"/>
      <c r="D402" s="190" t="s">
        <v>337</v>
      </c>
      <c r="E402" s="51"/>
      <c r="F402" s="96"/>
    </row>
    <row r="403" spans="1:11" s="25" customFormat="1" ht="33" customHeight="1" x14ac:dyDescent="0.25">
      <c r="A403" s="269" t="s">
        <v>24</v>
      </c>
      <c r="B403" s="270"/>
      <c r="C403" s="271"/>
      <c r="D403" s="190" t="s">
        <v>337</v>
      </c>
      <c r="E403" s="51"/>
      <c r="F403" s="96"/>
    </row>
    <row r="404" spans="1:11" s="25" customFormat="1" ht="47.1" customHeight="1" x14ac:dyDescent="0.25">
      <c r="A404" s="269" t="s">
        <v>320</v>
      </c>
      <c r="B404" s="270"/>
      <c r="C404" s="271"/>
      <c r="D404" s="190" t="s">
        <v>337</v>
      </c>
      <c r="E404" s="51"/>
      <c r="F404" s="27"/>
    </row>
    <row r="405" spans="1:11" s="25" customFormat="1" ht="33" customHeight="1" x14ac:dyDescent="0.25">
      <c r="A405" s="269" t="s">
        <v>321</v>
      </c>
      <c r="B405" s="270"/>
      <c r="C405" s="271"/>
      <c r="D405" s="190" t="s">
        <v>337</v>
      </c>
      <c r="E405" s="51"/>
      <c r="F405" s="27"/>
    </row>
    <row r="406" spans="1:11" s="25" customFormat="1" ht="33" customHeight="1" x14ac:dyDescent="0.25">
      <c r="A406" s="274" t="s">
        <v>366</v>
      </c>
      <c r="B406" s="275"/>
      <c r="C406" s="276"/>
      <c r="D406" s="174" t="s">
        <v>312</v>
      </c>
      <c r="E406" s="51"/>
      <c r="F406" s="27"/>
    </row>
    <row r="407" spans="1:11" s="25" customFormat="1" ht="33" customHeight="1" x14ac:dyDescent="0.25">
      <c r="A407" s="272" t="s">
        <v>315</v>
      </c>
      <c r="B407" s="272"/>
      <c r="C407" s="272"/>
      <c r="D407" s="174" t="s">
        <v>312</v>
      </c>
      <c r="E407" s="45"/>
      <c r="F407" s="27"/>
    </row>
    <row r="408" spans="1:11" s="25" customFormat="1" ht="33" customHeight="1" x14ac:dyDescent="0.25">
      <c r="A408" s="269" t="s">
        <v>314</v>
      </c>
      <c r="B408" s="270"/>
      <c r="C408" s="271"/>
      <c r="D408" s="190" t="s">
        <v>312</v>
      </c>
      <c r="E408" s="45"/>
      <c r="F408" s="27"/>
    </row>
    <row r="409" spans="1:11" s="25" customFormat="1" ht="33" customHeight="1" x14ac:dyDescent="0.25">
      <c r="A409" s="272" t="s">
        <v>326</v>
      </c>
      <c r="B409" s="272"/>
      <c r="C409" s="272"/>
      <c r="D409" s="174" t="s">
        <v>312</v>
      </c>
      <c r="E409" s="45"/>
      <c r="F409" s="27"/>
    </row>
    <row r="410" spans="1:11" s="25" customFormat="1" ht="33" customHeight="1" x14ac:dyDescent="0.25">
      <c r="A410" s="269" t="s">
        <v>325</v>
      </c>
      <c r="B410" s="270"/>
      <c r="C410" s="271"/>
      <c r="D410" s="190" t="s">
        <v>312</v>
      </c>
      <c r="E410" s="45"/>
      <c r="F410" s="27"/>
    </row>
    <row r="411" spans="1:11" s="25" customFormat="1" ht="49.5" customHeight="1" x14ac:dyDescent="0.25">
      <c r="A411" s="269" t="s">
        <v>316</v>
      </c>
      <c r="B411" s="270"/>
      <c r="C411" s="271"/>
      <c r="D411" s="190" t="s">
        <v>312</v>
      </c>
      <c r="E411" s="95"/>
      <c r="F411" s="27"/>
    </row>
    <row r="412" spans="1:11" s="25" customFormat="1" ht="47.1" customHeight="1" x14ac:dyDescent="0.25">
      <c r="A412" s="269" t="s">
        <v>317</v>
      </c>
      <c r="B412" s="270"/>
      <c r="C412" s="271"/>
      <c r="D412" s="190" t="s">
        <v>312</v>
      </c>
      <c r="E412" s="95"/>
      <c r="F412" s="27"/>
    </row>
    <row r="413" spans="1:11" s="25" customFormat="1" ht="50.1" customHeight="1" x14ac:dyDescent="0.25">
      <c r="A413" s="269" t="s">
        <v>319</v>
      </c>
      <c r="B413" s="270"/>
      <c r="C413" s="271"/>
      <c r="D413" s="190" t="s">
        <v>312</v>
      </c>
      <c r="E413" s="95"/>
      <c r="F413" s="27"/>
      <c r="I413" s="27"/>
    </row>
    <row r="414" spans="1:11" s="25" customFormat="1" ht="50.1" customHeight="1" x14ac:dyDescent="0.25">
      <c r="A414" s="269" t="s">
        <v>318</v>
      </c>
      <c r="B414" s="270"/>
      <c r="C414" s="271"/>
      <c r="D414" s="190" t="s">
        <v>312</v>
      </c>
      <c r="E414" s="95"/>
      <c r="F414" s="27"/>
      <c r="G414" s="27"/>
      <c r="H414" s="27"/>
      <c r="I414" s="27"/>
      <c r="J414" s="26"/>
      <c r="K414" s="183"/>
    </row>
    <row r="415" spans="1:11" s="25" customFormat="1" ht="50.1" customHeight="1" x14ac:dyDescent="0.25">
      <c r="A415" s="62" t="s">
        <v>296</v>
      </c>
      <c r="B415"/>
      <c r="C415"/>
      <c r="D415"/>
      <c r="E415"/>
      <c r="F415" s="27"/>
      <c r="G415" s="27"/>
      <c r="H415" s="27"/>
      <c r="I415" s="27"/>
      <c r="J415" s="26"/>
      <c r="K415" s="183"/>
    </row>
    <row r="416" spans="1:11" ht="16.5" thickBot="1" x14ac:dyDescent="0.3">
      <c r="B416" s="196" t="s">
        <v>329</v>
      </c>
      <c r="C416" s="199"/>
      <c r="D416" s="62" t="s">
        <v>301</v>
      </c>
      <c r="E416" s="62" t="s">
        <v>302</v>
      </c>
    </row>
    <row r="417" spans="1:8" ht="33" customHeight="1" thickBot="1" x14ac:dyDescent="0.3">
      <c r="A417" s="274" t="s">
        <v>163</v>
      </c>
      <c r="B417" s="275"/>
      <c r="C417" s="276"/>
      <c r="D417" s="191" t="s">
        <v>303</v>
      </c>
      <c r="E417" s="205"/>
      <c r="F417" s="73"/>
      <c r="G417" s="59" t="s">
        <v>330</v>
      </c>
      <c r="H417" s="209">
        <f>H418-H419</f>
        <v>0</v>
      </c>
    </row>
    <row r="418" spans="1:8" ht="33" customHeight="1" x14ac:dyDescent="0.25">
      <c r="A418" s="269" t="s">
        <v>216</v>
      </c>
      <c r="B418" s="270"/>
      <c r="C418" s="271"/>
      <c r="D418" s="190" t="s">
        <v>303</v>
      </c>
      <c r="E418" s="94"/>
      <c r="F418" s="73"/>
      <c r="G418" s="59" t="s">
        <v>43</v>
      </c>
      <c r="H418" s="208">
        <f>(H421-H420*(H422-H423-H424))*ERFs!B$57-E428*ERFs!B$23</f>
        <v>0</v>
      </c>
    </row>
    <row r="419" spans="1:8" ht="33" customHeight="1" x14ac:dyDescent="0.25">
      <c r="A419" s="269" t="s">
        <v>300</v>
      </c>
      <c r="B419" s="270"/>
      <c r="C419" s="271"/>
      <c r="D419" s="204"/>
      <c r="E419" s="30" t="str">
        <f>IF(E418="Class I", 50, IF(E418="Class II or III",60, IF(E418="Class IV or V", 80,"")))</f>
        <v/>
      </c>
      <c r="F419" s="73"/>
      <c r="G419" s="59" t="s">
        <v>41</v>
      </c>
      <c r="H419" s="30">
        <f>(H422-H420*(H422-E427-E430))*ERFs!B$57</f>
        <v>0</v>
      </c>
    </row>
    <row r="420" spans="1:8" ht="33" customHeight="1" x14ac:dyDescent="0.25">
      <c r="A420" s="188" t="s">
        <v>311</v>
      </c>
      <c r="B420" s="189"/>
      <c r="C420" s="190"/>
      <c r="D420" s="190" t="s">
        <v>303</v>
      </c>
      <c r="E420" s="193"/>
      <c r="F420" s="73"/>
      <c r="G420" s="59" t="s">
        <v>322</v>
      </c>
      <c r="H420" s="206">
        <f>(1-(1-(E423/100))^10)</f>
        <v>0</v>
      </c>
    </row>
    <row r="421" spans="1:8" ht="33" customHeight="1" x14ac:dyDescent="0.25">
      <c r="A421" s="188" t="s">
        <v>305</v>
      </c>
      <c r="B421" s="189"/>
      <c r="C421" s="190"/>
      <c r="D421" s="204"/>
      <c r="E421" s="194" t="str">
        <f>IF(OR(E419="",E420=""),"",E419+E420)</f>
        <v/>
      </c>
      <c r="F421" s="73"/>
      <c r="G421" s="59" t="s">
        <v>327</v>
      </c>
      <c r="H421" s="30">
        <f>E424+E429</f>
        <v>0</v>
      </c>
    </row>
    <row r="422" spans="1:8" ht="33" customHeight="1" x14ac:dyDescent="0.25">
      <c r="A422" s="192" t="s">
        <v>313</v>
      </c>
      <c r="B422" s="189"/>
      <c r="C422" s="190"/>
      <c r="D422" s="204"/>
      <c r="E422" s="194">
        <f>E420+5</f>
        <v>5</v>
      </c>
      <c r="F422" s="73"/>
      <c r="G422" s="59" t="s">
        <v>328</v>
      </c>
      <c r="H422" s="30">
        <f>E426+E429</f>
        <v>0</v>
      </c>
    </row>
    <row r="423" spans="1:8" ht="33" customHeight="1" x14ac:dyDescent="0.25">
      <c r="A423" s="274" t="s">
        <v>79</v>
      </c>
      <c r="B423" s="275"/>
      <c r="C423" s="276"/>
      <c r="D423" s="198" t="s">
        <v>336</v>
      </c>
      <c r="E423" s="207"/>
      <c r="F423" s="73"/>
      <c r="G423" s="59" t="s">
        <v>324</v>
      </c>
      <c r="H423" s="30">
        <f>E424-(E424-E425)*IF(E438&gt;0,(E435*E439/E434*E438),1)</f>
        <v>0</v>
      </c>
    </row>
    <row r="424" spans="1:8" s="14" customFormat="1" ht="33.75" customHeight="1" x14ac:dyDescent="0.25">
      <c r="A424" s="269" t="s">
        <v>258</v>
      </c>
      <c r="B424" s="270"/>
      <c r="C424" s="271"/>
      <c r="D424" s="190" t="s">
        <v>337</v>
      </c>
      <c r="E424" s="51"/>
      <c r="F424" s="35"/>
      <c r="G424" s="59" t="s">
        <v>323</v>
      </c>
      <c r="H424" s="30">
        <f>E429-(E429-E430)*IF(E436&gt;0,(E433*E437/E432*E436),1)</f>
        <v>0</v>
      </c>
    </row>
    <row r="425" spans="1:8" s="14" customFormat="1" ht="33" customHeight="1" x14ac:dyDescent="0.25">
      <c r="A425" s="277" t="s">
        <v>259</v>
      </c>
      <c r="B425" s="278"/>
      <c r="C425" s="279"/>
      <c r="D425" s="190" t="s">
        <v>337</v>
      </c>
      <c r="E425" s="51"/>
      <c r="F425" s="96"/>
    </row>
    <row r="426" spans="1:8" s="25" customFormat="1" ht="36.950000000000003" customHeight="1" x14ac:dyDescent="0.25">
      <c r="A426" s="269" t="s">
        <v>260</v>
      </c>
      <c r="B426" s="270"/>
      <c r="C426" s="271"/>
      <c r="D426" s="190" t="s">
        <v>337</v>
      </c>
      <c r="E426" s="51"/>
      <c r="F426" s="96"/>
    </row>
    <row r="427" spans="1:8" s="25" customFormat="1" ht="33" customHeight="1" x14ac:dyDescent="0.25">
      <c r="A427" s="269" t="s">
        <v>261</v>
      </c>
      <c r="B427" s="270"/>
      <c r="C427" s="271"/>
      <c r="D427" s="190" t="s">
        <v>337</v>
      </c>
      <c r="E427" s="51"/>
      <c r="F427" s="96"/>
    </row>
    <row r="428" spans="1:8" s="25" customFormat="1" ht="33" customHeight="1" x14ac:dyDescent="0.25">
      <c r="A428" s="269" t="s">
        <v>24</v>
      </c>
      <c r="B428" s="270"/>
      <c r="C428" s="271"/>
      <c r="D428" s="190" t="s">
        <v>337</v>
      </c>
      <c r="E428" s="51"/>
      <c r="F428" s="96"/>
    </row>
    <row r="429" spans="1:8" s="25" customFormat="1" ht="47.1" customHeight="1" x14ac:dyDescent="0.25">
      <c r="A429" s="269" t="s">
        <v>320</v>
      </c>
      <c r="B429" s="270"/>
      <c r="C429" s="271"/>
      <c r="D429" s="190" t="s">
        <v>337</v>
      </c>
      <c r="E429" s="51"/>
      <c r="F429" s="27"/>
    </row>
    <row r="430" spans="1:8" s="25" customFormat="1" ht="33" customHeight="1" x14ac:dyDescent="0.25">
      <c r="A430" s="269" t="s">
        <v>321</v>
      </c>
      <c r="B430" s="270"/>
      <c r="C430" s="271"/>
      <c r="D430" s="190" t="s">
        <v>337</v>
      </c>
      <c r="E430" s="51"/>
      <c r="F430" s="27"/>
    </row>
    <row r="431" spans="1:8" s="25" customFormat="1" ht="33" customHeight="1" x14ac:dyDescent="0.25">
      <c r="A431" s="274" t="s">
        <v>366</v>
      </c>
      <c r="B431" s="275"/>
      <c r="C431" s="276"/>
      <c r="D431" s="174" t="s">
        <v>312</v>
      </c>
      <c r="E431" s="51"/>
      <c r="F431" s="27"/>
    </row>
    <row r="432" spans="1:8" s="25" customFormat="1" ht="33" customHeight="1" x14ac:dyDescent="0.25">
      <c r="A432" s="272" t="s">
        <v>315</v>
      </c>
      <c r="B432" s="272"/>
      <c r="C432" s="272"/>
      <c r="D432" s="174" t="s">
        <v>312</v>
      </c>
      <c r="E432" s="45"/>
      <c r="F432" s="27"/>
    </row>
    <row r="433" spans="1:11" s="25" customFormat="1" ht="33" customHeight="1" x14ac:dyDescent="0.25">
      <c r="A433" s="269" t="s">
        <v>314</v>
      </c>
      <c r="B433" s="270"/>
      <c r="C433" s="271"/>
      <c r="D433" s="190" t="s">
        <v>312</v>
      </c>
      <c r="E433" s="45"/>
      <c r="F433" s="27"/>
    </row>
    <row r="434" spans="1:11" s="25" customFormat="1" ht="33" customHeight="1" x14ac:dyDescent="0.25">
      <c r="A434" s="272" t="s">
        <v>326</v>
      </c>
      <c r="B434" s="272"/>
      <c r="C434" s="272"/>
      <c r="D434" s="174" t="s">
        <v>312</v>
      </c>
      <c r="E434" s="45"/>
      <c r="F434" s="27"/>
    </row>
    <row r="435" spans="1:11" s="25" customFormat="1" ht="33" customHeight="1" x14ac:dyDescent="0.25">
      <c r="A435" s="269" t="s">
        <v>325</v>
      </c>
      <c r="B435" s="270"/>
      <c r="C435" s="271"/>
      <c r="D435" s="190" t="s">
        <v>312</v>
      </c>
      <c r="E435" s="45"/>
      <c r="F435" s="27"/>
    </row>
    <row r="436" spans="1:11" s="25" customFormat="1" ht="49.5" customHeight="1" x14ac:dyDescent="0.25">
      <c r="A436" s="269" t="s">
        <v>316</v>
      </c>
      <c r="B436" s="270"/>
      <c r="C436" s="271"/>
      <c r="D436" s="190" t="s">
        <v>312</v>
      </c>
      <c r="E436" s="95"/>
      <c r="F436" s="27"/>
    </row>
    <row r="437" spans="1:11" s="25" customFormat="1" ht="47.1" customHeight="1" x14ac:dyDescent="0.25">
      <c r="A437" s="269" t="s">
        <v>317</v>
      </c>
      <c r="B437" s="270"/>
      <c r="C437" s="271"/>
      <c r="D437" s="190" t="s">
        <v>312</v>
      </c>
      <c r="E437" s="95"/>
      <c r="F437" s="27"/>
    </row>
    <row r="438" spans="1:11" s="25" customFormat="1" ht="50.1" customHeight="1" x14ac:dyDescent="0.25">
      <c r="A438" s="269" t="s">
        <v>319</v>
      </c>
      <c r="B438" s="270"/>
      <c r="C438" s="271"/>
      <c r="D438" s="190" t="s">
        <v>312</v>
      </c>
      <c r="E438" s="95"/>
      <c r="F438" s="27"/>
      <c r="I438" s="27"/>
    </row>
    <row r="439" spans="1:11" s="25" customFormat="1" ht="50.1" customHeight="1" x14ac:dyDescent="0.25">
      <c r="A439" s="269" t="s">
        <v>318</v>
      </c>
      <c r="B439" s="270"/>
      <c r="C439" s="271"/>
      <c r="D439" s="190" t="s">
        <v>312</v>
      </c>
      <c r="E439" s="95"/>
      <c r="F439" s="27"/>
      <c r="G439" s="27"/>
      <c r="H439" s="27"/>
      <c r="I439" s="27"/>
      <c r="J439" s="26"/>
      <c r="K439" s="183"/>
    </row>
    <row r="440" spans="1:11" s="25" customFormat="1" ht="50.1" customHeight="1" x14ac:dyDescent="0.25">
      <c r="A440" s="62" t="s">
        <v>297</v>
      </c>
      <c r="B440"/>
      <c r="C440"/>
      <c r="D440"/>
      <c r="E440"/>
      <c r="F440" s="27"/>
      <c r="G440" s="27"/>
      <c r="H440" s="27"/>
      <c r="I440" s="27"/>
      <c r="J440" s="26"/>
      <c r="K440" s="183"/>
    </row>
    <row r="441" spans="1:11" ht="16.5" thickBot="1" x14ac:dyDescent="0.3">
      <c r="B441" s="196" t="s">
        <v>329</v>
      </c>
      <c r="C441" s="199"/>
      <c r="D441" s="62" t="s">
        <v>301</v>
      </c>
      <c r="E441" s="62" t="s">
        <v>302</v>
      </c>
    </row>
    <row r="442" spans="1:11" ht="33" customHeight="1" thickBot="1" x14ac:dyDescent="0.3">
      <c r="A442" s="274" t="s">
        <v>163</v>
      </c>
      <c r="B442" s="275"/>
      <c r="C442" s="276"/>
      <c r="D442" s="191" t="s">
        <v>303</v>
      </c>
      <c r="E442" s="205"/>
      <c r="F442" s="73"/>
      <c r="G442" s="59" t="s">
        <v>330</v>
      </c>
      <c r="H442" s="209">
        <f>H443-H444</f>
        <v>0</v>
      </c>
    </row>
    <row r="443" spans="1:11" ht="33" customHeight="1" x14ac:dyDescent="0.25">
      <c r="A443" s="269" t="s">
        <v>216</v>
      </c>
      <c r="B443" s="270"/>
      <c r="C443" s="271"/>
      <c r="D443" s="190" t="s">
        <v>303</v>
      </c>
      <c r="E443" s="94"/>
      <c r="F443" s="73"/>
      <c r="G443" s="59" t="s">
        <v>43</v>
      </c>
      <c r="H443" s="208">
        <f>(H446-H445*(H447-H448-H449))*ERFs!B$57-E453*ERFs!B$23</f>
        <v>0</v>
      </c>
    </row>
    <row r="444" spans="1:11" ht="33" customHeight="1" x14ac:dyDescent="0.25">
      <c r="A444" s="269" t="s">
        <v>300</v>
      </c>
      <c r="B444" s="270"/>
      <c r="C444" s="271"/>
      <c r="D444" s="204"/>
      <c r="E444" s="30" t="str">
        <f>IF(E443="Class I", 50, IF(E443="Class II or III",60, IF(E443="Class IV or V", 80,"")))</f>
        <v/>
      </c>
      <c r="F444" s="73"/>
      <c r="G444" s="59" t="s">
        <v>41</v>
      </c>
      <c r="H444" s="30">
        <f>(H447-H445*(H447-E452-E455))*ERFs!B$57</f>
        <v>0</v>
      </c>
    </row>
    <row r="445" spans="1:11" ht="33" customHeight="1" x14ac:dyDescent="0.25">
      <c r="A445" s="188" t="s">
        <v>311</v>
      </c>
      <c r="B445" s="189"/>
      <c r="C445" s="190"/>
      <c r="D445" s="190" t="s">
        <v>303</v>
      </c>
      <c r="E445" s="193"/>
      <c r="F445" s="73"/>
      <c r="G445" s="59" t="s">
        <v>322</v>
      </c>
      <c r="H445" s="206">
        <f>(1-(1-(E448/100))^10)</f>
        <v>0</v>
      </c>
    </row>
    <row r="446" spans="1:11" ht="33" customHeight="1" x14ac:dyDescent="0.25">
      <c r="A446" s="188" t="s">
        <v>305</v>
      </c>
      <c r="B446" s="189"/>
      <c r="C446" s="190"/>
      <c r="D446" s="204"/>
      <c r="E446" s="194" t="str">
        <f>IF(OR(E444="",E445=""),"",E444+E445)</f>
        <v/>
      </c>
      <c r="F446" s="73"/>
      <c r="G446" s="59" t="s">
        <v>327</v>
      </c>
      <c r="H446" s="30">
        <f>E449+E454</f>
        <v>0</v>
      </c>
    </row>
    <row r="447" spans="1:11" ht="33" customHeight="1" x14ac:dyDescent="0.25">
      <c r="A447" s="192" t="s">
        <v>313</v>
      </c>
      <c r="B447" s="189"/>
      <c r="C447" s="190"/>
      <c r="D447" s="204"/>
      <c r="E447" s="194">
        <f>E445+5</f>
        <v>5</v>
      </c>
      <c r="F447" s="73"/>
      <c r="G447" s="59" t="s">
        <v>328</v>
      </c>
      <c r="H447" s="30">
        <f>E451+E454</f>
        <v>0</v>
      </c>
    </row>
    <row r="448" spans="1:11" ht="33" customHeight="1" x14ac:dyDescent="0.25">
      <c r="A448" s="274" t="s">
        <v>79</v>
      </c>
      <c r="B448" s="275"/>
      <c r="C448" s="276"/>
      <c r="D448" s="198" t="s">
        <v>336</v>
      </c>
      <c r="E448" s="207"/>
      <c r="F448" s="73"/>
      <c r="G448" s="59" t="s">
        <v>324</v>
      </c>
      <c r="H448" s="30">
        <f>E449-(E449-E450)*IF(E463&gt;0,(E460*E464/E459*E463),1)</f>
        <v>0</v>
      </c>
    </row>
    <row r="449" spans="1:11" s="14" customFormat="1" ht="33.75" customHeight="1" x14ac:dyDescent="0.25">
      <c r="A449" s="269" t="s">
        <v>258</v>
      </c>
      <c r="B449" s="270"/>
      <c r="C449" s="271"/>
      <c r="D449" s="190" t="s">
        <v>337</v>
      </c>
      <c r="E449" s="51"/>
      <c r="F449" s="35"/>
      <c r="G449" s="59" t="s">
        <v>323</v>
      </c>
      <c r="H449" s="30">
        <f>E454-(E454-E455)*IF(E461&gt;0,(E458*E462/E457*E461),1)</f>
        <v>0</v>
      </c>
    </row>
    <row r="450" spans="1:11" s="14" customFormat="1" ht="33" customHeight="1" x14ac:dyDescent="0.25">
      <c r="A450" s="277" t="s">
        <v>259</v>
      </c>
      <c r="B450" s="278"/>
      <c r="C450" s="279"/>
      <c r="D450" s="190" t="s">
        <v>337</v>
      </c>
      <c r="E450" s="51"/>
      <c r="F450" s="96"/>
    </row>
    <row r="451" spans="1:11" s="25" customFormat="1" ht="36.950000000000003" customHeight="1" x14ac:dyDescent="0.25">
      <c r="A451" s="269" t="s">
        <v>260</v>
      </c>
      <c r="B451" s="270"/>
      <c r="C451" s="271"/>
      <c r="D451" s="190" t="s">
        <v>337</v>
      </c>
      <c r="E451" s="51"/>
      <c r="F451" s="96"/>
    </row>
    <row r="452" spans="1:11" s="25" customFormat="1" ht="33" customHeight="1" x14ac:dyDescent="0.25">
      <c r="A452" s="269" t="s">
        <v>261</v>
      </c>
      <c r="B452" s="270"/>
      <c r="C452" s="271"/>
      <c r="D452" s="190" t="s">
        <v>337</v>
      </c>
      <c r="E452" s="51"/>
      <c r="F452" s="96"/>
    </row>
    <row r="453" spans="1:11" s="25" customFormat="1" ht="33" customHeight="1" x14ac:dyDescent="0.25">
      <c r="A453" s="269" t="s">
        <v>24</v>
      </c>
      <c r="B453" s="270"/>
      <c r="C453" s="271"/>
      <c r="D453" s="190" t="s">
        <v>337</v>
      </c>
      <c r="E453" s="51"/>
      <c r="F453" s="96"/>
    </row>
    <row r="454" spans="1:11" s="25" customFormat="1" ht="47.1" customHeight="1" x14ac:dyDescent="0.25">
      <c r="A454" s="269" t="s">
        <v>320</v>
      </c>
      <c r="B454" s="270"/>
      <c r="C454" s="271"/>
      <c r="D454" s="190" t="s">
        <v>337</v>
      </c>
      <c r="E454" s="51"/>
      <c r="F454" s="27"/>
    </row>
    <row r="455" spans="1:11" s="25" customFormat="1" ht="33" customHeight="1" x14ac:dyDescent="0.25">
      <c r="A455" s="269" t="s">
        <v>321</v>
      </c>
      <c r="B455" s="270"/>
      <c r="C455" s="271"/>
      <c r="D455" s="190" t="s">
        <v>337</v>
      </c>
      <c r="E455" s="51"/>
      <c r="F455" s="27"/>
    </row>
    <row r="456" spans="1:11" s="25" customFormat="1" ht="33" customHeight="1" x14ac:dyDescent="0.25">
      <c r="A456" s="274" t="s">
        <v>366</v>
      </c>
      <c r="B456" s="275"/>
      <c r="C456" s="276"/>
      <c r="D456" s="174" t="s">
        <v>312</v>
      </c>
      <c r="E456" s="51"/>
      <c r="F456" s="27"/>
    </row>
    <row r="457" spans="1:11" s="25" customFormat="1" ht="33" customHeight="1" x14ac:dyDescent="0.25">
      <c r="A457" s="272" t="s">
        <v>315</v>
      </c>
      <c r="B457" s="272"/>
      <c r="C457" s="272"/>
      <c r="D457" s="174" t="s">
        <v>312</v>
      </c>
      <c r="E457" s="45"/>
      <c r="F457" s="27"/>
    </row>
    <row r="458" spans="1:11" s="25" customFormat="1" ht="33" customHeight="1" x14ac:dyDescent="0.25">
      <c r="A458" s="269" t="s">
        <v>314</v>
      </c>
      <c r="B458" s="270"/>
      <c r="C458" s="271"/>
      <c r="D458" s="190" t="s">
        <v>312</v>
      </c>
      <c r="E458" s="45"/>
      <c r="F458" s="27"/>
    </row>
    <row r="459" spans="1:11" s="25" customFormat="1" ht="33" customHeight="1" x14ac:dyDescent="0.25">
      <c r="A459" s="272" t="s">
        <v>326</v>
      </c>
      <c r="B459" s="272"/>
      <c r="C459" s="272"/>
      <c r="D459" s="174" t="s">
        <v>312</v>
      </c>
      <c r="E459" s="45"/>
      <c r="F459" s="27"/>
    </row>
    <row r="460" spans="1:11" s="25" customFormat="1" ht="33" customHeight="1" x14ac:dyDescent="0.25">
      <c r="A460" s="269" t="s">
        <v>325</v>
      </c>
      <c r="B460" s="270"/>
      <c r="C460" s="271"/>
      <c r="D460" s="190" t="s">
        <v>312</v>
      </c>
      <c r="E460" s="45"/>
      <c r="F460" s="27"/>
    </row>
    <row r="461" spans="1:11" s="25" customFormat="1" ht="49.5" customHeight="1" x14ac:dyDescent="0.25">
      <c r="A461" s="269" t="s">
        <v>316</v>
      </c>
      <c r="B461" s="270"/>
      <c r="C461" s="271"/>
      <c r="D461" s="190" t="s">
        <v>312</v>
      </c>
      <c r="E461" s="95"/>
      <c r="F461" s="27"/>
    </row>
    <row r="462" spans="1:11" s="25" customFormat="1" ht="47.1" customHeight="1" x14ac:dyDescent="0.25">
      <c r="A462" s="269" t="s">
        <v>317</v>
      </c>
      <c r="B462" s="270"/>
      <c r="C462" s="271"/>
      <c r="D462" s="190" t="s">
        <v>312</v>
      </c>
      <c r="E462" s="95"/>
      <c r="F462" s="27"/>
    </row>
    <row r="463" spans="1:11" s="25" customFormat="1" ht="50.1" customHeight="1" x14ac:dyDescent="0.25">
      <c r="A463" s="269" t="s">
        <v>319</v>
      </c>
      <c r="B463" s="270"/>
      <c r="C463" s="271"/>
      <c r="D463" s="190" t="s">
        <v>312</v>
      </c>
      <c r="E463" s="95"/>
      <c r="F463" s="27"/>
      <c r="I463" s="27"/>
    </row>
    <row r="464" spans="1:11" s="25" customFormat="1" ht="50.1" customHeight="1" x14ac:dyDescent="0.25">
      <c r="A464" s="269" t="s">
        <v>318</v>
      </c>
      <c r="B464" s="270"/>
      <c r="C464" s="271"/>
      <c r="D464" s="190" t="s">
        <v>312</v>
      </c>
      <c r="E464" s="95"/>
      <c r="F464" s="27"/>
      <c r="G464" s="27"/>
      <c r="H464" s="27"/>
      <c r="I464" s="27"/>
      <c r="J464" s="26"/>
      <c r="K464" s="183"/>
    </row>
    <row r="465" spans="1:11" s="25" customFormat="1" ht="50.1" customHeight="1" x14ac:dyDescent="0.25">
      <c r="A465" s="62" t="s">
        <v>298</v>
      </c>
      <c r="B465"/>
      <c r="C465"/>
      <c r="D465"/>
      <c r="E465"/>
      <c r="F465" s="27"/>
      <c r="G465" s="27"/>
      <c r="H465" s="27"/>
      <c r="I465" s="27"/>
      <c r="J465" s="26"/>
      <c r="K465" s="183"/>
    </row>
    <row r="466" spans="1:11" ht="16.5" thickBot="1" x14ac:dyDescent="0.3">
      <c r="B466" s="196" t="s">
        <v>329</v>
      </c>
      <c r="C466" s="199"/>
      <c r="D466" s="62" t="s">
        <v>301</v>
      </c>
      <c r="E466" s="62" t="s">
        <v>302</v>
      </c>
    </row>
    <row r="467" spans="1:11" ht="33" customHeight="1" thickBot="1" x14ac:dyDescent="0.3">
      <c r="A467" s="274" t="s">
        <v>163</v>
      </c>
      <c r="B467" s="275"/>
      <c r="C467" s="276"/>
      <c r="D467" s="191" t="s">
        <v>303</v>
      </c>
      <c r="E467" s="205"/>
      <c r="F467" s="73"/>
      <c r="G467" s="59" t="s">
        <v>330</v>
      </c>
      <c r="H467" s="209">
        <f>H468-H469</f>
        <v>0</v>
      </c>
    </row>
    <row r="468" spans="1:11" ht="33" customHeight="1" x14ac:dyDescent="0.25">
      <c r="A468" s="269" t="s">
        <v>216</v>
      </c>
      <c r="B468" s="270"/>
      <c r="C468" s="271"/>
      <c r="D468" s="190" t="s">
        <v>303</v>
      </c>
      <c r="E468" s="94"/>
      <c r="F468" s="73"/>
      <c r="G468" s="59" t="s">
        <v>43</v>
      </c>
      <c r="H468" s="208">
        <f>(H471-H470*(H472-H473-H474))*ERFs!B$57-E478*ERFs!B$23</f>
        <v>0</v>
      </c>
    </row>
    <row r="469" spans="1:11" ht="33" customHeight="1" x14ac:dyDescent="0.25">
      <c r="A469" s="269" t="s">
        <v>300</v>
      </c>
      <c r="B469" s="270"/>
      <c r="C469" s="271"/>
      <c r="D469" s="204"/>
      <c r="E469" s="30" t="str">
        <f>IF(E468="Class I", 50, IF(E468="Class II or III",60, IF(E468="Class IV or V", 80,"")))</f>
        <v/>
      </c>
      <c r="F469" s="73"/>
      <c r="G469" s="59" t="s">
        <v>41</v>
      </c>
      <c r="H469" s="30">
        <f>(H472-H470*(H472-E477-E480))*ERFs!B$57</f>
        <v>0</v>
      </c>
    </row>
    <row r="470" spans="1:11" ht="33" customHeight="1" x14ac:dyDescent="0.25">
      <c r="A470" s="188" t="s">
        <v>311</v>
      </c>
      <c r="B470" s="189"/>
      <c r="C470" s="190"/>
      <c r="D470" s="190" t="s">
        <v>303</v>
      </c>
      <c r="E470" s="193"/>
      <c r="F470" s="73"/>
      <c r="G470" s="59" t="s">
        <v>322</v>
      </c>
      <c r="H470" s="206">
        <f>(1-(1-(E473/100))^10)</f>
        <v>0</v>
      </c>
    </row>
    <row r="471" spans="1:11" ht="33" customHeight="1" x14ac:dyDescent="0.25">
      <c r="A471" s="188" t="s">
        <v>305</v>
      </c>
      <c r="B471" s="189"/>
      <c r="C471" s="190"/>
      <c r="D471" s="204"/>
      <c r="E471" s="194" t="str">
        <f>IF(OR(E469="",E470=""),"",E469+E470)</f>
        <v/>
      </c>
      <c r="F471" s="73"/>
      <c r="G471" s="59" t="s">
        <v>327</v>
      </c>
      <c r="H471" s="30">
        <f>E474+E479</f>
        <v>0</v>
      </c>
    </row>
    <row r="472" spans="1:11" ht="33" customHeight="1" x14ac:dyDescent="0.25">
      <c r="A472" s="192" t="s">
        <v>313</v>
      </c>
      <c r="B472" s="189"/>
      <c r="C472" s="190"/>
      <c r="D472" s="204"/>
      <c r="E472" s="194">
        <f>E470+5</f>
        <v>5</v>
      </c>
      <c r="F472" s="73"/>
      <c r="G472" s="59" t="s">
        <v>328</v>
      </c>
      <c r="H472" s="30">
        <f>E476+E479</f>
        <v>0</v>
      </c>
    </row>
    <row r="473" spans="1:11" ht="33" customHeight="1" x14ac:dyDescent="0.25">
      <c r="A473" s="274" t="s">
        <v>79</v>
      </c>
      <c r="B473" s="275"/>
      <c r="C473" s="276"/>
      <c r="D473" s="198" t="s">
        <v>336</v>
      </c>
      <c r="E473" s="207"/>
      <c r="F473" s="73"/>
      <c r="G473" s="59" t="s">
        <v>324</v>
      </c>
      <c r="H473" s="30">
        <f>E474-(E474-E475)*IF(E488&gt;0,(E485*E489/E484*E488),1)</f>
        <v>0</v>
      </c>
    </row>
    <row r="474" spans="1:11" s="14" customFormat="1" ht="33.75" customHeight="1" x14ac:dyDescent="0.25">
      <c r="A474" s="269" t="s">
        <v>258</v>
      </c>
      <c r="B474" s="270"/>
      <c r="C474" s="271"/>
      <c r="D474" s="190" t="s">
        <v>337</v>
      </c>
      <c r="E474" s="51"/>
      <c r="F474" s="35"/>
      <c r="G474" s="59" t="s">
        <v>323</v>
      </c>
      <c r="H474" s="30">
        <f>E479-(E479-E480)*IF(E486&gt;0,(E483*E487/E482*E486),1)</f>
        <v>0</v>
      </c>
    </row>
    <row r="475" spans="1:11" s="14" customFormat="1" ht="33" customHeight="1" x14ac:dyDescent="0.25">
      <c r="A475" s="277" t="s">
        <v>259</v>
      </c>
      <c r="B475" s="278"/>
      <c r="C475" s="279"/>
      <c r="D475" s="190" t="s">
        <v>337</v>
      </c>
      <c r="E475" s="51"/>
      <c r="F475" s="96"/>
    </row>
    <row r="476" spans="1:11" s="25" customFormat="1" ht="36.950000000000003" customHeight="1" x14ac:dyDescent="0.25">
      <c r="A476" s="269" t="s">
        <v>260</v>
      </c>
      <c r="B476" s="270"/>
      <c r="C476" s="271"/>
      <c r="D476" s="190" t="s">
        <v>337</v>
      </c>
      <c r="E476" s="51"/>
      <c r="F476" s="96"/>
    </row>
    <row r="477" spans="1:11" s="25" customFormat="1" ht="33" customHeight="1" x14ac:dyDescent="0.25">
      <c r="A477" s="269" t="s">
        <v>261</v>
      </c>
      <c r="B477" s="270"/>
      <c r="C477" s="271"/>
      <c r="D477" s="190" t="s">
        <v>337</v>
      </c>
      <c r="E477" s="51"/>
      <c r="F477" s="96"/>
    </row>
    <row r="478" spans="1:11" s="25" customFormat="1" ht="33" customHeight="1" x14ac:dyDescent="0.25">
      <c r="A478" s="269" t="s">
        <v>24</v>
      </c>
      <c r="B478" s="270"/>
      <c r="C478" s="271"/>
      <c r="D478" s="190" t="s">
        <v>337</v>
      </c>
      <c r="E478" s="51"/>
      <c r="F478" s="96"/>
    </row>
    <row r="479" spans="1:11" s="25" customFormat="1" ht="47.1" customHeight="1" x14ac:dyDescent="0.25">
      <c r="A479" s="269" t="s">
        <v>320</v>
      </c>
      <c r="B479" s="270"/>
      <c r="C479" s="271"/>
      <c r="D479" s="190" t="s">
        <v>337</v>
      </c>
      <c r="E479" s="51"/>
      <c r="F479" s="27"/>
    </row>
    <row r="480" spans="1:11" s="25" customFormat="1" ht="33" customHeight="1" x14ac:dyDescent="0.25">
      <c r="A480" s="269" t="s">
        <v>321</v>
      </c>
      <c r="B480" s="270"/>
      <c r="C480" s="271"/>
      <c r="D480" s="190" t="s">
        <v>337</v>
      </c>
      <c r="E480" s="51"/>
      <c r="F480" s="27"/>
    </row>
    <row r="481" spans="1:11" s="25" customFormat="1" ht="33" customHeight="1" x14ac:dyDescent="0.25">
      <c r="A481" s="274" t="s">
        <v>366</v>
      </c>
      <c r="B481" s="275"/>
      <c r="C481" s="276"/>
      <c r="D481" s="174" t="s">
        <v>312</v>
      </c>
      <c r="E481" s="51"/>
      <c r="F481" s="27"/>
    </row>
    <row r="482" spans="1:11" s="25" customFormat="1" ht="33" customHeight="1" x14ac:dyDescent="0.25">
      <c r="A482" s="272" t="s">
        <v>315</v>
      </c>
      <c r="B482" s="272"/>
      <c r="C482" s="272"/>
      <c r="D482" s="174" t="s">
        <v>312</v>
      </c>
      <c r="E482" s="45"/>
      <c r="F482" s="27"/>
    </row>
    <row r="483" spans="1:11" s="25" customFormat="1" ht="33" customHeight="1" x14ac:dyDescent="0.25">
      <c r="A483" s="269" t="s">
        <v>314</v>
      </c>
      <c r="B483" s="270"/>
      <c r="C483" s="271"/>
      <c r="D483" s="190" t="s">
        <v>312</v>
      </c>
      <c r="E483" s="45"/>
      <c r="F483" s="27"/>
    </row>
    <row r="484" spans="1:11" s="25" customFormat="1" ht="33" customHeight="1" x14ac:dyDescent="0.25">
      <c r="A484" s="272" t="s">
        <v>326</v>
      </c>
      <c r="B484" s="272"/>
      <c r="C484" s="272"/>
      <c r="D484" s="174" t="s">
        <v>312</v>
      </c>
      <c r="E484" s="45"/>
      <c r="F484" s="27"/>
    </row>
    <row r="485" spans="1:11" s="25" customFormat="1" ht="33" customHeight="1" x14ac:dyDescent="0.25">
      <c r="A485" s="269" t="s">
        <v>325</v>
      </c>
      <c r="B485" s="270"/>
      <c r="C485" s="271"/>
      <c r="D485" s="190" t="s">
        <v>312</v>
      </c>
      <c r="E485" s="45"/>
      <c r="F485" s="27"/>
    </row>
    <row r="486" spans="1:11" s="25" customFormat="1" ht="49.5" customHeight="1" x14ac:dyDescent="0.25">
      <c r="A486" s="269" t="s">
        <v>316</v>
      </c>
      <c r="B486" s="270"/>
      <c r="C486" s="271"/>
      <c r="D486" s="190" t="s">
        <v>312</v>
      </c>
      <c r="E486" s="95"/>
      <c r="F486" s="27"/>
    </row>
    <row r="487" spans="1:11" s="25" customFormat="1" ht="47.1" customHeight="1" x14ac:dyDescent="0.25">
      <c r="A487" s="269" t="s">
        <v>317</v>
      </c>
      <c r="B487" s="270"/>
      <c r="C487" s="271"/>
      <c r="D487" s="190" t="s">
        <v>312</v>
      </c>
      <c r="E487" s="95"/>
      <c r="F487" s="27"/>
    </row>
    <row r="488" spans="1:11" s="25" customFormat="1" ht="50.1" customHeight="1" x14ac:dyDescent="0.25">
      <c r="A488" s="269" t="s">
        <v>319</v>
      </c>
      <c r="B488" s="270"/>
      <c r="C488" s="271"/>
      <c r="D488" s="190" t="s">
        <v>312</v>
      </c>
      <c r="E488" s="95"/>
      <c r="F488" s="27"/>
      <c r="I488" s="27"/>
    </row>
    <row r="489" spans="1:11" s="25" customFormat="1" ht="50.1" customHeight="1" x14ac:dyDescent="0.25">
      <c r="A489" s="269" t="s">
        <v>318</v>
      </c>
      <c r="B489" s="270"/>
      <c r="C489" s="271"/>
      <c r="D489" s="190" t="s">
        <v>312</v>
      </c>
      <c r="E489" s="95"/>
      <c r="F489" s="27"/>
      <c r="G489" s="27"/>
      <c r="H489" s="27"/>
      <c r="I489" s="27"/>
      <c r="J489" s="26"/>
      <c r="K489" s="183"/>
    </row>
    <row r="490" spans="1:11" s="25" customFormat="1" ht="50.1" customHeight="1" x14ac:dyDescent="0.25">
      <c r="A490" s="62" t="s">
        <v>299</v>
      </c>
      <c r="B490"/>
      <c r="C490"/>
      <c r="D490"/>
      <c r="E490"/>
      <c r="F490" s="27"/>
      <c r="G490" s="27"/>
      <c r="H490" s="27"/>
      <c r="I490" s="27"/>
      <c r="J490" s="26"/>
      <c r="K490" s="183"/>
    </row>
    <row r="491" spans="1:11" ht="16.5" thickBot="1" x14ac:dyDescent="0.3">
      <c r="B491" s="196" t="s">
        <v>329</v>
      </c>
      <c r="C491" s="199"/>
      <c r="D491" s="62" t="s">
        <v>301</v>
      </c>
      <c r="E491" s="62" t="s">
        <v>302</v>
      </c>
    </row>
    <row r="492" spans="1:11" ht="33" customHeight="1" thickBot="1" x14ac:dyDescent="0.3">
      <c r="A492" s="274" t="s">
        <v>163</v>
      </c>
      <c r="B492" s="275"/>
      <c r="C492" s="276"/>
      <c r="D492" s="191" t="s">
        <v>303</v>
      </c>
      <c r="E492" s="205"/>
      <c r="F492" s="73"/>
      <c r="G492" s="59" t="s">
        <v>330</v>
      </c>
      <c r="H492" s="209">
        <f>H493-H494</f>
        <v>0</v>
      </c>
    </row>
    <row r="493" spans="1:11" ht="33" customHeight="1" x14ac:dyDescent="0.25">
      <c r="A493" s="269" t="s">
        <v>216</v>
      </c>
      <c r="B493" s="270"/>
      <c r="C493" s="271"/>
      <c r="D493" s="190" t="s">
        <v>303</v>
      </c>
      <c r="E493" s="94"/>
      <c r="F493" s="73"/>
      <c r="G493" s="59" t="s">
        <v>43</v>
      </c>
      <c r="H493" s="208">
        <f>(H496-H495*(H497-H498-H499))*ERFs!B$57-E503*ERFs!B$23</f>
        <v>0</v>
      </c>
    </row>
    <row r="494" spans="1:11" ht="33" customHeight="1" x14ac:dyDescent="0.25">
      <c r="A494" s="269" t="s">
        <v>300</v>
      </c>
      <c r="B494" s="270"/>
      <c r="C494" s="271"/>
      <c r="D494" s="204"/>
      <c r="E494" s="30" t="str">
        <f>IF(E493="Class I", 50, IF(E493="Class II or III",60, IF(E493="Class IV or V", 80,"")))</f>
        <v/>
      </c>
      <c r="F494" s="73"/>
      <c r="G494" s="59" t="s">
        <v>41</v>
      </c>
      <c r="H494" s="30">
        <f>(H497-H495*(H497-E502-E505))*ERFs!B$57</f>
        <v>0</v>
      </c>
    </row>
    <row r="495" spans="1:11" ht="33" customHeight="1" x14ac:dyDescent="0.25">
      <c r="A495" s="188" t="s">
        <v>311</v>
      </c>
      <c r="B495" s="189"/>
      <c r="C495" s="190"/>
      <c r="D495" s="190" t="s">
        <v>303</v>
      </c>
      <c r="E495" s="193"/>
      <c r="F495" s="73"/>
      <c r="G495" s="59" t="s">
        <v>322</v>
      </c>
      <c r="H495" s="206">
        <f>(1-(1-(E498/100))^10)</f>
        <v>0</v>
      </c>
    </row>
    <row r="496" spans="1:11" ht="33" customHeight="1" x14ac:dyDescent="0.25">
      <c r="A496" s="188" t="s">
        <v>305</v>
      </c>
      <c r="B496" s="189"/>
      <c r="C496" s="190"/>
      <c r="D496" s="204"/>
      <c r="E496" s="194" t="str">
        <f>IF(OR(E494="",E495=""),"",E494+E495)</f>
        <v/>
      </c>
      <c r="F496" s="73"/>
      <c r="G496" s="59" t="s">
        <v>327</v>
      </c>
      <c r="H496" s="30">
        <f>E499+E504</f>
        <v>0</v>
      </c>
    </row>
    <row r="497" spans="1:8" ht="33" customHeight="1" x14ac:dyDescent="0.25">
      <c r="A497" s="192" t="s">
        <v>313</v>
      </c>
      <c r="B497" s="189"/>
      <c r="C497" s="190"/>
      <c r="D497" s="204"/>
      <c r="E497" s="194" t="str">
        <f>IF((E495=""),"",E495+5)</f>
        <v/>
      </c>
      <c r="F497" s="73"/>
      <c r="G497" s="59" t="s">
        <v>328</v>
      </c>
      <c r="H497" s="30">
        <f>E501+E504</f>
        <v>0</v>
      </c>
    </row>
    <row r="498" spans="1:8" ht="33" customHeight="1" x14ac:dyDescent="0.25">
      <c r="A498" s="274" t="s">
        <v>79</v>
      </c>
      <c r="B498" s="275"/>
      <c r="C498" s="276"/>
      <c r="D498" s="198" t="s">
        <v>336</v>
      </c>
      <c r="E498" s="207"/>
      <c r="F498" s="73"/>
      <c r="G498" s="59" t="s">
        <v>324</v>
      </c>
      <c r="H498" s="30">
        <f>E499-(E499-E500)*IF(E513&gt;0,(E510*E514/E509*E513),1)</f>
        <v>0</v>
      </c>
    </row>
    <row r="499" spans="1:8" s="14" customFormat="1" ht="33.75" customHeight="1" x14ac:dyDescent="0.25">
      <c r="A499" s="269" t="s">
        <v>258</v>
      </c>
      <c r="B499" s="270"/>
      <c r="C499" s="271"/>
      <c r="D499" s="190" t="s">
        <v>337</v>
      </c>
      <c r="E499" s="51"/>
      <c r="F499" s="35"/>
      <c r="G499" s="59" t="s">
        <v>323</v>
      </c>
      <c r="H499" s="30">
        <f>E504-(E504-E505)*IF(E511&gt;0,(E508*E512/E507*E511),1)</f>
        <v>0</v>
      </c>
    </row>
    <row r="500" spans="1:8" s="14" customFormat="1" ht="33" customHeight="1" x14ac:dyDescent="0.25">
      <c r="A500" s="277" t="s">
        <v>259</v>
      </c>
      <c r="B500" s="278"/>
      <c r="C500" s="279"/>
      <c r="D500" s="190" t="s">
        <v>337</v>
      </c>
      <c r="E500" s="51"/>
      <c r="F500" s="96"/>
    </row>
    <row r="501" spans="1:8" s="25" customFormat="1" ht="36.950000000000003" customHeight="1" x14ac:dyDescent="0.25">
      <c r="A501" s="269" t="s">
        <v>260</v>
      </c>
      <c r="B501" s="270"/>
      <c r="C501" s="271"/>
      <c r="D501" s="190" t="s">
        <v>337</v>
      </c>
      <c r="E501" s="51"/>
      <c r="F501" s="96"/>
    </row>
    <row r="502" spans="1:8" s="25" customFormat="1" ht="33" customHeight="1" x14ac:dyDescent="0.25">
      <c r="A502" s="269" t="s">
        <v>261</v>
      </c>
      <c r="B502" s="270"/>
      <c r="C502" s="271"/>
      <c r="D502" s="190" t="s">
        <v>337</v>
      </c>
      <c r="E502" s="51"/>
      <c r="F502" s="96"/>
    </row>
    <row r="503" spans="1:8" s="25" customFormat="1" ht="33" customHeight="1" x14ac:dyDescent="0.25">
      <c r="A503" s="269" t="s">
        <v>24</v>
      </c>
      <c r="B503" s="270"/>
      <c r="C503" s="271"/>
      <c r="D503" s="190" t="s">
        <v>337</v>
      </c>
      <c r="E503" s="51"/>
      <c r="F503" s="96"/>
    </row>
    <row r="504" spans="1:8" s="25" customFormat="1" ht="47.1" customHeight="1" x14ac:dyDescent="0.25">
      <c r="A504" s="269" t="s">
        <v>320</v>
      </c>
      <c r="B504" s="270"/>
      <c r="C504" s="271"/>
      <c r="D504" s="190" t="s">
        <v>337</v>
      </c>
      <c r="E504" s="51"/>
      <c r="F504" s="27"/>
    </row>
    <row r="505" spans="1:8" s="25" customFormat="1" ht="33" customHeight="1" x14ac:dyDescent="0.25">
      <c r="A505" s="269" t="s">
        <v>321</v>
      </c>
      <c r="B505" s="270"/>
      <c r="C505" s="271"/>
      <c r="D505" s="190" t="s">
        <v>337</v>
      </c>
      <c r="E505" s="51"/>
      <c r="F505" s="27"/>
    </row>
    <row r="506" spans="1:8" s="25" customFormat="1" ht="33" customHeight="1" x14ac:dyDescent="0.25">
      <c r="A506" s="274" t="s">
        <v>366</v>
      </c>
      <c r="B506" s="275"/>
      <c r="C506" s="276"/>
      <c r="D506" s="174" t="s">
        <v>312</v>
      </c>
      <c r="E506" s="51"/>
      <c r="F506" s="27"/>
    </row>
    <row r="507" spans="1:8" s="25" customFormat="1" ht="33" customHeight="1" x14ac:dyDescent="0.25">
      <c r="A507" s="272" t="s">
        <v>315</v>
      </c>
      <c r="B507" s="272"/>
      <c r="C507" s="272"/>
      <c r="D507" s="174" t="s">
        <v>312</v>
      </c>
      <c r="E507" s="45"/>
      <c r="F507" s="27"/>
    </row>
    <row r="508" spans="1:8" s="25" customFormat="1" ht="33" customHeight="1" x14ac:dyDescent="0.25">
      <c r="A508" s="269" t="s">
        <v>314</v>
      </c>
      <c r="B508" s="270"/>
      <c r="C508" s="271"/>
      <c r="D508" s="190" t="s">
        <v>312</v>
      </c>
      <c r="E508" s="45"/>
      <c r="F508" s="27"/>
    </row>
    <row r="509" spans="1:8" s="25" customFormat="1" ht="33" customHeight="1" x14ac:dyDescent="0.25">
      <c r="A509" s="272" t="s">
        <v>326</v>
      </c>
      <c r="B509" s="272"/>
      <c r="C509" s="272"/>
      <c r="D509" s="174" t="s">
        <v>312</v>
      </c>
      <c r="E509" s="45"/>
      <c r="F509" s="27"/>
    </row>
    <row r="510" spans="1:8" s="25" customFormat="1" ht="33" customHeight="1" x14ac:dyDescent="0.25">
      <c r="A510" s="269" t="s">
        <v>325</v>
      </c>
      <c r="B510" s="270"/>
      <c r="C510" s="271"/>
      <c r="D510" s="190" t="s">
        <v>312</v>
      </c>
      <c r="E510" s="45"/>
      <c r="F510" s="27"/>
    </row>
    <row r="511" spans="1:8" s="25" customFormat="1" ht="49.5" customHeight="1" x14ac:dyDescent="0.25">
      <c r="A511" s="269" t="s">
        <v>316</v>
      </c>
      <c r="B511" s="270"/>
      <c r="C511" s="271"/>
      <c r="D511" s="190" t="s">
        <v>312</v>
      </c>
      <c r="E511" s="95"/>
      <c r="F511" s="27"/>
    </row>
    <row r="512" spans="1:8" s="25" customFormat="1" ht="47.1" customHeight="1" x14ac:dyDescent="0.25">
      <c r="A512" s="269" t="s">
        <v>317</v>
      </c>
      <c r="B512" s="270"/>
      <c r="C512" s="271"/>
      <c r="D512" s="190" t="s">
        <v>312</v>
      </c>
      <c r="E512" s="95"/>
      <c r="F512" s="27"/>
    </row>
    <row r="513" spans="1:11" s="25" customFormat="1" ht="50.1" customHeight="1" x14ac:dyDescent="0.25">
      <c r="A513" s="269" t="s">
        <v>319</v>
      </c>
      <c r="B513" s="270"/>
      <c r="C513" s="271"/>
      <c r="D513" s="190" t="s">
        <v>312</v>
      </c>
      <c r="E513" s="95"/>
      <c r="F513" s="27"/>
      <c r="I513" s="27"/>
    </row>
    <row r="514" spans="1:11" s="25" customFormat="1" ht="50.1" customHeight="1" x14ac:dyDescent="0.25">
      <c r="A514" s="269" t="s">
        <v>318</v>
      </c>
      <c r="B514" s="270"/>
      <c r="C514" s="271"/>
      <c r="D514" s="190" t="s">
        <v>312</v>
      </c>
      <c r="E514" s="95"/>
      <c r="F514" s="27"/>
      <c r="G514" s="27"/>
      <c r="H514" s="27"/>
      <c r="I514" s="27"/>
      <c r="J514" s="26"/>
      <c r="K514" s="183"/>
    </row>
  </sheetData>
  <sheetProtection algorithmName="SHA-512" hashValue="mFf2XEV7A1YynfxwnlfZ48zJ9XHYSbj6mOr9uoFE3o22cTcuOin/eCYYa873+f13BXD6Fa+ovg7GP7OpFfnnKw==" saltValue="fOVrpi+HSnYxsYh7dbgmhw==" spinCount="100000" sheet="1" objects="1" scenarios="1"/>
  <mergeCells count="399">
    <mergeCell ref="A239:C239"/>
    <mergeCell ref="A235:C235"/>
    <mergeCell ref="A236:C236"/>
    <mergeCell ref="A237:C237"/>
    <mergeCell ref="A204:C204"/>
    <mergeCell ref="A205:C205"/>
    <mergeCell ref="A199:C199"/>
    <mergeCell ref="A227:C227"/>
    <mergeCell ref="A161:C161"/>
    <mergeCell ref="A162:C162"/>
    <mergeCell ref="A219:C219"/>
    <mergeCell ref="A223:C223"/>
    <mergeCell ref="A218:C218"/>
    <mergeCell ref="A228:C228"/>
    <mergeCell ref="A229:C229"/>
    <mergeCell ref="A226:C226"/>
    <mergeCell ref="A153:C153"/>
    <mergeCell ref="A154:C154"/>
    <mergeCell ref="A155:C155"/>
    <mergeCell ref="A148:C148"/>
    <mergeCell ref="A159:C159"/>
    <mergeCell ref="A238:C238"/>
    <mergeCell ref="A168:C168"/>
    <mergeCell ref="A243:C243"/>
    <mergeCell ref="A244:C244"/>
    <mergeCell ref="A242:C242"/>
    <mergeCell ref="A186:C186"/>
    <mergeCell ref="A187:C187"/>
    <mergeCell ref="A233:C233"/>
    <mergeCell ref="A234:C234"/>
    <mergeCell ref="A214:C214"/>
    <mergeCell ref="A217:C217"/>
    <mergeCell ref="A207:C207"/>
    <mergeCell ref="A211:C211"/>
    <mergeCell ref="A212:C212"/>
    <mergeCell ref="A213:C213"/>
    <mergeCell ref="A209:C209"/>
    <mergeCell ref="A210:C210"/>
    <mergeCell ref="A208:C208"/>
    <mergeCell ref="A230:C230"/>
    <mergeCell ref="A110:C110"/>
    <mergeCell ref="A127:C127"/>
    <mergeCell ref="A124:C124"/>
    <mergeCell ref="A125:C125"/>
    <mergeCell ref="A123:C123"/>
    <mergeCell ref="A119:C119"/>
    <mergeCell ref="A232:C232"/>
    <mergeCell ref="A169:C169"/>
    <mergeCell ref="A149:C149"/>
    <mergeCell ref="A198:C198"/>
    <mergeCell ref="A173:C173"/>
    <mergeCell ref="A174:C174"/>
    <mergeCell ref="A175:C175"/>
    <mergeCell ref="A183:C183"/>
    <mergeCell ref="A178:C178"/>
    <mergeCell ref="A179:C179"/>
    <mergeCell ref="A202:C202"/>
    <mergeCell ref="A203:C203"/>
    <mergeCell ref="A135:C135"/>
    <mergeCell ref="A139:C139"/>
    <mergeCell ref="A136:C136"/>
    <mergeCell ref="A137:C137"/>
    <mergeCell ref="A138:C138"/>
    <mergeCell ref="A167:C167"/>
    <mergeCell ref="A32:C32"/>
    <mergeCell ref="A33:C33"/>
    <mergeCell ref="A18:C18"/>
    <mergeCell ref="A19:C19"/>
    <mergeCell ref="A36:C36"/>
    <mergeCell ref="A37:C37"/>
    <mergeCell ref="A38:C38"/>
    <mergeCell ref="A34:C34"/>
    <mergeCell ref="A35:C35"/>
    <mergeCell ref="A24:C24"/>
    <mergeCell ref="A31:C31"/>
    <mergeCell ref="A13:H13"/>
    <mergeCell ref="A25:C25"/>
    <mergeCell ref="A30:C30"/>
    <mergeCell ref="A29:C29"/>
    <mergeCell ref="A28:C28"/>
    <mergeCell ref="A27:C27"/>
    <mergeCell ref="A26:C26"/>
    <mergeCell ref="A17:C17"/>
    <mergeCell ref="A128:C128"/>
    <mergeCell ref="A42:C42"/>
    <mergeCell ref="A43:C43"/>
    <mergeCell ref="A44:C44"/>
    <mergeCell ref="A51:C51"/>
    <mergeCell ref="A62:C62"/>
    <mergeCell ref="A63:C63"/>
    <mergeCell ref="A85:C85"/>
    <mergeCell ref="A86:C86"/>
    <mergeCell ref="A53:C53"/>
    <mergeCell ref="A54:C54"/>
    <mergeCell ref="A52:C52"/>
    <mergeCell ref="A49:C49"/>
    <mergeCell ref="A55:C55"/>
    <mergeCell ref="A57:C57"/>
    <mergeCell ref="A50:C50"/>
    <mergeCell ref="A248:C248"/>
    <mergeCell ref="A249:C249"/>
    <mergeCell ref="A58:C58"/>
    <mergeCell ref="A59:C59"/>
    <mergeCell ref="A80:C80"/>
    <mergeCell ref="A82:C82"/>
    <mergeCell ref="A104:C104"/>
    <mergeCell ref="A129:C129"/>
    <mergeCell ref="A152:C152"/>
    <mergeCell ref="A75:C75"/>
    <mergeCell ref="A64:C64"/>
    <mergeCell ref="A77:C77"/>
    <mergeCell ref="A117:C117"/>
    <mergeCell ref="A88:C88"/>
    <mergeCell ref="A89:C89"/>
    <mergeCell ref="A92:C92"/>
    <mergeCell ref="A118:C118"/>
    <mergeCell ref="A101:C101"/>
    <mergeCell ref="A93:C93"/>
    <mergeCell ref="A100:C100"/>
    <mergeCell ref="A94:C94"/>
    <mergeCell ref="A99:C99"/>
    <mergeCell ref="A111:C111"/>
    <mergeCell ref="A102:C102"/>
    <mergeCell ref="A39:C39"/>
    <mergeCell ref="A60:C60"/>
    <mergeCell ref="A61:C61"/>
    <mergeCell ref="A83:C83"/>
    <mergeCell ref="A84:C84"/>
    <mergeCell ref="A107:C107"/>
    <mergeCell ref="A108:C108"/>
    <mergeCell ref="A130:C130"/>
    <mergeCell ref="A132:C132"/>
    <mergeCell ref="A87:C87"/>
    <mergeCell ref="A78:C78"/>
    <mergeCell ref="A79:C79"/>
    <mergeCell ref="A73:C73"/>
    <mergeCell ref="A67:C67"/>
    <mergeCell ref="A68:C68"/>
    <mergeCell ref="A74:C74"/>
    <mergeCell ref="A103:C103"/>
    <mergeCell ref="A112:C112"/>
    <mergeCell ref="A113:C113"/>
    <mergeCell ref="A114:C114"/>
    <mergeCell ref="A126:C126"/>
    <mergeCell ref="A105:C105"/>
    <mergeCell ref="A98:C98"/>
    <mergeCell ref="A109:C109"/>
    <mergeCell ref="A264:C264"/>
    <mergeCell ref="A267:C267"/>
    <mergeCell ref="A268:C268"/>
    <mergeCell ref="A269:C269"/>
    <mergeCell ref="A273:C273"/>
    <mergeCell ref="A254:C254"/>
    <mergeCell ref="A255:C255"/>
    <mergeCell ref="A257:C257"/>
    <mergeCell ref="A258:C258"/>
    <mergeCell ref="A259:C259"/>
    <mergeCell ref="A260:C260"/>
    <mergeCell ref="A261:C261"/>
    <mergeCell ref="A262:C262"/>
    <mergeCell ref="A263:C263"/>
    <mergeCell ref="A293:C293"/>
    <mergeCell ref="A294:C294"/>
    <mergeCell ref="A274:C274"/>
    <mergeCell ref="A275:C275"/>
    <mergeCell ref="A278:C278"/>
    <mergeCell ref="A279:C279"/>
    <mergeCell ref="A280:C280"/>
    <mergeCell ref="A282:C282"/>
    <mergeCell ref="A283:C283"/>
    <mergeCell ref="A284:C284"/>
    <mergeCell ref="A285:C285"/>
    <mergeCell ref="A281:C281"/>
    <mergeCell ref="A326:C326"/>
    <mergeCell ref="A327:C327"/>
    <mergeCell ref="A328:C328"/>
    <mergeCell ref="A308:C308"/>
    <mergeCell ref="A309:C309"/>
    <mergeCell ref="A310:C310"/>
    <mergeCell ref="A311:C311"/>
    <mergeCell ref="A312:C312"/>
    <mergeCell ref="A313:C313"/>
    <mergeCell ref="A317:C317"/>
    <mergeCell ref="A342:C342"/>
    <mergeCell ref="A343:C343"/>
    <mergeCell ref="A344:C344"/>
    <mergeCell ref="A350:C350"/>
    <mergeCell ref="A348:C348"/>
    <mergeCell ref="A349:C349"/>
    <mergeCell ref="A329:C329"/>
    <mergeCell ref="A330:C330"/>
    <mergeCell ref="A332:C332"/>
    <mergeCell ref="A333:C333"/>
    <mergeCell ref="A334:C334"/>
    <mergeCell ref="A335:C335"/>
    <mergeCell ref="A336:C336"/>
    <mergeCell ref="A337:C337"/>
    <mergeCell ref="A339:C339"/>
    <mergeCell ref="A338:C338"/>
    <mergeCell ref="A361:C361"/>
    <mergeCell ref="A363:C363"/>
    <mergeCell ref="A364:C364"/>
    <mergeCell ref="A367:C367"/>
    <mergeCell ref="A368:C368"/>
    <mergeCell ref="A369:C369"/>
    <mergeCell ref="A362:C362"/>
    <mergeCell ref="A351:C351"/>
    <mergeCell ref="A352:C352"/>
    <mergeCell ref="A353:C353"/>
    <mergeCell ref="A354:C354"/>
    <mergeCell ref="A355:C355"/>
    <mergeCell ref="A357:C357"/>
    <mergeCell ref="A358:C358"/>
    <mergeCell ref="A359:C359"/>
    <mergeCell ref="A360:C360"/>
    <mergeCell ref="A374:C374"/>
    <mergeCell ref="A375:C375"/>
    <mergeCell ref="A376:C376"/>
    <mergeCell ref="A377:C377"/>
    <mergeCell ref="A378:C378"/>
    <mergeCell ref="A379:C379"/>
    <mergeCell ref="A380:C380"/>
    <mergeCell ref="A382:C382"/>
    <mergeCell ref="A373:C373"/>
    <mergeCell ref="A393:C393"/>
    <mergeCell ref="A394:C394"/>
    <mergeCell ref="A398:C398"/>
    <mergeCell ref="A399:C399"/>
    <mergeCell ref="A400:C400"/>
    <mergeCell ref="A401:C401"/>
    <mergeCell ref="A402:C402"/>
    <mergeCell ref="A403:C403"/>
    <mergeCell ref="A383:C383"/>
    <mergeCell ref="A384:C384"/>
    <mergeCell ref="A385:C385"/>
    <mergeCell ref="A387:C387"/>
    <mergeCell ref="A388:C388"/>
    <mergeCell ref="A389:C389"/>
    <mergeCell ref="A392:C392"/>
    <mergeCell ref="A386:C386"/>
    <mergeCell ref="A417:C417"/>
    <mergeCell ref="A418:C418"/>
    <mergeCell ref="A419:C419"/>
    <mergeCell ref="A423:C423"/>
    <mergeCell ref="A424:C424"/>
    <mergeCell ref="A425:C425"/>
    <mergeCell ref="A404:C404"/>
    <mergeCell ref="A405:C405"/>
    <mergeCell ref="A407:C407"/>
    <mergeCell ref="A408:C408"/>
    <mergeCell ref="A409:C409"/>
    <mergeCell ref="A411:C411"/>
    <mergeCell ref="A412:C412"/>
    <mergeCell ref="A413:C413"/>
    <mergeCell ref="A414:C414"/>
    <mergeCell ref="A410:C410"/>
    <mergeCell ref="A437:C437"/>
    <mergeCell ref="A438:C438"/>
    <mergeCell ref="A439:C439"/>
    <mergeCell ref="A442:C442"/>
    <mergeCell ref="A443:C443"/>
    <mergeCell ref="A444:C444"/>
    <mergeCell ref="A426:C426"/>
    <mergeCell ref="A427:C427"/>
    <mergeCell ref="A428:C428"/>
    <mergeCell ref="A429:C429"/>
    <mergeCell ref="A430:C430"/>
    <mergeCell ref="A432:C432"/>
    <mergeCell ref="A433:C433"/>
    <mergeCell ref="A435:C435"/>
    <mergeCell ref="A436:C436"/>
    <mergeCell ref="A434:C434"/>
    <mergeCell ref="A459:C459"/>
    <mergeCell ref="A460:C460"/>
    <mergeCell ref="A461:C461"/>
    <mergeCell ref="A462:C462"/>
    <mergeCell ref="A463:C463"/>
    <mergeCell ref="A464:C464"/>
    <mergeCell ref="A467:C467"/>
    <mergeCell ref="A448:C448"/>
    <mergeCell ref="A449:C449"/>
    <mergeCell ref="A450:C450"/>
    <mergeCell ref="A451:C451"/>
    <mergeCell ref="A452:C452"/>
    <mergeCell ref="A453:C453"/>
    <mergeCell ref="A454:C454"/>
    <mergeCell ref="A455:C455"/>
    <mergeCell ref="A457:C457"/>
    <mergeCell ref="A458:C458"/>
    <mergeCell ref="A304:C304"/>
    <mergeCell ref="A305:C305"/>
    <mergeCell ref="A307:C307"/>
    <mergeCell ref="A286:C286"/>
    <mergeCell ref="A287:C287"/>
    <mergeCell ref="A288:C288"/>
    <mergeCell ref="A289:C289"/>
    <mergeCell ref="A292:C292"/>
    <mergeCell ref="A69:C69"/>
    <mergeCell ref="A76:C76"/>
    <mergeCell ref="A133:C133"/>
    <mergeCell ref="A134:C134"/>
    <mergeCell ref="A157:C157"/>
    <mergeCell ref="A158:C158"/>
    <mergeCell ref="A180:C180"/>
    <mergeCell ref="A182:C182"/>
    <mergeCell ref="A194:C194"/>
    <mergeCell ref="A188:C188"/>
    <mergeCell ref="A192:C192"/>
    <mergeCell ref="A193:C193"/>
    <mergeCell ref="A189:C189"/>
    <mergeCell ref="A163:C163"/>
    <mergeCell ref="A164:C164"/>
    <mergeCell ref="A184:C184"/>
    <mergeCell ref="A488:C488"/>
    <mergeCell ref="A489:C489"/>
    <mergeCell ref="A473:C473"/>
    <mergeCell ref="A474:C474"/>
    <mergeCell ref="A475:C475"/>
    <mergeCell ref="A476:C476"/>
    <mergeCell ref="A477:C477"/>
    <mergeCell ref="A478:C478"/>
    <mergeCell ref="A252:C252"/>
    <mergeCell ref="A253:C253"/>
    <mergeCell ref="A276:C276"/>
    <mergeCell ref="A277:C277"/>
    <mergeCell ref="A300:C300"/>
    <mergeCell ref="A301:C301"/>
    <mergeCell ref="A314:C314"/>
    <mergeCell ref="A324:C324"/>
    <mergeCell ref="A325:C325"/>
    <mergeCell ref="A318:C318"/>
    <mergeCell ref="A319:C319"/>
    <mergeCell ref="A323:C323"/>
    <mergeCell ref="A298:C298"/>
    <mergeCell ref="A299:C299"/>
    <mergeCell ref="A302:C302"/>
    <mergeCell ref="A303:C303"/>
    <mergeCell ref="A510:C510"/>
    <mergeCell ref="A511:C511"/>
    <mergeCell ref="A512:C512"/>
    <mergeCell ref="A513:C513"/>
    <mergeCell ref="A514:C514"/>
    <mergeCell ref="A500:C500"/>
    <mergeCell ref="A501:C501"/>
    <mergeCell ref="A502:C502"/>
    <mergeCell ref="A503:C503"/>
    <mergeCell ref="A504:C504"/>
    <mergeCell ref="A505:C505"/>
    <mergeCell ref="A507:C507"/>
    <mergeCell ref="A508:C508"/>
    <mergeCell ref="A509:C509"/>
    <mergeCell ref="A56:C56"/>
    <mergeCell ref="A81:C81"/>
    <mergeCell ref="A106:C106"/>
    <mergeCell ref="A131:C131"/>
    <mergeCell ref="A156:C156"/>
    <mergeCell ref="A181:C181"/>
    <mergeCell ref="A206:C206"/>
    <mergeCell ref="A231:C231"/>
    <mergeCell ref="A256:C256"/>
    <mergeCell ref="A185:C185"/>
    <mergeCell ref="A142:C142"/>
    <mergeCell ref="A143:C143"/>
    <mergeCell ref="A144:C144"/>
    <mergeCell ref="A150:C150"/>
    <mergeCell ref="A151:C151"/>
    <mergeCell ref="A160:C160"/>
    <mergeCell ref="A250:C250"/>
    <mergeCell ref="A251:C251"/>
    <mergeCell ref="A176:C176"/>
    <mergeCell ref="A177:C177"/>
    <mergeCell ref="A200:C200"/>
    <mergeCell ref="A201:C201"/>
    <mergeCell ref="A224:C224"/>
    <mergeCell ref="A225:C225"/>
    <mergeCell ref="A306:C306"/>
    <mergeCell ref="A331:C331"/>
    <mergeCell ref="A356:C356"/>
    <mergeCell ref="A381:C381"/>
    <mergeCell ref="A406:C406"/>
    <mergeCell ref="A431:C431"/>
    <mergeCell ref="A456:C456"/>
    <mergeCell ref="A481:C481"/>
    <mergeCell ref="A506:C506"/>
    <mergeCell ref="A468:C468"/>
    <mergeCell ref="A469:C469"/>
    <mergeCell ref="A482:C482"/>
    <mergeCell ref="A492:C492"/>
    <mergeCell ref="A493:C493"/>
    <mergeCell ref="A494:C494"/>
    <mergeCell ref="A498:C498"/>
    <mergeCell ref="A499:C499"/>
    <mergeCell ref="A479:C479"/>
    <mergeCell ref="A480:C480"/>
    <mergeCell ref="A483:C483"/>
    <mergeCell ref="A484:C484"/>
    <mergeCell ref="A485:C485"/>
    <mergeCell ref="A486:C486"/>
    <mergeCell ref="A487:C487"/>
  </mergeCells>
  <dataValidations xWindow="651" yWindow="865" count="13">
    <dataValidation allowBlank="1" showInputMessage="1" showErrorMessage="1" prompt="Enter fire probability as a percent. For example, a 2.2% annual probability should be entered as 2.2. A &lt;1% probability such as 0.16% annual probability should be entered as 0.16." sqref="E498 E48 E73 E98 E123 E148 E173 E198 E223 E248 E273 E298 E323 E348 E373 E398 E423 E448 E473 E23" xr:uid="{00000000-0002-0000-0400-000001000000}"/>
    <dataValidation allowBlank="1" showInputMessage="1" showErrorMessage="1" prompt="Project duration. Automatically calculated based on Site Productivity Class. Class I: 50 yrs; Class II &amp; III: 60 yrs; Class IV &amp; V: 80 yrs." sqref="E19:E22 E469:E472 E44:E47 E69:E72 E94:E97 E119:E122 E144:E147 E169:E172 E194:E197 E219:E222 E244:E247 E269:E272 E294:E297 E319:E322 E344:E347 E369:E372 E394:E397 E419:E422 E444:E447 E494:E497" xr:uid="{00000000-0002-0000-0400-000003000000}"/>
    <dataValidation allowBlank="1" showInputMessage="1" showErrorMessage="1" prompt="Enter the area of land expected to receive fuels reduction treatments (i.e., only acres with vegetation that will be treated)." sqref="E17 E467 E42 E67 E92 E117 E142 E167 E192 E217 E242 E267 E292 E317 E342 E367 E392 E417 E442 E492" xr:uid="{00000000-0002-0000-0400-000004000000}"/>
    <dataValidation type="decimal" allowBlank="1" showInputMessage="1" showErrorMessage="1" prompt="Sum the values in the FVS_Carbon output table for “Aboveground_Total_Live” and “Belowground_Live” columns in the row for the year that the project will end (50-80 years); multiply the MT C/acre by the treatment area acreage." sqref="E499:E502 E49:E52 E74:E77 E99:E102 E124:E127 E149:E152 E174:E177 E199:E202 E224:E227 E249:E252 E274:E277 E299:E302 E324:E327 E349:E352 E374:E377 E399:E402 E424:E427 E449:E452 E474:E477 E24:E27" xr:uid="{00000000-0002-0000-0400-000005000000}">
      <formula1>0</formula1>
      <formula2>100000000</formula2>
    </dataValidation>
    <dataValidation type="decimal" allowBlank="1" showInputMessage="1" showErrorMessage="1" prompt="Amount of biomass (wood products or bioenergy) removed from within the treatment boundary via mechanical treatment (used to account for mobile source combustion emissions). Enter the total value (BDT/acre * treatment acreage). " sqref="E503 E53 E78 E103 E128 E153 E178 E203 E228 E253 E278 E303 E328 E353 E378 E403 E428 E453 E478 E28" xr:uid="{00000000-0002-0000-0400-000006000000}">
      <formula1>0</formula1>
      <formula2>1000000</formula2>
    </dataValidation>
    <dataValidation type="decimal" allowBlank="1" showInputMessage="1" showErrorMessage="1" error="Please enter a value between 0% and 100%." prompt="Proportion of area within the impact boundary (%) with &gt;50% probability of experiencing high flame lengths (&gt;8 ft), based on Monte Carlo simulations of wildfire across the landscape without fuels reduction treatment (from IFTDSS)." sqref="E507 E509 E57 E59 E82 E84 E107 E109 E132 E134 E157 E159 E182 E184 E207 E209 E232 E234 E257 E259 E282 E284 E307 E309 E332 E334 E357 E359 E382 E384 E407 E409 E432 E434 E457 E459 E482 E484 E32 E34" xr:uid="{00000000-0002-0000-0400-000007000000}">
      <formula1>0</formula1>
      <formula2>1</formula2>
    </dataValidation>
    <dataValidation type="decimal" allowBlank="1" showInputMessage="1" showErrorMessage="1" prompt="Enter a percentage from 0 to 100" sqref="K39:K40 K64:K65 K89:K90 K114:K115 K139:K140 K164:K165 K189:K190 K214:K215 K239:K240 K264:K265 K289:K290 K314:K315 K339:K340 K364:K365 K389:K390 K414:K415 K439:K440 K464:K465 K489:K490 K514" xr:uid="{00000000-0002-0000-0400-00000A000000}">
      <formula1>0</formula1>
      <formula2>1</formula2>
    </dataValidation>
    <dataValidation type="decimal" allowBlank="1" showInputMessage="1" showErrorMessage="1" error="Please enter a value between 0% and 100%." prompt="Proportion of area within the impact boundary (%) with &gt;50% probability of experiencing high flame lengths (&gt;8 ft), based on Monte Carlo simulations of wildfire across the landscape with fuels reduction treatment (from IFTDSS)." sqref="E508 E510 E58 E60 E83 E85 E108 E110 E133 E135 E158 E160 E183 E185 E208 E210 E233 E235 E258 E260 E283 E285 E308 E310 E333 E335 E358 E360 E383 E385 E408 E410 E433 E435 E458 E460 E483 E485 E33 E35" xr:uid="{00000000-0002-0000-0400-000010000000}">
      <formula1>0</formula1>
      <formula2>1</formula2>
    </dataValidation>
    <dataValidation type="decimal" allowBlank="1" showInputMessage="1" showErrorMessage="1" error="Please enter a value between 0% and 100%." prompt="Conditional burn probability in the baseline scenario for the area within the impact boundary with high flame lengths (conditional flame length &gt;8 ft), based on Monte Carlo simulations of wildfire across the landscape without fuels reduction treatment (fr" sqref="E511 E61 E86 E111 E136 E161 E186 E211 E236 E261 E286 E311 E336 E361 E386 E411 E436 E461 E486 E36" xr:uid="{00000000-0002-0000-0400-000011000000}">
      <formula1>0</formula1>
      <formula2>1</formula2>
    </dataValidation>
    <dataValidation type="decimal" allowBlank="1" showInputMessage="1" showErrorMessage="1" error="Please enter a value between 0% and 100%." prompt="Conditional burn probability in the project (fuels reduction) scenario for the area within the impact boundary with high flame lengths (conditional flame length &gt;8 ft), based on Monte Carlo simulations of wildfire across the landscape without fuels reduct" sqref="E512 E62 E87 E112 E137 E162 E187 E212 E237 E262 E287 E312 E337 E362 E387 E412 E437 E462 E487 E37" xr:uid="{00000000-0002-0000-0400-000012000000}">
      <formula1>0</formula1>
      <formula2>1</formula2>
    </dataValidation>
    <dataValidation type="decimal" allowBlank="1" showInputMessage="1" showErrorMessage="1" error="Please enter a value between 0% and 100%." prompt="Conditional burn probability in the baseline scenario for the area within the treatment boundary with high flame lengths (conditional flame length &gt;8 ft)." sqref="E513 E63 E88 E113 E138 E163 E188 E213 E238 E263 E288 E313 E338 E363 E388 E413 E438 E463 E488 E38" xr:uid="{00000000-0002-0000-0400-000013000000}">
      <formula1>0</formula1>
      <formula2>1</formula2>
    </dataValidation>
    <dataValidation type="decimal" allowBlank="1" showInputMessage="1" showErrorMessage="1" error="Please enter a value between 0% and 100%." prompt="Conditional burn probability in the project (fuels reduction) scenario for the area within the treatment boundary with high flame lengths (conditional flame length &gt;8 ft)." sqref="E514 E64 E89 E114 E139 E164 E189 E214 E239 E264 E289 E314 E339 E364 E389 E414 E439 E464 E489 E39" xr:uid="{00000000-0002-0000-0400-000014000000}">
      <formula1>0</formula1>
      <formula2>1</formula2>
    </dataValidation>
    <dataValidation allowBlank="1" showErrorMessage="1" prompt="Select from dropdown. If the treatment area includes different site classes, enter the lowest site class (e.g., if class I and II, enter class I). Used to determine project duration." sqref="C16 C41 C66 C91 C116 C141 C166 C191 C216 C241 C266 C291 C316 C341 C366 C391 C416 C441 C466 C491" xr:uid="{A135F111-8324-4BAC-AA56-02E6CB6D0AB8}"/>
  </dataValidations>
  <pageMargins left="0" right="0.7" top="0" bottom="0.75" header="0.3" footer="0.3"/>
  <pageSetup scale="47" fitToHeight="0" orientation="landscape" r:id="rId1"/>
  <headerFooter>
    <oddFooter>&amp;CPage 5 of 12
Fuels Reduction Worksheet</oddFooter>
  </headerFooter>
  <drawing r:id="rId2"/>
  <extLst>
    <ext xmlns:x14="http://schemas.microsoft.com/office/spreadsheetml/2009/9/main" uri="{CCE6A557-97BC-4b89-ADB6-D9C93CAAB3DF}">
      <x14:dataValidations xmlns:xm="http://schemas.microsoft.com/office/excel/2006/main" xWindow="651" yWindow="865" count="1">
        <x14:dataValidation type="list" allowBlank="1" showInputMessage="1" showErrorMessage="1" prompt="Select from dropdown. If the treatment area includes different site classes, enter the lowest site class (e.g., if class I and II, enter class I). Used to determine project duration." xr:uid="{00000000-0002-0000-0400-000015000000}">
          <x14:formula1>
            <xm:f>LISTS!$A$31:$A$33</xm:f>
          </x14:formula1>
          <xm:sqref>E18 E468 E43 E68 E93 E118 E143 E168 E193 E218 E243 E268 E293 E318 E343 E368 E393 E418 E443 E493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7" tint="0.59999389629810485"/>
    <pageSetUpPr fitToPage="1"/>
  </sheetPr>
  <dimension ref="A1:N49"/>
  <sheetViews>
    <sheetView showGridLines="0" zoomScale="85" zoomScaleNormal="85" workbookViewId="0">
      <selection activeCell="E44" sqref="E44:E49"/>
    </sheetView>
  </sheetViews>
  <sheetFormatPr defaultColWidth="9.140625" defaultRowHeight="15" x14ac:dyDescent="0.25"/>
  <cols>
    <col min="1" max="1" width="25.7109375" customWidth="1"/>
    <col min="2" max="2" width="50.28515625" customWidth="1"/>
    <col min="3" max="3" width="16.28515625" customWidth="1"/>
    <col min="4" max="4" width="23.85546875" customWidth="1"/>
    <col min="5" max="5" width="15.7109375" customWidth="1"/>
    <col min="6" max="6" width="10.7109375" customWidth="1"/>
    <col min="7" max="7" width="48.28515625" customWidth="1"/>
    <col min="8" max="8" width="15.7109375" customWidth="1"/>
    <col min="9" max="16" width="9.140625" customWidth="1"/>
  </cols>
  <sheetData>
    <row r="1" spans="1:12" ht="18.75" x14ac:dyDescent="0.3">
      <c r="C1" s="2" t="s">
        <v>176</v>
      </c>
      <c r="D1" s="2"/>
      <c r="G1" s="2"/>
      <c r="H1" s="2"/>
      <c r="I1" s="2"/>
      <c r="J1" s="2"/>
      <c r="K1" s="2"/>
      <c r="L1" s="1"/>
    </row>
    <row r="2" spans="1:12" ht="18.75" x14ac:dyDescent="0.3">
      <c r="C2" s="2" t="s">
        <v>283</v>
      </c>
      <c r="D2" s="2"/>
      <c r="G2" s="2"/>
      <c r="H2" s="2"/>
      <c r="I2" s="2"/>
      <c r="J2" s="2"/>
      <c r="K2" s="2"/>
      <c r="L2" s="1"/>
    </row>
    <row r="3" spans="1:12" ht="18.75" x14ac:dyDescent="0.3">
      <c r="C3" s="2" t="s">
        <v>284</v>
      </c>
      <c r="D3" s="2"/>
      <c r="L3" s="1"/>
    </row>
    <row r="4" spans="1:12" ht="18.75" x14ac:dyDescent="0.3">
      <c r="C4" s="21" t="s">
        <v>308</v>
      </c>
      <c r="D4" s="21"/>
      <c r="G4" s="2"/>
      <c r="H4" s="2"/>
      <c r="I4" s="2"/>
      <c r="J4" s="2"/>
      <c r="K4" s="2"/>
      <c r="L4" s="1"/>
    </row>
    <row r="5" spans="1:12" ht="18.75" x14ac:dyDescent="0.3">
      <c r="C5" s="116"/>
      <c r="D5" s="116"/>
      <c r="G5" s="2"/>
      <c r="H5" s="2"/>
      <c r="I5" s="2"/>
      <c r="J5" s="2"/>
      <c r="K5" s="2"/>
      <c r="L5" s="1"/>
    </row>
    <row r="6" spans="1:12" ht="18.75" x14ac:dyDescent="0.3">
      <c r="C6" s="175"/>
      <c r="D6" s="175"/>
      <c r="G6" s="2"/>
      <c r="H6" s="2"/>
      <c r="I6" s="2"/>
      <c r="J6" s="2"/>
      <c r="K6" s="2"/>
    </row>
    <row r="7" spans="1:12" ht="18.75" x14ac:dyDescent="0.3">
      <c r="A7" s="1"/>
      <c r="B7" s="1"/>
      <c r="C7" s="116"/>
      <c r="D7" s="116"/>
      <c r="G7" s="20"/>
      <c r="H7" s="2"/>
      <c r="I7" s="2"/>
      <c r="J7" s="2"/>
      <c r="K7" s="2"/>
    </row>
    <row r="8" spans="1:12" ht="18.75" x14ac:dyDescent="0.3">
      <c r="A8" s="1"/>
      <c r="B8" s="1"/>
      <c r="C8" s="1"/>
      <c r="D8" s="1"/>
      <c r="H8" s="2"/>
      <c r="I8" s="2"/>
      <c r="J8" s="2"/>
      <c r="K8" s="2"/>
    </row>
    <row r="9" spans="1:12" ht="18" customHeight="1" x14ac:dyDescent="0.25">
      <c r="A9" s="28" t="s">
        <v>0</v>
      </c>
      <c r="B9" s="215" t="str">
        <f>IF('Read Me'!B19="","",'Read Me'!B19)</f>
        <v/>
      </c>
      <c r="C9" s="201"/>
      <c r="D9" s="201"/>
      <c r="E9" s="37"/>
      <c r="F9" s="37"/>
      <c r="G9" s="9"/>
      <c r="H9" s="15"/>
    </row>
    <row r="10" spans="1:12" ht="18" customHeight="1" x14ac:dyDescent="0.25">
      <c r="A10" s="43" t="s">
        <v>7</v>
      </c>
      <c r="B10" s="222" t="str">
        <f>IF('Read Me'!B20="","",'Read Me'!B20)</f>
        <v/>
      </c>
      <c r="C10" s="202"/>
      <c r="D10" s="202"/>
      <c r="E10" s="38"/>
      <c r="F10" s="38"/>
      <c r="G10" s="18"/>
      <c r="H10" s="15"/>
    </row>
    <row r="11" spans="1:12" ht="33" customHeight="1" x14ac:dyDescent="0.25">
      <c r="A11" s="213"/>
      <c r="B11" s="213"/>
      <c r="C11" s="213"/>
      <c r="D11" s="213"/>
      <c r="E11" s="213"/>
      <c r="F11" s="213"/>
      <c r="G11" s="213"/>
      <c r="H11" s="213"/>
      <c r="I11" s="1"/>
      <c r="J11" s="1"/>
      <c r="K11" s="1"/>
    </row>
    <row r="12" spans="1:12" ht="36.75" customHeight="1" x14ac:dyDescent="0.25">
      <c r="A12" s="37" t="s">
        <v>146</v>
      </c>
      <c r="B12" s="17"/>
      <c r="C12" s="17"/>
      <c r="D12" s="17"/>
      <c r="E12" s="40"/>
      <c r="F12" s="40"/>
      <c r="G12" s="40"/>
    </row>
    <row r="13" spans="1:12" ht="18" customHeight="1" thickBot="1" x14ac:dyDescent="0.3">
      <c r="B13" s="196" t="s">
        <v>307</v>
      </c>
      <c r="C13" s="267"/>
      <c r="D13" s="62" t="s">
        <v>301</v>
      </c>
      <c r="E13" s="37" t="s">
        <v>302</v>
      </c>
      <c r="F13" s="37"/>
      <c r="G13" s="37"/>
      <c r="H13" s="37"/>
    </row>
    <row r="14" spans="1:12" ht="33" customHeight="1" thickBot="1" x14ac:dyDescent="0.3">
      <c r="A14" s="283" t="s">
        <v>142</v>
      </c>
      <c r="B14" s="284"/>
      <c r="C14" s="220"/>
      <c r="D14" s="220" t="s">
        <v>303</v>
      </c>
      <c r="E14" s="94"/>
      <c r="F14" s="40"/>
      <c r="G14" s="59" t="s">
        <v>110</v>
      </c>
      <c r="H14" s="259">
        <f>H15-H16</f>
        <v>0</v>
      </c>
    </row>
    <row r="15" spans="1:12" s="14" customFormat="1" ht="33" customHeight="1" x14ac:dyDescent="0.25">
      <c r="A15" s="283" t="s">
        <v>141</v>
      </c>
      <c r="B15" s="284"/>
      <c r="C15" s="220"/>
      <c r="D15" s="220" t="s">
        <v>303</v>
      </c>
      <c r="E15" s="94"/>
      <c r="G15" s="59" t="s">
        <v>44</v>
      </c>
      <c r="H15" s="208">
        <f>E22*ERFs!B$57</f>
        <v>0</v>
      </c>
    </row>
    <row r="16" spans="1:12" s="14" customFormat="1" ht="33" customHeight="1" x14ac:dyDescent="0.25">
      <c r="A16" s="283" t="s">
        <v>143</v>
      </c>
      <c r="B16" s="284"/>
      <c r="C16" s="220"/>
      <c r="D16" s="30"/>
      <c r="E16" s="30">
        <f>IFERROR(E15/E14,0)</f>
        <v>0</v>
      </c>
      <c r="G16" s="59" t="s">
        <v>41</v>
      </c>
      <c r="H16" s="30">
        <f>(E22-(E22*E16)*(IF(E23=LISTS!A$9,ERFs!B$25,IF(E23=LISTS!A$10,ERFs!B$26,IF(E23=LISTS!A$11,ERFs!B$27,IF(E23=LISTS!A$12,ERFs!B$28,IF(E23=LISTS!A$13,ERFs!B$29,IF(E23=LISTS!A$14,ERFs!B$30,0))))))))*ERFs!B$57</f>
        <v>0</v>
      </c>
    </row>
    <row r="17" spans="1:14" s="14" customFormat="1" ht="33" customHeight="1" x14ac:dyDescent="0.25">
      <c r="A17" s="283" t="s">
        <v>217</v>
      </c>
      <c r="B17" s="284"/>
      <c r="C17" s="220"/>
      <c r="D17" s="220" t="s">
        <v>303</v>
      </c>
      <c r="E17" s="94"/>
    </row>
    <row r="18" spans="1:14" s="14" customFormat="1" ht="33" customHeight="1" x14ac:dyDescent="0.25">
      <c r="A18" s="283" t="s">
        <v>369</v>
      </c>
      <c r="B18" s="284"/>
      <c r="C18" s="220"/>
      <c r="D18" s="220" t="s">
        <v>303</v>
      </c>
      <c r="E18" s="193"/>
    </row>
    <row r="19" spans="1:14" s="14" customFormat="1" ht="33" customHeight="1" x14ac:dyDescent="0.25">
      <c r="A19" s="283" t="s">
        <v>216</v>
      </c>
      <c r="B19" s="284"/>
      <c r="C19" s="220"/>
      <c r="D19" s="220" t="s">
        <v>303</v>
      </c>
      <c r="E19" s="94"/>
    </row>
    <row r="20" spans="1:14" s="14" customFormat="1" ht="33" customHeight="1" x14ac:dyDescent="0.25">
      <c r="A20" s="269" t="s">
        <v>300</v>
      </c>
      <c r="B20" s="270"/>
      <c r="C20" s="271"/>
      <c r="D20" s="30"/>
      <c r="E20" s="30" t="str">
        <f>IF(E19="Class I", 50, IF(E19="Class II or III",60, IF(E19="Class IV or V", 80,"")))</f>
        <v/>
      </c>
    </row>
    <row r="21" spans="1:14" s="14" customFormat="1" ht="33" customHeight="1" x14ac:dyDescent="0.25">
      <c r="A21" s="188" t="s">
        <v>305</v>
      </c>
      <c r="B21" s="219"/>
      <c r="C21" s="220"/>
      <c r="D21" s="30"/>
      <c r="E21" s="194" t="str">
        <f>IF(OR(E18="",E20=""),"",E18+E20)</f>
        <v/>
      </c>
    </row>
    <row r="22" spans="1:14" s="14" customFormat="1" ht="33" customHeight="1" x14ac:dyDescent="0.25">
      <c r="A22" s="283" t="s">
        <v>100</v>
      </c>
      <c r="B22" s="284"/>
      <c r="C22" s="285"/>
      <c r="D22" s="190" t="s">
        <v>337</v>
      </c>
      <c r="E22" s="51"/>
    </row>
    <row r="23" spans="1:14" s="14" customFormat="1" ht="33" customHeight="1" x14ac:dyDescent="0.25">
      <c r="A23" s="283" t="s">
        <v>25</v>
      </c>
      <c r="B23" s="284"/>
      <c r="C23" s="285"/>
      <c r="D23" s="221" t="s">
        <v>303</v>
      </c>
      <c r="E23" s="41"/>
      <c r="G23" s="97"/>
      <c r="H23" s="97"/>
      <c r="I23" s="97"/>
    </row>
    <row r="24" spans="1:14" s="14" customFormat="1" ht="33" customHeight="1" x14ac:dyDescent="0.25">
      <c r="A24" s="286" t="s">
        <v>175</v>
      </c>
      <c r="B24" s="287"/>
      <c r="C24" s="288"/>
      <c r="D24" s="221" t="s">
        <v>303</v>
      </c>
      <c r="E24" s="94"/>
      <c r="G24" s="97"/>
      <c r="H24" s="97"/>
      <c r="I24" s="97"/>
    </row>
    <row r="25" spans="1:14" s="25" customFormat="1" ht="33" customHeight="1" x14ac:dyDescent="0.25">
      <c r="A25" s="283" t="s">
        <v>206</v>
      </c>
      <c r="B25" s="284"/>
      <c r="C25" s="285"/>
      <c r="D25" s="221" t="s">
        <v>370</v>
      </c>
      <c r="E25" s="51"/>
      <c r="G25" s="180"/>
      <c r="H25" s="181"/>
      <c r="I25" s="97"/>
      <c r="J25" s="98"/>
      <c r="K25" s="98"/>
      <c r="L25" s="98"/>
    </row>
    <row r="26" spans="1:14" s="25" customFormat="1" ht="39.75" customHeight="1" x14ac:dyDescent="0.25">
      <c r="A26" s="283" t="s">
        <v>207</v>
      </c>
      <c r="B26" s="284"/>
      <c r="C26" s="285"/>
      <c r="D26" s="221" t="s">
        <v>370</v>
      </c>
      <c r="E26" s="51"/>
      <c r="G26" s="180"/>
      <c r="H26" s="181"/>
      <c r="I26" s="182"/>
      <c r="J26" s="98"/>
      <c r="K26" s="98"/>
      <c r="L26" s="98"/>
    </row>
    <row r="27" spans="1:14" s="25" customFormat="1" ht="45" customHeight="1" x14ac:dyDescent="0.25">
      <c r="A27" s="283" t="s">
        <v>208</v>
      </c>
      <c r="B27" s="284"/>
      <c r="C27" s="285"/>
      <c r="D27" s="221" t="s">
        <v>370</v>
      </c>
      <c r="E27" s="51"/>
      <c r="G27" s="98"/>
      <c r="H27" s="98"/>
      <c r="I27" s="98"/>
      <c r="J27" s="98"/>
      <c r="K27" s="98"/>
      <c r="L27" s="98"/>
      <c r="M27" s="98"/>
      <c r="N27" s="98"/>
    </row>
    <row r="28" spans="1:14" s="25" customFormat="1" ht="45" customHeight="1" x14ac:dyDescent="0.25">
      <c r="A28" s="283" t="s">
        <v>209</v>
      </c>
      <c r="B28" s="284"/>
      <c r="C28" s="285"/>
      <c r="D28" s="221" t="s">
        <v>370</v>
      </c>
      <c r="E28" s="51"/>
      <c r="G28" s="98"/>
      <c r="H28" s="98"/>
      <c r="I28" s="98"/>
      <c r="J28" s="98"/>
      <c r="K28" s="98"/>
      <c r="L28" s="98"/>
      <c r="M28" s="98"/>
      <c r="N28" s="98"/>
    </row>
    <row r="29" spans="1:14" s="25" customFormat="1" ht="45" customHeight="1" x14ac:dyDescent="0.25">
      <c r="A29" s="283" t="s">
        <v>210</v>
      </c>
      <c r="B29" s="284"/>
      <c r="C29" s="285"/>
      <c r="D29" s="221" t="s">
        <v>370</v>
      </c>
      <c r="E29" s="51"/>
      <c r="G29" s="98"/>
      <c r="H29" s="98"/>
      <c r="I29" s="98"/>
      <c r="J29" s="98"/>
      <c r="K29" s="98"/>
      <c r="L29" s="98"/>
      <c r="M29" s="98"/>
      <c r="N29" s="98"/>
    </row>
    <row r="30" spans="1:14" s="25" customFormat="1" ht="48" customHeight="1" x14ac:dyDescent="0.25">
      <c r="A30" s="283" t="s">
        <v>211</v>
      </c>
      <c r="B30" s="284"/>
      <c r="C30" s="285"/>
      <c r="D30" s="221" t="s">
        <v>370</v>
      </c>
      <c r="E30" s="51"/>
    </row>
    <row r="31" spans="1:14" ht="36.75" customHeight="1" x14ac:dyDescent="0.25">
      <c r="A31" s="37" t="s">
        <v>147</v>
      </c>
      <c r="B31" s="17"/>
      <c r="C31" s="17"/>
      <c r="D31" s="17"/>
      <c r="E31" s="40"/>
      <c r="F31" s="40"/>
      <c r="G31" s="40"/>
    </row>
    <row r="32" spans="1:14" ht="18" customHeight="1" thickBot="1" x14ac:dyDescent="0.3">
      <c r="B32" s="196" t="s">
        <v>307</v>
      </c>
      <c r="C32" s="267"/>
      <c r="D32" s="62" t="s">
        <v>301</v>
      </c>
      <c r="E32" s="37" t="s">
        <v>302</v>
      </c>
      <c r="F32" s="37"/>
      <c r="G32" s="37"/>
      <c r="H32" s="37"/>
    </row>
    <row r="33" spans="1:14" ht="33" customHeight="1" thickBot="1" x14ac:dyDescent="0.3">
      <c r="A33" s="283" t="s">
        <v>142</v>
      </c>
      <c r="B33" s="284"/>
      <c r="C33" s="220"/>
      <c r="D33" s="220" t="s">
        <v>303</v>
      </c>
      <c r="E33" s="94"/>
      <c r="F33" s="40"/>
      <c r="G33" s="59" t="s">
        <v>111</v>
      </c>
      <c r="H33" s="259">
        <f>H34-H35</f>
        <v>0</v>
      </c>
    </row>
    <row r="34" spans="1:14" s="14" customFormat="1" ht="33" customHeight="1" x14ac:dyDescent="0.25">
      <c r="A34" s="283" t="s">
        <v>141</v>
      </c>
      <c r="B34" s="284"/>
      <c r="C34" s="220"/>
      <c r="D34" s="220" t="s">
        <v>303</v>
      </c>
      <c r="E34" s="94"/>
      <c r="G34" s="59" t="s">
        <v>44</v>
      </c>
      <c r="H34" s="208">
        <f>E41*ERFs!B$57</f>
        <v>0</v>
      </c>
    </row>
    <row r="35" spans="1:14" s="14" customFormat="1" ht="33" customHeight="1" x14ac:dyDescent="0.25">
      <c r="A35" s="283" t="s">
        <v>143</v>
      </c>
      <c r="B35" s="284"/>
      <c r="C35" s="220"/>
      <c r="D35" s="30"/>
      <c r="E35" s="30">
        <f>IFERROR(E34/E33,0)</f>
        <v>0</v>
      </c>
      <c r="G35" s="59" t="s">
        <v>41</v>
      </c>
      <c r="H35" s="30">
        <f>(E41-(E41*E35)*(IF(E42=LISTS!A$9,ERFs!B$25,IF(E42=LISTS!A$10,ERFs!B$26,IF(E42=LISTS!A$11,ERFs!B$27,IF(E42=LISTS!A$12,ERFs!B$28,IF(E42=LISTS!A$13,ERFs!B$29,IF(E42=LISTS!A$14,ERFs!B$30,0))))))))*ERFs!B$57</f>
        <v>0</v>
      </c>
    </row>
    <row r="36" spans="1:14" s="14" customFormat="1" ht="33" customHeight="1" x14ac:dyDescent="0.25">
      <c r="A36" s="283" t="s">
        <v>217</v>
      </c>
      <c r="B36" s="284"/>
      <c r="C36" s="220"/>
      <c r="D36" s="220" t="s">
        <v>303</v>
      </c>
      <c r="E36" s="94"/>
    </row>
    <row r="37" spans="1:14" s="14" customFormat="1" ht="33" customHeight="1" x14ac:dyDescent="0.25">
      <c r="A37" s="283" t="s">
        <v>369</v>
      </c>
      <c r="B37" s="284"/>
      <c r="C37" s="220"/>
      <c r="D37" s="220" t="s">
        <v>303</v>
      </c>
      <c r="E37" s="193"/>
    </row>
    <row r="38" spans="1:14" s="14" customFormat="1" ht="33" customHeight="1" x14ac:dyDescent="0.25">
      <c r="A38" s="283" t="s">
        <v>216</v>
      </c>
      <c r="B38" s="284"/>
      <c r="C38" s="220"/>
      <c r="D38" s="220" t="s">
        <v>303</v>
      </c>
      <c r="E38" s="94"/>
    </row>
    <row r="39" spans="1:14" s="14" customFormat="1" ht="33" customHeight="1" x14ac:dyDescent="0.25">
      <c r="A39" s="269" t="s">
        <v>300</v>
      </c>
      <c r="B39" s="270"/>
      <c r="C39" s="271"/>
      <c r="D39" s="30"/>
      <c r="E39" s="30" t="str">
        <f>IF(E38="Class I", 50, IF(E38="Class II or III",60, IF(E38="Class IV or V", 80,"")))</f>
        <v/>
      </c>
    </row>
    <row r="40" spans="1:14" s="14" customFormat="1" ht="33" customHeight="1" x14ac:dyDescent="0.25">
      <c r="A40" s="188" t="s">
        <v>305</v>
      </c>
      <c r="B40" s="219"/>
      <c r="C40" s="220"/>
      <c r="D40" s="30"/>
      <c r="E40" s="194" t="str">
        <f>IF(OR(E37="",E39=""),"",E37+E39)</f>
        <v/>
      </c>
    </row>
    <row r="41" spans="1:14" s="14" customFormat="1" ht="33" customHeight="1" x14ac:dyDescent="0.25">
      <c r="A41" s="283" t="s">
        <v>100</v>
      </c>
      <c r="B41" s="284"/>
      <c r="C41" s="285"/>
      <c r="D41" s="190" t="s">
        <v>337</v>
      </c>
      <c r="E41" s="51"/>
    </row>
    <row r="42" spans="1:14" s="14" customFormat="1" ht="33" customHeight="1" x14ac:dyDescent="0.25">
      <c r="A42" s="283" t="s">
        <v>25</v>
      </c>
      <c r="B42" s="284"/>
      <c r="C42" s="285"/>
      <c r="D42" s="221" t="s">
        <v>303</v>
      </c>
      <c r="E42" s="41"/>
      <c r="G42" s="97"/>
      <c r="H42" s="97"/>
      <c r="I42" s="97"/>
    </row>
    <row r="43" spans="1:14" s="14" customFormat="1" ht="33" customHeight="1" x14ac:dyDescent="0.25">
      <c r="A43" s="286" t="s">
        <v>175</v>
      </c>
      <c r="B43" s="287"/>
      <c r="C43" s="288"/>
      <c r="D43" s="221" t="s">
        <v>303</v>
      </c>
      <c r="E43" s="94"/>
      <c r="G43" s="97"/>
      <c r="H43" s="97"/>
      <c r="I43" s="97"/>
    </row>
    <row r="44" spans="1:14" s="25" customFormat="1" ht="33" customHeight="1" x14ac:dyDescent="0.25">
      <c r="A44" s="283" t="s">
        <v>206</v>
      </c>
      <c r="B44" s="284"/>
      <c r="C44" s="285"/>
      <c r="D44" s="221" t="s">
        <v>370</v>
      </c>
      <c r="E44" s="51"/>
      <c r="G44" s="180"/>
      <c r="H44" s="181"/>
      <c r="I44" s="97"/>
      <c r="J44" s="98"/>
      <c r="K44" s="98"/>
      <c r="L44" s="98"/>
    </row>
    <row r="45" spans="1:14" s="25" customFormat="1" ht="39.75" customHeight="1" x14ac:dyDescent="0.25">
      <c r="A45" s="283" t="s">
        <v>207</v>
      </c>
      <c r="B45" s="284"/>
      <c r="C45" s="285"/>
      <c r="D45" s="221" t="s">
        <v>370</v>
      </c>
      <c r="E45" s="51"/>
      <c r="G45" s="180"/>
      <c r="H45" s="181"/>
      <c r="I45" s="182"/>
      <c r="J45" s="98"/>
      <c r="K45" s="98"/>
      <c r="L45" s="98"/>
    </row>
    <row r="46" spans="1:14" s="25" customFormat="1" ht="45" customHeight="1" x14ac:dyDescent="0.25">
      <c r="A46" s="283" t="s">
        <v>208</v>
      </c>
      <c r="B46" s="284"/>
      <c r="C46" s="285"/>
      <c r="D46" s="221" t="s">
        <v>370</v>
      </c>
      <c r="E46" s="51"/>
      <c r="G46" s="98"/>
      <c r="H46" s="98"/>
      <c r="I46" s="98"/>
      <c r="J46" s="98"/>
      <c r="K46" s="98"/>
      <c r="L46" s="98"/>
      <c r="M46" s="98"/>
      <c r="N46" s="98"/>
    </row>
    <row r="47" spans="1:14" s="25" customFormat="1" ht="45" customHeight="1" x14ac:dyDescent="0.25">
      <c r="A47" s="283" t="s">
        <v>209</v>
      </c>
      <c r="B47" s="284"/>
      <c r="C47" s="285"/>
      <c r="D47" s="221" t="s">
        <v>370</v>
      </c>
      <c r="E47" s="51"/>
      <c r="G47" s="98"/>
      <c r="H47" s="98"/>
      <c r="I47" s="98"/>
      <c r="J47" s="98"/>
      <c r="K47" s="98"/>
      <c r="L47" s="98"/>
      <c r="M47" s="98"/>
      <c r="N47" s="98"/>
    </row>
    <row r="48" spans="1:14" s="25" customFormat="1" ht="45" customHeight="1" x14ac:dyDescent="0.25">
      <c r="A48" s="283" t="s">
        <v>210</v>
      </c>
      <c r="B48" s="284"/>
      <c r="C48" s="285"/>
      <c r="D48" s="221" t="s">
        <v>370</v>
      </c>
      <c r="E48" s="51"/>
      <c r="G48" s="98"/>
      <c r="H48" s="98"/>
      <c r="I48" s="98"/>
      <c r="J48" s="98"/>
      <c r="K48" s="98"/>
      <c r="L48" s="98"/>
      <c r="M48" s="98"/>
      <c r="N48" s="98"/>
    </row>
    <row r="49" spans="1:5" s="25" customFormat="1" ht="48" customHeight="1" x14ac:dyDescent="0.25">
      <c r="A49" s="283" t="s">
        <v>211</v>
      </c>
      <c r="B49" s="284"/>
      <c r="C49" s="285"/>
      <c r="D49" s="221" t="s">
        <v>370</v>
      </c>
      <c r="E49" s="51"/>
    </row>
  </sheetData>
  <sheetProtection algorithmName="SHA-512" hashValue="Q/d2mG+dJ3YxIMhAi0uj/HGM2j0aVtgTLjScxBAX5rDak8+bTt+4wufLxuIxcRVX04x0xDQZx/gRqX59LH9WyA==" saltValue="6G1Ou5ZQBa9cSzkaVdJ0/g==" spinCount="100000" sheet="1" objects="1" scenarios="1"/>
  <mergeCells count="32">
    <mergeCell ref="A46:C46"/>
    <mergeCell ref="A47:C47"/>
    <mergeCell ref="A48:C48"/>
    <mergeCell ref="A49:C49"/>
    <mergeCell ref="A14:B14"/>
    <mergeCell ref="A15:B15"/>
    <mergeCell ref="A16:B16"/>
    <mergeCell ref="A17:B17"/>
    <mergeCell ref="A19:B19"/>
    <mergeCell ref="A35:B35"/>
    <mergeCell ref="A36:B36"/>
    <mergeCell ref="A37:B37"/>
    <mergeCell ref="A38:B38"/>
    <mergeCell ref="A23:C23"/>
    <mergeCell ref="A24:C24"/>
    <mergeCell ref="A25:C25"/>
    <mergeCell ref="A43:C43"/>
    <mergeCell ref="A45:C45"/>
    <mergeCell ref="A41:C41"/>
    <mergeCell ref="A42:C42"/>
    <mergeCell ref="A39:C39"/>
    <mergeCell ref="A44:C44"/>
    <mergeCell ref="A18:B18"/>
    <mergeCell ref="A33:B33"/>
    <mergeCell ref="A34:B34"/>
    <mergeCell ref="A28:C28"/>
    <mergeCell ref="A29:C29"/>
    <mergeCell ref="A30:C30"/>
    <mergeCell ref="A22:C22"/>
    <mergeCell ref="A20:C20"/>
    <mergeCell ref="A26:C26"/>
    <mergeCell ref="A27:C27"/>
  </mergeCells>
  <dataValidations count="12">
    <dataValidation type="decimal" allowBlank="1" showInputMessage="1" showErrorMessage="1" error="Must be between 0 and 1,000,000." prompt="Enter the acres within the easement." sqref="E14 E33" xr:uid="{00000000-0002-0000-0500-000000000000}">
      <formula1>0</formula1>
      <formula2>1000000</formula2>
    </dataValidation>
    <dataValidation type="decimal" allowBlank="1" showInputMessage="1" showErrorMessage="1" error="Must be greater than 0 and less than or equal to the size of the treatment area." prompt="Enter the acres within the easement that are at risk of conversion to non-forest use." sqref="E15 E34" xr:uid="{00000000-0002-0000-0500-000001000000}">
      <formula1>0</formula1>
      <formula2>E14</formula2>
    </dataValidation>
    <dataValidation type="decimal" allowBlank="1" showInputMessage="1" showErrorMessage="1" prompt="Enter the carbon stored in standing live and dead trees within the treatment boundary at the end of the project with the conservation easement (from COLE or FVS)." sqref="E22 E41" xr:uid="{00000000-0002-0000-0500-000002000000}">
      <formula1>0</formula1>
      <formula2>100000000</formula2>
    </dataValidation>
    <dataValidation type="decimal" allowBlank="1" showInputMessage="1" showErrorMessage="1" error="If applicable, enter a value between 0 and 1,000,000." prompt="If conversion threat type is residential, enter the number of parcels, or home lots, that the land would be divided into within the area at-risk of conversion. If type of conversion threat is not residential, leave blank." sqref="E24 E43" xr:uid="{00000000-0002-0000-0500-000003000000}">
      <formula1>0</formula1>
      <formula2>1000000</formula2>
    </dataValidation>
    <dataValidation type="whole" allowBlank="1" showInputMessage="1" showErrorMessage="1" error="Enter a value between 0 and 100,000,000." prompt="The amount of biomass (BDT) that would be removed from within the treatment boundary and utilized for wood products without the easement." sqref="E25 E44" xr:uid="{00000000-0002-0000-0500-000004000000}">
      <formula1>0</formula1>
      <formula2>100000000</formula2>
    </dataValidation>
    <dataValidation type="whole" allowBlank="1" showInputMessage="1" showErrorMessage="1" error="Enter a value between 0 and 100,000,000." prompt="The amount of biomass (BDT) that would be removed from within the treatment boundary and utilized for wood products with the easement." sqref="E26 E45" xr:uid="{00000000-0002-0000-0500-000005000000}">
      <formula1>0</formula1>
      <formula2>100000000</formula2>
    </dataValidation>
    <dataValidation type="whole" allowBlank="1" showInputMessage="1" showErrorMessage="1" error="Enter a value between 0 and 100,000,000." prompt="The amount of biomass (BDT) that would be removed from within the treatment boundary and utilized for electricity generation via combustion without the easement." sqref="E27 E46" xr:uid="{00000000-0002-0000-0500-000006000000}">
      <formula1>0</formula1>
      <formula2>100000000</formula2>
    </dataValidation>
    <dataValidation type="whole" allowBlank="1" showInputMessage="1" showErrorMessage="1" error="Enter a value between 0 and 100,000,000." prompt="The amount of biomass (BDT) that would be removed from within the treatment boundary and utilized for electricity generation via combustion with the easement." sqref="E28 E47" xr:uid="{00000000-0002-0000-0500-000007000000}">
      <formula1>0</formula1>
      <formula2>100000000</formula2>
    </dataValidation>
    <dataValidation type="whole" allowBlank="1" showInputMessage="1" showErrorMessage="1" error="Enter a value between 0 and 100,000,000." prompt="The amount of biomass (BDT) that would be removed from within the treatment boundary and utilized for electricity generation via gasification without the easement." sqref="E29 E48" xr:uid="{00000000-0002-0000-0500-000008000000}">
      <formula1>0</formula1>
      <formula2>100000000</formula2>
    </dataValidation>
    <dataValidation type="whole" allowBlank="1" showInputMessage="1" showErrorMessage="1" error="Enter a value between 0 and 100,000,000." prompt="The amount of biomass (BDT) that would be removed from within the treatment boundary and utilized for electricity generation via gasification with the easement." sqref="E30 E49" xr:uid="{00000000-0002-0000-0500-000009000000}">
      <formula1>0</formula1>
      <formula2>100000000</formula2>
    </dataValidation>
    <dataValidation allowBlank="1" showInputMessage="1" showErrorMessage="1" prompt="Project duration. Automatically calculated based on Site Productivity Class. Class I: 50 yrs; Class II &amp; III: 60 yrs; Class IV &amp; V: 80 yrs." sqref="E20:E21 E39:E40" xr:uid="{00000000-0002-0000-0500-00000A000000}"/>
    <dataValidation allowBlank="1" showErrorMessage="1" prompt="Select from dropdown. If the treatment area includes different site classes, enter the lowest site class (e.g., if class I and II, enter class I). Used to determine project duration." sqref="C13:D13 C32:D32" xr:uid="{88467939-63E6-463E-9A24-C39AEC2FF513}"/>
  </dataValidations>
  <pageMargins left="0.7" right="0.7" top="0.75" bottom="0.75" header="0.3" footer="0.3"/>
  <pageSetup scale="19" orientation="landscape" r:id="rId1"/>
  <headerFooter>
    <oddFooter>&amp;CPage 6 of 12
Easement--Avoided Conversion Worksheet</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Please select from dropdown list." xr:uid="{00000000-0002-0000-0500-00000C000000}">
          <x14:formula1>
            <xm:f>LISTS!$A$9:$A$14</xm:f>
          </x14:formula1>
          <xm:sqref>E23 E42</xm:sqref>
        </x14:dataValidation>
        <x14:dataValidation type="list" allowBlank="1" showInputMessage="1" showErrorMessage="1" prompt="Select from dropdown. Used to help track State-funded activities treating and restoring natural and working lands. Does not influence GHG or other calculations." xr:uid="{00000000-0002-0000-0500-00000D000000}">
          <x14:formula1>
            <xm:f>LISTS!$A$20:$A$28</xm:f>
          </x14:formula1>
          <xm:sqref>E17 E36</xm:sqref>
        </x14:dataValidation>
        <x14:dataValidation type="list" allowBlank="1" showInputMessage="1" showErrorMessage="1" prompt="Select from dropdown. If the treatment area includes different site classes, enter the lowest site class (e.g., if class I and II, enter class I). Used to determine project duration." xr:uid="{00000000-0002-0000-0500-00000E000000}">
          <x14:formula1>
            <xm:f>LISTS!$A$31:$A$33</xm:f>
          </x14:formula1>
          <xm:sqref>E19 E38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7" tint="0.79998168889431442"/>
    <pageSetUpPr fitToPage="1"/>
  </sheetPr>
  <dimension ref="A1:BF48"/>
  <sheetViews>
    <sheetView topLeftCell="A42" zoomScale="90" zoomScaleNormal="90" zoomScalePageLayoutView="90" workbookViewId="0">
      <selection activeCell="G42" sqref="G42"/>
    </sheetView>
  </sheetViews>
  <sheetFormatPr defaultColWidth="9.140625" defaultRowHeight="15" x14ac:dyDescent="0.25"/>
  <cols>
    <col min="1" max="1" width="27.7109375" style="74" customWidth="1"/>
    <col min="2" max="2" width="52.140625" style="74" customWidth="1"/>
    <col min="3" max="3" width="12.140625" style="74" customWidth="1"/>
    <col min="4" max="4" width="27.7109375" style="74" customWidth="1"/>
    <col min="5" max="5" width="15.7109375" style="74" customWidth="1"/>
    <col min="6" max="6" width="10.7109375" style="74" customWidth="1"/>
    <col min="7" max="7" width="48.140625" style="74" customWidth="1"/>
    <col min="8" max="16384" width="9.140625" style="74"/>
  </cols>
  <sheetData>
    <row r="1" spans="1:58" ht="18.95" customHeight="1" x14ac:dyDescent="0.3">
      <c r="C1" s="114" t="s">
        <v>176</v>
      </c>
      <c r="D1" s="114"/>
    </row>
    <row r="2" spans="1:58" ht="18.95" customHeight="1" x14ac:dyDescent="0.3">
      <c r="C2" s="114" t="s">
        <v>283</v>
      </c>
      <c r="D2" s="114"/>
    </row>
    <row r="3" spans="1:58" ht="18.95" customHeight="1" x14ac:dyDescent="0.3">
      <c r="C3" s="114" t="s">
        <v>284</v>
      </c>
      <c r="D3" s="114"/>
    </row>
    <row r="4" spans="1:58" ht="18.95" customHeight="1" x14ac:dyDescent="0.3">
      <c r="C4" s="115" t="s">
        <v>308</v>
      </c>
      <c r="D4" s="115"/>
    </row>
    <row r="5" spans="1:58" ht="18.95" customHeight="1" x14ac:dyDescent="0.3">
      <c r="C5" s="176"/>
      <c r="D5" s="176"/>
    </row>
    <row r="6" spans="1:58" ht="18.95" customHeight="1" x14ac:dyDescent="0.25">
      <c r="C6" s="177"/>
      <c r="D6" s="177"/>
    </row>
    <row r="7" spans="1:58" ht="18.95" customHeight="1" x14ac:dyDescent="0.3">
      <c r="A7" s="75"/>
      <c r="B7" s="75"/>
      <c r="C7" s="176"/>
      <c r="D7" s="176"/>
    </row>
    <row r="8" spans="1:58" ht="18.95" customHeight="1" x14ac:dyDescent="0.25">
      <c r="A8" s="75"/>
      <c r="B8" s="75"/>
      <c r="C8" s="75"/>
      <c r="D8" s="75"/>
    </row>
    <row r="9" spans="1:58" ht="18.95" customHeight="1" x14ac:dyDescent="0.25">
      <c r="A9" s="76" t="s">
        <v>0</v>
      </c>
      <c r="B9" s="124" t="str">
        <f>IF('Read Me'!B19="","",'Read Me'!B19)</f>
        <v/>
      </c>
      <c r="C9" s="125"/>
      <c r="D9" s="79"/>
      <c r="E9" s="77"/>
      <c r="F9" s="77"/>
    </row>
    <row r="10" spans="1:58" ht="18.95" customHeight="1" x14ac:dyDescent="0.25">
      <c r="A10" s="78" t="s">
        <v>7</v>
      </c>
      <c r="B10" s="122" t="str">
        <f>IF('Read Me'!B20="","",'Read Me'!B20)</f>
        <v/>
      </c>
      <c r="C10" s="123"/>
      <c r="D10" s="79"/>
      <c r="E10" s="79"/>
      <c r="F10" s="79"/>
    </row>
    <row r="11" spans="1:58" ht="18.95" customHeight="1" x14ac:dyDescent="0.25">
      <c r="F11" s="75"/>
    </row>
    <row r="12" spans="1:58" ht="18.95" customHeight="1" x14ac:dyDescent="0.3">
      <c r="A12" s="80" t="s">
        <v>371</v>
      </c>
      <c r="B12" s="75"/>
      <c r="C12" s="75"/>
      <c r="D12" s="75"/>
      <c r="E12" s="75"/>
      <c r="F12" s="75"/>
    </row>
    <row r="13" spans="1:58" x14ac:dyDescent="0.25">
      <c r="A13" s="81"/>
      <c r="B13" s="82"/>
      <c r="C13" s="82"/>
      <c r="D13" s="82"/>
      <c r="E13" s="83"/>
      <c r="F13" s="83"/>
      <c r="G13" s="83"/>
    </row>
    <row r="14" spans="1:58" ht="15.75" x14ac:dyDescent="0.25">
      <c r="A14" s="295" t="s">
        <v>372</v>
      </c>
      <c r="B14" s="295"/>
      <c r="C14" s="295"/>
      <c r="D14" s="295"/>
      <c r="E14" s="295"/>
      <c r="F14" s="295"/>
      <c r="G14" s="295"/>
      <c r="H14" s="295"/>
    </row>
    <row r="15" spans="1:58" customFormat="1" ht="18" customHeight="1" thickBot="1" x14ac:dyDescent="0.3">
      <c r="B15" s="196" t="s">
        <v>307</v>
      </c>
      <c r="C15" s="267"/>
      <c r="D15" s="62" t="s">
        <v>301</v>
      </c>
      <c r="E15" s="37" t="s">
        <v>302</v>
      </c>
      <c r="F15" s="37"/>
      <c r="G15" s="37"/>
      <c r="H15" s="37"/>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row>
    <row r="16" spans="1:58" ht="34.5" customHeight="1" thickBot="1" x14ac:dyDescent="0.3">
      <c r="A16" s="269" t="s">
        <v>184</v>
      </c>
      <c r="B16" s="270"/>
      <c r="C16" s="271"/>
      <c r="D16" s="190" t="s">
        <v>303</v>
      </c>
      <c r="E16" s="94"/>
      <c r="F16" s="93"/>
      <c r="G16" s="84" t="s">
        <v>110</v>
      </c>
      <c r="H16" s="259">
        <f>H17-H18</f>
        <v>0</v>
      </c>
    </row>
    <row r="17" spans="1:58" ht="34.5" x14ac:dyDescent="0.25">
      <c r="A17" s="289" t="s">
        <v>178</v>
      </c>
      <c r="B17" s="290"/>
      <c r="C17" s="291"/>
      <c r="D17" s="190" t="s">
        <v>303</v>
      </c>
      <c r="E17" s="205"/>
      <c r="F17" s="93"/>
      <c r="G17" s="84" t="s">
        <v>44</v>
      </c>
      <c r="H17" s="208">
        <f>E24*ERFs!B$57</f>
        <v>0</v>
      </c>
    </row>
    <row r="18" spans="1:58" ht="35.1" customHeight="1" x14ac:dyDescent="0.25">
      <c r="A18" s="269" t="s">
        <v>217</v>
      </c>
      <c r="B18" s="270"/>
      <c r="C18" s="271"/>
      <c r="D18" s="190" t="s">
        <v>303</v>
      </c>
      <c r="E18" s="94"/>
      <c r="F18" s="93"/>
      <c r="G18" s="84" t="s">
        <v>41</v>
      </c>
      <c r="H18" s="30">
        <f>E23*ERFs!B$57</f>
        <v>0</v>
      </c>
    </row>
    <row r="19" spans="1:58" s="14" customFormat="1" ht="33" customHeight="1" x14ac:dyDescent="0.25">
      <c r="A19" s="283" t="s">
        <v>369</v>
      </c>
      <c r="B19" s="284"/>
      <c r="C19" s="220"/>
      <c r="D19" s="220" t="s">
        <v>303</v>
      </c>
      <c r="E19" s="193"/>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row>
    <row r="20" spans="1:58" s="14" customFormat="1" ht="33" customHeight="1" x14ac:dyDescent="0.25">
      <c r="A20" s="283" t="s">
        <v>216</v>
      </c>
      <c r="B20" s="284"/>
      <c r="C20" s="220"/>
      <c r="D20" s="220" t="s">
        <v>303</v>
      </c>
      <c r="E20" s="9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row>
    <row r="21" spans="1:58" s="14" customFormat="1" ht="33" customHeight="1" x14ac:dyDescent="0.25">
      <c r="A21" s="299" t="s">
        <v>300</v>
      </c>
      <c r="B21" s="300"/>
      <c r="C21" s="301"/>
      <c r="D21" s="30"/>
      <c r="E21" s="30" t="str">
        <f>IF(E20="Class I", 50, IF(E20="Class II or III",60, IF(E20="Class IV or V", 80,"")))</f>
        <v/>
      </c>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74"/>
      <c r="BE21" s="74"/>
      <c r="BF21" s="74"/>
    </row>
    <row r="22" spans="1:58" s="14" customFormat="1" ht="33" customHeight="1" x14ac:dyDescent="0.25">
      <c r="A22" s="188" t="s">
        <v>305</v>
      </c>
      <c r="B22" s="219"/>
      <c r="C22" s="220"/>
      <c r="D22" s="223"/>
      <c r="E22" s="194" t="str">
        <f>IF(OR(E19="",E21=""),"",E19+E21)</f>
        <v/>
      </c>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row>
    <row r="23" spans="1:58" ht="33" customHeight="1" x14ac:dyDescent="0.25">
      <c r="A23" s="296" t="s">
        <v>179</v>
      </c>
      <c r="B23" s="297"/>
      <c r="C23" s="298"/>
      <c r="D23" s="190" t="s">
        <v>337</v>
      </c>
      <c r="E23" s="51"/>
      <c r="F23" s="83"/>
    </row>
    <row r="24" spans="1:58" ht="33" customHeight="1" x14ac:dyDescent="0.25">
      <c r="A24" s="289" t="s">
        <v>180</v>
      </c>
      <c r="B24" s="292"/>
      <c r="C24" s="293"/>
      <c r="D24" s="190" t="s">
        <v>337</v>
      </c>
      <c r="E24" s="51"/>
      <c r="F24" s="85"/>
    </row>
    <row r="25" spans="1:58" ht="33" customHeight="1" x14ac:dyDescent="0.25">
      <c r="A25" s="289" t="s">
        <v>181</v>
      </c>
      <c r="B25" s="292"/>
      <c r="C25" s="293"/>
      <c r="D25" s="190" t="s">
        <v>337</v>
      </c>
      <c r="E25" s="51"/>
      <c r="F25" s="85"/>
    </row>
    <row r="26" spans="1:58" ht="33" customHeight="1" x14ac:dyDescent="0.25">
      <c r="A26" s="289" t="s">
        <v>182</v>
      </c>
      <c r="B26" s="292"/>
      <c r="C26" s="293"/>
      <c r="D26" s="190" t="s">
        <v>337</v>
      </c>
      <c r="E26" s="51"/>
      <c r="F26" s="85"/>
    </row>
    <row r="27" spans="1:58" ht="44.25" customHeight="1" x14ac:dyDescent="0.25">
      <c r="A27" s="289" t="s">
        <v>183</v>
      </c>
      <c r="B27" s="292"/>
      <c r="C27" s="293"/>
      <c r="D27" s="190" t="s">
        <v>337</v>
      </c>
      <c r="E27" s="51"/>
      <c r="F27" s="85"/>
    </row>
    <row r="28" spans="1:58" ht="42" customHeight="1" x14ac:dyDescent="0.25">
      <c r="A28" s="289" t="s">
        <v>225</v>
      </c>
      <c r="B28" s="292"/>
      <c r="C28" s="293"/>
      <c r="D28" s="190" t="s">
        <v>337</v>
      </c>
      <c r="E28" s="51"/>
      <c r="F28" s="85"/>
    </row>
    <row r="29" spans="1:58" ht="46.5" customHeight="1" x14ac:dyDescent="0.25">
      <c r="A29" s="289" t="s">
        <v>223</v>
      </c>
      <c r="B29" s="292"/>
      <c r="C29" s="293"/>
      <c r="D29" s="190" t="s">
        <v>337</v>
      </c>
      <c r="E29" s="51"/>
      <c r="F29" s="86"/>
      <c r="G29" s="87" t="s">
        <v>86</v>
      </c>
      <c r="H29" s="88">
        <f>(E25+E27+E29)</f>
        <v>0</v>
      </c>
    </row>
    <row r="30" spans="1:58" ht="42" customHeight="1" x14ac:dyDescent="0.25">
      <c r="A30" s="289" t="s">
        <v>224</v>
      </c>
      <c r="B30" s="292"/>
      <c r="C30" s="293"/>
      <c r="D30" s="190" t="s">
        <v>337</v>
      </c>
      <c r="E30" s="51"/>
      <c r="F30" s="86"/>
      <c r="G30" s="87" t="s">
        <v>87</v>
      </c>
    </row>
    <row r="31" spans="1:58" ht="24.95" customHeight="1" x14ac:dyDescent="0.25">
      <c r="A31" s="294"/>
      <c r="B31" s="294"/>
      <c r="C31" s="294"/>
      <c r="D31" s="81"/>
      <c r="F31" s="86"/>
      <c r="G31" s="86"/>
      <c r="H31" s="86"/>
    </row>
    <row r="32" spans="1:58" ht="15.75" x14ac:dyDescent="0.25">
      <c r="A32" s="295" t="s">
        <v>372</v>
      </c>
      <c r="B32" s="295"/>
      <c r="C32" s="295"/>
      <c r="D32" s="295"/>
      <c r="E32" s="295"/>
      <c r="F32" s="295"/>
      <c r="G32" s="295"/>
      <c r="H32" s="295"/>
    </row>
    <row r="33" spans="1:58" customFormat="1" ht="18" customHeight="1" thickBot="1" x14ac:dyDescent="0.3">
      <c r="B33" s="196" t="s">
        <v>307</v>
      </c>
      <c r="C33" s="267"/>
      <c r="D33" s="62" t="s">
        <v>301</v>
      </c>
      <c r="E33" s="37" t="s">
        <v>302</v>
      </c>
      <c r="F33" s="37"/>
      <c r="G33" s="37"/>
      <c r="H33" s="37"/>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row>
    <row r="34" spans="1:58" ht="34.5" customHeight="1" thickBot="1" x14ac:dyDescent="0.3">
      <c r="A34" s="269" t="s">
        <v>184</v>
      </c>
      <c r="B34" s="270"/>
      <c r="C34" s="271"/>
      <c r="D34" s="190" t="s">
        <v>303</v>
      </c>
      <c r="E34" s="94"/>
      <c r="F34" s="93"/>
      <c r="G34" s="84" t="s">
        <v>111</v>
      </c>
      <c r="H34" s="259">
        <f>H35-H36</f>
        <v>0</v>
      </c>
    </row>
    <row r="35" spans="1:58" ht="34.5" x14ac:dyDescent="0.25">
      <c r="A35" s="289" t="s">
        <v>178</v>
      </c>
      <c r="B35" s="290"/>
      <c r="C35" s="291"/>
      <c r="D35" s="190" t="s">
        <v>303</v>
      </c>
      <c r="E35" s="205"/>
      <c r="F35" s="93"/>
      <c r="G35" s="84" t="s">
        <v>44</v>
      </c>
      <c r="H35" s="208">
        <f>E42*ERFs!B$57</f>
        <v>0</v>
      </c>
    </row>
    <row r="36" spans="1:58" ht="35.1" customHeight="1" x14ac:dyDescent="0.25">
      <c r="A36" s="269" t="s">
        <v>217</v>
      </c>
      <c r="B36" s="270"/>
      <c r="C36" s="271"/>
      <c r="D36" s="190" t="s">
        <v>303</v>
      </c>
      <c r="E36" s="94"/>
      <c r="F36" s="93"/>
      <c r="G36" s="84" t="s">
        <v>41</v>
      </c>
      <c r="H36" s="30">
        <f>E41*ERFs!B$57</f>
        <v>0</v>
      </c>
    </row>
    <row r="37" spans="1:58" s="14" customFormat="1" ht="33" customHeight="1" x14ac:dyDescent="0.25">
      <c r="A37" s="283" t="s">
        <v>369</v>
      </c>
      <c r="B37" s="284"/>
      <c r="C37" s="220"/>
      <c r="D37" s="220" t="s">
        <v>303</v>
      </c>
      <c r="E37" s="193"/>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74"/>
      <c r="BC37" s="74"/>
      <c r="BD37" s="74"/>
      <c r="BE37" s="74"/>
      <c r="BF37" s="74"/>
    </row>
    <row r="38" spans="1:58" s="14" customFormat="1" ht="33" customHeight="1" x14ac:dyDescent="0.25">
      <c r="A38" s="283" t="s">
        <v>216</v>
      </c>
      <c r="B38" s="284"/>
      <c r="C38" s="220"/>
      <c r="D38" s="220" t="s">
        <v>303</v>
      </c>
      <c r="E38" s="9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row>
    <row r="39" spans="1:58" s="14" customFormat="1" ht="33" customHeight="1" x14ac:dyDescent="0.25">
      <c r="A39" s="299" t="s">
        <v>300</v>
      </c>
      <c r="B39" s="300"/>
      <c r="C39" s="301"/>
      <c r="D39" s="30"/>
      <c r="E39" s="30" t="str">
        <f>IF(E38="Class I", 50, IF(E38="Class II or III",60, IF(E38="Class IV or V", 80,"")))</f>
        <v/>
      </c>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74"/>
      <c r="BE39" s="74"/>
      <c r="BF39" s="74"/>
    </row>
    <row r="40" spans="1:58" s="14" customFormat="1" ht="33" customHeight="1" x14ac:dyDescent="0.25">
      <c r="A40" s="188" t="s">
        <v>305</v>
      </c>
      <c r="B40" s="219"/>
      <c r="C40" s="220"/>
      <c r="D40" s="223"/>
      <c r="E40" s="194" t="str">
        <f>IF(OR(E37="",E39=""),"",E37+E39)</f>
        <v/>
      </c>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c r="BA40" s="74"/>
      <c r="BB40" s="74"/>
      <c r="BC40" s="74"/>
      <c r="BD40" s="74"/>
      <c r="BE40" s="74"/>
      <c r="BF40" s="74"/>
    </row>
    <row r="41" spans="1:58" ht="33" customHeight="1" x14ac:dyDescent="0.25">
      <c r="A41" s="296" t="s">
        <v>179</v>
      </c>
      <c r="B41" s="297"/>
      <c r="C41" s="298"/>
      <c r="D41" s="190" t="s">
        <v>337</v>
      </c>
      <c r="E41" s="51"/>
      <c r="F41" s="83"/>
    </row>
    <row r="42" spans="1:58" ht="33" customHeight="1" x14ac:dyDescent="0.25">
      <c r="A42" s="289" t="s">
        <v>180</v>
      </c>
      <c r="B42" s="292"/>
      <c r="C42" s="293"/>
      <c r="D42" s="190" t="s">
        <v>337</v>
      </c>
      <c r="E42" s="51"/>
      <c r="F42" s="85"/>
    </row>
    <row r="43" spans="1:58" ht="33" customHeight="1" x14ac:dyDescent="0.25">
      <c r="A43" s="289" t="s">
        <v>181</v>
      </c>
      <c r="B43" s="292"/>
      <c r="C43" s="293"/>
      <c r="D43" s="190" t="s">
        <v>337</v>
      </c>
      <c r="E43" s="51"/>
      <c r="F43" s="85"/>
    </row>
    <row r="44" spans="1:58" ht="33" customHeight="1" x14ac:dyDescent="0.25">
      <c r="A44" s="289" t="s">
        <v>182</v>
      </c>
      <c r="B44" s="292"/>
      <c r="C44" s="293"/>
      <c r="D44" s="190" t="s">
        <v>337</v>
      </c>
      <c r="E44" s="51"/>
      <c r="F44" s="85"/>
    </row>
    <row r="45" spans="1:58" ht="44.25" customHeight="1" x14ac:dyDescent="0.25">
      <c r="A45" s="289" t="s">
        <v>183</v>
      </c>
      <c r="B45" s="292"/>
      <c r="C45" s="293"/>
      <c r="D45" s="190" t="s">
        <v>337</v>
      </c>
      <c r="E45" s="51"/>
      <c r="F45" s="85"/>
    </row>
    <row r="46" spans="1:58" ht="42" customHeight="1" x14ac:dyDescent="0.25">
      <c r="A46" s="289" t="s">
        <v>225</v>
      </c>
      <c r="B46" s="292"/>
      <c r="C46" s="293"/>
      <c r="D46" s="190" t="s">
        <v>337</v>
      </c>
      <c r="E46" s="51"/>
      <c r="F46" s="85"/>
    </row>
    <row r="47" spans="1:58" ht="46.5" customHeight="1" x14ac:dyDescent="0.25">
      <c r="A47" s="289" t="s">
        <v>223</v>
      </c>
      <c r="B47" s="292"/>
      <c r="C47" s="293"/>
      <c r="D47" s="190" t="s">
        <v>337</v>
      </c>
      <c r="E47" s="51"/>
      <c r="F47" s="86"/>
      <c r="G47" s="87" t="s">
        <v>86</v>
      </c>
      <c r="H47" s="88">
        <f>(E43+E45+E47)</f>
        <v>0</v>
      </c>
    </row>
    <row r="48" spans="1:58" ht="42" customHeight="1" x14ac:dyDescent="0.25">
      <c r="A48" s="289" t="s">
        <v>224</v>
      </c>
      <c r="B48" s="292"/>
      <c r="C48" s="293"/>
      <c r="D48" s="190" t="s">
        <v>337</v>
      </c>
      <c r="E48" s="51"/>
      <c r="F48" s="86"/>
      <c r="G48" s="87" t="s">
        <v>87</v>
      </c>
    </row>
  </sheetData>
  <sheetProtection algorithmName="SHA-512" hashValue="FPbBDULko33VIUUKV8qpPrSGNeuo4f7UR4bDqV6vBPPgWV8VmBtnTcYUuhntChIMv/RqrH9YZuCMwkNUQtV6Ig==" saltValue="7yrbOCsMadVHcOJhO0tT6A==" spinCount="100000" sheet="1" objects="1" scenarios="1"/>
  <mergeCells count="31">
    <mergeCell ref="A39:C39"/>
    <mergeCell ref="A41:C41"/>
    <mergeCell ref="A43:C43"/>
    <mergeCell ref="A48:C48"/>
    <mergeCell ref="A47:C47"/>
    <mergeCell ref="A46:C46"/>
    <mergeCell ref="A42:C42"/>
    <mergeCell ref="A44:C44"/>
    <mergeCell ref="A45:C45"/>
    <mergeCell ref="A14:H14"/>
    <mergeCell ref="A23:C23"/>
    <mergeCell ref="A27:C27"/>
    <mergeCell ref="A28:C28"/>
    <mergeCell ref="A29:C29"/>
    <mergeCell ref="A24:C24"/>
    <mergeCell ref="A25:C25"/>
    <mergeCell ref="A26:C26"/>
    <mergeCell ref="A17:C17"/>
    <mergeCell ref="A16:C16"/>
    <mergeCell ref="A18:C18"/>
    <mergeCell ref="A19:B19"/>
    <mergeCell ref="A20:B20"/>
    <mergeCell ref="A21:C21"/>
    <mergeCell ref="A35:C35"/>
    <mergeCell ref="A36:C36"/>
    <mergeCell ref="A37:B37"/>
    <mergeCell ref="A38:B38"/>
    <mergeCell ref="A30:C30"/>
    <mergeCell ref="A31:C31"/>
    <mergeCell ref="A32:H32"/>
    <mergeCell ref="A34:C34"/>
  </mergeCells>
  <dataValidations count="12">
    <dataValidation type="decimal" allowBlank="1" showInputMessage="1" showErrorMessage="1" error="Enter number between 0 and 1,000,000." prompt="Enter the acres within the easement." sqref="E16 E34" xr:uid="{00000000-0002-0000-0600-000000000000}">
      <formula1>0</formula1>
      <formula2>1000000</formula2>
    </dataValidation>
    <dataValidation allowBlank="1" showInputMessage="1" showErrorMessage="1" prompt="Project duration. Automatically calculated based on Site Productivity Class. Class I: 50 yrs; Class II &amp; III: 60 yrs; Class IV &amp; V: 80 yrs." sqref="E21:E22 E39:E40" xr:uid="{00000000-0002-0000-0600-000001000000}"/>
    <dataValidation type="decimal" allowBlank="1" showInputMessage="1" showErrorMessage="1" error="Enter number between 0 and 1,000,000." prompt="Enter the acres within the treatment boundary that are subject to active forest management prescriptions through the conservation easement." sqref="E17 E35" xr:uid="{00000000-0002-0000-0600-000002000000}">
      <formula1>0</formula1>
      <formula2>1000000</formula2>
    </dataValidation>
    <dataValidation type="decimal" allowBlank="1" showInputMessage="1" showErrorMessage="1" error="Enter a number between 0 and 100,000,000." prompt="Enter the carbon stored in standing live and dead trees within the active forest management portion of the easement at the end of the project without the conservation easement (from FVS or other approved model). " sqref="E23 E41" xr:uid="{00000000-0002-0000-0600-000003000000}">
      <formula1>0</formula1>
      <formula2>100000000</formula2>
    </dataValidation>
    <dataValidation type="decimal" allowBlank="1" showInputMessage="1" showErrorMessage="1" error="Enter a number between 0 and 100,000,000." prompt="Enter the carbon stored in standing live and dead trees within the active forest management portion of the easement at the end of the project with the conservation easement (from FVS or other approved model). " sqref="E24 E42" xr:uid="{00000000-0002-0000-0600-000004000000}">
      <formula1>0</formula1>
      <formula2>100000000</formula2>
    </dataValidation>
    <dataValidation type="decimal" allowBlank="1" showInputMessage="1" showErrorMessage="1" error="Enter a value between 0 and 100,000,000." prompt="Estimate biomass that would be utilized for electricity generation via gasification with the conservation easement in place.  " sqref="E30 E48" xr:uid="{00000000-0002-0000-0600-000005000000}">
      <formula1>0</formula1>
      <formula2>100000000</formula2>
    </dataValidation>
    <dataValidation type="decimal" allowBlank="1" showInputMessage="1" showErrorMessage="1" error="Enter a value between 0 and 100,000,000." prompt="Estimate biomass that would be utilized for wood products with the conservation easement in place.  " sqref="E26 E44" xr:uid="{00000000-0002-0000-0600-000006000000}">
      <formula1>0</formula1>
      <formula2>100000000</formula2>
    </dataValidation>
    <dataValidation type="decimal" allowBlank="1" showInputMessage="1" showErrorMessage="1" error="Enter a value between 0 and 100,000,000." prompt="Estimate biomass that would be utilized for wood products without the conservation easement in place.  " sqref="E25 E43" xr:uid="{00000000-0002-0000-0600-000007000000}">
      <formula1>0</formula1>
      <formula2>100000000</formula2>
    </dataValidation>
    <dataValidation type="decimal" allowBlank="1" showInputMessage="1" showErrorMessage="1" error="Enter a value between 0 and 100,000,000." prompt="Estimate biomass that would be utilized for electricity generation via combustion without the conservation easement in place.  " sqref="E27 E45" xr:uid="{00000000-0002-0000-0600-000008000000}">
      <formula1>0</formula1>
      <formula2>100000000</formula2>
    </dataValidation>
    <dataValidation type="decimal" allowBlank="1" showInputMessage="1" showErrorMessage="1" error="Enter a value between 0 and 100,000,000." prompt="Estimate biomass that would be utilized for electricity generation via combustion with the conservation easement in place.  " sqref="E28 E46" xr:uid="{00000000-0002-0000-0600-000009000000}">
      <formula1>0</formula1>
      <formula2>100000000</formula2>
    </dataValidation>
    <dataValidation type="decimal" allowBlank="1" showInputMessage="1" showErrorMessage="1" error="Enter a value between 0 and 100,000,000." prompt="Estimate biomass that would be utilized for electricity generation via gasification without the conservation easement in place.  " sqref="E29 E47" xr:uid="{00000000-0002-0000-0600-00000A000000}">
      <formula1>0</formula1>
      <formula2>100000000</formula2>
    </dataValidation>
    <dataValidation allowBlank="1" showErrorMessage="1" prompt="Select from dropdown. If the treatment area includes different site classes, enter the lowest site class (e.g., if class I and II, enter class I). Used to determine project duration." sqref="C15:D15 C33:D33" xr:uid="{575AABC6-EC98-4F88-8FDD-834D8A14C5ED}"/>
  </dataValidations>
  <pageMargins left="0.7" right="0.7" top="0.75" bottom="0.75" header="0.3" footer="0.3"/>
  <pageSetup scale="22" orientation="landscape" r:id="rId1"/>
  <headerFooter>
    <oddFooter>&amp;CPage 7 of 12
Easement--Forest Management Worksheet</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Select from dropdown. If the treatment area includes different site classes, enter the lowest site class (e.g., if class I and II, enter class I). Used to determine project duration." xr:uid="{00000000-0002-0000-0600-00000C000000}">
          <x14:formula1>
            <xm:f>LISTS!$A$31:$A$33</xm:f>
          </x14:formula1>
          <xm:sqref>E20 E38</xm:sqref>
        </x14:dataValidation>
        <x14:dataValidation type="list" allowBlank="1" showInputMessage="1" showErrorMessage="1" prompt="Select from dropdown. Used to help track State-funded activities treating and restoring natural and working lands. Does not influence GHG or other calculations." xr:uid="{00000000-0002-0000-0600-00000D000000}">
          <x14:formula1>
            <xm:f>LISTS!$A$20:$A$28</xm:f>
          </x14:formula1>
          <xm:sqref>E18 E36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9" tint="0.59999389629810485"/>
    <pageSetUpPr fitToPage="1"/>
  </sheetPr>
  <dimension ref="A1:P45"/>
  <sheetViews>
    <sheetView showGridLines="0" showRuler="0" topLeftCell="A34" zoomScaleNormal="100" workbookViewId="0">
      <selection activeCell="A16" sqref="A16:C16"/>
    </sheetView>
  </sheetViews>
  <sheetFormatPr defaultColWidth="9.140625" defaultRowHeight="15" x14ac:dyDescent="0.25"/>
  <cols>
    <col min="1" max="1" width="25.7109375" customWidth="1"/>
    <col min="2" max="2" width="57.5703125" customWidth="1"/>
    <col min="3" max="3" width="22.140625" customWidth="1"/>
    <col min="4" max="4" width="18.140625" customWidth="1"/>
    <col min="5" max="5" width="13.7109375" customWidth="1"/>
    <col min="6" max="8" width="14.7109375" customWidth="1"/>
    <col min="9" max="9" width="25.85546875" customWidth="1"/>
    <col min="10" max="10" width="11.7109375" customWidth="1"/>
    <col min="11" max="11" width="4.7109375" customWidth="1"/>
    <col min="12" max="12" width="29" customWidth="1"/>
    <col min="13" max="13" width="12.7109375" customWidth="1"/>
    <col min="14" max="14" width="18.7109375" customWidth="1"/>
    <col min="15" max="15" width="16.7109375" customWidth="1"/>
    <col min="16" max="16" width="18.7109375" customWidth="1"/>
    <col min="17" max="17" width="26.7109375" customWidth="1"/>
    <col min="18" max="20" width="9.140625" customWidth="1"/>
  </cols>
  <sheetData>
    <row r="1" spans="1:16" ht="18.75" x14ac:dyDescent="0.3">
      <c r="C1" s="2" t="s">
        <v>176</v>
      </c>
      <c r="E1" s="2"/>
      <c r="F1" s="2"/>
      <c r="G1" s="2"/>
      <c r="H1" s="1"/>
      <c r="K1" s="2"/>
      <c r="L1" s="2"/>
      <c r="M1" s="2"/>
      <c r="N1" s="2"/>
      <c r="O1" s="2"/>
      <c r="P1" s="1"/>
    </row>
    <row r="2" spans="1:16" ht="18.75" x14ac:dyDescent="0.3">
      <c r="C2" s="2" t="s">
        <v>283</v>
      </c>
      <c r="E2" s="2"/>
      <c r="F2" s="2"/>
      <c r="G2" s="2"/>
      <c r="H2" s="1"/>
      <c r="K2" s="2"/>
      <c r="L2" s="2"/>
      <c r="M2" s="2"/>
      <c r="N2" s="2"/>
      <c r="O2" s="2"/>
      <c r="P2" s="1"/>
    </row>
    <row r="3" spans="1:16" ht="18.75" x14ac:dyDescent="0.3">
      <c r="C3" s="2" t="s">
        <v>284</v>
      </c>
      <c r="H3" s="1"/>
      <c r="P3" s="1"/>
    </row>
    <row r="4" spans="1:16" ht="18.75" x14ac:dyDescent="0.3">
      <c r="C4" s="21" t="s">
        <v>308</v>
      </c>
      <c r="E4" s="2"/>
      <c r="F4" s="2"/>
      <c r="G4" s="2"/>
      <c r="H4" s="1"/>
      <c r="K4" s="2"/>
      <c r="L4" s="2"/>
      <c r="M4" s="2"/>
      <c r="N4" s="2"/>
      <c r="O4" s="2"/>
      <c r="P4" s="1"/>
    </row>
    <row r="5" spans="1:16" ht="18.75" x14ac:dyDescent="0.3">
      <c r="C5" s="116"/>
      <c r="E5" s="2"/>
      <c r="F5" s="2"/>
      <c r="G5" s="2"/>
      <c r="H5" s="1"/>
      <c r="K5" s="2"/>
      <c r="L5" s="2"/>
      <c r="M5" s="2"/>
      <c r="N5" s="2"/>
      <c r="O5" s="2"/>
      <c r="P5" s="1"/>
    </row>
    <row r="6" spans="1:16" ht="18.75" x14ac:dyDescent="0.3">
      <c r="C6" s="175"/>
      <c r="E6" s="2"/>
      <c r="F6" s="2"/>
      <c r="G6" s="2"/>
      <c r="K6" s="2"/>
      <c r="L6" s="2"/>
      <c r="M6" s="2"/>
      <c r="N6" s="2"/>
      <c r="O6" s="2"/>
    </row>
    <row r="7" spans="1:16" ht="18.75" x14ac:dyDescent="0.3">
      <c r="A7" s="1"/>
      <c r="B7" s="1"/>
      <c r="C7" s="116"/>
      <c r="E7" s="21"/>
      <c r="F7" s="21"/>
      <c r="G7" s="21"/>
      <c r="K7" s="2"/>
      <c r="L7" s="2"/>
      <c r="M7" s="2"/>
      <c r="N7" s="2"/>
      <c r="O7" s="2"/>
    </row>
    <row r="8" spans="1:16" ht="18.75" x14ac:dyDescent="0.3">
      <c r="A8" s="1"/>
      <c r="B8" s="1"/>
      <c r="I8" s="2"/>
      <c r="J8" s="2"/>
      <c r="K8" s="2"/>
      <c r="L8" s="2"/>
      <c r="M8" s="2"/>
      <c r="N8" s="2"/>
      <c r="O8" s="2"/>
    </row>
    <row r="9" spans="1:16" ht="18" customHeight="1" x14ac:dyDescent="0.25">
      <c r="A9" s="28" t="s">
        <v>0</v>
      </c>
      <c r="B9" s="124" t="str">
        <f>IF('Read Me'!B19="","",'Read Me'!B19)</f>
        <v/>
      </c>
      <c r="C9" s="125"/>
      <c r="D9" s="37"/>
      <c r="E9" s="9"/>
      <c r="F9" s="15"/>
    </row>
    <row r="10" spans="1:16" ht="18" customHeight="1" x14ac:dyDescent="0.25">
      <c r="A10" s="43" t="s">
        <v>7</v>
      </c>
      <c r="B10" s="122" t="str">
        <f>IF('Read Me'!B20="","",'Read Me'!B20)</f>
        <v/>
      </c>
      <c r="C10" s="123"/>
      <c r="D10" s="38"/>
      <c r="E10" s="18"/>
      <c r="F10" s="15"/>
    </row>
    <row r="11" spans="1:16" ht="18" customHeight="1" x14ac:dyDescent="0.25">
      <c r="D11" s="1"/>
      <c r="E11" s="7"/>
      <c r="F11" s="7"/>
      <c r="H11" s="8"/>
    </row>
    <row r="12" spans="1:16" ht="18.75" x14ac:dyDescent="0.3">
      <c r="A12" s="3" t="s">
        <v>21</v>
      </c>
      <c r="B12" s="1"/>
      <c r="C12" s="1"/>
      <c r="D12" s="1"/>
      <c r="E12" s="1"/>
      <c r="F12" s="1"/>
      <c r="G12" s="1"/>
      <c r="H12" s="1"/>
      <c r="I12" s="1"/>
      <c r="J12" s="1"/>
      <c r="K12" s="1"/>
      <c r="L12" s="1"/>
      <c r="M12" s="1"/>
      <c r="N12" s="1"/>
      <c r="O12" s="1"/>
      <c r="P12" s="1"/>
    </row>
    <row r="13" spans="1:16" ht="18" customHeight="1" x14ac:dyDescent="0.25">
      <c r="I13" s="1"/>
      <c r="J13" s="1"/>
      <c r="K13" s="1"/>
      <c r="L13" s="1"/>
      <c r="M13" s="1"/>
    </row>
    <row r="14" spans="1:16" ht="18" customHeight="1" x14ac:dyDescent="0.25">
      <c r="A14" s="303" t="s">
        <v>49</v>
      </c>
      <c r="B14" s="303"/>
      <c r="C14" s="303"/>
      <c r="D14" s="303"/>
      <c r="E14" s="303"/>
      <c r="F14" s="17"/>
      <c r="G14" s="17"/>
      <c r="H14" s="17"/>
      <c r="I14" s="1"/>
      <c r="J14" s="1"/>
      <c r="K14" s="1"/>
      <c r="L14" s="1"/>
      <c r="M14" s="1"/>
      <c r="N14" s="40"/>
      <c r="O14" s="40"/>
      <c r="P14" s="40"/>
    </row>
    <row r="15" spans="1:16" ht="18" customHeight="1" x14ac:dyDescent="0.25">
      <c r="B15" s="196" t="s">
        <v>329</v>
      </c>
      <c r="C15" s="267"/>
      <c r="D15" s="62" t="s">
        <v>301</v>
      </c>
      <c r="E15" s="260" t="s">
        <v>302</v>
      </c>
      <c r="F15" s="17"/>
      <c r="G15" s="17"/>
      <c r="H15" s="17"/>
      <c r="I15" s="1"/>
      <c r="J15" s="1"/>
      <c r="K15" s="1"/>
      <c r="L15" s="1"/>
      <c r="M15" s="1"/>
      <c r="N15" s="40"/>
      <c r="O15" s="40"/>
      <c r="P15" s="40"/>
    </row>
    <row r="16" spans="1:16" ht="51" customHeight="1" x14ac:dyDescent="0.25">
      <c r="A16" s="269" t="s">
        <v>376</v>
      </c>
      <c r="B16" s="270"/>
      <c r="C16" s="271"/>
      <c r="D16" s="174" t="s">
        <v>303</v>
      </c>
      <c r="E16" s="94"/>
      <c r="F16" s="17"/>
      <c r="G16" s="17"/>
      <c r="H16" s="17"/>
      <c r="I16" s="1"/>
      <c r="J16" s="1"/>
      <c r="K16" s="1"/>
      <c r="L16" s="1"/>
      <c r="M16" s="1"/>
      <c r="N16" s="40"/>
      <c r="O16" s="40"/>
      <c r="P16" s="40"/>
    </row>
    <row r="17" spans="1:16" ht="33" customHeight="1" x14ac:dyDescent="0.25">
      <c r="A17" s="269" t="s">
        <v>144</v>
      </c>
      <c r="B17" s="270"/>
      <c r="C17" s="271"/>
      <c r="D17" s="261"/>
      <c r="E17" s="30">
        <f>'Easement--Avoided Conversion'!E25+'Easement--Avoided Conversion'!E44</f>
        <v>0</v>
      </c>
      <c r="F17" s="17"/>
      <c r="G17" s="17"/>
      <c r="H17" s="17"/>
      <c r="I17" s="1"/>
      <c r="J17" s="1"/>
      <c r="K17" s="1"/>
      <c r="L17" s="1"/>
      <c r="M17" s="1"/>
      <c r="N17" s="40"/>
      <c r="O17" s="40"/>
      <c r="P17" s="40"/>
    </row>
    <row r="18" spans="1:16" ht="33" customHeight="1" x14ac:dyDescent="0.25">
      <c r="A18" s="269" t="s">
        <v>145</v>
      </c>
      <c r="B18" s="270"/>
      <c r="C18" s="271"/>
      <c r="D18" s="261"/>
      <c r="E18" s="30">
        <f>'Easement--Avoided Conversion'!E26+'Easement--Avoided Conversion'!E45</f>
        <v>0</v>
      </c>
      <c r="F18" s="17"/>
      <c r="G18" s="17"/>
      <c r="H18" s="17"/>
      <c r="I18" s="1"/>
      <c r="J18" s="1"/>
      <c r="K18" s="1"/>
      <c r="L18" s="1"/>
      <c r="M18" s="1"/>
      <c r="N18" s="40"/>
      <c r="O18" s="40"/>
      <c r="P18" s="40"/>
    </row>
    <row r="19" spans="1:16" ht="22.5" customHeight="1" x14ac:dyDescent="0.25">
      <c r="A19" s="305" t="s">
        <v>374</v>
      </c>
      <c r="B19" s="306"/>
      <c r="C19" s="307"/>
      <c r="D19" s="31"/>
      <c r="E19" s="95"/>
      <c r="F19" s="17"/>
      <c r="G19" s="17"/>
      <c r="H19" s="17"/>
      <c r="I19" s="1"/>
      <c r="J19" s="1"/>
      <c r="K19" s="1"/>
      <c r="L19" s="1"/>
      <c r="M19" s="1"/>
      <c r="N19" s="40"/>
      <c r="O19" s="40"/>
      <c r="P19" s="40"/>
    </row>
    <row r="20" spans="1:16" ht="18" customHeight="1" x14ac:dyDescent="0.25">
      <c r="A20" s="304" t="s">
        <v>88</v>
      </c>
      <c r="B20" s="308"/>
      <c r="C20" s="309"/>
      <c r="D20" s="262"/>
      <c r="E20" s="30">
        <f>(E16-E17+E18)*ERFs!B58*E19</f>
        <v>0</v>
      </c>
      <c r="F20" s="17"/>
      <c r="G20" s="17"/>
      <c r="H20" s="17"/>
      <c r="I20" s="1"/>
      <c r="J20" s="1"/>
      <c r="K20" s="1"/>
      <c r="L20" s="1"/>
      <c r="M20" s="1"/>
      <c r="N20" s="40"/>
      <c r="O20" s="40"/>
      <c r="P20" s="40"/>
    </row>
    <row r="21" spans="1:16" ht="18" customHeight="1" x14ac:dyDescent="0.25">
      <c r="A21" s="269" t="s">
        <v>29</v>
      </c>
      <c r="B21" s="270"/>
      <c r="C21" s="271"/>
      <c r="D21" s="174" t="s">
        <v>303</v>
      </c>
      <c r="E21" s="263"/>
      <c r="F21" s="17"/>
      <c r="G21" s="17"/>
      <c r="H21" s="17"/>
      <c r="I21" s="1"/>
      <c r="J21" s="1"/>
      <c r="K21" s="1"/>
      <c r="L21" s="1"/>
      <c r="M21" s="1"/>
      <c r="N21" s="40"/>
      <c r="O21" s="40"/>
      <c r="P21" s="40"/>
    </row>
    <row r="22" spans="1:16" ht="18" customHeight="1" x14ac:dyDescent="0.25">
      <c r="A22" s="269" t="s">
        <v>30</v>
      </c>
      <c r="B22" s="270"/>
      <c r="C22" s="271"/>
      <c r="D22" s="174" t="s">
        <v>303</v>
      </c>
      <c r="E22" s="263"/>
      <c r="F22" s="17"/>
      <c r="G22" s="17"/>
      <c r="H22" s="17"/>
      <c r="I22" s="40"/>
      <c r="J22" s="40"/>
      <c r="K22" s="40"/>
      <c r="L22" s="40"/>
      <c r="M22" s="40"/>
      <c r="N22" s="40"/>
      <c r="O22" s="40"/>
      <c r="P22" s="40"/>
    </row>
    <row r="23" spans="1:16" ht="18" customHeight="1" x14ac:dyDescent="0.25">
      <c r="A23" s="269" t="s">
        <v>31</v>
      </c>
      <c r="B23" s="270"/>
      <c r="C23" s="271"/>
      <c r="D23" s="174" t="s">
        <v>303</v>
      </c>
      <c r="E23" s="263"/>
      <c r="F23" s="17"/>
      <c r="G23" s="17"/>
      <c r="H23" s="17"/>
      <c r="I23" s="40"/>
      <c r="J23" s="40"/>
      <c r="K23" s="40"/>
      <c r="L23" s="40"/>
      <c r="M23" s="40"/>
      <c r="N23" s="40"/>
      <c r="O23" s="40"/>
      <c r="P23" s="40"/>
    </row>
    <row r="24" spans="1:16" ht="18" customHeight="1" x14ac:dyDescent="0.25">
      <c r="A24" s="269" t="s">
        <v>177</v>
      </c>
      <c r="B24" s="270"/>
      <c r="C24" s="271"/>
      <c r="D24" s="174" t="s">
        <v>303</v>
      </c>
      <c r="E24" s="263"/>
    </row>
    <row r="25" spans="1:16" ht="18" customHeight="1" x14ac:dyDescent="0.25">
      <c r="A25" s="269" t="s">
        <v>32</v>
      </c>
      <c r="B25" s="270"/>
      <c r="C25" s="271"/>
      <c r="D25" s="174" t="s">
        <v>303</v>
      </c>
      <c r="E25" s="263"/>
    </row>
    <row r="26" spans="1:16" ht="18" customHeight="1" x14ac:dyDescent="0.25">
      <c r="A26" s="269" t="s">
        <v>33</v>
      </c>
      <c r="B26" s="270"/>
      <c r="C26" s="271"/>
      <c r="D26" s="174" t="s">
        <v>303</v>
      </c>
      <c r="E26" s="263"/>
    </row>
    <row r="27" spans="1:16" ht="33.75" customHeight="1" x14ac:dyDescent="0.25">
      <c r="A27" s="269" t="s">
        <v>373</v>
      </c>
      <c r="B27" s="270"/>
      <c r="C27" s="271"/>
      <c r="D27" s="261"/>
      <c r="E27" s="173">
        <f>IF(SUM(E21:E26)&gt;1, "ERROR", 1-SUM(E21:E26))</f>
        <v>1</v>
      </c>
    </row>
    <row r="28" spans="1:16" ht="18" customHeight="1" x14ac:dyDescent="0.25">
      <c r="A28" s="269" t="s">
        <v>47</v>
      </c>
      <c r="B28" s="270"/>
      <c r="C28" s="271"/>
      <c r="D28" s="261"/>
      <c r="E28" s="30">
        <f>((E20*E21*ERFs!B41)+(E20*E22*ERFs!B42)+(E20*E23*ERFs!B43)+(E20*E24*ERFs!B44)+(E20*E25*ERFs!B45)+(E20*E26*ERFs!B46)+(E20*E27*ERFs!B47))*ERFs!B57</f>
        <v>0</v>
      </c>
    </row>
    <row r="29" spans="1:16" ht="18" customHeight="1" x14ac:dyDescent="0.25">
      <c r="A29" s="19"/>
      <c r="B29" s="19"/>
      <c r="C29" s="19"/>
      <c r="D29" s="19"/>
      <c r="E29" s="19"/>
      <c r="I29" s="1"/>
      <c r="J29" s="1"/>
      <c r="K29" s="1"/>
      <c r="L29" s="1"/>
      <c r="M29" s="1"/>
    </row>
    <row r="30" spans="1:16" ht="18" customHeight="1" x14ac:dyDescent="0.25">
      <c r="A30" s="302" t="s">
        <v>48</v>
      </c>
      <c r="B30" s="302"/>
      <c r="C30" s="302"/>
      <c r="D30" s="302"/>
      <c r="E30" s="302"/>
      <c r="F30" s="17"/>
      <c r="G30" s="17"/>
      <c r="H30" s="17"/>
      <c r="I30" s="1"/>
      <c r="J30" s="1"/>
      <c r="K30" s="1"/>
      <c r="L30" s="1"/>
      <c r="M30" s="1"/>
      <c r="N30" s="40"/>
      <c r="O30" s="40"/>
      <c r="P30" s="40"/>
    </row>
    <row r="31" spans="1:16" ht="45.75" customHeight="1" x14ac:dyDescent="0.25">
      <c r="A31" s="283" t="s">
        <v>272</v>
      </c>
      <c r="B31" s="284"/>
      <c r="C31" s="284"/>
      <c r="D31" s="265" t="s">
        <v>303</v>
      </c>
      <c r="E31" s="94"/>
      <c r="F31" s="17"/>
      <c r="G31" s="17"/>
      <c r="H31" s="17"/>
      <c r="I31" s="1"/>
      <c r="J31" s="1"/>
      <c r="K31" s="1"/>
      <c r="L31" s="1"/>
      <c r="M31" s="1"/>
      <c r="N31" s="40"/>
      <c r="O31" s="40"/>
      <c r="P31" s="40"/>
    </row>
    <row r="32" spans="1:16" ht="33" customHeight="1" x14ac:dyDescent="0.25">
      <c r="A32" s="283" t="s">
        <v>253</v>
      </c>
      <c r="B32" s="284"/>
      <c r="C32" s="284"/>
      <c r="D32" s="266"/>
      <c r="E32" s="30">
        <f>'Easement--Avoided Conversion'!E27+'Easement--Avoided Conversion'!E46</f>
        <v>0</v>
      </c>
      <c r="F32" s="17"/>
      <c r="G32" s="17"/>
      <c r="H32" s="17"/>
      <c r="I32" s="1"/>
      <c r="J32" s="1"/>
      <c r="K32" s="1"/>
      <c r="L32" s="1"/>
      <c r="M32" s="1"/>
      <c r="N32" s="40"/>
      <c r="O32" s="40"/>
      <c r="P32" s="40"/>
    </row>
    <row r="33" spans="1:16" ht="33" customHeight="1" x14ac:dyDescent="0.25">
      <c r="A33" s="283" t="s">
        <v>254</v>
      </c>
      <c r="B33" s="284"/>
      <c r="C33" s="284"/>
      <c r="D33" s="266"/>
      <c r="E33" s="30">
        <f>'Easement--Avoided Conversion'!E47+'Easement--Avoided Conversion'!E47</f>
        <v>0</v>
      </c>
      <c r="F33" s="17"/>
      <c r="G33" s="17"/>
      <c r="H33" s="17"/>
      <c r="I33" s="1"/>
      <c r="J33" s="1"/>
      <c r="K33" s="1"/>
      <c r="L33" s="1"/>
      <c r="M33" s="1"/>
      <c r="N33" s="40"/>
      <c r="O33" s="40"/>
      <c r="P33" s="40"/>
    </row>
    <row r="34" spans="1:16" ht="49.5" customHeight="1" x14ac:dyDescent="0.25">
      <c r="A34" s="283" t="s">
        <v>257</v>
      </c>
      <c r="B34" s="284"/>
      <c r="C34" s="284"/>
      <c r="D34" s="265" t="s">
        <v>303</v>
      </c>
      <c r="E34" s="94"/>
      <c r="F34" s="17"/>
      <c r="G34" s="17"/>
      <c r="H34" s="17"/>
      <c r="I34" s="1"/>
      <c r="J34" s="1"/>
      <c r="K34" s="1"/>
      <c r="L34" s="1"/>
      <c r="M34" s="1"/>
      <c r="N34" s="40"/>
      <c r="O34" s="40"/>
      <c r="P34" s="40"/>
    </row>
    <row r="35" spans="1:16" ht="33" customHeight="1" x14ac:dyDescent="0.25">
      <c r="A35" s="283" t="s">
        <v>255</v>
      </c>
      <c r="B35" s="284"/>
      <c r="C35" s="284"/>
      <c r="D35" s="266"/>
      <c r="E35" s="30">
        <f>'Easement--Avoided Conversion'!E48+'Easement--Avoided Conversion'!E29</f>
        <v>0</v>
      </c>
      <c r="F35" s="17"/>
      <c r="G35" s="17"/>
      <c r="H35" s="17"/>
      <c r="I35" s="1"/>
      <c r="J35" s="1"/>
      <c r="K35" s="1"/>
      <c r="L35" s="1"/>
      <c r="M35" s="1"/>
      <c r="N35" s="40"/>
      <c r="O35" s="40"/>
      <c r="P35" s="40"/>
    </row>
    <row r="36" spans="1:16" ht="33" customHeight="1" x14ac:dyDescent="0.25">
      <c r="A36" s="283" t="s">
        <v>256</v>
      </c>
      <c r="B36" s="284"/>
      <c r="C36" s="284"/>
      <c r="D36" s="266"/>
      <c r="E36" s="30">
        <f>'Easement--Avoided Conversion'!E30+'Easement--Avoided Conversion'!E49</f>
        <v>0</v>
      </c>
      <c r="F36" s="17"/>
      <c r="G36" s="17"/>
      <c r="H36" s="17"/>
      <c r="I36" s="1"/>
      <c r="J36" s="1"/>
      <c r="K36" s="1"/>
      <c r="L36" s="1"/>
      <c r="M36" s="1"/>
      <c r="N36" s="40"/>
      <c r="O36" s="40"/>
      <c r="P36" s="40"/>
    </row>
    <row r="37" spans="1:16" ht="18" customHeight="1" x14ac:dyDescent="0.25">
      <c r="A37" s="283" t="s">
        <v>46</v>
      </c>
      <c r="B37" s="284"/>
      <c r="C37" s="284"/>
      <c r="D37" s="266"/>
      <c r="E37" s="30">
        <f>(E31-E32+E33)*ERFs!B48+(E34-E35+E36)*ERFs!B49</f>
        <v>0</v>
      </c>
      <c r="F37" s="17"/>
      <c r="G37" s="17"/>
      <c r="H37" s="17"/>
      <c r="I37" s="1"/>
      <c r="J37" s="1"/>
      <c r="K37" s="1"/>
      <c r="L37" s="1"/>
      <c r="M37" s="1"/>
      <c r="N37" s="40"/>
      <c r="O37" s="40"/>
      <c r="P37" s="40"/>
    </row>
    <row r="38" spans="1:16" ht="18" customHeight="1" x14ac:dyDescent="0.25">
      <c r="A38" s="19"/>
      <c r="B38" s="19"/>
      <c r="C38" s="19"/>
      <c r="D38" s="46"/>
      <c r="E38" s="46"/>
      <c r="F38" s="17"/>
      <c r="G38" s="17"/>
      <c r="H38" s="17"/>
      <c r="I38" s="1"/>
      <c r="J38" s="1"/>
      <c r="K38" s="1"/>
      <c r="L38" s="1"/>
      <c r="M38" s="1"/>
      <c r="N38" s="40"/>
      <c r="O38" s="40"/>
      <c r="P38" s="40"/>
    </row>
    <row r="39" spans="1:16" s="19" customFormat="1" ht="33" customHeight="1" x14ac:dyDescent="0.25">
      <c r="A39" s="302" t="s">
        <v>375</v>
      </c>
      <c r="B39" s="302"/>
      <c r="C39" s="302"/>
      <c r="D39" s="302"/>
      <c r="E39" s="302"/>
      <c r="I39" s="1"/>
      <c r="J39" s="1"/>
      <c r="K39" s="1"/>
      <c r="L39" s="1"/>
      <c r="M39" s="1"/>
    </row>
    <row r="40" spans="1:16" ht="18" customHeight="1" x14ac:dyDescent="0.25">
      <c r="A40" s="283" t="s">
        <v>27</v>
      </c>
      <c r="B40" s="284"/>
      <c r="C40" s="285"/>
      <c r="D40" s="265" t="s">
        <v>303</v>
      </c>
      <c r="E40" s="94"/>
      <c r="F40" s="17"/>
      <c r="G40" s="17"/>
      <c r="H40" s="17"/>
      <c r="I40" s="1"/>
      <c r="J40" s="1"/>
      <c r="K40" s="1"/>
      <c r="L40" s="1"/>
      <c r="M40" s="1"/>
      <c r="N40" s="40"/>
      <c r="O40" s="40"/>
      <c r="P40" s="40"/>
    </row>
    <row r="41" spans="1:16" ht="18" customHeight="1" x14ac:dyDescent="0.25">
      <c r="A41" s="283" t="s">
        <v>26</v>
      </c>
      <c r="B41" s="284"/>
      <c r="C41" s="285"/>
      <c r="D41" s="265" t="s">
        <v>303</v>
      </c>
      <c r="E41" s="94"/>
      <c r="F41" s="10"/>
      <c r="G41" s="10"/>
      <c r="H41" s="10"/>
      <c r="I41" s="1"/>
      <c r="J41" s="1"/>
      <c r="K41" s="1"/>
      <c r="L41" s="1"/>
      <c r="M41" s="1"/>
    </row>
    <row r="42" spans="1:16" ht="18" customHeight="1" x14ac:dyDescent="0.25">
      <c r="A42" s="283" t="s">
        <v>28</v>
      </c>
      <c r="B42" s="284"/>
      <c r="C42" s="285"/>
      <c r="D42" s="265" t="s">
        <v>303</v>
      </c>
      <c r="E42" s="94"/>
      <c r="F42" s="17"/>
      <c r="G42" s="17"/>
      <c r="H42" s="17"/>
      <c r="I42" s="1"/>
      <c r="J42" s="1"/>
      <c r="K42" s="1"/>
      <c r="L42" s="1"/>
      <c r="M42" s="1"/>
      <c r="N42" s="40"/>
      <c r="O42" s="40"/>
      <c r="P42" s="40"/>
    </row>
    <row r="43" spans="1:16" ht="18" customHeight="1" x14ac:dyDescent="0.25">
      <c r="A43" s="283" t="s">
        <v>45</v>
      </c>
      <c r="B43" s="284"/>
      <c r="C43" s="285"/>
      <c r="D43" s="266"/>
      <c r="E43" s="30">
        <f>((E40*ERFs!B50)*ERFs!B61+(E41*ERFs!B51)+(E42*ERFs!B52)*ERFs!B61)</f>
        <v>0</v>
      </c>
      <c r="F43" s="17"/>
      <c r="G43" s="17"/>
      <c r="H43" s="17"/>
      <c r="I43" s="1"/>
      <c r="J43" s="1"/>
      <c r="K43" s="1"/>
      <c r="L43" s="1"/>
      <c r="M43" s="1"/>
      <c r="N43" s="40"/>
      <c r="O43" s="40"/>
      <c r="P43" s="40"/>
    </row>
    <row r="44" spans="1:16" ht="18" customHeight="1" thickBot="1" x14ac:dyDescent="0.3">
      <c r="A44" s="26"/>
      <c r="B44" s="26"/>
      <c r="C44" s="27"/>
      <c r="D44" s="17"/>
      <c r="E44" s="17"/>
      <c r="F44" s="17"/>
      <c r="G44" s="17"/>
      <c r="H44" s="17"/>
      <c r="I44" s="1"/>
      <c r="J44" s="1"/>
      <c r="K44" s="1"/>
      <c r="L44" s="1"/>
      <c r="M44" s="1"/>
      <c r="N44" s="40"/>
      <c r="O44" s="40"/>
      <c r="P44" s="40"/>
    </row>
    <row r="45" spans="1:16" ht="20.25" thickBot="1" x14ac:dyDescent="0.4">
      <c r="A45" s="268" t="s">
        <v>39</v>
      </c>
      <c r="B45" s="268"/>
      <c r="C45" s="268"/>
      <c r="D45" s="304"/>
      <c r="E45" s="264">
        <f>E28+E37+E43</f>
        <v>0</v>
      </c>
    </row>
  </sheetData>
  <sheetProtection algorithmName="SHA-512" hashValue="oW88zoTvGBPPr3WcU7cLaqfxQ6azxE/dv/pqBDIy6w++aJtpobG0HqX2HuY9LH5cEt3f9tCRU5EFBnIhFsBK/w==" saltValue="ifg0sb2x8K9tbAMp4qDz6w==" spinCount="100000" sheet="1" objects="1" scenarios="1"/>
  <mergeCells count="28">
    <mergeCell ref="A26:C26"/>
    <mergeCell ref="A27:C27"/>
    <mergeCell ref="A30:E30"/>
    <mergeCell ref="A14:E14"/>
    <mergeCell ref="A45:D45"/>
    <mergeCell ref="A39:E39"/>
    <mergeCell ref="A21:C21"/>
    <mergeCell ref="A22:C22"/>
    <mergeCell ref="A23:C23"/>
    <mergeCell ref="A24:C24"/>
    <mergeCell ref="A25:C25"/>
    <mergeCell ref="A16:C16"/>
    <mergeCell ref="A17:C17"/>
    <mergeCell ref="A18:C18"/>
    <mergeCell ref="A19:C19"/>
    <mergeCell ref="A20:C20"/>
    <mergeCell ref="A28:C28"/>
    <mergeCell ref="A31:C31"/>
    <mergeCell ref="A32:C32"/>
    <mergeCell ref="A33:C33"/>
    <mergeCell ref="A34:C34"/>
    <mergeCell ref="A42:C42"/>
    <mergeCell ref="A43:C43"/>
    <mergeCell ref="A35:C35"/>
    <mergeCell ref="A36:C36"/>
    <mergeCell ref="A37:C37"/>
    <mergeCell ref="A40:C40"/>
    <mergeCell ref="A41:C41"/>
  </mergeCells>
  <dataValidations xWindow="869" yWindow="538" count="23">
    <dataValidation type="decimal" allowBlank="1" showInputMessage="1" showErrorMessage="1" error="Enter a number between 0 and 100,000,000." prompt="Biomass removed from the project area as a result of implementing forest health project activities (i.e., biomass removed as part of site prep, brush removal, thinning, etc.) and delivered to a mill. Do not include biomass from easement projects." sqref="E16" xr:uid="{00000000-0002-0000-0700-000000000000}">
      <formula1>0</formula1>
      <formula2>100000000</formula2>
    </dataValidation>
    <dataValidation type="decimal" allowBlank="1" showInputMessage="1" showErrorMessage="1" error="Enter a percentage between 0 and 100%." prompt="Enter the mill efficiency from the mill where trees will be delivered, supported with documentation, or the appropriate default mill efficiency based on the type of wood. Softwood Default: 67.5%; Hardwood Default: 56.8%." sqref="E19" xr:uid="{00000000-0002-0000-0700-000001000000}">
      <formula1>0</formula1>
      <formula2>1</formula2>
    </dataValidation>
    <dataValidation allowBlank="1" showInputMessage="1" showErrorMessage="1" error="No input required." prompt="Value calculated automatically from inputs on Easement--Avoided Conversion and Easement--Forest Management." sqref="E18" xr:uid="{00000000-0002-0000-0700-000002000000}"/>
    <dataValidation allowBlank="1" showInputMessage="1" showErrorMessage="1" prompt="Calculated automatically based on mill efficiency, carbon concentration in biomass (50%), and estimated biomass delivered to the mill as part of project activities. " sqref="E20" xr:uid="{00000000-0002-0000-0700-000003000000}"/>
    <dataValidation type="decimal" allowBlank="1" showInputMessage="1" showErrorMessage="1" error="Enter a percentage between 0 and 100%." prompt="Enter the percent of removed biomass that will go into softwood lumber." sqref="E21" xr:uid="{00000000-0002-0000-0700-000004000000}">
      <formula1>0</formula1>
      <formula2>1</formula2>
    </dataValidation>
    <dataValidation type="decimal" allowBlank="1" showInputMessage="1" showErrorMessage="1" error="Enter a percentage between 0 and 100%." prompt="Enter the percent of removed biomass that will go into hardwood lumber." sqref="E22" xr:uid="{00000000-0002-0000-0700-000005000000}">
      <formula1>0</formula1>
      <formula2>1</formula2>
    </dataValidation>
    <dataValidation type="decimal" allowBlank="1" showInputMessage="1" showErrorMessage="1" error="Enter a percentage between 0 and 100%." prompt="Enter the percent of removed biomass that will go into softwood plywood." sqref="E23" xr:uid="{00000000-0002-0000-0700-000006000000}">
      <formula1>0</formula1>
      <formula2>1</formula2>
    </dataValidation>
    <dataValidation type="decimal" allowBlank="1" showInputMessage="1" showErrorMessage="1" error="Enter a percentage between 0 and 100%." prompt="Enter the percent of removed biomass that will go into oriented strandoard." sqref="E24" xr:uid="{00000000-0002-0000-0700-000007000000}">
      <formula1>0</formula1>
      <formula2>1</formula2>
    </dataValidation>
    <dataValidation type="decimal" allowBlank="1" showInputMessage="1" showErrorMessage="1" error="Enter a percentage between 0 and 100%." prompt="Enter the percent of removed biomass that will go into nonstructural panels." sqref="E25" xr:uid="{00000000-0002-0000-0700-000008000000}">
      <formula1>0</formula1>
      <formula2>1</formula2>
    </dataValidation>
    <dataValidation type="decimal" allowBlank="1" showInputMessage="1" showErrorMessage="1" error="Enter a percentage between 0 and 100%." prompt="Enter the percent of removed biomass that will go into paper." sqref="E26" xr:uid="{00000000-0002-0000-0700-000009000000}">
      <formula1>0</formula1>
      <formula2>1</formula2>
    </dataValidation>
    <dataValidation type="decimal" allowBlank="1" showInputMessage="1" showErrorMessage="1" error="Combined allocation of biomass to softwood lumber, hardwood lumber, plywood, OSB, nonstructural panels, and paper cannot exceed 100%" prompt="Percentage calculated automatically based on biomass fractions going to other wood products." sqref="E27" xr:uid="{00000000-0002-0000-0700-00000A000000}">
      <formula1>0</formula1>
      <formula2>1</formula2>
    </dataValidation>
    <dataValidation allowBlank="1" showInputMessage="1" showErrorMessage="1" prompt="GHG benefit of carbon stored long-term in wood products. Calculated automatically based on allocation of mill biomass among wood products. " sqref="E28" xr:uid="{00000000-0002-0000-0700-00000B000000}"/>
    <dataValidation type="decimal" allowBlank="1" showInputMessage="1" showErrorMessage="1" error="Enter a number between 0 and 100,000,000." prompt="Biomass removed from the project area as a result of implementing project activities (i.e., site prep, brush removal, thinning, etc.) and delivered to a facility generating electricity via combustion. Do not include biomass from easement projects." sqref="E31" xr:uid="{00000000-0002-0000-0700-00000C000000}">
      <formula1>0</formula1>
      <formula2>100000000</formula2>
    </dataValidation>
    <dataValidation type="decimal" allowBlank="1" showInputMessage="1" showErrorMessage="1" error="Enter a number between 0 and 100,000,000." prompt="Biomass removed from the project area as a result of implementing project activities (i.e., site prep, brush removal, thinning, etc.) and delivered to a facility generating electricity via gasification. Do not include biomass from easement projects." sqref="E34" xr:uid="{00000000-0002-0000-0700-00000D000000}">
      <formula1>0</formula1>
      <formula2>100000000</formula2>
    </dataValidation>
    <dataValidation allowBlank="1" showInputMessage="1" showErrorMessage="1" prompt="Value calculated automatically from inputs on Easement--Avoided Conversion and Easement--Forest Management." sqref="E32:E33 E35:E36" xr:uid="{00000000-0002-0000-0700-00000E000000}"/>
    <dataValidation allowBlank="1" showInputMessage="1" showErrorMessage="1" prompt="Calculated automatically as the net quantities of biomass utilized for electricity generation via combustion and gasification, multiplied by a process specific emission reduction factor." sqref="E37" xr:uid="{00000000-0002-0000-0700-00000F000000}"/>
    <dataValidation allowBlank="1" showInputMessage="1" showErrorMessage="1" prompt="Biomass that would be open pile burned in the baseline scenario (separate estimates for each method of disposal). “Biomass” refers to both merchantable timber and woody waste material." sqref="E40" xr:uid="{00000000-0002-0000-0700-000010000000}"/>
    <dataValidation allowBlank="1" showInputMessage="1" showErrorMessage="1" prompt="Biomass that would be disposed of in a landfill in the baseline scenario (separate estimates for each method of disposal). “Biomass” refers to both merchantable timber and woody waste material." sqref="E41" xr:uid="{00000000-0002-0000-0700-000011000000}"/>
    <dataValidation allowBlank="1" showInputMessage="1" showErrorMessage="1" prompt="Biomass that would be left on site to decay in the baseline scenario (separate estimates for each method of disposal). “Biomass” refers to both merchantable timber and woody waste material." sqref="E42" xr:uid="{00000000-0002-0000-0700-000012000000}"/>
    <dataValidation allowBlank="1" showInputMessage="1" showErrorMessage="1" prompt="Calculated automatically based on biomass pile burning, landfill, and decay inputs." sqref="E43" xr:uid="{00000000-0002-0000-0700-000013000000}"/>
    <dataValidation allowBlank="1" showInputMessage="1" showErrorMessage="1" prompt="Calculated automatically as the sum of the benefits of activities that result in carbon being stored long-term in wood products, the displacement of fossil fuel-based energy with biomass energy, and avoidance of biomass disposal emission." sqref="E45" xr:uid="{00000000-0002-0000-0700-000014000000}"/>
    <dataValidation allowBlank="1" showInputMessage="1" showErrorMessage="1" error="No input needed." prompt="Value calculated automatically from inputs on Easement--Avoided Conversion and Easement--Forest Management." sqref="E17" xr:uid="{00000000-0002-0000-0700-000015000000}"/>
    <dataValidation allowBlank="1" showErrorMessage="1" prompt="Select from dropdown. If the treatment area includes different site classes, enter the lowest site class (e.g., if class I and II, enter class I). Used to determine project duration." sqref="C15:D15" xr:uid="{BEB3FC0F-48C4-45BE-ACDE-B06F5DA33D20}"/>
  </dataValidations>
  <pageMargins left="0" right="0.7" top="0" bottom="0.75" header="0.3" footer="0.3"/>
  <pageSetup scale="58" orientation="landscape" r:id="rId1"/>
  <headerFooter>
    <oddFooter>&amp;CPage 8 of 12
Biomass Utilization Worksheet</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6" tint="0.59999389629810485"/>
    <pageSetUpPr fitToPage="1"/>
  </sheetPr>
  <dimension ref="A1:K31"/>
  <sheetViews>
    <sheetView showGridLines="0" showRuler="0" zoomScale="90" zoomScaleNormal="90" workbookViewId="0">
      <selection activeCell="L20" sqref="L20"/>
    </sheetView>
  </sheetViews>
  <sheetFormatPr defaultColWidth="9.140625" defaultRowHeight="15" x14ac:dyDescent="0.25"/>
  <cols>
    <col min="1" max="1" width="25.7109375" customWidth="1"/>
    <col min="2" max="3" width="30.7109375" customWidth="1"/>
    <col min="4" max="4" width="14.7109375" customWidth="1"/>
    <col min="5" max="6" width="9.140625" customWidth="1"/>
    <col min="8" max="15" width="9.140625" customWidth="1"/>
    <col min="18" max="18" width="11" customWidth="1"/>
    <col min="21" max="21" width="10" customWidth="1"/>
    <col min="22" max="22" width="10.85546875" customWidth="1"/>
  </cols>
  <sheetData>
    <row r="1" spans="1:11" ht="18.75" x14ac:dyDescent="0.3">
      <c r="C1" s="2" t="s">
        <v>176</v>
      </c>
    </row>
    <row r="2" spans="1:11" ht="18.75" x14ac:dyDescent="0.3">
      <c r="C2" s="2" t="s">
        <v>283</v>
      </c>
    </row>
    <row r="3" spans="1:11" ht="18.75" x14ac:dyDescent="0.3">
      <c r="C3" s="2" t="s">
        <v>284</v>
      </c>
    </row>
    <row r="4" spans="1:11" ht="18.75" x14ac:dyDescent="0.3">
      <c r="C4" s="21" t="s">
        <v>308</v>
      </c>
    </row>
    <row r="5" spans="1:11" ht="18.75" x14ac:dyDescent="0.3">
      <c r="C5" s="116"/>
    </row>
    <row r="6" spans="1:11" ht="15.75" x14ac:dyDescent="0.25">
      <c r="C6" s="175"/>
    </row>
    <row r="7" spans="1:11" ht="18.75" x14ac:dyDescent="0.3">
      <c r="A7" s="1"/>
      <c r="B7" s="1"/>
      <c r="C7" s="116"/>
    </row>
    <row r="8" spans="1:11" ht="18.75" x14ac:dyDescent="0.3">
      <c r="A8" s="1"/>
      <c r="B8" s="1"/>
      <c r="D8" s="1"/>
      <c r="G8" s="2"/>
    </row>
    <row r="9" spans="1:11" ht="18" customHeight="1" x14ac:dyDescent="0.25">
      <c r="A9" s="28" t="s">
        <v>0</v>
      </c>
      <c r="B9" s="124" t="str">
        <f>IF('Read Me'!B19="","",'Read Me'!B19)</f>
        <v/>
      </c>
      <c r="C9" s="125"/>
      <c r="D9" s="37"/>
      <c r="E9" s="37"/>
      <c r="F9" s="9"/>
      <c r="G9" s="15"/>
    </row>
    <row r="10" spans="1:11" ht="18" customHeight="1" x14ac:dyDescent="0.25">
      <c r="A10" s="43" t="s">
        <v>7</v>
      </c>
      <c r="B10" s="122" t="str">
        <f>IF('Read Me'!B20="","",'Read Me'!B20)</f>
        <v/>
      </c>
      <c r="C10" s="123"/>
      <c r="D10" s="38"/>
      <c r="E10" s="38"/>
      <c r="F10" s="18"/>
      <c r="G10" s="15"/>
    </row>
    <row r="11" spans="1:11" x14ac:dyDescent="0.25">
      <c r="A11" s="1"/>
      <c r="B11" s="9"/>
      <c r="C11" s="7"/>
      <c r="D11" s="7"/>
      <c r="E11" s="8"/>
      <c r="F11" s="8"/>
      <c r="G11" s="8"/>
      <c r="H11" s="8"/>
      <c r="I11" s="8"/>
      <c r="J11" s="8"/>
      <c r="K11" s="8"/>
    </row>
    <row r="12" spans="1:11" ht="18.75" x14ac:dyDescent="0.3">
      <c r="A12" s="3" t="s">
        <v>2</v>
      </c>
    </row>
    <row r="13" spans="1:11" ht="18" customHeight="1" x14ac:dyDescent="0.3">
      <c r="A13" s="3"/>
    </row>
    <row r="14" spans="1:11" ht="18" customHeight="1" x14ac:dyDescent="0.25">
      <c r="A14" s="160" t="s">
        <v>36</v>
      </c>
      <c r="B14" s="161"/>
      <c r="C14" s="162"/>
      <c r="D14" s="29">
        <f>Reforestation!$H$13+Reforestation!$H$28+Reforestation!$H$43+Reforestation!$H$58+Reforestation!$H$73</f>
        <v>0</v>
      </c>
      <c r="E14" s="16"/>
      <c r="F14" s="16"/>
    </row>
    <row r="15" spans="1:11" ht="18" customHeight="1" x14ac:dyDescent="0.25">
      <c r="A15" s="160" t="s">
        <v>37</v>
      </c>
      <c r="B15" s="161"/>
      <c r="C15" s="162"/>
      <c r="D15" s="29">
        <f>SUM('Pest Management'!$H$16,'Pest Management'!$H$29,'Pest Management'!$H$42,'Pest Management'!$H$55,'Pest Management'!$H$68)</f>
        <v>0</v>
      </c>
      <c r="E15" s="16"/>
      <c r="F15" s="16"/>
    </row>
    <row r="16" spans="1:11" ht="18" customHeight="1" x14ac:dyDescent="0.25">
      <c r="A16" s="160" t="s">
        <v>38</v>
      </c>
      <c r="B16" s="161"/>
      <c r="C16" s="162"/>
      <c r="D16" s="29">
        <f>SUM('Fuels Reduction'!H17,'Fuels Reduction'!H42,'Fuels Reduction'!H67,'Fuels Reduction'!H92,'Fuels Reduction'!H117,'Fuels Reduction'!H142,'Fuels Reduction'!H167,'Fuels Reduction'!H192,'Fuels Reduction'!H217,'Fuels Reduction'!H242,'Fuels Reduction'!H267,'Fuels Reduction'!H292,'Fuels Reduction'!H317,'Fuels Reduction'!H342,'Fuels Reduction'!H367,'Fuels Reduction'!H392,'Fuels Reduction'!H417,'Fuels Reduction'!H442,'Fuels Reduction'!H467,'Fuels Reduction'!H492)</f>
        <v>0</v>
      </c>
      <c r="E16" s="16"/>
    </row>
    <row r="17" spans="1:5" ht="18" customHeight="1" x14ac:dyDescent="0.25">
      <c r="A17" s="160" t="s">
        <v>166</v>
      </c>
      <c r="B17" s="161"/>
      <c r="C17" s="162"/>
      <c r="D17" s="29">
        <f>SUM('Easement--Avoided Conversion'!H14,'Easement--Avoided Conversion'!H33)</f>
        <v>0</v>
      </c>
      <c r="E17" s="16"/>
    </row>
    <row r="18" spans="1:5" ht="18" customHeight="1" x14ac:dyDescent="0.25">
      <c r="A18" s="160" t="s">
        <v>148</v>
      </c>
      <c r="B18" s="161"/>
      <c r="C18" s="162"/>
      <c r="D18" s="29">
        <f>SUM('Easement--Forest Management'!H16,'Easement--Forest Management'!H34)</f>
        <v>0</v>
      </c>
      <c r="E18" s="16"/>
    </row>
    <row r="19" spans="1:5" ht="18" customHeight="1" x14ac:dyDescent="0.25">
      <c r="A19" s="160" t="s">
        <v>39</v>
      </c>
      <c r="B19" s="161"/>
      <c r="C19" s="162"/>
      <c r="D19" s="29">
        <f>'Biomass Utilization'!$E$45</f>
        <v>0</v>
      </c>
      <c r="E19" s="16"/>
    </row>
    <row r="20" spans="1:5" ht="18" customHeight="1" x14ac:dyDescent="0.25">
      <c r="A20" s="65"/>
      <c r="B20" s="65"/>
      <c r="C20" s="65"/>
    </row>
    <row r="21" spans="1:5" ht="18" customHeight="1" x14ac:dyDescent="0.25">
      <c r="A21" s="160" t="s">
        <v>288</v>
      </c>
      <c r="B21" s="161"/>
      <c r="C21" s="162"/>
      <c r="D21" s="30">
        <f>IF(0&lt;SUM(D14:D19)&lt;1,1, ROUND(SUM(D14:D19),0))</f>
        <v>0</v>
      </c>
      <c r="E21" s="16"/>
    </row>
    <row r="22" spans="1:5" ht="18" customHeight="1" x14ac:dyDescent="0.25">
      <c r="A22" s="27"/>
      <c r="B22" s="27"/>
      <c r="C22" s="27"/>
      <c r="D22" s="89"/>
      <c r="E22" s="64"/>
    </row>
    <row r="31" spans="1:5" ht="15.75" x14ac:dyDescent="0.25">
      <c r="A31" s="210"/>
    </row>
  </sheetData>
  <sheetProtection algorithmName="SHA-512" hashValue="9PQJxT5qCf1BI7vJI0NjUye1CTwQ3AyEBChuUqb7cLH4enuZ6v7h1OW4PqcD+/PYTzpwJw7aCfnytYgXuHtkTQ==" saltValue="nRsgq8HtQ88c+2N5IzPDZA==" spinCount="100000" sheet="1" objects="1" scenarios="1"/>
  <dataValidations xWindow="675" yWindow="776" count="2">
    <dataValidation allowBlank="1" showInputMessage="1" showErrorMessage="1" prompt="Calculated automatically based on inputs to other tabs." sqref="D14:D19" xr:uid="{00000000-0002-0000-0800-000002000000}"/>
    <dataValidation allowBlank="1" showInputMessage="1" showErrorMessage="1" prompt="Calculated automatically based on inputs from previous tabs." sqref="D21" xr:uid="{00000000-0002-0000-0800-000003000000}"/>
  </dataValidations>
  <pageMargins left="0" right="0.7" top="0" bottom="0.75" header="0.3" footer="0.3"/>
  <pageSetup orientation="landscape" r:id="rId1"/>
  <headerFooter>
    <oddFooter>&amp;CPage 9 of 12
GHG Summary Worksheet</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6" tint="0.59999389629810485"/>
  </sheetPr>
  <dimension ref="A1:E27"/>
  <sheetViews>
    <sheetView zoomScale="90" zoomScaleNormal="90" workbookViewId="0">
      <selection activeCell="D39" sqref="D39"/>
    </sheetView>
  </sheetViews>
  <sheetFormatPr defaultColWidth="9.140625" defaultRowHeight="15" x14ac:dyDescent="0.25"/>
  <cols>
    <col min="1" max="1" width="25.7109375" style="74" customWidth="1"/>
    <col min="2" max="3" width="30.7109375" style="74" customWidth="1"/>
    <col min="4" max="4" width="15.7109375" style="74" customWidth="1"/>
    <col min="5" max="5" width="16.28515625" style="74" customWidth="1"/>
    <col min="6" max="6" width="15.42578125" style="74" customWidth="1"/>
    <col min="7" max="7" width="14" style="74" customWidth="1"/>
    <col min="8" max="8" width="11.140625" style="74" customWidth="1"/>
    <col min="9" max="9" width="10.42578125" style="74" customWidth="1"/>
    <col min="10" max="11" width="9.140625" style="74"/>
    <col min="12" max="12" width="15.7109375" style="74" customWidth="1"/>
    <col min="13" max="16384" width="9.140625" style="74"/>
  </cols>
  <sheetData>
    <row r="1" spans="1:5" ht="18.75" customHeight="1" x14ac:dyDescent="0.3">
      <c r="C1" s="114" t="s">
        <v>176</v>
      </c>
    </row>
    <row r="2" spans="1:5" ht="18.75" customHeight="1" x14ac:dyDescent="0.3">
      <c r="C2" s="114" t="s">
        <v>283</v>
      </c>
    </row>
    <row r="3" spans="1:5" ht="18.75" customHeight="1" x14ac:dyDescent="0.3">
      <c r="C3" s="114" t="s">
        <v>284</v>
      </c>
    </row>
    <row r="4" spans="1:5" ht="18.75" customHeight="1" x14ac:dyDescent="0.3">
      <c r="C4" s="115" t="s">
        <v>308</v>
      </c>
    </row>
    <row r="5" spans="1:5" ht="18.75" customHeight="1" x14ac:dyDescent="0.3">
      <c r="C5" s="176"/>
    </row>
    <row r="6" spans="1:5" ht="18.75" customHeight="1" x14ac:dyDescent="0.25">
      <c r="C6" s="177"/>
    </row>
    <row r="7" spans="1:5" ht="18.75" customHeight="1" x14ac:dyDescent="0.3">
      <c r="A7" s="75"/>
      <c r="B7" s="75"/>
      <c r="C7" s="176"/>
    </row>
    <row r="8" spans="1:5" ht="18.75" customHeight="1" x14ac:dyDescent="0.25">
      <c r="A8" s="75"/>
      <c r="B8" s="75"/>
      <c r="D8" s="75"/>
    </row>
    <row r="9" spans="1:5" ht="18.75" customHeight="1" x14ac:dyDescent="0.25">
      <c r="A9" s="76" t="s">
        <v>0</v>
      </c>
      <c r="B9" s="124" t="str">
        <f>IF('Read Me'!B19="","",'Read Me'!B19)</f>
        <v/>
      </c>
      <c r="C9" s="125"/>
      <c r="D9" s="77"/>
      <c r="E9" s="77"/>
    </row>
    <row r="10" spans="1:5" ht="18.75" customHeight="1" x14ac:dyDescent="0.25">
      <c r="A10" s="78" t="s">
        <v>7</v>
      </c>
      <c r="B10" s="122" t="str">
        <f>IF('Read Me'!B20="","",'Read Me'!B20)</f>
        <v/>
      </c>
      <c r="C10" s="123"/>
      <c r="D10" s="79"/>
      <c r="E10" s="79"/>
    </row>
    <row r="11" spans="1:5" ht="18.75" customHeight="1" x14ac:dyDescent="0.25">
      <c r="A11" s="75"/>
      <c r="B11" s="90"/>
      <c r="C11" s="91"/>
      <c r="D11" s="91"/>
      <c r="E11" s="92"/>
    </row>
    <row r="12" spans="1:5" ht="18.75" customHeight="1" x14ac:dyDescent="0.25">
      <c r="A12" s="77" t="s">
        <v>162</v>
      </c>
      <c r="B12" s="90"/>
      <c r="C12" s="91"/>
      <c r="D12" s="91"/>
      <c r="E12" s="92"/>
    </row>
    <row r="13" spans="1:5" ht="18.75" customHeight="1" x14ac:dyDescent="0.25">
      <c r="A13" s="75"/>
      <c r="B13" s="90"/>
      <c r="C13" s="91"/>
      <c r="D13" s="91"/>
      <c r="E13" s="92"/>
    </row>
    <row r="14" spans="1:5" ht="15.75" x14ac:dyDescent="0.25">
      <c r="A14" s="77" t="s">
        <v>274</v>
      </c>
    </row>
    <row r="15" spans="1:5" ht="19.5" customHeight="1" x14ac:dyDescent="0.25">
      <c r="A15" s="157" t="s">
        <v>252</v>
      </c>
      <c r="B15" s="158"/>
      <c r="C15" s="159"/>
      <c r="D15" s="71">
        <f>MAX(LISTS!D2:D25)</f>
        <v>0</v>
      </c>
    </row>
    <row r="16" spans="1:5" ht="18" customHeight="1" x14ac:dyDescent="0.25">
      <c r="A16" s="171" t="s">
        <v>158</v>
      </c>
      <c r="B16" s="158"/>
      <c r="C16" s="159"/>
      <c r="D16" s="71">
        <f>SUM(LISTS!G2:G6)</f>
        <v>0</v>
      </c>
    </row>
    <row r="17" spans="1:4" ht="18" customHeight="1" x14ac:dyDescent="0.25">
      <c r="A17" s="171" t="s">
        <v>150</v>
      </c>
      <c r="B17" s="158"/>
      <c r="C17" s="159"/>
      <c r="D17" s="71">
        <f>SUM(LISTS!G9:G13)</f>
        <v>0</v>
      </c>
    </row>
    <row r="18" spans="1:4" ht="18" customHeight="1" x14ac:dyDescent="0.25">
      <c r="A18" s="171" t="s">
        <v>160</v>
      </c>
      <c r="B18" s="158"/>
      <c r="C18" s="159"/>
      <c r="D18" s="71">
        <f>SUM(LISTS!G17:G21)</f>
        <v>0</v>
      </c>
    </row>
    <row r="19" spans="1:4" ht="18" customHeight="1" x14ac:dyDescent="0.25">
      <c r="A19" s="171" t="s">
        <v>151</v>
      </c>
      <c r="B19" s="158"/>
      <c r="C19" s="159"/>
      <c r="D19" s="71">
        <f>SUM(LISTS!G24:G43)</f>
        <v>0</v>
      </c>
    </row>
    <row r="20" spans="1:4" ht="18" customHeight="1" x14ac:dyDescent="0.25">
      <c r="A20" s="171" t="s">
        <v>152</v>
      </c>
      <c r="B20" s="158"/>
      <c r="C20" s="159"/>
      <c r="D20" s="71">
        <f>SUM(LISTS!G46:G65)</f>
        <v>0</v>
      </c>
    </row>
    <row r="21" spans="1:4" ht="18" customHeight="1" x14ac:dyDescent="0.25">
      <c r="A21" s="117" t="s">
        <v>275</v>
      </c>
      <c r="B21" s="118"/>
      <c r="C21" s="119"/>
      <c r="D21" s="71">
        <f>D16+D17+D19</f>
        <v>0</v>
      </c>
    </row>
    <row r="22" spans="1:4" ht="18" customHeight="1" x14ac:dyDescent="0.25">
      <c r="A22" s="172" t="s">
        <v>157</v>
      </c>
      <c r="B22" s="158"/>
      <c r="C22" s="158"/>
      <c r="D22" s="71">
        <f>SUM('Easement--Avoided Conversion'!$E$14+'Easement--Avoided Conversion'!$E$33)</f>
        <v>0</v>
      </c>
    </row>
    <row r="23" spans="1:4" ht="18" customHeight="1" x14ac:dyDescent="0.25">
      <c r="A23" s="172" t="s">
        <v>156</v>
      </c>
      <c r="B23" s="158"/>
      <c r="C23" s="158"/>
      <c r="D23" s="71">
        <f>SUM('Easement--Forest Management'!E16+'Easement--Forest Management'!E34)</f>
        <v>0</v>
      </c>
    </row>
    <row r="24" spans="1:4" ht="18" customHeight="1" x14ac:dyDescent="0.25">
      <c r="A24" s="117" t="s">
        <v>276</v>
      </c>
      <c r="B24" s="118"/>
      <c r="C24" s="119"/>
      <c r="D24" s="71">
        <f>D22+D23</f>
        <v>0</v>
      </c>
    </row>
    <row r="25" spans="1:4" ht="15.75" x14ac:dyDescent="0.25">
      <c r="A25" s="157" t="s">
        <v>277</v>
      </c>
      <c r="B25" s="158"/>
      <c r="C25" s="159"/>
      <c r="D25" s="71">
        <f>D22+D23</f>
        <v>0</v>
      </c>
    </row>
    <row r="26" spans="1:4" ht="18" customHeight="1" x14ac:dyDescent="0.25">
      <c r="A26" s="157" t="s">
        <v>149</v>
      </c>
      <c r="B26" s="158"/>
      <c r="C26" s="159"/>
      <c r="D26" s="71">
        <f>SUM(LISTS!J2:J6)</f>
        <v>0</v>
      </c>
    </row>
    <row r="27" spans="1:4" ht="18" customHeight="1" x14ac:dyDescent="0.25">
      <c r="A27" s="157" t="s">
        <v>278</v>
      </c>
      <c r="B27" s="158"/>
      <c r="C27" s="159"/>
      <c r="D27" s="71">
        <f>('Biomass Utilization'!E31-'Biomass Utilization'!E32+'Biomass Utilization'!E33)*ERFs!B53*1000+('Biomass Utilization'!E34-'Biomass Utilization'!E35+'Biomass Utilization'!E36)*ERFs!B54*1000</f>
        <v>0</v>
      </c>
    </row>
  </sheetData>
  <sheetProtection algorithmName="SHA-512" hashValue="vn8HdPB5vmUw3RlSyb+U1gxJ20CDYsf6M11a3nIZAwesfKgxlbVGZhrqUnlQF278AkHWVnVk4qtaHm9wshQT3w==" saltValue="xT8ZE2vfkDRRPlqEx9z4UQ==" spinCount="100000" sheet="1" objects="1" scenarios="1"/>
  <pageMargins left="0.7" right="0.7" top="0.75" bottom="0.75" header="0.3" footer="0.3"/>
  <pageSetup orientation="landscape" r:id="rId1"/>
  <headerFooter>
    <oddFooter>&amp;CPage 10 of 12
Co Benefits Summary Worksheet</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4C9B93AEC8C84394C785EB28E8E1FA" ma:contentTypeVersion="19" ma:contentTypeDescription="Create a new document." ma:contentTypeScope="" ma:versionID="f9198a2485f8de3305d7ee28665252f5">
  <xsd:schema xmlns:xsd="http://www.w3.org/2001/XMLSchema" xmlns:xs="http://www.w3.org/2001/XMLSchema" xmlns:p="http://schemas.microsoft.com/office/2006/metadata/properties" xmlns:ns1="http://schemas.microsoft.com/sharepoint/v3" xmlns:ns2="2ee7d741-2b1e-4e71-a67e-0a8ac7098c51" xmlns:ns3="916e2c6f-7716-484a-9f06-7a80088ea94f" targetNamespace="http://schemas.microsoft.com/office/2006/metadata/properties" ma:root="true" ma:fieldsID="f049b18411ca34c616cd3d7ba3a6f4f2" ns1:_="" ns2:_="" ns3:_="">
    <xsd:import namespace="http://schemas.microsoft.com/sharepoint/v3"/>
    <xsd:import namespace="2ee7d741-2b1e-4e71-a67e-0a8ac7098c51"/>
    <xsd:import namespace="916e2c6f-7716-484a-9f06-7a80088ea94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e7d741-2b1e-4e71-a67e-0a8ac7098c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05073050-3fd1-4e92-a2b5-a3b9c7057e57"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16e2c6f-7716-484a-9f06-7a80088ea94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a6f91603-6d2b-4f8a-aba5-b396ad73976e}" ma:internalName="TaxCatchAll" ma:showField="CatchAllData" ma:web="916e2c6f-7716-484a-9f06-7a80088ea9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916e2c6f-7716-484a-9f06-7a80088ea94f" xsi:nil="true"/>
    <lcf76f155ced4ddcb4097134ff3c332f xmlns="2ee7d741-2b1e-4e71-a67e-0a8ac7098c51">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D328F2-5DFA-467D-95C6-C0DC27DB7D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ee7d741-2b1e-4e71-a67e-0a8ac7098c51"/>
    <ds:schemaRef ds:uri="916e2c6f-7716-484a-9f06-7a80088ea9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FB4E40-C5FF-4C46-B3A7-945B652D9C91}">
  <ds:schemaRefs>
    <ds:schemaRef ds:uri="http://schemas.microsoft.com/office/2006/metadata/properties"/>
    <ds:schemaRef ds:uri="http://schemas.microsoft.com/office/infopath/2007/PartnerControls"/>
    <ds:schemaRef ds:uri="http://schemas.microsoft.com/sharepoint/v3"/>
    <ds:schemaRef ds:uri="916e2c6f-7716-484a-9f06-7a80088ea94f"/>
    <ds:schemaRef ds:uri="2ee7d741-2b1e-4e71-a67e-0a8ac7098c51"/>
  </ds:schemaRefs>
</ds:datastoreItem>
</file>

<file path=customXml/itemProps3.xml><?xml version="1.0" encoding="utf-8"?>
<ds:datastoreItem xmlns:ds="http://schemas.openxmlformats.org/officeDocument/2006/customXml" ds:itemID="{62BDD667-B9F4-4050-A97A-B080E2CFFCCF}">
  <ds:schemaRefs>
    <ds:schemaRef ds:uri="http://schemas.microsoft.com/sharepoint/v3/contenttype/forms"/>
  </ds:schemaRefs>
</ds:datastoreItem>
</file>

<file path=docMetadata/LabelInfo.xml><?xml version="1.0" encoding="utf-8"?>
<clbl:labelList xmlns:clbl="http://schemas.microsoft.com/office/2020/mipLabelMetadata">
  <clbl:label id="{9de5aaee-7788-40b1-a438-c0ccc98c87cc}" enabled="0" method="" siteId="{9de5aaee-7788-40b1-a438-c0ccc98c87c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Read Me</vt:lpstr>
      <vt:lpstr>Reforestation</vt:lpstr>
      <vt:lpstr>Pest Management</vt:lpstr>
      <vt:lpstr>Fuels Reduction</vt:lpstr>
      <vt:lpstr>Easement--Avoided Conversion</vt:lpstr>
      <vt:lpstr>Easement--Forest Management</vt:lpstr>
      <vt:lpstr>Biomass Utilization</vt:lpstr>
      <vt:lpstr>GHG Summary</vt:lpstr>
      <vt:lpstr>Co-Benefits Summary</vt:lpstr>
      <vt:lpstr>LISTS</vt:lpstr>
      <vt:lpstr>ERFs</vt:lpstr>
      <vt:lpstr>Conversions</vt:lpstr>
      <vt:lpstr>BrushCover</vt:lpstr>
      <vt:lpstr>LandCoverType</vt:lpstr>
    </vt:vector>
  </TitlesOfParts>
  <Manager/>
  <Company>carb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CARB-STCD-CIB</dc:creator>
  <cp:keywords/>
  <dc:description/>
  <cp:lastModifiedBy>Tubbesing, Carmen@ARB</cp:lastModifiedBy>
  <cp:lastPrinted>2019-09-09T20:46:33Z</cp:lastPrinted>
  <dcterms:created xsi:type="dcterms:W3CDTF">2015-06-16T15:51:10Z</dcterms:created>
  <dcterms:modified xsi:type="dcterms:W3CDTF">2025-11-06T22:36:26Z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0x0101001A4C9B93AEC8C84394C785EB28E8E1FA</vt:lpwstr>
  </property>
  <property fmtid="{D5CDD505-2E9C-101B-9397-08002B2CF9AE}" pid="3" name="MediaServiceImageTags">
    <vt:lpwstr/>
  </property>
</Properties>
</file>