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updateLinks="never" defaultThemeVersion="124226"/>
  <mc:AlternateContent xmlns:mc="http://schemas.openxmlformats.org/markup-compatibility/2006">
    <mc:Choice Requires="x15">
      <x15ac:absPath xmlns:x15ac="http://schemas.microsoft.com/office/spreadsheetml/2010/11/ac" url="Y:\Ryan\My Docs\ARB work\CIB Work Documents\CalRecycle\Climate Positive Landscaping\QM Docs\Posted Docs\"/>
    </mc:Choice>
  </mc:AlternateContent>
  <xr:revisionPtr revIDLastSave="0" documentId="13_ncr:1_{F3629AC0-E355-4A05-AE8F-F4AF1F03B27D}" xr6:coauthVersionLast="46" xr6:coauthVersionMax="46" xr10:uidLastSave="{00000000-0000-0000-0000-000000000000}"/>
  <bookViews>
    <workbookView xWindow="40920" yWindow="2520" windowWidth="38640" windowHeight="21240" tabRatio="786" xr2:uid="{00000000-000D-0000-FFFF-FFFF00000000}"/>
  </bookViews>
  <sheets>
    <sheet name="Read Me" sheetId="49" r:id="rId1"/>
    <sheet name="Project Info" sheetId="69" r:id="rId2"/>
    <sheet name="Compost" sheetId="46" r:id="rId3"/>
    <sheet name="Tree Planting" sheetId="48" r:id="rId4"/>
    <sheet name="Lawn Management" sheetId="62" r:id="rId5"/>
    <sheet name="GHG Summary" sheetId="70" r:id="rId6"/>
    <sheet name="Co-benefit Summary" sheetId="45" r:id="rId7"/>
    <sheet name="Definitions" sheetId="73" r:id="rId8"/>
    <sheet name="Documentation" sheetId="72" r:id="rId9"/>
    <sheet name="Sources" sheetId="68" r:id="rId10"/>
    <sheet name="GHG ERFs" sheetId="15" r:id="rId11"/>
    <sheet name="Co-Ben ERFs" sheetId="23" r:id="rId12"/>
    <sheet name="Compost ERF" sheetId="35" r:id="rId13"/>
    <sheet name="Fertilizer data" sheetId="59" state="hidden" r:id="rId14"/>
    <sheet name="Lawn Mower data" sheetId="57" state="hidden" r:id="rId15"/>
    <sheet name="Community Compost Calcs" sheetId="47" state="hidden" r:id="rId16"/>
    <sheet name="Factors" sheetId="39" state="hidden" r:id="rId17"/>
    <sheet name="List" sheetId="54"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13" hidden="1">'Fertilizer data'!$A$35:$C$35</definedName>
    <definedName name="_ftn1" localSheetId="8">Documentation!#REF!</definedName>
    <definedName name="_GoBack">#REF!</definedName>
    <definedName name="acc" localSheetId="3">[1]Defaults!$I$2:$I$6</definedName>
    <definedName name="add">[2]Defaults!$Z$3:$Z$4</definedName>
    <definedName name="addghg">[2]Defaults!$Z$2:$Z$3</definedName>
    <definedName name="adjf" localSheetId="3">[1]Defaults!$H$2:$H$16</definedName>
    <definedName name="airb">'[2]EF Default Tables'!#REF!</definedName>
    <definedName name="AttachmentA">[3]Sheet2!$A$3:$A$17</definedName>
    <definedName name="AttachmentB">[3]Sheet2!$A$20:$A$43</definedName>
    <definedName name="basin">[2]Defaults!$D$2:$D$16</definedName>
    <definedName name="basinair">[2]Defaults!#REF!</definedName>
    <definedName name="BCS" localSheetId="6">'[4]Other '!$J$17:$J$18</definedName>
    <definedName name="BCS">'[5]Other '!$J$17:$J$18</definedName>
    <definedName name="bikesharesum">#REF!</definedName>
    <definedName name="BUST">#REF!</definedName>
    <definedName name="cab">[2]Defaults!$U$2:$U$3</definedName>
    <definedName name="CaleemodSum">'[6]CalEEMod Steps 4-6'!$D$49</definedName>
    <definedName name="cap">[2]Defaults!$H$10:$H$12</definedName>
    <definedName name="capital">[2]Defaults!#REF!</definedName>
    <definedName name="caps">'[2]EF Default Tables'!#REF!</definedName>
    <definedName name="captl">[2]Defaults!#REF!</definedName>
    <definedName name="categories">'[7]CH4 Calcs'!$A$42:$A$60</definedName>
    <definedName name="clean">[2]Defaults!$H$8:$H$9</definedName>
    <definedName name="cnty" localSheetId="3">[1]Defaults!$C$2:$C$59</definedName>
    <definedName name="cnty">[8]Defaults!$C$11:$C$68</definedName>
    <definedName name="cntys">[2]Defaults!$C$2:$C$59</definedName>
    <definedName name="County" localSheetId="6">'[4]Other '!$A$2:$A$59</definedName>
    <definedName name="County">'[5]Other '!$A$2:$A$59</definedName>
    <definedName name="cptl">[2]Defaults!#REF!</definedName>
    <definedName name="Cut_A_Way">#REF!</definedName>
    <definedName name="CY" localSheetId="3">[1]Defaults!$B$4:$B$37</definedName>
    <definedName name="Diesel" localSheetId="3">#REF!</definedName>
    <definedName name="diesel">'[7]Other '!$F$2</definedName>
    <definedName name="ECY">'[2]EF Default Tables'!#REF!</definedName>
    <definedName name="Electric">#REF!</definedName>
    <definedName name="EMY" localSheetId="3">[1]Defaults!$A$2:$A$50</definedName>
    <definedName name="EquipmentType" localSheetId="11">'Co-Ben ERFs'!#REF!</definedName>
    <definedName name="EquipmentType" localSheetId="3">[8]ERF!#REF!</definedName>
    <definedName name="EquipmentType">'GHG ERFs'!#REF!</definedName>
    <definedName name="EquipmentType10" localSheetId="15">#REF!</definedName>
    <definedName name="EquipmentType10" localSheetId="2">#REF!</definedName>
    <definedName name="EquipmentType10">#REF!</definedName>
    <definedName name="EquipmentType2" localSheetId="11">'Co-Ben ERFs'!#REF!,'Co-Ben ERFs'!#REF!,'Co-Ben ERFs'!#REF!,'Co-Ben ERFs'!#REF!,'Co-Ben ERFs'!#REF!</definedName>
    <definedName name="EquipmentType2" localSheetId="2">[9]ERFs!$A$85,[9]ERFs!$A$87,[9]ERFs!$A$89,[9]ERFs!$A$91,[9]ERFs!$A$93</definedName>
    <definedName name="EquipmentType2" localSheetId="12">[10]ERFs!$A$85,[10]ERFs!$A$87,[10]ERFs!$A$89,[10]ERFs!$A$91,[10]ERFs!$A$93</definedName>
    <definedName name="EquipmentType2" localSheetId="3">[8]ERF!#REF!,[8]ERF!#REF!,[8]ERF!#REF!,[8]ERF!#REF!,[8]ERF!#REF!</definedName>
    <definedName name="EquipmentType2">'GHG ERFs'!#REF!,'GHG ERFs'!#REF!,'GHG ERFs'!#REF!,'GHG ERFs'!#REF!,'GHG ERFs'!#REF!</definedName>
    <definedName name="EquipmentType3" localSheetId="11">#REF!</definedName>
    <definedName name="EquipmentType3" localSheetId="15">#REF!</definedName>
    <definedName name="EquipmentType3" localSheetId="2">[11]Sheet1!#REF!</definedName>
    <definedName name="EquipmentType3" localSheetId="12">[12]Sheet1!#REF!</definedName>
    <definedName name="EquipmentType3" localSheetId="3">#REF!</definedName>
    <definedName name="EquipmentType3">#REF!</definedName>
    <definedName name="EquipmentType4" localSheetId="15">#REF!</definedName>
    <definedName name="EquipmentType4" localSheetId="2">#REF!</definedName>
    <definedName name="EquipmentType4">#REF!</definedName>
    <definedName name="EquipmentType5" localSheetId="15">#REF!</definedName>
    <definedName name="EquipmentType5" localSheetId="2">#REF!</definedName>
    <definedName name="EquipmentType5">#REF!</definedName>
    <definedName name="EquipmentType6" localSheetId="15">#REF!</definedName>
    <definedName name="EquipmentType6" localSheetId="2">#REF!</definedName>
    <definedName name="EquipmentType6">#REF!</definedName>
    <definedName name="EquipmentType7" localSheetId="15">#REF!</definedName>
    <definedName name="EquipmentType7" localSheetId="2">#REF!</definedName>
    <definedName name="EquipmentType7">#REF!</definedName>
    <definedName name="Ferry">#REF!</definedName>
    <definedName name="FT">#REF!</definedName>
    <definedName name="Ftype">#REF!</definedName>
    <definedName name="fuel">[2]Defaults!$Y$2:$Y$10</definedName>
    <definedName name="Fuels" localSheetId="6">'[4]Other '!$F$2:$F$8</definedName>
    <definedName name="Fuels" localSheetId="3">#REF!</definedName>
    <definedName name="Fuels">'[5]Other '!$F$2:$F$8</definedName>
    <definedName name="FuelType">#REF!</definedName>
    <definedName name="GHGEF2017HHDBEV">#REF!</definedName>
    <definedName name="GHGEF2017HHDULSD">#REF!</definedName>
    <definedName name="GHGEF2017MHDBEV">#REF!</definedName>
    <definedName name="GHGEF2017MHDHYBRID">#REF!</definedName>
    <definedName name="GHGEF2017MHDULSD">#REF!</definedName>
    <definedName name="GHGEF2017SBUSBEV">#REF!</definedName>
    <definedName name="GHGEF2017SBUSULSD">#REF!</definedName>
    <definedName name="GHGEF2017UBUSBEV">#REF!</definedName>
    <definedName name="GHGEF2017UBUSCNG">#REF!</definedName>
    <definedName name="GHGEF2017UBUSULSD">#REF!</definedName>
    <definedName name="Heavy_Rail">#REF!</definedName>
    <definedName name="Heavy_Rail_Car">#REF!</definedName>
    <definedName name="Hundred" localSheetId="6">'[4]Other '!$E$17:$E$37</definedName>
    <definedName name="Hundred">'[5]Other '!$E$17:$E$37</definedName>
    <definedName name="Hybrid">[2]Defaults!$W$2:$W$3</definedName>
    <definedName name="inex">[2]Defaults!$H$2:$H$4</definedName>
    <definedName name="lctopcy">[2]Defaults!$B$2:$B$37</definedName>
    <definedName name="manurecollect">'[7]Other '!$C$18:$C$22</definedName>
    <definedName name="MY">#REF!</definedName>
    <definedName name="new">[2]Defaults!$H$8</definedName>
    <definedName name="newpt">[2]Defaults!$E$2:$E$5</definedName>
    <definedName name="NMY">[2]Defaults!$A$12:$A$41</definedName>
    <definedName name="nonanaerobic" localSheetId="6">'[4]Other '!$C$2:$C$15</definedName>
    <definedName name="nonanaerobic">'[5]Other '!$C$2:$C$15</definedName>
    <definedName name="NOXEF2017HHDULSD">'[13]HD EF in 2024'!$AP$38</definedName>
    <definedName name="NOXEF2017MHDHYBRID">#REF!</definedName>
    <definedName name="NOXEF2017MHDULSD">'[13]HD EF in 2024'!$AP$23</definedName>
    <definedName name="NOXEF2017SBUSULSD">'[13]HD EF in 2024'!$AP$12</definedName>
    <definedName name="NOXEF2017UBUSULSD">'[13]HD EF in 2024'!$AP$40</definedName>
    <definedName name="omy">[2]Defaults!$A$18:$A$60</definedName>
    <definedName name="oper">[2]Defaults!#REF!</definedName>
    <definedName name="Operations">#REF!</definedName>
    <definedName name="ops">'[2]EF Default Tables'!#REF!</definedName>
    <definedName name="opts">[2]Defaults!#REF!</definedName>
    <definedName name="Over_Road_Coach">#REF!</definedName>
    <definedName name="partialflush">'[7]Other '!$E$19:$E$37</definedName>
    <definedName name="plist">'[2]EF Default Tables'!#REF!</definedName>
    <definedName name="practices2018">'[7]Other '!$C$45:$C$61</definedName>
    <definedName name="_xlnm.Print_Area" localSheetId="11">'Co-Ben ERFs'!$A$1:$D$71</definedName>
    <definedName name="_xlnm.Print_Area" localSheetId="2">Compost!$B$1:$L$15</definedName>
    <definedName name="_xlnm.Print_Area" localSheetId="8">Documentation!$A$9:$D$27</definedName>
    <definedName name="_xlnm.Print_Area" localSheetId="10">'GHG ERFs'!$A$1:$D$23</definedName>
    <definedName name="_xlnm.Print_Area" localSheetId="5">'GHG Summary'!$B$11:$C$23</definedName>
    <definedName name="Project_Type">#REF!</definedName>
    <definedName name="projecttype">#REF!</definedName>
    <definedName name="projlist">#REF!</definedName>
    <definedName name="projt">'[2]EF Default Tables'!#REF!</definedName>
    <definedName name="PRTYPE">#REF!</definedName>
    <definedName name="ptype" localSheetId="3">[1]Defaults!$E$42:$E$43</definedName>
    <definedName name="ptype">[8]Defaults!$E$51:$E$52</definedName>
    <definedName name="RefrigerantTypes" localSheetId="11">'Co-Ben ERFs'!$A$59:$A$62</definedName>
    <definedName name="RefrigerantTypes" localSheetId="3">[8]ERF!#REF!</definedName>
    <definedName name="RefrigerantTypes">'GHG ERFs'!#REF!</definedName>
    <definedName name="region">[14]Defaults!$C$2:$C$3</definedName>
    <definedName name="rep">[6]Defaults!#REF!</definedName>
    <definedName name="ROGEF2017HHDULSD">'[13]HD EF in 2024'!$AC$38</definedName>
    <definedName name="ROGEF2017MHDHYBRID">#REF!</definedName>
    <definedName name="ROGEF2017MHDULSD">'[13]HD EF in 2024'!$AC$23</definedName>
    <definedName name="ROGEF2017SBUSULSD">'[13]HD EF in 2024'!$AC$12</definedName>
    <definedName name="ROGEF2017UBUSULSD">'[13]HD EF in 2024'!$AC$40</definedName>
    <definedName name="serv">[2]Defaults!$H$5:$H$6</definedName>
    <definedName name="service">[2]Defaults!$S$2:$S$11</definedName>
    <definedName name="Servtype">[14]Defaults!$F$2:$F$10</definedName>
    <definedName name="solidsep">'[7]Other '!$J$25:$J$32</definedName>
    <definedName name="solsep" localSheetId="6">'[4]Other '!$J$31:$J$38</definedName>
    <definedName name="solsep">'[5]Other '!$J$31:$J$38</definedName>
    <definedName name="sources" localSheetId="6">'[4]Other '!$J$23:$J$26</definedName>
    <definedName name="sources">'[5]Other '!$J$23:$J$26</definedName>
    <definedName name="svtype">'[2]EF Default Tables'!#REF!</definedName>
    <definedName name="tac">'[2]EF Default Tables'!#REF!</definedName>
    <definedName name="TacSum">#REF!</definedName>
    <definedName name="TFT" localSheetId="3">[1]Defaults!$E$11:$E$21</definedName>
    <definedName name="Transit_Bus">#REF!</definedName>
    <definedName name="TransSub">[8]Defaults!$K$26:$K$30</definedName>
    <definedName name="Vehicle_Type">#REF!</definedName>
    <definedName name="vehicletype">[14]Defaults!$G$2:$G$9</definedName>
    <definedName name="vehtype">[2]Defaults!$T$2:$T$9</definedName>
    <definedName name="VRFuel">'[15]Valid Entries'!$F$4:$F$7</definedName>
    <definedName name="yes" localSheetId="6">'[4]Other '!$J$28:$J$29</definedName>
    <definedName name="yes">'[5]Other '!$J$28:$J$29</definedName>
    <definedName name="YesNo">[8]Defaults!$K$22:$K$23</definedName>
    <definedName name="YN" localSheetId="6">'[4]Other '!$J$28:$J$29</definedName>
    <definedName name="YN">'[5]Other '!$J$28:$J$29</definedName>
    <definedName name="yr">'[7]Other '!$K$32:$K$56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57" l="1"/>
  <c r="K33" i="57" s="1"/>
  <c r="E34" i="57"/>
  <c r="K34" i="57" s="1"/>
  <c r="E35" i="57"/>
  <c r="K35" i="57" s="1"/>
  <c r="E36" i="57"/>
  <c r="E37" i="57"/>
  <c r="K37" i="57" s="1"/>
  <c r="E38" i="57"/>
  <c r="K38" i="57" s="1"/>
  <c r="E32" i="57"/>
  <c r="K32" i="57" s="1"/>
  <c r="K36" i="57"/>
  <c r="D33" i="57" l="1"/>
  <c r="J33" i="57" s="1"/>
  <c r="D34" i="57"/>
  <c r="J34" i="57" s="1"/>
  <c r="D35" i="57"/>
  <c r="J35" i="57" s="1"/>
  <c r="D36" i="57"/>
  <c r="J36" i="57" s="1"/>
  <c r="D37" i="57"/>
  <c r="J37" i="57" s="1"/>
  <c r="D38" i="57"/>
  <c r="J38" i="57" s="1"/>
  <c r="D32" i="57"/>
  <c r="J32" i="57" s="1"/>
  <c r="D5" i="59"/>
  <c r="E5" i="59"/>
  <c r="F5" i="59"/>
  <c r="H5" i="59" s="1"/>
  <c r="D6" i="59"/>
  <c r="E6" i="59"/>
  <c r="F6" i="59"/>
  <c r="H6" i="59" s="1"/>
  <c r="D7" i="59"/>
  <c r="E7" i="59"/>
  <c r="F7" i="59"/>
  <c r="H7" i="59" s="1"/>
  <c r="D8" i="59"/>
  <c r="E8" i="59"/>
  <c r="F8" i="59"/>
  <c r="H8" i="59" s="1"/>
  <c r="D9" i="59"/>
  <c r="E9" i="59"/>
  <c r="F9" i="59"/>
  <c r="H9" i="59" s="1"/>
  <c r="D10" i="59"/>
  <c r="E10" i="59"/>
  <c r="F10" i="59"/>
  <c r="H10" i="59" s="1"/>
  <c r="F4" i="59"/>
  <c r="H4" i="59" s="1"/>
  <c r="E4" i="59"/>
  <c r="D4" i="59"/>
  <c r="C5" i="59"/>
  <c r="L5" i="59" s="1"/>
  <c r="C6" i="59"/>
  <c r="L6" i="59" s="1"/>
  <c r="C7" i="59"/>
  <c r="L7" i="59" s="1"/>
  <c r="C8" i="59"/>
  <c r="L8" i="59" s="1"/>
  <c r="C9" i="59"/>
  <c r="K9" i="59" s="1"/>
  <c r="C10" i="59"/>
  <c r="L10" i="59" s="1"/>
  <c r="B5" i="59"/>
  <c r="J5" i="59" s="1"/>
  <c r="B6" i="59"/>
  <c r="J6" i="59" s="1"/>
  <c r="B7" i="59"/>
  <c r="J7" i="59" s="1"/>
  <c r="B8" i="59"/>
  <c r="J8" i="59" s="1"/>
  <c r="B9" i="59"/>
  <c r="J9" i="59" s="1"/>
  <c r="B10" i="59"/>
  <c r="J10" i="59" s="1"/>
  <c r="B4" i="59"/>
  <c r="J4" i="59" s="1"/>
  <c r="C4" i="59"/>
  <c r="L4" i="59" s="1"/>
  <c r="A5" i="59"/>
  <c r="I5" i="59" s="1"/>
  <c r="A6" i="59"/>
  <c r="I6" i="59" s="1"/>
  <c r="A7" i="59"/>
  <c r="I7" i="59" s="1"/>
  <c r="A8" i="59"/>
  <c r="I8" i="59" s="1"/>
  <c r="A9" i="59"/>
  <c r="I9" i="59" s="1"/>
  <c r="A10" i="59"/>
  <c r="I10" i="59" s="1"/>
  <c r="A4" i="59"/>
  <c r="I4" i="59" s="1"/>
  <c r="B33" i="57"/>
  <c r="B34" i="57"/>
  <c r="B35" i="57"/>
  <c r="B36" i="57"/>
  <c r="B37" i="57"/>
  <c r="B38" i="57"/>
  <c r="C33" i="57"/>
  <c r="C34" i="57"/>
  <c r="C35" i="57"/>
  <c r="C36" i="57"/>
  <c r="C37" i="57"/>
  <c r="C38" i="57"/>
  <c r="B32" i="57"/>
  <c r="C32" i="57"/>
  <c r="A32" i="57"/>
  <c r="A33" i="57"/>
  <c r="A34" i="57"/>
  <c r="A35" i="57"/>
  <c r="A36" i="57"/>
  <c r="A37" i="57"/>
  <c r="A38" i="57"/>
  <c r="G10" i="59" l="1"/>
  <c r="N10" i="59" s="1"/>
  <c r="G7" i="59"/>
  <c r="P7" i="59" s="1"/>
  <c r="Q26" i="62" s="1"/>
  <c r="G6" i="59"/>
  <c r="N6" i="59" s="1"/>
  <c r="G5" i="59"/>
  <c r="N5" i="59" s="1"/>
  <c r="F34" i="57"/>
  <c r="H34" i="57" s="1"/>
  <c r="G33" i="57"/>
  <c r="G36" i="57"/>
  <c r="G32" i="57"/>
  <c r="F37" i="57"/>
  <c r="H37" i="57" s="1"/>
  <c r="F36" i="57"/>
  <c r="H36" i="57" s="1"/>
  <c r="G37" i="57"/>
  <c r="G34" i="57"/>
  <c r="F38" i="57"/>
  <c r="I38" i="57" s="1"/>
  <c r="F32" i="57"/>
  <c r="G35" i="57"/>
  <c r="G9" i="59"/>
  <c r="G4" i="59"/>
  <c r="N4" i="59" s="1"/>
  <c r="G8" i="59"/>
  <c r="P8" i="59" s="1"/>
  <c r="Q27" i="62" s="1"/>
  <c r="K4" i="59"/>
  <c r="K10" i="59"/>
  <c r="L9" i="59"/>
  <c r="K8" i="59"/>
  <c r="K7" i="59"/>
  <c r="K6" i="59"/>
  <c r="K5" i="59"/>
  <c r="F35" i="57"/>
  <c r="F33" i="57"/>
  <c r="G38" i="57"/>
  <c r="S32" i="57" l="1"/>
  <c r="R32" i="57"/>
  <c r="N32" i="57"/>
  <c r="Q32" i="57"/>
  <c r="P32" i="57"/>
  <c r="O32" i="57"/>
  <c r="M32" i="57"/>
  <c r="L32" i="57"/>
  <c r="L38" i="57"/>
  <c r="M38" i="57"/>
  <c r="N38" i="57"/>
  <c r="O38" i="57"/>
  <c r="S38" i="57"/>
  <c r="P38" i="57"/>
  <c r="Q38" i="57"/>
  <c r="R38" i="57"/>
  <c r="L37" i="57"/>
  <c r="M37" i="57"/>
  <c r="W37" i="57" s="1"/>
  <c r="R37" i="57"/>
  <c r="N37" i="57"/>
  <c r="V37" i="57" s="1"/>
  <c r="O37" i="57"/>
  <c r="Q37" i="57"/>
  <c r="P37" i="57"/>
  <c r="S37" i="57"/>
  <c r="L36" i="57"/>
  <c r="Q36" i="57"/>
  <c r="M36" i="57"/>
  <c r="S36" i="57"/>
  <c r="N36" i="57"/>
  <c r="O36" i="57"/>
  <c r="R36" i="57"/>
  <c r="P36" i="57"/>
  <c r="L35" i="57"/>
  <c r="M35" i="57"/>
  <c r="N35" i="57"/>
  <c r="S35" i="57"/>
  <c r="O35" i="57"/>
  <c r="P35" i="57"/>
  <c r="Q35" i="57"/>
  <c r="R35" i="57"/>
  <c r="L34" i="57"/>
  <c r="T34" i="57" s="1"/>
  <c r="O34" i="57"/>
  <c r="M34" i="57"/>
  <c r="W34" i="57" s="1"/>
  <c r="P34" i="57"/>
  <c r="Q34" i="57"/>
  <c r="R34" i="57"/>
  <c r="S34" i="57"/>
  <c r="N34" i="57"/>
  <c r="V34" i="57" s="1"/>
  <c r="L33" i="57"/>
  <c r="M33" i="57"/>
  <c r="N33" i="57"/>
  <c r="S33" i="57"/>
  <c r="O33" i="57"/>
  <c r="P33" i="57"/>
  <c r="Q33" i="57"/>
  <c r="R33" i="57"/>
  <c r="P5" i="59"/>
  <c r="Q24" i="62" s="1"/>
  <c r="M5" i="59"/>
  <c r="M6" i="59"/>
  <c r="O6" i="59" s="1"/>
  <c r="P25" i="62" s="1"/>
  <c r="N7" i="59"/>
  <c r="M7" i="59"/>
  <c r="P10" i="59"/>
  <c r="Q29" i="62" s="1"/>
  <c r="M10" i="59"/>
  <c r="O10" i="59" s="1"/>
  <c r="P29" i="62" s="1"/>
  <c r="P6" i="59"/>
  <c r="Q25" i="62" s="1"/>
  <c r="M28" i="62"/>
  <c r="P9" i="59"/>
  <c r="Q28" i="62" s="1"/>
  <c r="I34" i="57"/>
  <c r="P4" i="59"/>
  <c r="Q23" i="62" s="1"/>
  <c r="M4" i="59"/>
  <c r="O4" i="59" s="1"/>
  <c r="P23" i="62" s="1"/>
  <c r="N8" i="59"/>
  <c r="M8" i="59"/>
  <c r="N9" i="59"/>
  <c r="M9" i="59"/>
  <c r="O5" i="59"/>
  <c r="P24" i="62" s="1"/>
  <c r="I36" i="57"/>
  <c r="I37" i="57"/>
  <c r="H38" i="57"/>
  <c r="I32" i="57"/>
  <c r="H32" i="57"/>
  <c r="H33" i="57"/>
  <c r="I33" i="57"/>
  <c r="I35" i="57"/>
  <c r="H35" i="57"/>
  <c r="T32" i="57" l="1"/>
  <c r="K23" i="62" s="1"/>
  <c r="W32" i="57"/>
  <c r="N23" i="62" s="1"/>
  <c r="U36" i="57"/>
  <c r="L27" i="62" s="1"/>
  <c r="O7" i="59"/>
  <c r="P26" i="62" s="1"/>
  <c r="U33" i="57"/>
  <c r="L24" i="62" s="1"/>
  <c r="U35" i="57"/>
  <c r="L26" i="62" s="1"/>
  <c r="V36" i="57"/>
  <c r="M27" i="62" s="1"/>
  <c r="U37" i="57"/>
  <c r="L28" i="62" s="1"/>
  <c r="U38" i="57"/>
  <c r="L29" i="62" s="1"/>
  <c r="V33" i="57"/>
  <c r="M24" i="62" s="1"/>
  <c r="V35" i="57"/>
  <c r="M26" i="62" s="1"/>
  <c r="W36" i="57"/>
  <c r="N27" i="62" s="1"/>
  <c r="V38" i="57"/>
  <c r="M29" i="62" s="1"/>
  <c r="V32" i="57"/>
  <c r="M23" i="62" s="1"/>
  <c r="W33" i="57"/>
  <c r="N24" i="62" s="1"/>
  <c r="U34" i="57"/>
  <c r="L25" i="62" s="1"/>
  <c r="W35" i="57"/>
  <c r="N26" i="62" s="1"/>
  <c r="W38" i="57"/>
  <c r="N29" i="62" s="1"/>
  <c r="T33" i="57"/>
  <c r="K24" i="62" s="1"/>
  <c r="T35" i="57"/>
  <c r="K26" i="62" s="1"/>
  <c r="T36" i="57"/>
  <c r="K27" i="62" s="1"/>
  <c r="T37" i="57"/>
  <c r="K28" i="62" s="1"/>
  <c r="T38" i="57"/>
  <c r="K29" i="62" s="1"/>
  <c r="U32" i="57"/>
  <c r="L23" i="62" s="1"/>
  <c r="O9" i="59"/>
  <c r="P28" i="62" s="1"/>
  <c r="O8" i="59"/>
  <c r="P27" i="62" s="1"/>
  <c r="M25" i="62"/>
  <c r="N25" i="62"/>
  <c r="N28" i="62"/>
  <c r="K25" i="62"/>
  <c r="C4" i="72" l="1"/>
  <c r="C4" i="73"/>
  <c r="C6" i="73"/>
  <c r="C3" i="73"/>
  <c r="C1" i="73"/>
  <c r="B4" i="70"/>
  <c r="C13" i="70"/>
  <c r="C14" i="70"/>
  <c r="C12" i="70"/>
  <c r="C9" i="70"/>
  <c r="F4" i="46"/>
  <c r="B4" i="48"/>
  <c r="D4" i="62"/>
  <c r="C31" i="69"/>
  <c r="C15" i="70" s="1"/>
  <c r="C4" i="69"/>
  <c r="E26" i="72"/>
  <c r="E25" i="72"/>
  <c r="D19" i="72"/>
  <c r="D18" i="72"/>
  <c r="D17" i="72"/>
  <c r="C6" i="72"/>
  <c r="C3" i="72"/>
  <c r="C1" i="72"/>
  <c r="B6" i="70"/>
  <c r="B3" i="70"/>
  <c r="B1" i="70"/>
  <c r="D30" i="69"/>
  <c r="D29" i="69"/>
  <c r="D28" i="69"/>
  <c r="D27" i="69"/>
  <c r="D26" i="69"/>
  <c r="D25" i="69"/>
  <c r="D24" i="69"/>
  <c r="D22" i="69"/>
  <c r="C6" i="69"/>
  <c r="C3" i="69"/>
  <c r="C1" i="69"/>
  <c r="O23" i="62" l="1"/>
  <c r="O24" i="62" l="1"/>
  <c r="O25" i="62"/>
  <c r="O26" i="62"/>
  <c r="O27" i="62"/>
  <c r="O28" i="62"/>
  <c r="O29" i="62"/>
  <c r="L30" i="62" l="1"/>
  <c r="G15" i="59" l="1"/>
  <c r="G16" i="59"/>
  <c r="G17" i="59"/>
  <c r="G18" i="59"/>
  <c r="G19" i="59"/>
  <c r="G20" i="59"/>
  <c r="G21" i="59"/>
  <c r="G22" i="59"/>
  <c r="G23" i="59"/>
  <c r="G24" i="59"/>
  <c r="G25" i="59"/>
  <c r="G26" i="59"/>
  <c r="G27" i="59"/>
  <c r="G28" i="59"/>
  <c r="G29" i="59"/>
  <c r="G30" i="59"/>
  <c r="G14" i="59"/>
  <c r="D16" i="59"/>
  <c r="D17" i="59"/>
  <c r="D18" i="59"/>
  <c r="D19" i="59"/>
  <c r="D20" i="59"/>
  <c r="D21" i="59"/>
  <c r="D22" i="59"/>
  <c r="D23" i="59"/>
  <c r="D24" i="59"/>
  <c r="D25" i="59"/>
  <c r="D26" i="59"/>
  <c r="D27" i="59"/>
  <c r="D28" i="59"/>
  <c r="D29" i="59"/>
  <c r="D30" i="59"/>
  <c r="D15" i="59"/>
  <c r="D14" i="59"/>
  <c r="B31" i="59"/>
  <c r="O30" i="62" l="1"/>
  <c r="N30" i="62" l="1"/>
  <c r="K30" i="62" l="1"/>
  <c r="M30" i="62" l="1"/>
  <c r="G31" i="59" l="1"/>
  <c r="C95" i="59"/>
  <c r="B95" i="59"/>
  <c r="F31" i="59" l="1"/>
  <c r="C31" i="59"/>
  <c r="E16" i="59"/>
  <c r="E17" i="59"/>
  <c r="E18" i="59"/>
  <c r="E19" i="59"/>
  <c r="E20" i="59"/>
  <c r="E21" i="59"/>
  <c r="E22" i="59"/>
  <c r="E23" i="59"/>
  <c r="E24" i="59"/>
  <c r="E25" i="59"/>
  <c r="E26" i="59"/>
  <c r="E27" i="59"/>
  <c r="E28" i="59"/>
  <c r="E29" i="59"/>
  <c r="E30" i="59"/>
  <c r="E15" i="59"/>
  <c r="H30" i="59" l="1"/>
  <c r="J30" i="59" s="1"/>
  <c r="H29" i="59"/>
  <c r="J29" i="59" s="1"/>
  <c r="H28" i="59"/>
  <c r="J28" i="59" s="1"/>
  <c r="H27" i="59"/>
  <c r="H26" i="59"/>
  <c r="J26" i="59" s="1"/>
  <c r="H25" i="59"/>
  <c r="H24" i="59"/>
  <c r="J24" i="59" s="1"/>
  <c r="H23" i="59"/>
  <c r="H22" i="59"/>
  <c r="J22" i="59" s="1"/>
  <c r="H21" i="59"/>
  <c r="J21" i="59" s="1"/>
  <c r="H20" i="59"/>
  <c r="J20" i="59" s="1"/>
  <c r="H19" i="59"/>
  <c r="H18" i="59"/>
  <c r="H17" i="59"/>
  <c r="J17" i="59" s="1"/>
  <c r="H16" i="59"/>
  <c r="J16" i="59" s="1"/>
  <c r="H15" i="59"/>
  <c r="J15" i="59" s="1"/>
  <c r="I30" i="59"/>
  <c r="E14" i="59"/>
  <c r="D31" i="59"/>
  <c r="I18" i="59" l="1"/>
  <c r="J18" i="59"/>
  <c r="I19" i="59"/>
  <c r="J19" i="59"/>
  <c r="I21" i="59"/>
  <c r="I27" i="59"/>
  <c r="J27" i="59"/>
  <c r="I26" i="59"/>
  <c r="I23" i="59"/>
  <c r="J23" i="59"/>
  <c r="I25" i="59"/>
  <c r="J25" i="59"/>
  <c r="I16" i="59"/>
  <c r="I15" i="59"/>
  <c r="I22" i="59"/>
  <c r="Q30" i="62"/>
  <c r="I20" i="59"/>
  <c r="I17" i="59"/>
  <c r="I24" i="59"/>
  <c r="I28" i="59"/>
  <c r="I29" i="59"/>
  <c r="H14" i="59"/>
  <c r="J14" i="59" s="1"/>
  <c r="E31" i="59"/>
  <c r="J31" i="59" l="1"/>
  <c r="I14" i="59"/>
  <c r="I31" i="59" s="1"/>
  <c r="H31" i="59"/>
  <c r="P30" i="62" l="1"/>
  <c r="B6" i="47" l="1"/>
  <c r="D6" i="47"/>
  <c r="E6" i="47" s="1"/>
  <c r="B7" i="47"/>
  <c r="D7" i="47"/>
  <c r="B8" i="47"/>
  <c r="D8" i="47"/>
  <c r="E8" i="47" s="1"/>
  <c r="B9" i="47"/>
  <c r="D9" i="47"/>
  <c r="E9" i="47" s="1"/>
  <c r="C9" i="47" l="1"/>
  <c r="L9" i="47"/>
  <c r="H9" i="47"/>
  <c r="I9" i="47"/>
  <c r="K9" i="47"/>
  <c r="G9" i="47"/>
  <c r="J9" i="47"/>
  <c r="C8" i="47"/>
  <c r="J8" i="47"/>
  <c r="G8" i="47"/>
  <c r="H8" i="47"/>
  <c r="L8" i="47"/>
  <c r="I8" i="47"/>
  <c r="K8" i="47"/>
  <c r="C7" i="47"/>
  <c r="J7" i="47"/>
  <c r="L7" i="47"/>
  <c r="K7" i="47"/>
  <c r="C6" i="47"/>
  <c r="H6" i="47"/>
  <c r="K6" i="47"/>
  <c r="J6" i="47"/>
  <c r="I6" i="47"/>
  <c r="G6" i="47"/>
  <c r="L6" i="47"/>
  <c r="E7" i="47"/>
  <c r="E15" i="46" s="1"/>
  <c r="E17" i="46"/>
  <c r="E16" i="46"/>
  <c r="E14" i="46"/>
  <c r="K62" i="48"/>
  <c r="J62" i="48"/>
  <c r="I62" i="48"/>
  <c r="H62" i="48"/>
  <c r="G62" i="48"/>
  <c r="K72" i="48" s="1"/>
  <c r="C10" i="45" s="1"/>
  <c r="F62" i="48"/>
  <c r="E62" i="48"/>
  <c r="K64" i="48" s="1"/>
  <c r="D62" i="48"/>
  <c r="E22" i="45" s="1"/>
  <c r="H26" i="48"/>
  <c r="K70" i="48" s="1"/>
  <c r="O6" i="47" l="1"/>
  <c r="K68" i="48"/>
  <c r="K65" i="48"/>
  <c r="H7" i="47"/>
  <c r="N7" i="47" s="1"/>
  <c r="G7" i="47"/>
  <c r="M7" i="47" s="1"/>
  <c r="I7" i="47"/>
  <c r="O7" i="47" s="1"/>
  <c r="N6" i="47"/>
  <c r="N9" i="47"/>
  <c r="M6" i="47"/>
  <c r="O9" i="47"/>
  <c r="N8" i="47"/>
  <c r="M9" i="47"/>
  <c r="O8" i="47"/>
  <c r="M8" i="47"/>
  <c r="K67" i="48"/>
  <c r="C17" i="45" s="1"/>
  <c r="E23" i="45"/>
  <c r="K69" i="48"/>
  <c r="C15" i="45" s="1"/>
  <c r="K71" i="48"/>
  <c r="C9" i="45" s="1"/>
  <c r="C11" i="45" s="1"/>
  <c r="K66" i="48" l="1"/>
  <c r="C16" i="45"/>
  <c r="D5" i="47"/>
  <c r="B5" i="47"/>
  <c r="L5" i="47" l="1"/>
  <c r="L10" i="47" s="1"/>
  <c r="K5" i="47"/>
  <c r="K10" i="47" s="1"/>
  <c r="J5" i="47"/>
  <c r="J10" i="47" s="1"/>
  <c r="E5" i="47"/>
  <c r="I5" i="47" s="1"/>
  <c r="D10" i="47"/>
  <c r="C5" i="47"/>
  <c r="C10" i="47" s="1"/>
  <c r="B10" i="47"/>
  <c r="E20" i="45" l="1"/>
  <c r="E27" i="45"/>
  <c r="H5" i="47"/>
  <c r="N5" i="47" s="1"/>
  <c r="N10" i="47" s="1"/>
  <c r="D16" i="45" s="1"/>
  <c r="G5" i="47"/>
  <c r="M5" i="47" s="1"/>
  <c r="M10" i="47" s="1"/>
  <c r="D15" i="45" s="1"/>
  <c r="O5" i="47"/>
  <c r="O10" i="47" s="1"/>
  <c r="D17" i="45" s="1"/>
  <c r="I10" i="47"/>
  <c r="E13" i="46"/>
  <c r="E10" i="47"/>
  <c r="G10" i="47" l="1"/>
  <c r="H10" i="47"/>
  <c r="B129" i="23"/>
  <c r="B134" i="23"/>
  <c r="B133" i="23"/>
  <c r="B132" i="23"/>
  <c r="B131" i="23"/>
  <c r="B130" i="23"/>
  <c r="B128" i="23"/>
  <c r="B127" i="23"/>
  <c r="B126" i="23"/>
  <c r="B125" i="23"/>
  <c r="C14" i="35" l="1"/>
  <c r="B19" i="15" s="1"/>
  <c r="C13" i="35"/>
  <c r="C12" i="35"/>
  <c r="B17" i="15" s="1"/>
  <c r="C11" i="35"/>
  <c r="B16" i="15" s="1"/>
  <c r="B18" i="15" l="1"/>
  <c r="E15" i="39" l="1"/>
  <c r="D18" i="39"/>
  <c r="D17" i="39"/>
  <c r="D16" i="39"/>
  <c r="D15" i="39"/>
  <c r="C18" i="39"/>
  <c r="C17" i="39"/>
  <c r="C16" i="39"/>
  <c r="C15" i="39"/>
  <c r="B18" i="39"/>
  <c r="B17" i="39"/>
  <c r="B16" i="39"/>
  <c r="B15" i="39"/>
  <c r="G23" i="39"/>
  <c r="F23" i="39"/>
  <c r="E23" i="39"/>
  <c r="D23" i="39"/>
  <c r="B60" i="23" l="1"/>
  <c r="B59" i="23"/>
  <c r="F28" i="39" l="1"/>
  <c r="E28" i="39"/>
  <c r="D28" i="39"/>
  <c r="F9" i="39"/>
  <c r="E9" i="39"/>
  <c r="D9" i="39"/>
  <c r="C9" i="39"/>
  <c r="C30" i="35" l="1"/>
  <c r="C24" i="35"/>
  <c r="C10" i="35" l="1"/>
  <c r="B15" i="15" s="1"/>
  <c r="C9" i="35"/>
  <c r="B14" i="15" s="1"/>
  <c r="C35" i="35"/>
  <c r="C36" i="35"/>
  <c r="F8" i="47" l="1"/>
  <c r="F9" i="47"/>
  <c r="F6" i="47"/>
  <c r="F7" i="47"/>
  <c r="F5" i="47"/>
  <c r="F13" i="46" s="1"/>
  <c r="F15" i="46" l="1"/>
  <c r="F14" i="46"/>
  <c r="F17" i="46"/>
  <c r="F16" i="46"/>
  <c r="F10" i="47"/>
  <c r="F18" i="46" l="1"/>
  <c r="C20" i="70" s="1"/>
  <c r="C21" i="70" l="1"/>
  <c r="C22" i="70"/>
  <c r="C18" i="70"/>
  <c r="C19" i="70"/>
  <c r="E21" i="45"/>
  <c r="E15" i="45" l="1"/>
  <c r="E17" i="45"/>
  <c r="E16" i="45"/>
</calcChain>
</file>

<file path=xl/sharedStrings.xml><?xml version="1.0" encoding="utf-8"?>
<sst xmlns="http://schemas.openxmlformats.org/spreadsheetml/2006/main" count="1094" uniqueCount="789">
  <si>
    <t>California Air Resources Board</t>
  </si>
  <si>
    <t>Benefits Calculator Tool</t>
  </si>
  <si>
    <t>Organics Grant Program</t>
  </si>
  <si>
    <t xml:space="preserve">California Climate Investments </t>
  </si>
  <si>
    <t>GGRFProgram@arb.ca.gov</t>
  </si>
  <si>
    <t>www.arb.ca.gov/cci-resources</t>
  </si>
  <si>
    <t>ABOUT:</t>
  </si>
  <si>
    <t>www.arb.ca.gov/cci-cobenefits</t>
  </si>
  <si>
    <t>More information:</t>
  </si>
  <si>
    <t>· Questions on this Benefits Calculator Tool should be sent to:</t>
  </si>
  <si>
    <t>Key for color-coded fields:</t>
  </si>
  <si>
    <t>Green</t>
  </si>
  <si>
    <t>Required input</t>
  </si>
  <si>
    <t>Blue</t>
  </si>
  <si>
    <t>Optional input*</t>
  </si>
  <si>
    <t xml:space="preserve">· For more information on California Climate Investments, see: </t>
  </si>
  <si>
    <t>Grey</t>
  </si>
  <si>
    <t>Output field (not modifiable)</t>
  </si>
  <si>
    <t>www.caclimateinvestments.ca.gov</t>
  </si>
  <si>
    <t>Yellow</t>
  </si>
  <si>
    <t>Helpful hints</t>
  </si>
  <si>
    <t>*See "Documentation" tab for additional information</t>
  </si>
  <si>
    <t>California Climate Investments</t>
  </si>
  <si>
    <t>Note to applicants:</t>
  </si>
  <si>
    <t>Project Name:</t>
  </si>
  <si>
    <t>Applicant ID:</t>
  </si>
  <si>
    <t>Contact Name:</t>
  </si>
  <si>
    <t>Contact Phone Number:</t>
  </si>
  <si>
    <t>Contact Email:</t>
  </si>
  <si>
    <t>Date Calculator Completed:</t>
  </si>
  <si>
    <t>Total Funds ($):</t>
  </si>
  <si>
    <t>Compost</t>
  </si>
  <si>
    <t>Green/Food Waste Composted (tons)</t>
  </si>
  <si>
    <t>Enter the amount of green waste and/or food waste used as the compost feedstock.</t>
  </si>
  <si>
    <t>Compost Production _x000D_
(cubic yards)</t>
  </si>
  <si>
    <t>Composition of Feedstock</t>
  </si>
  <si>
    <t>Tree Planting</t>
  </si>
  <si>
    <t>If Project Involves Additional Irrigation, Estimated Annual Baseline On-site Water Use (gal/yr)</t>
  </si>
  <si>
    <t xml:space="preserve">If a tree planting project will involve additional irrigation, enter the estimated annual water use without the project, estimated using Department of Water Resources (DWR) Water Budget Calculator for New and Rehabilitated Residential/Non-Residential Landscapes and Water Use Classification of Landscape Species (WUCOLS) IV online database.  For more information and examples for using the water tools, see the Water Savings Assessment Methodology at:  www.arb.ca.gov/cci-cobenefits.  If cells are not applicable, leave blank.  </t>
  </si>
  <si>
    <t>If Project Involves Additional Irrigation, Estimated Annual On-Site Water Use After Planting (gal/yr)</t>
  </si>
  <si>
    <t xml:space="preserve">If a tree planting project will involve additional irrigation, enter the estimated annual water use with the project, estimated using Department of Water Resources (DWR) Water Budget Calculator for New and Rehabilitated Residential/Non-Residential Landscapes and Water Use Classification of Landscape Species (WUCOLS) IV online database.  For more information and examples for using the water tools, see the Water Savings Assessment Methodology at:  www.arb.ca.gov/cci-cobenefits.  If cells are not applicable, leave blank.  </t>
  </si>
  <si>
    <t>Group Identifier</t>
  </si>
  <si>
    <t>Enter the group identifier as shown in i-Tree Planting. If cells are not applicable, leave blank.</t>
  </si>
  <si>
    <t>Tree Group Characteristics</t>
  </si>
  <si>
    <t xml:space="preserve">Enter the tree group characteristics for the group identifier as described in i-Tree Planting.  If cells are not applicable, leave blank.  </t>
  </si>
  <si>
    <t>Quantity of Trees to be Planted within this Tree Group</t>
  </si>
  <si>
    <t xml:space="preserve">Enter the quantity of trees to be planted within this group identifier.  If cells are not applicable, leave blank.  </t>
  </si>
  <si>
    <t>Carbon Stored in Tree Group Over the 40 Year Quantification Period (lb CO2e)</t>
  </si>
  <si>
    <t xml:space="preserve">Enter the carbon stored from the group of trees over the 40 year quantification period (from the i-Tree Planting).  If cells are not applicable, leave blank.  </t>
  </si>
  <si>
    <t>Electricity Savings From Tree Group Over the 40 Year Quantification Period (kWh)</t>
  </si>
  <si>
    <t xml:space="preserve">Enter the electricity use reductions from energy savings from the group of trees over the 40 year quantification period (from i-Tree Planting).  If cells are not applicable, leave blank.  </t>
  </si>
  <si>
    <t>Natural Gas Savings From Tree Group Over the 40 Year Quantification Period (MMBtu)</t>
  </si>
  <si>
    <t xml:space="preserve">Enter the natural gas use reductions from energy savings from the group of trees over the 40 year quantification period (from i-Tree Planting).  If cells are not applicable, leave blank.  </t>
  </si>
  <si>
    <t>NO2 Removed Over the 40 Year Quantification Period (lb)</t>
  </si>
  <si>
    <t>PM2.5 Removed Over the 40 Year Quantification Period (lb)</t>
  </si>
  <si>
    <t>Rainfall Interception Over the 40 Year Quantification Period (gal)</t>
  </si>
  <si>
    <t xml:space="preserve">Enter the rainfall interception from the group of trees over the 40 year quantification period (from i-Tree Planting).  If cells are not applicable, leave blank.  </t>
  </si>
  <si>
    <t>Avoided Runoff Over the 40 Year Quantification Period (gal)</t>
  </si>
  <si>
    <t xml:space="preserve">Enter the avoided runoff from the group of trees over the 40 year quantification period (from i-Tree Planting).  If cells are not applicable, leave blank.  </t>
  </si>
  <si>
    <t>Carbon Stored in Population of Trees 40 Years After Project Start (lb CO2e)</t>
  </si>
  <si>
    <t xml:space="preserve">Enter the carbon stored in the population of project trees 40 years after project start (from i-Tree Streets).  If cells are not applicable, leave blank.  </t>
  </si>
  <si>
    <t>Annual Electricity Savings From Population of Trees 40 Years After Project Start (MWh/yr)</t>
  </si>
  <si>
    <t xml:space="preserve">Enter the annual electricity savings from the population of project trees 40 years after project start (from i-Tree Streets).  If cells are not applicable, leave blank.  </t>
  </si>
  <si>
    <t>Annual Natural Gas Savings From Population of Trees 40 Years After Project Start (therms/yr)</t>
  </si>
  <si>
    <t xml:space="preserve">Enter the annual natural gas savings from the population of project trees 40 years after project start (from i-Tree Streets).  If cells are not applicable, leave blank.  </t>
  </si>
  <si>
    <t>Quantity of Trees to be Planted</t>
  </si>
  <si>
    <t xml:space="preserve">Enter the quantity of trees to be planted for the entire project.  If cells are not applicable, leave blank.  </t>
  </si>
  <si>
    <t>Trees Within Population to be Planted to Shade Buildings (%)</t>
  </si>
  <si>
    <t>Enter the percent of the population of trees to be planted that will be strategically placed to shade buildings (i.e., those planted within 60 feet of a building).</t>
  </si>
  <si>
    <t>Annual NO2 Deposition From Population of Trees 40 Years After Project Start (lb/yr)</t>
  </si>
  <si>
    <t>Annual PM10 Deposition From Population of Trees 40 Years After Project Start (lb/yr)</t>
  </si>
  <si>
    <t>Annual Rainfall Interception (gal/yr)</t>
  </si>
  <si>
    <t xml:space="preserve">Enter the annual avoided runoff from the trees 40 years after project start (from i-Tree Streets).  If cells are not applicable, leave blank.  </t>
  </si>
  <si>
    <t>Lawn Management</t>
  </si>
  <si>
    <t>Organic Fertilizer</t>
  </si>
  <si>
    <t>A registered CDFA fertilizer as "organic fertilizer" that is derived entirely from either plant or animal sources containing one or more nutrients.</t>
  </si>
  <si>
    <t>Conventional Fertilizer</t>
  </si>
  <si>
    <t xml:space="preserve">A fertilizer that contains 5 percent or more of nitrogen (N), available phosphoric acid (P2O5), or soluble potash (K2O), singly or collectively, which is distributed in this state for promoting or stimulating plant growth. </t>
  </si>
  <si>
    <t>In-house</t>
  </si>
  <si>
    <t>Contractor</t>
  </si>
  <si>
    <t>Push lawnmower</t>
  </si>
  <si>
    <t>A machine utilizing one or more revolving blades to cut a grass surface to an even height.</t>
  </si>
  <si>
    <t>Riding lawnmower</t>
  </si>
  <si>
    <t>Year
(January-December)</t>
  </si>
  <si>
    <t>Compost Production 
(cubic yards)</t>
  </si>
  <si>
    <t>Composition of Food Waste in Feedstock
(%)</t>
  </si>
  <si>
    <t>Composition of Green Waste in Feedstock
(%)</t>
  </si>
  <si>
    <t>Net GHG Benefit
(MTCO2e)</t>
  </si>
  <si>
    <t>Year 1</t>
  </si>
  <si>
    <t>Year 2</t>
  </si>
  <si>
    <t>Year 3</t>
  </si>
  <si>
    <t>Year 4</t>
  </si>
  <si>
    <t>Year 5</t>
  </si>
  <si>
    <t>SUBTOTAL</t>
  </si>
  <si>
    <t>,</t>
  </si>
  <si>
    <t>Estimated Change in Water Irrigation from Planting Trees</t>
  </si>
  <si>
    <t>Enter data below after using the UCANR Water Use Classification of Landscape Species (WUCOLS IV) and the DWR Water Budget Workbook for New and Rehabilitated Non-Residential Landscapes (Water Budget Workbook).</t>
  </si>
  <si>
    <t>Irrigation Savings Over 40 Year Quantification Period (gal)</t>
  </si>
  <si>
    <t>Tree Planting Benefits</t>
  </si>
  <si>
    <t>Enter data below after using i-Tree Planting to estimate tree carbon storage, electricity savings, natural gas savings, and co-pollutants removed due to the groups of trees.</t>
  </si>
  <si>
    <r>
      <t>Carbon Stored in Tree Group Over the 40 Year Quantification Period 
(lb CO</t>
    </r>
    <r>
      <rPr>
        <b/>
        <vertAlign val="subscript"/>
        <sz val="12"/>
        <color theme="1"/>
        <rFont val="Avenir LT Std 55 Roman"/>
        <family val="2"/>
      </rPr>
      <t>2</t>
    </r>
    <r>
      <rPr>
        <b/>
        <sz val="12"/>
        <color theme="1"/>
        <rFont val="Avenir LT Std 55 Roman"/>
        <family val="2"/>
      </rPr>
      <t>e)</t>
    </r>
  </si>
  <si>
    <t>Electricity Savings From Tree Group Over the 40 Year Quantification Period 
(kWh)</t>
  </si>
  <si>
    <t>Fuel Savings From Tree Group Over the 40 Year Quantification Period
(MMBtu)</t>
  </si>
  <si>
    <r>
      <t>NO</t>
    </r>
    <r>
      <rPr>
        <b/>
        <vertAlign val="subscript"/>
        <sz val="12"/>
        <color theme="1"/>
        <rFont val="Avenir LT Std 55 Roman"/>
        <family val="2"/>
      </rPr>
      <t>2</t>
    </r>
    <r>
      <rPr>
        <b/>
        <sz val="12"/>
        <color theme="1"/>
        <rFont val="Avenir LT Std 55 Roman"/>
        <family val="2"/>
      </rPr>
      <t xml:space="preserve"> Removed Over the 40 Year Quantification Period
(lb)</t>
    </r>
  </si>
  <si>
    <r>
      <t>PM</t>
    </r>
    <r>
      <rPr>
        <b/>
        <vertAlign val="subscript"/>
        <sz val="12"/>
        <color theme="1"/>
        <rFont val="Avenir LT Std 55 Roman"/>
        <family val="2"/>
      </rPr>
      <t>2.5</t>
    </r>
    <r>
      <rPr>
        <b/>
        <sz val="12"/>
        <color theme="1"/>
        <rFont val="Avenir LT Std 55 Roman"/>
        <family val="2"/>
      </rPr>
      <t xml:space="preserve"> Removed Over the 40 Year Quantification Period
(lb)</t>
    </r>
  </si>
  <si>
    <t>Rainfall Interception Over the 40 Year Quantification Period 
(gal)</t>
  </si>
  <si>
    <t>Avoided Runoff Over the 40 Year Quantification Period 
(gal)</t>
  </si>
  <si>
    <t>SUBTOTAL FOR POPULATION</t>
  </si>
  <si>
    <r>
      <t>GHG Benefit of Carbon Stored in Live Project Trees (MT CO</t>
    </r>
    <r>
      <rPr>
        <b/>
        <vertAlign val="subscript"/>
        <sz val="12"/>
        <color theme="1"/>
        <rFont val="Avenir LT Std 55 Roman"/>
        <family val="2"/>
      </rPr>
      <t>2</t>
    </r>
    <r>
      <rPr>
        <b/>
        <sz val="12"/>
        <rFont val="Avenir LT Std 55 Roman"/>
        <family val="2"/>
      </rPr>
      <t>e)</t>
    </r>
  </si>
  <si>
    <r>
      <t>GHG Benefit from Energy Savings (MT CO</t>
    </r>
    <r>
      <rPr>
        <b/>
        <vertAlign val="subscript"/>
        <sz val="12"/>
        <color theme="1"/>
        <rFont val="Avenir LT Std 55 Roman"/>
        <family val="2"/>
      </rPr>
      <t>2</t>
    </r>
    <r>
      <rPr>
        <b/>
        <sz val="12"/>
        <rFont val="Avenir LT Std 55 Roman"/>
        <family val="2"/>
      </rPr>
      <t>e)</t>
    </r>
  </si>
  <si>
    <r>
      <t>GHG Emissions from Project Implementation (MT CO</t>
    </r>
    <r>
      <rPr>
        <b/>
        <vertAlign val="subscript"/>
        <sz val="12"/>
        <color theme="1"/>
        <rFont val="Avenir LT Std 55 Roman"/>
        <family val="2"/>
      </rPr>
      <t>2</t>
    </r>
    <r>
      <rPr>
        <b/>
        <sz val="12"/>
        <rFont val="Avenir LT Std 55 Roman"/>
        <family val="2"/>
      </rPr>
      <t>e)</t>
    </r>
  </si>
  <si>
    <r>
      <t>PM</t>
    </r>
    <r>
      <rPr>
        <b/>
        <vertAlign val="subscript"/>
        <sz val="12"/>
        <rFont val="Avenir LT Std 55 Roman"/>
        <family val="2"/>
      </rPr>
      <t>2.5</t>
    </r>
    <r>
      <rPr>
        <b/>
        <sz val="12"/>
        <rFont val="Avenir LT Std 55 Roman"/>
        <family val="2"/>
      </rPr>
      <t xml:space="preserve"> Emission Reductions (lb)</t>
    </r>
  </si>
  <si>
    <t>NOx Emission Reductions (lb)</t>
  </si>
  <si>
    <t>ROG Emission Reductions (lb)</t>
  </si>
  <si>
    <r>
      <t>Water Savings from Project Implementation (gal</t>
    </r>
    <r>
      <rPr>
        <b/>
        <sz val="12"/>
        <rFont val="Avenir LT Std 55 Roman"/>
        <family val="2"/>
      </rPr>
      <t>)</t>
    </r>
  </si>
  <si>
    <t>Energy Use Reductions (kWh)</t>
  </si>
  <si>
    <t>Energy Use Reductions (therms)</t>
  </si>
  <si>
    <t>Questions</t>
  </si>
  <si>
    <t>Inputs</t>
  </si>
  <si>
    <t xml:space="preserve">Do you fertilize your lawn ? </t>
  </si>
  <si>
    <t>Yes</t>
  </si>
  <si>
    <t xml:space="preserve">Do you use organic or conventional fertilizer? 
</t>
  </si>
  <si>
    <t xml:space="preserve">Do you regularly mow your lawn with gasoline-powered lawnmower? </t>
  </si>
  <si>
    <t>Equipment</t>
  </si>
  <si>
    <t>Fertilizer</t>
  </si>
  <si>
    <t>Street Address, City</t>
  </si>
  <si>
    <t>GPS Coordinates
(latitude, longitude)</t>
  </si>
  <si>
    <t>County</t>
  </si>
  <si>
    <t xml:space="preserve">Who fertilizes the lawn? </t>
  </si>
  <si>
    <t xml:space="preserve">Who mows the lawn? </t>
  </si>
  <si>
    <t>Type of lawn mower used</t>
  </si>
  <si>
    <t>Age of lawn mower (yr)</t>
  </si>
  <si>
    <t>CO2
(MT)</t>
  </si>
  <si>
    <t xml:space="preserve">NOx
(lb)
</t>
  </si>
  <si>
    <t>SOx_x000D_
(lb)</t>
  </si>
  <si>
    <t>Sacramento</t>
  </si>
  <si>
    <t>ac</t>
  </si>
  <si>
    <t>33+</t>
  </si>
  <si>
    <t>Benefits Calculator Tool for the</t>
  </si>
  <si>
    <t>Trees Planted</t>
  </si>
  <si>
    <t>Maintenance</t>
  </si>
  <si>
    <t>Fertilizer/Mow?</t>
  </si>
  <si>
    <t>Fertilizer type</t>
  </si>
  <si>
    <t>Age of equipment</t>
  </si>
  <si>
    <t>Area</t>
  </si>
  <si>
    <t>1000 sq ft</t>
  </si>
  <si>
    <t>No</t>
  </si>
  <si>
    <t>Organic</t>
  </si>
  <si>
    <t>0 to 10</t>
  </si>
  <si>
    <t>Alameda</t>
  </si>
  <si>
    <t>11 to 21</t>
  </si>
  <si>
    <t>Alpine</t>
  </si>
  <si>
    <t>22 to 32</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</si>
  <si>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</si>
  <si>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</si>
  <si>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</si>
  <si>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</si>
  <si>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</si>
  <si>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</si>
  <si>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</si>
  <si>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</si>
  <si>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</si>
  <si>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</si>
  <si>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</si>
  <si>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</si>
  <si>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</si>
  <si>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</si>
  <si>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</si>
  <si>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</si>
  <si>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</si>
  <si>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</si>
  <si>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</si>
  <si>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</si>
  <si>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</si>
  <si>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</si>
  <si>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</si>
  <si>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</si>
  <si>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</si>
  <si>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</si>
  <si>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</si>
  <si>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</si>
  <si>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</si>
  <si>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</si>
  <si>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</si>
  <si>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</si>
  <si>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</si>
  <si>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</si>
  <si>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</si>
  <si>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</si>
  <si>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</si>
  <si>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</si>
  <si>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</si>
  <si>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</si>
  <si>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</si>
  <si>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</si>
  <si>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</si>
  <si>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</si>
  <si>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</si>
  <si>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</si>
  <si>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</si>
  <si>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</si>
  <si>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</si>
  <si>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</si>
  <si>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</si>
  <si>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</si>
  <si>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</si>
  <si>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</si>
  <si>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</si>
  <si>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 xml:space="preserve"> </t>
  </si>
  <si>
    <t>TABLE 1: ACTIVITY LEVEL</t>
  </si>
  <si>
    <t>Equipment Type</t>
  </si>
  <si>
    <t>Activity level (hr/yr)</t>
  </si>
  <si>
    <t>Starts (starts/yr)</t>
  </si>
  <si>
    <t>Push Lawnmower | In-house</t>
  </si>
  <si>
    <t>Push Lawnmower | Contractor</t>
  </si>
  <si>
    <t>Riding Lawnmower | In-house</t>
  </si>
  <si>
    <t>Riding Lawnmower | Contractor</t>
  </si>
  <si>
    <t>TABLE 2: EXHAUST AND EVAPORATIVE EMISSIONS</t>
  </si>
  <si>
    <t>Exhaust Emissions (g / hr)</t>
  </si>
  <si>
    <t>Evaporative Emissions</t>
  </si>
  <si>
    <t>Years | Lawn mower type</t>
  </si>
  <si>
    <t>HC 
(g/hr)</t>
  </si>
  <si>
    <t>CO 
(g/hr)</t>
  </si>
  <si>
    <t>NOx
(g/hr)</t>
  </si>
  <si>
    <t>CO2
(g/hr)</t>
  </si>
  <si>
    <t>SOx
(g/hr)</t>
  </si>
  <si>
    <t>HS 
(g/start)</t>
  </si>
  <si>
    <t>HC Diurnal Loss (g/day)</t>
  </si>
  <si>
    <t>HC Resting  Loss (g/day)</t>
  </si>
  <si>
    <t>HC Running Loss 
(g/hr)</t>
  </si>
  <si>
    <t>0 to 10 | Push lawnmower</t>
  </si>
  <si>
    <t>0 to 10 | Riding lawnmower</t>
  </si>
  <si>
    <t>11 to 21 | Push lawnmower</t>
  </si>
  <si>
    <t>11 to 21 | Riding lawnmower</t>
  </si>
  <si>
    <t>22 to 32 | Push lawnmower</t>
  </si>
  <si>
    <t>22 to 32 | Riding lawnmower</t>
  </si>
  <si>
    <t>33+ | Push lawnmower</t>
  </si>
  <si>
    <t>33+ | Riding lawnmower</t>
  </si>
  <si>
    <t>Note: bhp already multiplied: push = 5hp, riding= 20hp</t>
  </si>
  <si>
    <t>AVERAGE LOAD FACTOR</t>
  </si>
  <si>
    <t>lawn mower</t>
  </si>
  <si>
    <t>Contractor rate (100%), Me (In-house) (75%)</t>
  </si>
  <si>
    <t xml:space="preserve">Fertilizer Type </t>
  </si>
  <si>
    <t>%N</t>
  </si>
  <si>
    <t>g CO2e/kg product*</t>
  </si>
  <si>
    <t>lb CO2e/lb product</t>
  </si>
  <si>
    <t>lb CO2e/lb N</t>
  </si>
  <si>
    <t>Application Rate (lbs N/1000 sq ft) **</t>
  </si>
  <si>
    <t>Application Rate (lbs N/acre) **</t>
  </si>
  <si>
    <t>g CO2e/ 1000 Sq</t>
  </si>
  <si>
    <t>MTCO2e/ 1000 sq ft</t>
  </si>
  <si>
    <t>MTCO2e/acre</t>
  </si>
  <si>
    <t>Ammonium Nitrate</t>
  </si>
  <si>
    <t>Calcium Ammonium Nitrate</t>
  </si>
  <si>
    <t>Urea</t>
  </si>
  <si>
    <t>Average</t>
  </si>
  <si>
    <t>N2O</t>
  </si>
  <si>
    <t>NOx</t>
  </si>
  <si>
    <t>Average=</t>
  </si>
  <si>
    <t>Project Information</t>
  </si>
  <si>
    <t xml:space="preserve">Project Name </t>
  </si>
  <si>
    <t>Fuel and energy co-benefits</t>
  </si>
  <si>
    <t>kWh</t>
  </si>
  <si>
    <t>Note: Positive values indicate reductions, while negative values indicate increases</t>
  </si>
  <si>
    <t>therms</t>
  </si>
  <si>
    <t>Energy and fuel cost savings (onsite) over Quantification Period</t>
  </si>
  <si>
    <t>dollars</t>
  </si>
  <si>
    <t>Note: Positive values indicate cost savings, while negative values indicate cost increases</t>
  </si>
  <si>
    <t>*diesel gallons equivalent</t>
  </si>
  <si>
    <t>Air pollutant co-benefits</t>
  </si>
  <si>
    <t>local</t>
  </si>
  <si>
    <t>remote</t>
  </si>
  <si>
    <t>total</t>
  </si>
  <si>
    <t>ROG Emission Reductions over Quantification Period</t>
  </si>
  <si>
    <t>lbs</t>
  </si>
  <si>
    <t>NOx Emission Reductions over Quantification Period</t>
  </si>
  <si>
    <t>PM2.5 Emission Reductions over Quantification Period</t>
  </si>
  <si>
    <t>Compost production</t>
  </si>
  <si>
    <t>Dry tons</t>
  </si>
  <si>
    <t xml:space="preserve">Compost application area </t>
  </si>
  <si>
    <t>Acres to be treated with compost soil ammendments</t>
  </si>
  <si>
    <t>Trees</t>
  </si>
  <si>
    <t>Water savings</t>
  </si>
  <si>
    <t>Gallons</t>
  </si>
  <si>
    <t>Waste reduction co-benefits</t>
  </si>
  <si>
    <t xml:space="preserve">Material Diverted from Landfill </t>
  </si>
  <si>
    <t>Tons</t>
  </si>
  <si>
    <t>Emission Reduction Factors Worksheet</t>
  </si>
  <si>
    <t>Additional documentation on how the emission reduction factors used in the calculator were developed is available from:</t>
  </si>
  <si>
    <t>http://www.arb.ca.gov/cci-resources</t>
  </si>
  <si>
    <t>Compost Process &amp; Feedstock</t>
  </si>
  <si>
    <t>Emission Reduction Factor</t>
  </si>
  <si>
    <t>Unit</t>
  </si>
  <si>
    <t>Primary Source</t>
  </si>
  <si>
    <t>Windrow food waste</t>
  </si>
  <si>
    <t xml:space="preserve">Method for Estimating Greenhouse Gas Emission Reductions from Diversion of Organic Waste from Landfills to Compost Facilities
</t>
  </si>
  <si>
    <t>Windrow green waste</t>
  </si>
  <si>
    <t>Aerated static pile food waste</t>
  </si>
  <si>
    <t>Aerated static pile green waste</t>
  </si>
  <si>
    <t>Fugitive landfill emission factor food waste</t>
  </si>
  <si>
    <t>Fugitive landfill emission factor green waste</t>
  </si>
  <si>
    <t>Transportation</t>
  </si>
  <si>
    <t>Emission Factor</t>
  </si>
  <si>
    <t>Source</t>
  </si>
  <si>
    <t>Average Miles per Year for a Delivery Truck</t>
  </si>
  <si>
    <t>Miles/Year</t>
  </si>
  <si>
    <t>US Department of Transportation: Table VM-1 Annual Vehicle Distance Traveled in Miles and Related Data - 2014 by Highway Category and Vehicle Type</t>
  </si>
  <si>
    <t>Diesel Fuel Specific Factors</t>
  </si>
  <si>
    <t xml:space="preserve">Low Carbon Fuel Standard </t>
  </si>
  <si>
    <t>Gasoline Fuel Specific Factors</t>
  </si>
  <si>
    <t>https://www.arb.ca.gov/regact/2015/lcfs2015/lcfsfinalregorder.pdf</t>
  </si>
  <si>
    <t>Electricity Fuel Specific Factors</t>
  </si>
  <si>
    <t>Hydrogen Fuel Specific Factors</t>
  </si>
  <si>
    <t>Gasoline Van GHG Emissions</t>
  </si>
  <si>
    <t>g/mile</t>
  </si>
  <si>
    <t>EMFAC2014 (v1.0.7) Emissions</t>
  </si>
  <si>
    <t>Hybrid Van GHG Emissions</t>
  </si>
  <si>
    <t>Plug-in Hybrid Van GHG Emissions</t>
  </si>
  <si>
    <t>Battery Electric Van GHG Emissions</t>
  </si>
  <si>
    <t>Fuel Cell Electric Van GHG Emissions</t>
  </si>
  <si>
    <t>Diesel Box Truck GHG Emissions</t>
  </si>
  <si>
    <t>https://www.arb.ca.gov/emfac/2014/</t>
  </si>
  <si>
    <t>Hybrid Box Truck GHG Emissions</t>
  </si>
  <si>
    <t>Battery Electric Box Truck GHG Emissions</t>
  </si>
  <si>
    <t>Diesel Heavy Duty Truck</t>
  </si>
  <si>
    <t>Battery Electric Heavy Duty Truck</t>
  </si>
  <si>
    <t>Conversion Factors</t>
  </si>
  <si>
    <t>lbs/MT</t>
  </si>
  <si>
    <t>g to MT</t>
  </si>
  <si>
    <t>kg/MT</t>
  </si>
  <si>
    <t>g to lbs</t>
  </si>
  <si>
    <t>Million BTU to kWh</t>
  </si>
  <si>
    <t>MJ to kWh</t>
  </si>
  <si>
    <t>BTU to gallon of diesel equivalent</t>
  </si>
  <si>
    <t>cubic yards compost to tons</t>
  </si>
  <si>
    <t>tons of compost to ton of feedstock</t>
  </si>
  <si>
    <t>therms/MMBtu</t>
  </si>
  <si>
    <t>MMBtu/therm</t>
  </si>
  <si>
    <t>gal/acre-feet</t>
  </si>
  <si>
    <t>kg/short ton</t>
  </si>
  <si>
    <t>Standard Emission Reduction Factors</t>
  </si>
  <si>
    <t>Annual Mortality Rate
(percent)</t>
  </si>
  <si>
    <t xml:space="preserve">•  i-Tree ECO Guide to Using the Forecast Model http://www.itreetools.org/resources/manuals/Ecov6_ManualsGuides/Ecov6Guide_UsingForecast.pdf 
•  Roman, Lara “How many trees are enough? Tree death and the urban canopy” in Scenario Journal (Spring 2014)  http://www.fs.fed.us/nrs/pubs/jrnl/2014/nrs_2014_roman_001.pdf
•  U.S. Department of Energy Information Administration “Method for Calculating Carbon Sequestration by Trees in Urban and Suburban Settings” (April 1998) http://www3.epa.gov/climatechange/Downloads/method-calculating-carbon-sequestration-trees-urban-and-suburban-settings.pdf
</t>
  </si>
  <si>
    <t>Years After Planting With Greatest Risk of Mortality (years)</t>
  </si>
  <si>
    <t>John Melvin, State Urban Forester (April 19, 2016) personal communication</t>
  </si>
  <si>
    <t>Years of Establishment and Replacement Care (years)</t>
  </si>
  <si>
    <t>The Urban Greening Grant Program requires applicants to maintain and operate the project site for a minimum of 10 years. The maximum input value that can be entered into the calculator is 9 years.  Because the required project maintenance time is longer than the maximum input, 9 years has been used as a default for this calculator.</t>
  </si>
  <si>
    <t>Years Adjusted for Annual Energy Savings Output at Year 40 (years)</t>
  </si>
  <si>
    <t>Greg McPherson, Research Forester, US Forest Service (April 25, 2016) personal communication</t>
  </si>
  <si>
    <t>•  For the purposes of GGRF quantification methodologies, CARB developed a California grid electricity emission factor based on total in-state and imported electricity emissions divided by total consumption.  Emissions data were obtained from the CARB GHG inventory, last updated June 2018, available online at:  https://www.arb.ca.gov/cc/inventory/data/tables/ghg_inventory_sector_sum_2000-16.pdf
•  Consumption data were obtained from the CEC Energy Almanac, last updated May 2018, available online at:  http://www.energy.ca.gov/almanac/electricity_data/electricity_generation.html</t>
  </si>
  <si>
    <t>EPA Emission Factors for Greenhouse Gas Inventories (2018)
https://www.epa.gov/sites/production/files/2018-03/documents/emission-factors_mar_2018_0.pdf</t>
  </si>
  <si>
    <t>ROG Electricity Emission Factor (lbs/kWh)</t>
  </si>
  <si>
    <t>•  Criteria pollutant data is derived from CARB's criteria pollutant emissions inventory for statewide stationary sources of fuel combustion for electric utilities and cogeneration. The latest update is based on 2012 estimated annual average emissions data.  Criteria pollutant emissions data are available online at:  https://www.arb.ca.gov/app/emsinv/2017/emssumcat_query.php?F_YR=2012&amp;F_DIV=-4&amp;F_SEASON=A&amp;SP=SIP105ADJ&amp;F_AREA=CA#0.
•  Consumption data were obtained from the CEC Energy Almanac, last updated May 2018, available online at:  http://www.energy.ca.gov/almanac/electricity_data/electricity_generation.html.</t>
  </si>
  <si>
    <t>ROG Natural Gas Combustion Emission Factor (lbs/MMBtu)</t>
  </si>
  <si>
    <t>US EPA, AP 42, Fifth Edition, Volume I, Chapter 1: External Combustion Sources, 1.4 Natural Gas Combustion  https://www3.epa.gov/ttn/chief/ap42/ch01/final/c01s04.pdf</t>
  </si>
  <si>
    <t>California Air Resources Board Statewide 2012 Estimated Annual Ambient Air Emissions, https://www.arb.ca.gov/app/emsinv/2017/emseic1_query.php?F_DIV=-4&amp;F_YR=2012&amp;F_SEASON=A&amp;SP=SIP105ADJ&amp;F_AREA=CA</t>
  </si>
  <si>
    <t>Emissions from Tree Planting Projects (percent of reduction)</t>
  </si>
  <si>
    <t>United States Department of Agriculture, Forest Service. i-Tree Methods and Files [i-Tree Streets &amp; STRATUM Resources: i Tree Streets Reference City Community Tree Guides]. https://www.itreetools.org/resources/archives.php</t>
  </si>
  <si>
    <t>Avoided Landfill Flare Emissions</t>
  </si>
  <si>
    <t>ROG Flare Combustion Emission Factor - Greenwaste</t>
  </si>
  <si>
    <t>lbs/wet short ton of greenwaste</t>
  </si>
  <si>
    <t xml:space="preserve">California Air Resources Board, Method for Estimating Greenhouse Gas Emission Reductions from Diversion of Organic Waste from Landfills to Compost Facilities (May 2017) </t>
  </si>
  <si>
    <t>NOx Flare Combustion Emission Factor - Greenwaste</t>
  </si>
  <si>
    <t>PM2.5 Flare Combustion Emission Factor - Greenwaste</t>
  </si>
  <si>
    <t>ROG Flare Combustion Emission Factor - Foodwaste</t>
  </si>
  <si>
    <t>lbs/wet short ton of foodwaste</t>
  </si>
  <si>
    <t xml:space="preserve">
EPA AP-42, Compilation of Air Emission Factors, 2.4, Municipal Solid Waste Landfills</t>
  </si>
  <si>
    <t>NOx Flare Combustion Emission Factor  - Foodwaste</t>
  </si>
  <si>
    <t>PM2.5 Flare Combustion Emission Factor  - Foodwaste</t>
  </si>
  <si>
    <t>Grid Electricity Emission Factors</t>
  </si>
  <si>
    <t>Product</t>
  </si>
  <si>
    <t>ROG Electricity Emission Factor</t>
  </si>
  <si>
    <t>lbs/kWh</t>
  </si>
  <si>
    <t>Criteria pollutant data is derived from CARB's criteria pollutant emissions inventory for statewide stationary sources of fuel combustion for electric utilities and cogeneration. The latest update is based on 2012 estimated annual average emissions. Criteria pollutant emissions data are available online at:</t>
  </si>
  <si>
    <t>NOx Electricity Emission Factor</t>
  </si>
  <si>
    <t>PM2.5 Electricity Emission Factor</t>
  </si>
  <si>
    <t>https://www.arb.ca.gov/app/emsinv/2017/emssumcat_query.php?F_YR=2012&amp;F_DIV=-4&amp;F_SEASON=A&amp;SP=SIP105ADJ&amp;F_AREA=CA#0</t>
  </si>
  <si>
    <t>Natural Gas Combustion Emission Factors</t>
  </si>
  <si>
    <t>ROG Natural Gas Emission Factor</t>
  </si>
  <si>
    <t xml:space="preserve">Natural gas emission factors for criteria pollutants - US EPA - AP-42, col. 1, CH 1.4: Natural Gas Combustion
https://www3.epa.gov/ttnchie1/ap42/ch01/final/c01s04.pdf </t>
  </si>
  <si>
    <t>NOx Natural Gas Emission Factor</t>
  </si>
  <si>
    <t>PM2.5 Natural Gas Emission Factor</t>
  </si>
  <si>
    <t>LHV of Natural Gas</t>
  </si>
  <si>
    <t>BTU/scf</t>
  </si>
  <si>
    <t xml:space="preserve">CA-GREET 3.0 </t>
  </si>
  <si>
    <t>Aggregate Agricultural Sector Emission Factors</t>
  </si>
  <si>
    <t>ROG Emission Factor</t>
  </si>
  <si>
    <t>lbs/gallon</t>
  </si>
  <si>
    <t>OFFROAD2017 (v1.0.1) Emission Inventory
www.arb.ca.gov/orion</t>
  </si>
  <si>
    <t>NOx  Emission Factor</t>
  </si>
  <si>
    <t>PM2.5 Emission Factor</t>
  </si>
  <si>
    <t>Diesel PM Emission Factor</t>
  </si>
  <si>
    <t>Food Waste Prevention - Avoided Food Transportation</t>
  </si>
  <si>
    <t xml:space="preserve">ROG Avoided Transportation Emission Factor </t>
  </si>
  <si>
    <t>lbs/short ton of foodwaste</t>
  </si>
  <si>
    <t>The Climate Change and Economic Impacts of Food Waste in the United States</t>
  </si>
  <si>
    <t>NOx Avoided Transportation Emission Factor</t>
  </si>
  <si>
    <t xml:space="preserve">PM2.5 Avoided Transportation Emission Factor </t>
  </si>
  <si>
    <t xml:space="preserve">Diesel PM Avoided Transportation Emission Factor </t>
  </si>
  <si>
    <t>Composting Emission Factors</t>
  </si>
  <si>
    <t>Windrow</t>
  </si>
  <si>
    <t>ROG Windrow Emission Factor - Greenwaste</t>
  </si>
  <si>
    <t>lb/wet short ton of feedstock</t>
  </si>
  <si>
    <t>ARB Emissions Inventory Methodology for Composting Factilities</t>
  </si>
  <si>
    <t>ROG Windrow Emission Factor - Foodwaste</t>
  </si>
  <si>
    <t xml:space="preserve">NOx Windrow Emission Factor </t>
  </si>
  <si>
    <t xml:space="preserve">PM2.5 Windrow Emission Factor </t>
  </si>
  <si>
    <t>AP-42 - 13.2.4 Aggregate Handling And Storage Piles</t>
  </si>
  <si>
    <t>Aerated Static Pile</t>
  </si>
  <si>
    <t>ASP Control Factor</t>
  </si>
  <si>
    <t>%</t>
  </si>
  <si>
    <t>ROG ASP Emission Factor - Greenwaste</t>
  </si>
  <si>
    <t>ROG ASP Emission Factor - Foodwaste</t>
  </si>
  <si>
    <t>NOx ASP Emission Factor</t>
  </si>
  <si>
    <t>PM2.5 ASP Emission Factor</t>
  </si>
  <si>
    <t>Compost Application Co-benefits</t>
  </si>
  <si>
    <t>Amount of compost to agricultural sources</t>
  </si>
  <si>
    <t xml:space="preserve">Co-benefit Assessment Methodology for Soil Health and Conservation 
https://www.arb.ca.gov/cc/capandtrade/auctionproceeds/final_soil_am.pdf </t>
  </si>
  <si>
    <t>Conversion of wet tons of compost to dry tons of compost for compost with C:N&gt;11</t>
  </si>
  <si>
    <t>ton wet compost/ton dry compost</t>
  </si>
  <si>
    <t>Compost Application Rate to Farm Land</t>
  </si>
  <si>
    <t>dry tons/acre-year</t>
  </si>
  <si>
    <t>Conversion of wet tons of waste to wet tons of compost</t>
  </si>
  <si>
    <t>wet tons waste/wet tons compost</t>
  </si>
  <si>
    <t>Quantification Period</t>
  </si>
  <si>
    <t>years</t>
  </si>
  <si>
    <t>Gasoline Van ROG Emissions</t>
  </si>
  <si>
    <t>Gasoline Van NOx Emissions</t>
  </si>
  <si>
    <t>Gasoline Van PM2.5 Emissions</t>
  </si>
  <si>
    <t>Hybrid Van ROG Emissions</t>
  </si>
  <si>
    <t>Hybrid Van NOx Emissions</t>
  </si>
  <si>
    <t>Hybrid Van PM2.5 Emissions</t>
  </si>
  <si>
    <t>Plug-in Hybrid Van ROG Emissions</t>
  </si>
  <si>
    <t>Plug-in Hybrid Van NOx Emissions</t>
  </si>
  <si>
    <t>Plug-in Hybrid Van PM2.5 Emissions</t>
  </si>
  <si>
    <t>Battery Electric Van ROG Emissions</t>
  </si>
  <si>
    <t>Battery Electric Van NOx Emissions</t>
  </si>
  <si>
    <t>Battery Electric Van PM2.5 Emissions</t>
  </si>
  <si>
    <t>Fuel Cell Electric Van ROG Emissions</t>
  </si>
  <si>
    <t>Fuel Cell Electric Van NOx Emissions</t>
  </si>
  <si>
    <t>Fuel Cell Electric Van PM2.5 Emissions</t>
  </si>
  <si>
    <t>Diesel Box Truck ROG Emissions</t>
  </si>
  <si>
    <t>Diesel Box Truck NOx Emissions</t>
  </si>
  <si>
    <t>Diesel Box Truck PM2.5 Emissions</t>
  </si>
  <si>
    <t>Diesel Box Truck PM Emissions</t>
  </si>
  <si>
    <t>Hybrid Box Truck ROG Emissions</t>
  </si>
  <si>
    <t>Hybrid Box Truck NOx Emissions</t>
  </si>
  <si>
    <t>Hybrid Box Truck PM2.5 Emissions</t>
  </si>
  <si>
    <t>Hybrid Box Truck Diesel PM Emissions</t>
  </si>
  <si>
    <t>Battery Electric Box Truck ROG Emissions</t>
  </si>
  <si>
    <t>Battery Electric Box Truck NOx Emissions</t>
  </si>
  <si>
    <t>Battery Electric Box Truck PM2.5 Emissions</t>
  </si>
  <si>
    <t>Battery Electric Box Truck Diesel PM Emissions</t>
  </si>
  <si>
    <t>Diesel/RNG/DME Heavy Duty Truck ROG Emissions</t>
  </si>
  <si>
    <t>Diesel/RNG/DME Heavy Duty Truck NOx Emissions</t>
  </si>
  <si>
    <t>Diesel/RNG/DME Heavy Duty Truck Low NOx Emissions</t>
  </si>
  <si>
    <t>Diesel/RNG/DME Heavy Duty Truck PM2.5 Emissions</t>
  </si>
  <si>
    <t>Diesel Heavy Duty Truck Diesel PM Emissions</t>
  </si>
  <si>
    <t>Battery Electric Heavy Duty Truck ROG Emissions</t>
  </si>
  <si>
    <t>Battery Electric Heavy Duty Truck NOx Emissions</t>
  </si>
  <si>
    <t>Battery Electric Heavy Duty Truck PM2.5 Emissions</t>
  </si>
  <si>
    <t>Battery Electric Heavy Duty Truck Diesel PM Emissions</t>
  </si>
  <si>
    <t>Energy and Fuel Cost Savings Co-benefits</t>
  </si>
  <si>
    <t>Diesel Average Fuel Price</t>
  </si>
  <si>
    <t>$/gallon</t>
  </si>
  <si>
    <t>Co-benefit Assessment Methodology for Energy and Fuel Cost Savings
https://www.arb.ca.gov/cc/capandtrade/auctionproceeds/final_energyfuelcost_am.pdf</t>
  </si>
  <si>
    <t>Gasoline Average Fuel Price</t>
  </si>
  <si>
    <t>Natural Gas</t>
  </si>
  <si>
    <t>$/therm (Industrial)</t>
  </si>
  <si>
    <t>Electricity Average Price</t>
  </si>
  <si>
    <t>$/kWh (Industrial)</t>
  </si>
  <si>
    <t>Fuel Conversion Factors</t>
  </si>
  <si>
    <t>Hydrogen</t>
  </si>
  <si>
    <t>CA-GREET 2.0 Factors</t>
  </si>
  <si>
    <t>DME</t>
  </si>
  <si>
    <t>California Dimethyl Ether Multimedia Evaluation - Tier 1</t>
  </si>
  <si>
    <t>Transportation Costs</t>
  </si>
  <si>
    <t>Fuel Type</t>
  </si>
  <si>
    <t>Fuel Cost</t>
  </si>
  <si>
    <t>Gasoline</t>
  </si>
  <si>
    <t>CARB's Co-benefit Assessment Methodology for Energy and Fuel Cost Savings
https://www.arb.ca.gov/cc/capandtrade/auctionproceeds/final_energyfuelcost_am.pdf</t>
  </si>
  <si>
    <t>Diesel</t>
  </si>
  <si>
    <t>$/kg</t>
  </si>
  <si>
    <t>Electricity</t>
  </si>
  <si>
    <t>$/kWh</t>
  </si>
  <si>
    <t>Gasoline Van Fuel Costs</t>
  </si>
  <si>
    <t>$/Year</t>
  </si>
  <si>
    <t>Hybrid Van Fuel Costs</t>
  </si>
  <si>
    <t>Plug-in Hybrid Van Fuel Costs</t>
  </si>
  <si>
    <t>Battery Electric Van Fuel Costs</t>
  </si>
  <si>
    <t>Fuel Cell Electric Van Fuel Costs</t>
  </si>
  <si>
    <t>Diesel Box Truck Fuel Costs</t>
  </si>
  <si>
    <t>Hybrid Box Truck Fuel Costs</t>
  </si>
  <si>
    <t>Battery Electric Box Truck Fuel Costs</t>
  </si>
  <si>
    <t>Diesel Heavy Duty Truck Fuel Costs</t>
  </si>
  <si>
    <t>Battery Electric Heavy Duty Truck Fuel Costs</t>
  </si>
  <si>
    <t>Emission Reduction Factors for Organics Projects - Composting</t>
  </si>
  <si>
    <t xml:space="preserve">Primary Source: </t>
  </si>
  <si>
    <t>California Air Resources Board, Method for Estimating Greenhouse Gas Emission Reductions from Composting of Commercial Organic Waste (2017) (CERF)</t>
  </si>
  <si>
    <t>http://www.arb.ca.gov/cc/waste/cerffinal.pdf</t>
  </si>
  <si>
    <t>Additional sources used as appropriate and noted below</t>
  </si>
  <si>
    <t>Material and Compost Method</t>
  </si>
  <si>
    <r>
      <t>Emission Reduction Factor
(MTCO</t>
    </r>
    <r>
      <rPr>
        <vertAlign val="subscript"/>
        <sz val="11"/>
        <color theme="1"/>
        <rFont val="Calibri"/>
        <family val="2"/>
        <scheme val="minor"/>
      </rPr>
      <t>2</t>
    </r>
    <r>
      <rPr>
        <sz val="11"/>
        <color theme="1"/>
        <rFont val="Calibri"/>
        <family val="2"/>
        <scheme val="minor"/>
      </rPr>
      <t>e/short ton)</t>
    </r>
  </si>
  <si>
    <r>
      <t>Aerated static pile food waste</t>
    </r>
    <r>
      <rPr>
        <vertAlign val="superscript"/>
        <sz val="11"/>
        <color theme="1"/>
        <rFont val="Calibri"/>
        <family val="2"/>
        <scheme val="minor"/>
      </rPr>
      <t>1</t>
    </r>
  </si>
  <si>
    <r>
      <t>Aerated static pile green waste</t>
    </r>
    <r>
      <rPr>
        <vertAlign val="superscript"/>
        <sz val="11"/>
        <color theme="1"/>
        <rFont val="Calibri"/>
        <family val="2"/>
        <scheme val="minor"/>
      </rPr>
      <t>1</t>
    </r>
  </si>
  <si>
    <t>Table 14. Summary of compost emission reduction factor (CERF)</t>
  </si>
  <si>
    <t>Emissions</t>
  </si>
  <si>
    <t>Emission Type</t>
  </si>
  <si>
    <r>
      <t>Emission 
(MTCO</t>
    </r>
    <r>
      <rPr>
        <vertAlign val="subscript"/>
        <sz val="11"/>
        <color theme="1"/>
        <rFont val="Calibri"/>
        <family val="2"/>
        <scheme val="minor"/>
      </rPr>
      <t>2</t>
    </r>
    <r>
      <rPr>
        <sz val="11"/>
        <color theme="1"/>
        <rFont val="Calibri"/>
        <family val="2"/>
        <scheme val="minor"/>
      </rPr>
      <t>e/ton of feedstock)</t>
    </r>
  </si>
  <si>
    <t>Transportation emissions</t>
  </si>
  <si>
    <t>Process emissions</t>
  </si>
  <si>
    <t>Fugitive CH4 emissions</t>
  </si>
  <si>
    <t>Fugitive N2O emissions</t>
  </si>
  <si>
    <t>Total</t>
  </si>
  <si>
    <t>Emission Reductions</t>
  </si>
  <si>
    <t>Emission reduction type</t>
  </si>
  <si>
    <r>
      <t>Emission reduction 
(MTCO</t>
    </r>
    <r>
      <rPr>
        <vertAlign val="subscript"/>
        <sz val="11"/>
        <color theme="1"/>
        <rFont val="Calibri"/>
        <family val="2"/>
        <scheme val="minor"/>
      </rPr>
      <t>2</t>
    </r>
    <r>
      <rPr>
        <sz val="11"/>
        <color theme="1"/>
        <rFont val="Calibri"/>
        <family val="2"/>
        <scheme val="minor"/>
      </rPr>
      <t>e/ton of feedstock)</t>
    </r>
  </si>
  <si>
    <r>
      <t>Decreased soil erosion</t>
    </r>
    <r>
      <rPr>
        <vertAlign val="superscript"/>
        <sz val="11"/>
        <color theme="1"/>
        <rFont val="Calibri"/>
        <family val="2"/>
        <scheme val="minor"/>
      </rPr>
      <t>2</t>
    </r>
  </si>
  <si>
    <r>
      <t>Decreased fertilizer use</t>
    </r>
    <r>
      <rPr>
        <vertAlign val="superscript"/>
        <sz val="11"/>
        <color theme="1"/>
        <rFont val="Calibri"/>
        <family val="2"/>
        <scheme val="minor"/>
      </rPr>
      <t>2</t>
    </r>
  </si>
  <si>
    <r>
      <t>Decreased herbicide use</t>
    </r>
    <r>
      <rPr>
        <vertAlign val="superscript"/>
        <sz val="11"/>
        <color theme="1"/>
        <rFont val="Calibri"/>
        <family val="2"/>
        <scheme val="minor"/>
      </rPr>
      <t>2</t>
    </r>
  </si>
  <si>
    <t>Avoided landfill methane</t>
  </si>
  <si>
    <t>Food Waste</t>
  </si>
  <si>
    <t>Yard Trimmings</t>
  </si>
  <si>
    <t>Overall</t>
  </si>
  <si>
    <t>Feedstock Type</t>
  </si>
  <si>
    <t>Table excerpted from California Air Resources Board, Method for Estimating Greenhouse Gas Emission Reductions from Composting of Commercial Organic Waste (2017) (CERF)</t>
  </si>
  <si>
    <t>[1] The source material assumes windrow composting.  ASP composting produces less fugitive emissions. Fugitive emissions have been reduced for the ASP emission reduction factor based on the following sources:</t>
  </si>
  <si>
    <t>San Joaquin Valley Air Pollution Control District, Greenwaste Compost Site Emissions Reductions from Solar‐powered Aeration and Biofilter Layer</t>
  </si>
  <si>
    <t>http://www.valleyair.org/Grant_Programs/TAP/documents/C-15636-ACP/C-15636_ACP_FinalReport.pdf</t>
  </si>
  <si>
    <t>Climate Action Reserve Organic Waste Digestion Project Protocol Version 2.1 (2014)</t>
  </si>
  <si>
    <t>http://www.climateactionreserve.org/wp-content/uploads/2009/10/Organic_Waste_Digestion_Project_Protocol_Version2.1.pdf</t>
  </si>
  <si>
    <t>[2] Emission reductions resulting from the application of compost are outside of the GHG accounting boundary for this program and are excluded from the emission reduction factor.</t>
  </si>
  <si>
    <t>Compost Worksheet</t>
  </si>
  <si>
    <t>Net Co-Pollutant Reductions 
(Remote)</t>
  </si>
  <si>
    <t>Composition of Feedstock 
(% Food Waste)</t>
  </si>
  <si>
    <t>Composition of Feedstock
(% Green Waste)</t>
  </si>
  <si>
    <t>Greenwaste ROG 
(lbs)</t>
  </si>
  <si>
    <t>Greenwaste NOx 
(lbs)</t>
  </si>
  <si>
    <t>Greenwaste PM2.5 
(lbs)</t>
  </si>
  <si>
    <t>Foodwaste ROG 
(lbs)</t>
  </si>
  <si>
    <t>Foodwaste NOx 
(lbs)</t>
  </si>
  <si>
    <t>Foodwaste PM2.5 
(lbs)</t>
  </si>
  <si>
    <t>ROG 
(lbs)</t>
  </si>
  <si>
    <t>NOx 
(lbs)</t>
  </si>
  <si>
    <t>PM2.5 
(lbs)</t>
  </si>
  <si>
    <t>PM2.5</t>
  </si>
  <si>
    <t>Avoided Co-pollutants (Remote)</t>
  </si>
  <si>
    <t>Feedstock
(Short tons)</t>
  </si>
  <si>
    <t>Biogas Destruction Emissions</t>
  </si>
  <si>
    <t>ROG</t>
  </si>
  <si>
    <t>NOX</t>
  </si>
  <si>
    <t xml:space="preserve">PM </t>
  </si>
  <si>
    <t>Diesel PM</t>
  </si>
  <si>
    <t>Open Flare</t>
  </si>
  <si>
    <t>lb/MMBtu</t>
  </si>
  <si>
    <t>Enclosed Flare</t>
  </si>
  <si>
    <t>Lean-burn Internal Combustion Engine</t>
  </si>
  <si>
    <t>Rich-burn Internal Combustion Engine</t>
  </si>
  <si>
    <t>CA-GREET 2.0 Factors (Average NOx Factor)</t>
  </si>
  <si>
    <t>Boiler</t>
  </si>
  <si>
    <t>CA-GREET 2.0 Factors (Converted with 1020 HHV)</t>
  </si>
  <si>
    <t>lb/scf</t>
  </si>
  <si>
    <t>Microturbine or large gas turbine</t>
  </si>
  <si>
    <t>Fuel Cell</t>
  </si>
  <si>
    <t>EPA(2016)p26</t>
  </si>
  <si>
    <t>Transportation Emission Factors</t>
  </si>
  <si>
    <t>ROG 
(g/mile)</t>
  </si>
  <si>
    <t>Nox 
(g/mile)</t>
  </si>
  <si>
    <t>PM2.5 (g/mile)</t>
  </si>
  <si>
    <t>Diesel PM (g/mile)</t>
  </si>
  <si>
    <t>Fuel Efficiency (Miles/gallon)</t>
  </si>
  <si>
    <t>CARB EMFAC 2014 HHD</t>
  </si>
  <si>
    <t>CNG/LNG</t>
  </si>
  <si>
    <t>Low NOx CNG/LNG</t>
  </si>
  <si>
    <t>Offroad Equipment Factors</t>
  </si>
  <si>
    <t>Energy content</t>
  </si>
  <si>
    <t>ROG (lbs/gal)</t>
  </si>
  <si>
    <t>Nox (lbs/gal)</t>
  </si>
  <si>
    <t>PM2.5 (lbs/gal)</t>
  </si>
  <si>
    <t>Diesel PM (lbs/gal)</t>
  </si>
  <si>
    <r>
      <t>Diesel</t>
    </r>
    <r>
      <rPr>
        <sz val="11"/>
        <color theme="1"/>
        <rFont val="Calibri"/>
        <family val="2"/>
        <scheme val="minor"/>
      </rPr>
      <t xml:space="preserve"> (Distillate No. 1 or 2, gal.)</t>
    </r>
  </si>
  <si>
    <t>MMBtu/gallon</t>
  </si>
  <si>
    <t>CARB OFFROAD 2017 Ag Sector</t>
  </si>
  <si>
    <t>Gasoline (gallons)</t>
  </si>
  <si>
    <t>Livestock waste PM2.5/PM ratio</t>
  </si>
  <si>
    <t>Boiler Emission Factors</t>
  </si>
  <si>
    <t xml:space="preserve">ROG </t>
  </si>
  <si>
    <t xml:space="preserve">Nox </t>
  </si>
  <si>
    <t xml:space="preserve">Diesel PM </t>
  </si>
  <si>
    <t>Natural Gas (MMBtu)</t>
  </si>
  <si>
    <t>Natural Gas (scf)</t>
  </si>
  <si>
    <t>Fuel Conversion Efficiency</t>
  </si>
  <si>
    <t>RNG</t>
  </si>
  <si>
    <t>Sources Worksheet</t>
  </si>
  <si>
    <t>The calculator utilizes emission factors from the following sources:</t>
  </si>
  <si>
    <t xml:space="preserve">• 10 CFR 431.66 - Energy conservation standards and their effective dates </t>
  </si>
  <si>
    <t>http://www.ecfr.gov/cgi-bin/text-idx?SID=ea9937006535237ca30dfd3e03ebaff2&amp;mc=true&amp;node=se10.3.431_166&amp;rgn=div8</t>
  </si>
  <si>
    <t>• ARB CA-GREET 1.8b versus 2.0 CI Comparison Table (2015)</t>
  </si>
  <si>
    <t>http://www.arb.ca.gov/fuels/lcfs/lcfs_meetings/040115_pathway_ci_comparison.pdf</t>
  </si>
  <si>
    <t>•  ARB's California’s High Global Warming Potential Gases Emission Inventory Emission Inventory Methodology and Technical Support Document (2016)</t>
  </si>
  <si>
    <t>http://www.arb.ca.gov/cc/inventory/slcp/doc/hfc_inventory_tsd_20160411.pdf</t>
  </si>
  <si>
    <t xml:space="preserve">• ARB Draft Method for Estimating Greenhouse Gas Emission Reductions from Composting of Commercial Organic Waste (2016) </t>
  </si>
  <si>
    <t>• ARB Draft Estimating Greenhouse Gas Emission Reductions from Recycling Residential and Commercial Carpets (2016)</t>
  </si>
  <si>
    <t>http://www.arb.ca.gov/cc/waste/carpetrerf.pdf</t>
  </si>
  <si>
    <t>• ARB Low Carbon Fuel Standard (LCFS) Pathway for the Production of Biomethane from High Solids Anaerobic Digestion (HSAD) of Organic (Food and Green) Wastes (2014)</t>
  </si>
  <si>
    <t>http://www.arb.ca.gov/fuels/lcfs/121514hsad.pdf</t>
  </si>
  <si>
    <t xml:space="preserve">• ARB Low Carbon Fuel Standard (LCFS) Pathway for the Production of Biomethane from the Mesophilic Anaerobic Digestion of Wastewater Sludge at Publicly-Owned Treatment Works (POTW) (2014) </t>
  </si>
  <si>
    <t>http://www.arb.ca.gov/fuels/lcfs/121514wastewater.pdf</t>
  </si>
  <si>
    <t>• ARB Method for Estimating Greenhouse Gas Emission Reductions from Recycling (2011)</t>
  </si>
  <si>
    <t>http://www.arb.ca.gov/cc/protocols/localgov/pubs/recycling_method.pdf</t>
  </si>
  <si>
    <t>• ARB Refrigerant Management Program</t>
  </si>
  <si>
    <t>http://www.arb.ca.gov/cc/rmp/rmprefrigerants.htm</t>
  </si>
  <si>
    <t>• ARB Staff Report: Initial Statement of Reasons for Proposed Rulemaking, Proposed Re-Adoption of the Low Carbon Fuel Standard (2014)</t>
  </si>
  <si>
    <t>http://www.arb.ca.gov/regact/2015/lcfs2015/lcfs15isor.pdf</t>
  </si>
  <si>
    <t>• CalRecycle Mattress and Box Spring Case Study (2012)</t>
  </si>
  <si>
    <t>http://www.calrecycle.ca.gov/publications/Documents/1430/20121430.pdf</t>
  </si>
  <si>
    <t>• Climate Action Reserve Organic Waste Digestion Project Protocol Version 2.1 (2014)</t>
  </si>
  <si>
    <t>• The Climate Change and Economic Impacts of Food Waste in the United States (2012)</t>
  </si>
  <si>
    <t>http://www.cleanmetrics.com/pages/ClimateChangeImpactofUSFoodWaste.pdf</t>
  </si>
  <si>
    <t>• EMFAC 2014 Web Database</t>
  </si>
  <si>
    <t>http://www.arb.ca.gov/emfac/2014/</t>
  </si>
  <si>
    <t>• San Joaquin Valley Air Pollution Control District, Greenwaste Compost Site Emissions Reductions from Solar‐powered Aeration and Biofilter Layer (2013)</t>
  </si>
  <si>
    <t>• U.S. EPA Emission Factors for Greenhouse Gas Inventories (2015)</t>
  </si>
  <si>
    <t>https://www.epa.gov/sites/production/files/2015-12/documents/emission-factors_nov_2015.pdf</t>
  </si>
  <si>
    <t>• U.S. EPA Advancing Sustainable Materials Management: Facts and Figures 2013 Assessing Trends in Material Generation, Recycing and Disposal in the United States (June 2015)</t>
  </si>
  <si>
    <t>https://www.epa.gov/sites/production/files/2015-09/documents/2013_advncng_smm_rpt.pdf</t>
  </si>
  <si>
    <t>• US Department of Transportation: Table VM-1 Annual Vehicle Distance Traveled in Miles and Related Data - 2014 by Highway Category and Vehicle Type</t>
  </si>
  <si>
    <t>http://www.fhwa.dot.gov/policyinformation/statistics/2014/vm1.cfm</t>
  </si>
  <si>
    <t>Enter the amount of finish compost produced in cubic yards.</t>
  </si>
  <si>
    <t>Compost Emissions Reduction Factor Final Draft 2017</t>
  </si>
  <si>
    <t>• CERF soil erosion factor</t>
  </si>
  <si>
    <t>https://planting.itreetools.org/</t>
  </si>
  <si>
    <t>https://sunnyvale.ca.gov/civicax/filebank/blobdload.aspx?BlobID=25273</t>
  </si>
  <si>
    <t>https://ucanr.edu/sites/WUCOLS/</t>
  </si>
  <si>
    <t>https://ww2.arb.ca.gov/our-work/programs/mobile-source-emissions-inventory/road-documentation/msei-documentation-road-0</t>
  </si>
  <si>
    <t>• i-Tree Planting tool</t>
  </si>
  <si>
    <t xml:space="preserve">• Water Budget Workbook for New and Rehabilitated Non-Residential Landscapes </t>
  </si>
  <si>
    <t xml:space="preserve">• Water Use Calssification fo Landscape Species (WUCOLS IV) </t>
  </si>
  <si>
    <t xml:space="preserve">• ARB SORE input Files for lawn mower data: </t>
  </si>
  <si>
    <t xml:space="preserve">Fertilizer </t>
  </si>
  <si>
    <t xml:space="preserve">http://ipm.ucanr.edu/QT/lawnfertilizingcard.html </t>
  </si>
  <si>
    <t>A Review of Greenhouse Gas Emission Factors for Fertiliser Production. Sam Wood and Annette Cowie, Research and Development Division, State Forests of New South Wales. Cooperative Research Centre for Greenhouse Accounting For IEA Bioenergy Task 38 June 2004</t>
  </si>
  <si>
    <t xml:space="preserve">Guo, L., Chen J., Liu, S., et al. Assessment of Nitrogen Oxide Emissions from Soils in California. Journal of Geophysical Research - Atmospheres (2020). 
</t>
  </si>
  <si>
    <t>Milesi, C., Running, S.W., Elvidge, C.D. et al. Mapping and Modeling the Biogeochemical Cycling of Turf Grasses in the United States. Environmental Management 36, 426–438 (2005). https://doi.org/10.1007/s00267-004-0316-2</t>
  </si>
  <si>
    <t xml:space="preserve">• Fertilizer Nitrogen content </t>
  </si>
  <si>
    <t xml:space="preserve">• Fertilizer Type Materials Tonnage Report. CDFA. 2019. </t>
  </si>
  <si>
    <t xml:space="preserve">• Application rate for California lawns from UC IPM  </t>
  </si>
  <si>
    <t>• County Emission Factors</t>
  </si>
  <si>
    <t>https://www.cdfa.ca.gov/is/ffldrs/pdfs/2019_Tonnage.pdf</t>
  </si>
  <si>
    <t>SORE Technical Doc</t>
  </si>
  <si>
    <t>SORE Model Inputs "myReg-Equip-Lawn-dafault.csv"</t>
  </si>
  <si>
    <t>Third-party tools:</t>
  </si>
  <si>
    <t>This Benefits Calculator Tool requires data inputs obtained from several third-party tools.  Information for using each of these tools is available in the user guide (see above).</t>
  </si>
  <si>
    <t>Data outputs from the following third-party tools are required to use this Benefits Calculator Tool:</t>
  </si>
  <si>
    <t xml:space="preserve">Available at: </t>
  </si>
  <si>
    <t>Step 1: Identify and input basic project information</t>
  </si>
  <si>
    <t>Category</t>
  </si>
  <si>
    <t>Input</t>
  </si>
  <si>
    <t>Required?</t>
  </si>
  <si>
    <t>Additional California Climate Investments Funds ($):</t>
  </si>
  <si>
    <t>Non-California Climate Investments Funds ($):</t>
  </si>
  <si>
    <t>Result</t>
  </si>
  <si>
    <t>Additional California Climate Invesments Funds</t>
  </si>
  <si>
    <t>Non-California Climate Invesments Funds</t>
  </si>
  <si>
    <t>Total Funds</t>
  </si>
  <si>
    <t>GHG Emission Reductions</t>
  </si>
  <si>
    <r>
      <t>Per Additional California Climate Invesments Funds (MTCO</t>
    </r>
    <r>
      <rPr>
        <vertAlign val="subscript"/>
        <sz val="12"/>
        <color theme="1"/>
        <rFont val="Avenir LT Std 55 Roman"/>
        <family val="2"/>
      </rPr>
      <t>2</t>
    </r>
    <r>
      <rPr>
        <sz val="12"/>
        <color theme="1"/>
        <rFont val="Avenir LT Std 55 Roman"/>
        <family val="2"/>
      </rPr>
      <t>e)</t>
    </r>
  </si>
  <si>
    <r>
      <t>Per Total Funds  (MTCO</t>
    </r>
    <r>
      <rPr>
        <vertAlign val="subscript"/>
        <sz val="12"/>
        <color theme="1"/>
        <rFont val="Avenir LT Std 55 Roman"/>
        <family val="2"/>
      </rPr>
      <t>2</t>
    </r>
    <r>
      <rPr>
        <sz val="12"/>
        <color theme="1"/>
        <rFont val="Avenir LT Std 55 Roman"/>
        <family val="2"/>
      </rPr>
      <t>e)</t>
    </r>
  </si>
  <si>
    <r>
      <t>Total GHG Emission Reductions per Total Funds (MTCO</t>
    </r>
    <r>
      <rPr>
        <vertAlign val="subscript"/>
        <sz val="12"/>
        <color theme="1"/>
        <rFont val="Avenir LT Std 55 Roman"/>
        <family val="2"/>
      </rPr>
      <t>2</t>
    </r>
    <r>
      <rPr>
        <sz val="12"/>
        <color theme="1"/>
        <rFont val="Avenir LT Std 55 Roman"/>
        <family val="2"/>
      </rPr>
      <t>e/$)</t>
    </r>
  </si>
  <si>
    <t>Applicants must use this Benefits Calculator Tool to report the estimated GHG benefits and selected co-benefits associated with proposed projects.</t>
  </si>
  <si>
    <t>In addition to application requirements, applicants for California Climate Investments funding are required to document results from the use of this Benefits Calculator Tool.</t>
  </si>
  <si>
    <t xml:space="preserve">This includes supporting materials to verify the accuracy of project-specific inputs and electronic documentation that is complete and sufficient to allow the calculations to be reviewed and replicated.  </t>
  </si>
  <si>
    <t>Paper copies of supporting materials must be available upon request by agency staff.</t>
  </si>
  <si>
    <t>General Documentation</t>
  </si>
  <si>
    <t>The following table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</si>
  <si>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</si>
  <si>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</si>
  <si>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</si>
  <si>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t>Project-Specific Documentation</t>
  </si>
  <si>
    <t xml:space="preserve">Some applicant-provided data may require additional documentation to substantiate the inputs. </t>
  </si>
  <si>
    <t>Additional Documentation</t>
  </si>
  <si>
    <t>Waste Diversion</t>
  </si>
  <si>
    <t xml:space="preserve">• Documentation to support estimates of newly diverted waste and
location(s) of landfills from which waste is diverted (public
documents or private agreements) </t>
  </si>
  <si>
    <t>• List of tree species
• Documentation supporting tree planting site characteristics</t>
  </si>
  <si>
    <t>Climate Positive Landscape</t>
  </si>
  <si>
    <t>i-Tree Planting</t>
  </si>
  <si>
    <t>ROG
(lb)</t>
  </si>
  <si>
    <r>
      <t>To be completed by</t>
    </r>
    <r>
      <rPr>
        <b/>
        <sz val="12"/>
        <color rgb="FFC00000"/>
        <rFont val="Avenir LT Std 55 Roman"/>
        <family val="2"/>
      </rPr>
      <t xml:space="preserve"> Agency </t>
    </r>
    <r>
      <rPr>
        <sz val="12"/>
        <rFont val="Avenir LT Std 55 Roman"/>
        <family val="2"/>
      </rPr>
      <t>staff</t>
    </r>
  </si>
  <si>
    <t>Acronym</t>
  </si>
  <si>
    <t>Term</t>
  </si>
  <si>
    <t>CARB</t>
  </si>
  <si>
    <t>Inputs/Outputs</t>
  </si>
  <si>
    <t>Value</t>
  </si>
  <si>
    <t>CPL</t>
  </si>
  <si>
    <t xml:space="preserve">Enter the NO2 emissions removed from the group of trees over the 40 year quantification period (from i-Tree Planting).  If cells are not applicable, leave blank.  </t>
  </si>
  <si>
    <t xml:space="preserve">Enter the PM2.5 emissions removed from the group of trees over the 40 year quantification period (from i-Tree Planting).  If cells are not applicable, leave blank.  </t>
  </si>
  <si>
    <t xml:space="preserve">Enter the annual NO2 emission deposition from the trees 40 years after project start (from i-Tree Streets).  If cells are not applicable, leave blank.  </t>
  </si>
  <si>
    <t xml:space="preserve">Enter the annual PM10 emission deposition from the trees 40 years after project start (from i-Tree Streets).  If cells are not applicable, leave blank.  </t>
  </si>
  <si>
    <t>Project description, including excerpts or specific references to the location in the main CPL application of the project information necessary to complete the applicable portions of this Benefits Calculator Tool.</t>
  </si>
  <si>
    <t>Populated CPL Benefits Calculator Tool (this file) (in [.xls/.xlsx]) with worksheets applicable to the project populated (ensure that all fields in the GHG Summary and Co-benefits Summary tabs are populated).</t>
  </si>
  <si>
    <t>Quantifiable Project Component</t>
  </si>
  <si>
    <r>
      <t>The expected documentation includes, but is not limited to, that described in the table below, organized by quantifiable project</t>
    </r>
    <r>
      <rPr>
        <b/>
        <sz val="12"/>
        <color rgb="FFC00000"/>
        <rFont val="Avenir LT Std 55 Roman"/>
        <family val="2"/>
      </rPr>
      <t xml:space="preserve"> </t>
    </r>
    <r>
      <rPr>
        <sz val="12"/>
        <rFont val="Avenir LT Std 55 Roman"/>
        <family val="2"/>
      </rPr>
      <t>component</t>
    </r>
    <r>
      <rPr>
        <sz val="12"/>
        <color theme="1"/>
        <rFont val="Avenir LT Std 55 Roman"/>
        <family val="2"/>
      </rPr>
      <t>.</t>
    </r>
  </si>
  <si>
    <r>
      <t>Climate Positive Landscape</t>
    </r>
    <r>
      <rPr>
        <sz val="12"/>
        <color rgb="FFC00000"/>
        <rFont val="Avenir LT Std 55 Roman"/>
        <family val="2"/>
      </rPr>
      <t xml:space="preserve"> </t>
    </r>
    <r>
      <rPr>
        <sz val="12"/>
        <rFont val="Avenir LT Std 55 Roman"/>
        <family val="2"/>
      </rPr>
      <t>applicants must enter the applicable information in the table below before proceeding with the project-specific data on the Inputs tab.</t>
    </r>
  </si>
  <si>
    <r>
      <t>Total CPL</t>
    </r>
    <r>
      <rPr>
        <b/>
        <sz val="12"/>
        <color rgb="FFC00000"/>
        <rFont val="Avenir LT Std 55 Roman"/>
        <family val="2"/>
      </rPr>
      <t xml:space="preserve"> </t>
    </r>
    <r>
      <rPr>
        <sz val="12"/>
        <rFont val="Avenir LT Std 55 Roman"/>
        <family val="2"/>
      </rPr>
      <t>California Climate Investments Funds Requested ($):</t>
    </r>
  </si>
  <si>
    <r>
      <rPr>
        <sz val="12"/>
        <rFont val="Avenir LT Std 55 Roman"/>
        <family val="2"/>
      </rPr>
      <t xml:space="preserve">CPL </t>
    </r>
    <r>
      <rPr>
        <sz val="12"/>
        <color theme="1"/>
        <rFont val="Avenir LT Std 55 Roman"/>
        <family val="2"/>
      </rPr>
      <t>California Climate Invesments Funds</t>
    </r>
  </si>
  <si>
    <r>
      <rPr>
        <sz val="12"/>
        <rFont val="Avenir LT Std 55 Roman"/>
        <family val="2"/>
      </rPr>
      <t>Per CPL</t>
    </r>
    <r>
      <rPr>
        <sz val="12"/>
        <color theme="1"/>
        <rFont val="Avenir LT Std 55 Roman"/>
        <family val="2"/>
      </rPr>
      <t xml:space="preserve"> California Climate Invesments Funds (MTCO</t>
    </r>
    <r>
      <rPr>
        <vertAlign val="subscript"/>
        <sz val="12"/>
        <color theme="1"/>
        <rFont val="Avenir LT Std 55 Roman"/>
        <family val="2"/>
      </rPr>
      <t>2</t>
    </r>
    <r>
      <rPr>
        <sz val="12"/>
        <color theme="1"/>
        <rFont val="Avenir LT Std 55 Roman"/>
        <family val="2"/>
      </rPr>
      <t>e)</t>
    </r>
  </si>
  <si>
    <r>
      <t xml:space="preserve">Total GHG Emission Reductions per </t>
    </r>
    <r>
      <rPr>
        <sz val="12"/>
        <rFont val="Avenir LT Std 55 Roman"/>
        <family val="2"/>
      </rPr>
      <t>CPL</t>
    </r>
    <r>
      <rPr>
        <sz val="12"/>
        <color theme="1"/>
        <rFont val="Avenir LT Std 55 Roman"/>
        <family val="2"/>
      </rPr>
      <t xml:space="preserve">
California Climate Invesments Funds (MTCO</t>
    </r>
    <r>
      <rPr>
        <vertAlign val="subscript"/>
        <sz val="12"/>
        <color theme="1"/>
        <rFont val="Avenir LT Std 55 Roman"/>
        <family val="2"/>
      </rPr>
      <t>2</t>
    </r>
    <r>
      <rPr>
        <sz val="12"/>
        <color theme="1"/>
        <rFont val="Avenir LT Std 55 Roman"/>
        <family val="2"/>
      </rPr>
      <t>e/$)</t>
    </r>
  </si>
  <si>
    <t>A hired third-party businesses involved in lawn and garden care, landscaping, or landscaping-related activities (such as landscape architecture or design).</t>
  </si>
  <si>
    <t xml:space="preserve">Internal lawn maintenance without the assistance from outside an organization. This applies to homeowners, neighborhoods, parks, schools, etc. </t>
  </si>
  <si>
    <t>Guo, L., Chen J., Liu, S., et al. Assessment of Nitrogen Oxide Emissions from Soils in California. Journal of Geophysical Research - Atmospheres (2020). 
which is referenced from
Milesi, C., Running, S.W., Elvidge, C.D. et al. Mapping and Modeling the Biogeochemical Cycling of Turf Grasses in the United States. Environmental Management 36, 426–438 (2005). https://doi.org/10.1007/s00267-004-0316-2</t>
  </si>
  <si>
    <t>Activity Level</t>
  </si>
  <si>
    <t>CO2 EF</t>
  </si>
  <si>
    <t>PM2.5
(lb)</t>
  </si>
  <si>
    <t>PM2.5
(g/hr)</t>
  </si>
  <si>
    <t>Nox EF</t>
  </si>
  <si>
    <t>PM2.5 EF</t>
  </si>
  <si>
    <t>ROG EF</t>
  </si>
  <si>
    <t>ROG Start</t>
  </si>
  <si>
    <t>ROG Diurnal Loss</t>
  </si>
  <si>
    <t>ROG Resting Loss</t>
  </si>
  <si>
    <t>ROG Running Loss</t>
  </si>
  <si>
    <t>Starts</t>
  </si>
  <si>
    <t>Equipment Emission Calculations</t>
  </si>
  <si>
    <t>Fertilizer Emission Calculations</t>
  </si>
  <si>
    <t>Lawn removed (unit)</t>
  </si>
  <si>
    <t xml:space="preserve">Lawn removed </t>
  </si>
  <si>
    <t>Acres</t>
  </si>
  <si>
    <t>Fertilizer Usage Percentage</t>
  </si>
  <si>
    <t>Fertilize?</t>
  </si>
  <si>
    <t>Organic Vs Conventional</t>
  </si>
  <si>
    <t>Conventional</t>
  </si>
  <si>
    <t>N2O Factor</t>
  </si>
  <si>
    <t>NOx Factor</t>
  </si>
  <si>
    <t>Avoided NOx Emissions (lbs)</t>
  </si>
  <si>
    <t>Avoided N2O Emissions (MTCO2e)</t>
  </si>
  <si>
    <t>Total Avoided N2O (MTCO2e)</t>
  </si>
  <si>
    <t>Mower</t>
  </si>
  <si>
    <t>lbs/scf</t>
  </si>
  <si>
    <r>
      <t>MTCO</t>
    </r>
    <r>
      <rPr>
        <vertAlign val="subscript"/>
        <sz val="11"/>
        <color theme="1"/>
        <rFont val="Avenir LT Std 55 Roman"/>
        <family val="2"/>
      </rPr>
      <t>2</t>
    </r>
    <r>
      <rPr>
        <sz val="11"/>
        <color theme="1"/>
        <rFont val="Avenir LT Std 55 Roman"/>
        <family val="2"/>
      </rPr>
      <t>e/short ton feedstock</t>
    </r>
  </si>
  <si>
    <r>
      <t>gCO</t>
    </r>
    <r>
      <rPr>
        <vertAlign val="subscript"/>
        <sz val="11"/>
        <color theme="1"/>
        <rFont val="Avenir LT Std 55 Roman"/>
        <family val="2"/>
      </rPr>
      <t>2</t>
    </r>
    <r>
      <rPr>
        <sz val="11"/>
        <color theme="1"/>
        <rFont val="Avenir LT Std 55 Roman"/>
        <family val="2"/>
      </rPr>
      <t>e/gal</t>
    </r>
  </si>
  <si>
    <r>
      <t>gCO</t>
    </r>
    <r>
      <rPr>
        <vertAlign val="subscript"/>
        <sz val="11"/>
        <color theme="1"/>
        <rFont val="Avenir LT Std 55 Roman"/>
        <family val="2"/>
      </rPr>
      <t>2</t>
    </r>
    <r>
      <rPr>
        <sz val="11"/>
        <color theme="1"/>
        <rFont val="Avenir LT Std 55 Roman"/>
        <family val="2"/>
      </rPr>
      <t>e/kWh</t>
    </r>
  </si>
  <si>
    <r>
      <t>gCO</t>
    </r>
    <r>
      <rPr>
        <vertAlign val="subscript"/>
        <sz val="11"/>
        <color theme="1"/>
        <rFont val="Avenir LT Std 55 Roman"/>
        <family val="2"/>
      </rPr>
      <t>2</t>
    </r>
    <r>
      <rPr>
        <sz val="11"/>
        <color theme="1"/>
        <rFont val="Avenir LT Std 55 Roman"/>
        <family val="2"/>
      </rPr>
      <t>e/kg</t>
    </r>
  </si>
  <si>
    <r>
      <t>m</t>
    </r>
    <r>
      <rPr>
        <vertAlign val="superscript"/>
        <sz val="11"/>
        <color theme="1"/>
        <rFont val="Avenir LT Std 55 Roman"/>
        <family val="2"/>
      </rPr>
      <t>3</t>
    </r>
    <r>
      <rPr>
        <sz val="11"/>
        <color theme="1"/>
        <rFont val="Avenir LT Std 55 Roman"/>
        <family val="2"/>
      </rPr>
      <t xml:space="preserve"> to MMBTU</t>
    </r>
  </si>
  <si>
    <r>
      <t>Emission Factor for Electricity
(MT CO</t>
    </r>
    <r>
      <rPr>
        <vertAlign val="subscript"/>
        <sz val="12"/>
        <rFont val="Avenir LT Std 55 Roman"/>
        <family val="2"/>
      </rPr>
      <t>2</t>
    </r>
    <r>
      <rPr>
        <sz val="12"/>
        <rFont val="Avenir LT Std 55 Roman"/>
        <family val="2"/>
      </rPr>
      <t>e/MWh)</t>
    </r>
  </si>
  <si>
    <r>
      <t>Emission Factor for Electricity
(MT CO</t>
    </r>
    <r>
      <rPr>
        <vertAlign val="subscript"/>
        <sz val="12"/>
        <rFont val="Avenir LT Std 55 Roman"/>
        <family val="2"/>
      </rPr>
      <t>2</t>
    </r>
    <r>
      <rPr>
        <sz val="12"/>
        <rFont val="Avenir LT Std 55 Roman"/>
        <family val="2"/>
      </rPr>
      <t>e/kWh)</t>
    </r>
  </si>
  <si>
    <r>
      <t>Emission Factor for Natural Gas
(MT CO</t>
    </r>
    <r>
      <rPr>
        <vertAlign val="subscript"/>
        <sz val="12"/>
        <rFont val="Avenir LT Std 55 Roman"/>
        <family val="2"/>
      </rPr>
      <t>2</t>
    </r>
    <r>
      <rPr>
        <sz val="12"/>
        <rFont val="Avenir LT Std 55 Roman"/>
        <family val="2"/>
      </rPr>
      <t>e/therm)</t>
    </r>
  </si>
  <si>
    <r>
      <t>NO</t>
    </r>
    <r>
      <rPr>
        <vertAlign val="subscript"/>
        <sz val="12"/>
        <rFont val="Avenir LT Std 55 Roman"/>
        <family val="2"/>
      </rPr>
      <t>x</t>
    </r>
    <r>
      <rPr>
        <sz val="12"/>
        <rFont val="Avenir LT Std 55 Roman"/>
        <family val="2"/>
      </rPr>
      <t xml:space="preserve"> Electricity Emission Factor (lbs/kWh)</t>
    </r>
  </si>
  <si>
    <r>
      <t>PM</t>
    </r>
    <r>
      <rPr>
        <vertAlign val="subscript"/>
        <sz val="12"/>
        <rFont val="Avenir LT Std 55 Roman"/>
        <family val="2"/>
      </rPr>
      <t>2.5</t>
    </r>
    <r>
      <rPr>
        <sz val="12"/>
        <rFont val="Avenir LT Std 55 Roman"/>
        <family val="2"/>
      </rPr>
      <t xml:space="preserve"> Electricity Emission Factor (lbs/kWh)</t>
    </r>
  </si>
  <si>
    <r>
      <t>NO</t>
    </r>
    <r>
      <rPr>
        <vertAlign val="subscript"/>
        <sz val="12"/>
        <rFont val="Avenir LT Std 55 Roman"/>
        <family val="2"/>
      </rPr>
      <t>x</t>
    </r>
    <r>
      <rPr>
        <sz val="12"/>
        <rFont val="Avenir LT Std 55 Roman"/>
        <family val="2"/>
      </rPr>
      <t xml:space="preserve"> Natural Gas Combustion Emission Factor (lbs/MMBtu)</t>
    </r>
  </si>
  <si>
    <r>
      <t>PM</t>
    </r>
    <r>
      <rPr>
        <vertAlign val="subscript"/>
        <sz val="12"/>
        <rFont val="Avenir LT Std 55 Roman"/>
        <family val="2"/>
      </rPr>
      <t>2.5</t>
    </r>
    <r>
      <rPr>
        <sz val="12"/>
        <rFont val="Avenir LT Std 55 Roman"/>
        <family val="2"/>
      </rPr>
      <t xml:space="preserve"> Natural Gas Combustion Emission Factor (lbs/MMBtu)</t>
    </r>
  </si>
  <si>
    <r>
      <t>PM</t>
    </r>
    <r>
      <rPr>
        <vertAlign val="subscript"/>
        <sz val="12"/>
        <rFont val="Avenir LT Std 55 Roman"/>
        <family val="2"/>
      </rPr>
      <t>2.5</t>
    </r>
    <r>
      <rPr>
        <sz val="12"/>
        <rFont val="Avenir LT Std 55 Roman"/>
        <family val="2"/>
      </rPr>
      <t>/PM</t>
    </r>
    <r>
      <rPr>
        <vertAlign val="subscript"/>
        <sz val="12"/>
        <rFont val="Avenir LT Std 55 Roman"/>
        <family val="2"/>
      </rPr>
      <t>10</t>
    </r>
    <r>
      <rPr>
        <sz val="12"/>
        <rFont val="Avenir LT Std 55 Roman"/>
        <family val="2"/>
      </rPr>
      <t xml:space="preserve"> Statewide Emission Inventory Ratio  </t>
    </r>
  </si>
  <si>
    <t>Lawn Equipment</t>
  </si>
  <si>
    <r>
      <t>N</t>
    </r>
    <r>
      <rPr>
        <b/>
        <vertAlign val="subscript"/>
        <sz val="14"/>
        <color rgb="FF000000"/>
        <rFont val="Avenir LT Std 55 Roman"/>
        <family val="2"/>
      </rPr>
      <t>2</t>
    </r>
    <r>
      <rPr>
        <b/>
        <sz val="14"/>
        <color rgb="FF000000"/>
        <rFont val="Avenir LT Std 55 Roman"/>
        <family val="2"/>
      </rPr>
      <t>O 
(MTCO</t>
    </r>
    <r>
      <rPr>
        <b/>
        <vertAlign val="subscript"/>
        <sz val="14"/>
        <color rgb="FF000000"/>
        <rFont val="Avenir LT Std 55 Roman"/>
        <family val="2"/>
      </rPr>
      <t>2</t>
    </r>
    <r>
      <rPr>
        <b/>
        <sz val="14"/>
        <color rgb="FF000000"/>
        <rFont val="Avenir LT Std 55 Roman"/>
        <family val="2"/>
      </rPr>
      <t>e)</t>
    </r>
  </si>
  <si>
    <t xml:space="preserve">Use "Google Map Developers Area Calculator" to estimate the acreage of lawn removed: 
</t>
  </si>
  <si>
    <t>https://www.mapdevelopers.com/area_finder.php</t>
  </si>
  <si>
    <t>https://www.google.com/maps</t>
  </si>
  <si>
    <t>For "Estimated Change in Water Irrigation from Planting Trees," follow the user guide.</t>
  </si>
  <si>
    <t>i-Tree Planting tool</t>
  </si>
  <si>
    <t xml:space="preserve">Water Budget Workbook for New and Rehabilitated Non-Residential Landscapes </t>
  </si>
  <si>
    <t xml:space="preserve">Water Use Calssification fo Landscape Species (WUCOLS IV) </t>
  </si>
  <si>
    <t xml:space="preserve">If you have multiple parcels per addres, enter the GPS coordinates. Visit Google Maps, type in your address, right click on the center of the property, and select "What's here?" </t>
  </si>
  <si>
    <r>
      <rPr>
        <sz val="12"/>
        <rFont val="Avenir LT Std 55 Roman"/>
        <family val="2"/>
      </rPr>
      <t xml:space="preserve">A step-by-step </t>
    </r>
    <r>
      <rPr>
        <b/>
        <sz val="12"/>
        <rFont val="Avenir LT Std 55 Roman"/>
        <family val="2"/>
      </rPr>
      <t xml:space="preserve">user guide, </t>
    </r>
    <r>
      <rPr>
        <sz val="12"/>
        <rFont val="Avenir LT Std 55 Roman"/>
        <family val="2"/>
      </rPr>
      <t xml:space="preserve">including </t>
    </r>
    <r>
      <rPr>
        <b/>
        <sz val="12"/>
        <rFont val="Avenir LT Std 55 Roman"/>
        <family val="2"/>
      </rPr>
      <t>project example</t>
    </r>
    <r>
      <rPr>
        <b/>
        <sz val="12"/>
        <color rgb="FFC00000"/>
        <rFont val="Avenir LT Std 55 Roman"/>
        <family val="2"/>
      </rPr>
      <t>s</t>
    </r>
    <r>
      <rPr>
        <sz val="12"/>
        <color rgb="FFC00000"/>
        <rFont val="Avenir LT Std 55 Roman"/>
        <family val="2"/>
      </rPr>
      <t>,</t>
    </r>
    <r>
      <rPr>
        <sz val="12"/>
        <rFont val="Avenir LT Std 55 Roman"/>
        <family val="2"/>
      </rPr>
      <t xml:space="preserve"> for this Benefits Calculator Tool is available at:</t>
    </r>
  </si>
  <si>
    <t>https://ww2.arb.ca.gov/sites/default/files/classic/cc/capandtrade/auctionproceeds/final_water_am.pdf</t>
  </si>
  <si>
    <r>
      <t xml:space="preserve">A step-by-step </t>
    </r>
    <r>
      <rPr>
        <b/>
        <sz val="12"/>
        <color theme="1"/>
        <rFont val="Avenir LT Std 55 Roman"/>
        <family val="2"/>
      </rPr>
      <t>user guid</t>
    </r>
    <r>
      <rPr>
        <sz val="12"/>
        <color theme="1"/>
        <rFont val="Avenir LT Std 55 Roman"/>
        <family val="2"/>
      </rPr>
      <t xml:space="preserve">e, including </t>
    </r>
    <r>
      <rPr>
        <b/>
        <sz val="12"/>
        <color theme="1"/>
        <rFont val="Avenir LT Std 55 Roman"/>
        <family val="2"/>
      </rPr>
      <t>project examples</t>
    </r>
    <r>
      <rPr>
        <sz val="12"/>
        <color theme="1"/>
        <rFont val="Avenir LT Std 55 Roman"/>
        <family val="2"/>
      </rPr>
      <t>, for this Benefits Calculator Tool is available at:</t>
    </r>
  </si>
  <si>
    <r>
      <t xml:space="preserve">A step-by-step </t>
    </r>
    <r>
      <rPr>
        <b/>
        <sz val="12"/>
        <color theme="1"/>
        <rFont val="Avenir LT Std 55 Roman"/>
        <family val="2"/>
      </rPr>
      <t>user guide</t>
    </r>
    <r>
      <rPr>
        <sz val="12"/>
        <color theme="1"/>
        <rFont val="Avenir LT Std 55 Roman"/>
        <family val="2"/>
      </rPr>
      <t xml:space="preserve">, including </t>
    </r>
    <r>
      <rPr>
        <b/>
        <sz val="12"/>
        <color theme="1"/>
        <rFont val="Avenir LT Std 55 Roman"/>
        <family val="2"/>
      </rPr>
      <t>project examples</t>
    </r>
    <r>
      <rPr>
        <sz val="12"/>
        <color theme="1"/>
        <rFont val="Avenir LT Std 55 Roman"/>
        <family val="2"/>
      </rPr>
      <t>, for this Benefits Calculator Tool is available here:</t>
    </r>
  </si>
  <si>
    <r>
      <t xml:space="preserve">A step-by-step </t>
    </r>
    <r>
      <rPr>
        <b/>
        <sz val="12"/>
        <color theme="1"/>
        <rFont val="Avenir LT Std 55 Roman"/>
        <family val="2"/>
      </rPr>
      <t>user guide</t>
    </r>
    <r>
      <rPr>
        <sz val="12"/>
        <color theme="1"/>
        <rFont val="Avenir LT Std 55 Roman"/>
        <family val="2"/>
      </rPr>
      <t xml:space="preserve">, including </t>
    </r>
    <r>
      <rPr>
        <b/>
        <sz val="12"/>
        <color theme="1"/>
        <rFont val="Avenir LT Std 55 Roman"/>
        <family val="2"/>
      </rPr>
      <t>project examples</t>
    </r>
    <r>
      <rPr>
        <sz val="12"/>
        <color theme="1"/>
        <rFont val="Avenir LT Std 55 Roman"/>
        <family val="2"/>
      </rPr>
      <t>, for this Benefits Calculator Tool is available here</t>
    </r>
  </si>
  <si>
    <t xml:space="preserve">Do you fertilize your lawn? </t>
  </si>
  <si>
    <t>Co-benefits</t>
  </si>
  <si>
    <t>Energy use reductions (onsite reductions) over Quantification Period</t>
  </si>
  <si>
    <r>
      <t>Lawn removed (Acres/1,000 ft</t>
    </r>
    <r>
      <rPr>
        <b/>
        <vertAlign val="superscript"/>
        <sz val="14"/>
        <color theme="1"/>
        <rFont val="Avenir LT Std 55 Roman"/>
        <family val="2"/>
      </rPr>
      <t>2</t>
    </r>
    <r>
      <rPr>
        <b/>
        <sz val="14"/>
        <color theme="1"/>
        <rFont val="Avenir LT Std 55 Roman"/>
        <family val="2"/>
      </rPr>
      <t>)</t>
    </r>
  </si>
  <si>
    <t>Unknown</t>
  </si>
  <si>
    <t>Unknown | Push lawnmower</t>
  </si>
  <si>
    <t>Unknown | Riding lawnmower</t>
  </si>
  <si>
    <t>Note: Unknown model year uses 0 to 10 factors to be the most conservative in estimating benefits.</t>
  </si>
  <si>
    <t>Electric</t>
  </si>
  <si>
    <t xml:space="preserve">Do you regularly mow your lawn with a lawnmower? </t>
  </si>
  <si>
    <t>Gas/Electric</t>
  </si>
  <si>
    <t>Mower Fuel</t>
  </si>
  <si>
    <t>Fuel Type of Lawn Mower</t>
  </si>
  <si>
    <r>
      <t>CO</t>
    </r>
    <r>
      <rPr>
        <b/>
        <vertAlign val="subscript"/>
        <sz val="14"/>
        <color rgb="FF000000"/>
        <rFont val="Avenir LT Std 55 Roman"/>
        <family val="2"/>
      </rPr>
      <t>2</t>
    </r>
    <r>
      <rPr>
        <b/>
        <sz val="14"/>
        <color rgb="FF000000"/>
        <rFont val="Avenir LT Std 55 Roman"/>
        <family val="2"/>
      </rPr>
      <t xml:space="preserve">
(MTCO</t>
    </r>
    <r>
      <rPr>
        <b/>
        <vertAlign val="subscript"/>
        <sz val="14"/>
        <color rgb="FF000000"/>
        <rFont val="Avenir LT Std 55 Roman"/>
        <family val="2"/>
      </rPr>
      <t>2</t>
    </r>
    <r>
      <rPr>
        <b/>
        <sz val="14"/>
        <color rgb="FF000000"/>
        <rFont val="Avenir LT Std 55 Roman"/>
        <family val="2"/>
      </rPr>
      <t>e)</t>
    </r>
  </si>
  <si>
    <t>ROG
(lbs)</t>
  </si>
  <si>
    <r>
      <t>PM</t>
    </r>
    <r>
      <rPr>
        <b/>
        <vertAlign val="subscript"/>
        <sz val="14"/>
        <color rgb="FF000000"/>
        <rFont val="Avenir LT Std 55 Roman"/>
        <family val="2"/>
      </rPr>
      <t>2.5</t>
    </r>
    <r>
      <rPr>
        <b/>
        <sz val="14"/>
        <color rgb="FF000000"/>
        <rFont val="Avenir LT Std 55 Roman"/>
        <family val="2"/>
      </rPr>
      <t xml:space="preserve">
(lbs)</t>
    </r>
  </si>
  <si>
    <t>NOx
(lbs)</t>
  </si>
  <si>
    <t>A type of lawn mower on which the operator is seated with revolving blades under the seat or towed behind.</t>
  </si>
  <si>
    <t>Enter the percentages of feedstock that is expected to be food waste and green waste (%).  If waste composition is unknown enter a default of 30% food waste and 70% green waste.  If cells are not applicable, leave blank.</t>
  </si>
  <si>
    <r>
      <t xml:space="preserve">This CPL Benefits Calculator Tool estimates net GHG benefit and air pollutant emission co-benefits using methods described in the supporting </t>
    </r>
    <r>
      <rPr>
        <sz val="12"/>
        <rFont val="Avenir LT Std 55 Roman"/>
        <family val="2"/>
      </rPr>
      <t>CPL</t>
    </r>
    <r>
      <rPr>
        <b/>
        <sz val="12"/>
        <color rgb="FFC00000"/>
        <rFont val="Avenir LT Std 55 Roman"/>
        <family val="2"/>
      </rPr>
      <t xml:space="preserve"> </t>
    </r>
    <r>
      <rPr>
        <sz val="12"/>
        <color theme="1"/>
        <rFont val="Avenir LT Std 55 Roman"/>
        <family val="2"/>
      </rPr>
      <t>Quantification Methodology.  Other co-benefits estimated in this and other benefits calculator tools use methods described in CARB's Co-benefit Assessment Methodologies.  All CARB Co-benefit Assessment Methodologies are available at:</t>
    </r>
  </si>
  <si>
    <t>https://ww2.arb.ca.gov/sites/default/files/classic/cc/capandtrade/auctionproceeds/calrecycle_cpl_finaluserguide_5-7-21.pdf</t>
  </si>
  <si>
    <r>
      <t xml:space="preserve">A step-by-step </t>
    </r>
    <r>
      <rPr>
        <b/>
        <sz val="12"/>
        <rFont val="Avenir LT Std 55 Roman"/>
        <family val="2"/>
      </rPr>
      <t>user guide</t>
    </r>
    <r>
      <rPr>
        <sz val="12"/>
        <rFont val="Avenir LT Std 55 Roman"/>
        <family val="2"/>
      </rPr>
      <t xml:space="preserve">, including </t>
    </r>
    <r>
      <rPr>
        <b/>
        <sz val="12"/>
        <rFont val="Avenir LT Std 55 Roman"/>
        <family val="2"/>
      </rPr>
      <t>project examples</t>
    </r>
    <r>
      <rPr>
        <sz val="12"/>
        <rFont val="Avenir LT Std 55 Roman"/>
        <family val="2"/>
      </rPr>
      <t>, for this Benefits Calculator Tool is available at:</t>
    </r>
  </si>
  <si>
    <r>
      <t xml:space="preserve">For the Climate Positive Landscape (CPL) Tool, CARB staff developed this Benefits Calculator Tool to estimate the net greenhouse gas (GHG) benefit and selected co-benefits of each proposed project type. </t>
    </r>
    <r>
      <rPr>
        <u/>
        <sz val="12"/>
        <rFont val="Avenir LT Std 55 Roman"/>
        <family val="2"/>
      </rPr>
      <t xml:space="preserve"> In an effort to enhance the analysis, provide greater transparency, and assist in project‑level reporting, CARB has included an output tab in this Benefits Calculator Tool for selected co‑benefits and key variables.</t>
    </r>
    <r>
      <rPr>
        <sz val="12"/>
        <rFont val="Avenir LT Std 55 Roman"/>
        <family val="2"/>
      </rPr>
      <t xml:space="preserve">  This Benefits Calculator Tool and supporting resources are available 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</si>
</sst>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4" formatCode="_(&quot;$&quot;* #,##0.00_);_(&quot;$&quot;* \(#,##0.00\);_(&quot;$&quot;* &quot;-&quot;??_);_(@_)"/>
    <numFmt numFmtId="43" formatCode="_(* #,##0.00_);_(* \(#,##0.00\);_(* &quot;-&quot;??_);_(@_)"/>
    <numFmt numFmtId="164" formatCode="0.0000"/>
    <numFmt numFmtId="165" formatCode="#,##0.000000"/>
    <numFmt numFmtId="166" formatCode="0.0"/>
    <numFmt numFmtId="167" formatCode="#,##0.0"/>
    <numFmt numFmtId="168" formatCode="0.000"/>
    <numFmt numFmtId="169" formatCode="0.0000000"/>
    <numFmt numFmtId="170" formatCode="#,##0.0000"/>
    <numFmt numFmtId="171" formatCode="_(&quot;$&quot;* #,##0_);_(&quot;$&quot;* \(#,##0\);_(&quot;$&quot;* &quot;-&quot;??_);_(@_)"/>
    <numFmt numFmtId="172" formatCode="&quot;$&quot;#,##0"/>
    <numFmt numFmtId="173" formatCode="0.000000"/>
    <numFmt numFmtId="174" formatCode="&quot;$&quot;#,##0.00"/>
    <numFmt numFmtId="175" formatCode="&quot;$&quot;#,##0.0000_);[Red]\(&quot;$&quot;#,##0.0000\)"/>
    <numFmt numFmtId="176" formatCode="0.00000"/>
    <numFmt numFmtId="177" formatCode="&quot;$&quot;#,##0.0000"/>
    <numFmt numFmtId="178" formatCode="00000"/>
    <numFmt numFmtId="179" formatCode="0."/>
    <numFmt numFmtId="180" formatCode="m/d/yyyy;@"/>
  </numFmts>
  <fonts count="72">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u/>
      <sz val="12"/>
      <color theme="10"/>
      <name val="Arial"/>
      <family val="2"/>
    </font>
    <font>
      <sz val="11"/>
      <name val="Calibri"/>
      <family val="2"/>
      <scheme val="minor"/>
    </font>
    <font>
      <vertAlign val="superscript"/>
      <sz val="11"/>
      <color theme="1"/>
      <name val="Calibri"/>
      <family val="2"/>
      <scheme val="minor"/>
    </font>
    <font>
      <vertAlign val="subscript"/>
      <sz val="11"/>
      <color theme="1"/>
      <name val="Calibri"/>
      <family val="2"/>
      <scheme val="minor"/>
    </font>
    <font>
      <b/>
      <sz val="12"/>
      <color theme="1"/>
      <name val="Calibri"/>
      <family val="2"/>
      <scheme val="minor"/>
    </font>
    <font>
      <sz val="11"/>
      <color theme="1"/>
      <name val="Calibri"/>
      <family val="2"/>
      <scheme val="minor"/>
    </font>
    <font>
      <sz val="10"/>
      <name val="Arial"/>
      <family val="2"/>
    </font>
    <font>
      <u/>
      <sz val="11"/>
      <color theme="10"/>
      <name val="Calibri"/>
      <family val="2"/>
    </font>
    <font>
      <u/>
      <sz val="11"/>
      <name val="Calibri"/>
      <family val="2"/>
    </font>
    <font>
      <i/>
      <sz val="11"/>
      <color theme="1"/>
      <name val="Calibri"/>
      <family val="2"/>
      <scheme val="minor"/>
    </font>
    <font>
      <sz val="11"/>
      <color theme="1"/>
      <name val="Calibri"/>
      <family val="2"/>
    </font>
    <font>
      <u/>
      <sz val="10"/>
      <color theme="10"/>
      <name val="Arial"/>
      <family val="2"/>
    </font>
    <font>
      <b/>
      <sz val="14"/>
      <color theme="1"/>
      <name val="Avenir LT Std 55 Roman"/>
      <family val="2"/>
    </font>
    <font>
      <sz val="11"/>
      <color theme="1"/>
      <name val="Avenir LT Std 55 Roman"/>
      <family val="2"/>
    </font>
    <font>
      <sz val="12"/>
      <color theme="1"/>
      <name val="Avenir LT Std 55 Roman"/>
      <family val="2"/>
    </font>
    <font>
      <b/>
      <sz val="12"/>
      <color theme="1"/>
      <name val="Avenir LT Std 55 Roman"/>
      <family val="2"/>
    </font>
    <font>
      <b/>
      <sz val="12"/>
      <color rgb="FFC00000"/>
      <name val="Avenir LT Std 55 Roman"/>
      <family val="2"/>
    </font>
    <font>
      <u/>
      <sz val="12"/>
      <color theme="10"/>
      <name val="Avenir LT Std 55 Roman"/>
      <family val="2"/>
    </font>
    <font>
      <sz val="12"/>
      <name val="Avenir LT Std 55 Roman"/>
      <family val="2"/>
    </font>
    <font>
      <b/>
      <sz val="12"/>
      <name val="Avenir LT Std 55 Roman"/>
      <family val="2"/>
    </font>
    <font>
      <u/>
      <sz val="11"/>
      <color theme="10"/>
      <name val="Avenir LT Std 55 Roman"/>
      <family val="2"/>
    </font>
    <font>
      <u/>
      <sz val="12"/>
      <name val="Avenir LT Std 55 Roman"/>
      <family val="2"/>
    </font>
    <font>
      <b/>
      <sz val="14"/>
      <name val="Avenir LT Std 55 Roman"/>
      <family val="2"/>
    </font>
    <font>
      <b/>
      <sz val="16"/>
      <color theme="1"/>
      <name val="Avenir LT Std 55 Roman"/>
      <family val="2"/>
    </font>
    <font>
      <b/>
      <sz val="16"/>
      <name val="Avenir LT Std 55 Roman"/>
      <family val="2"/>
    </font>
    <font>
      <b/>
      <sz val="16"/>
      <color rgb="FFFF0000"/>
      <name val="Avenir LT Std 55 Roman"/>
      <family val="2"/>
    </font>
    <font>
      <sz val="12"/>
      <color theme="0"/>
      <name val="Avenir LT Std 55 Roman"/>
      <family val="2"/>
    </font>
    <font>
      <sz val="10"/>
      <name val="Avenir LT Std 55 Roman"/>
      <family val="2"/>
    </font>
    <font>
      <b/>
      <sz val="11"/>
      <color theme="1"/>
      <name val="Avenir LT Std 55 Roman"/>
      <family val="2"/>
    </font>
    <font>
      <b/>
      <sz val="14"/>
      <color rgb="FFFF0000"/>
      <name val="Avenir LT Std 55 Roman"/>
      <family val="2"/>
    </font>
    <font>
      <b/>
      <vertAlign val="subscript"/>
      <sz val="12"/>
      <color theme="1"/>
      <name val="Avenir LT Std 55 Roman"/>
      <family val="2"/>
    </font>
    <font>
      <b/>
      <vertAlign val="subscript"/>
      <sz val="12"/>
      <name val="Avenir LT Std 55 Roman"/>
      <family val="2"/>
    </font>
    <font>
      <sz val="12"/>
      <color rgb="FF000000"/>
      <name val="Avenir LT Std 55 Roman"/>
      <family val="2"/>
    </font>
    <font>
      <u/>
      <sz val="10"/>
      <color indexed="12"/>
      <name val="Arial"/>
      <family val="2"/>
    </font>
    <font>
      <sz val="10"/>
      <name val="Geneva"/>
    </font>
    <font>
      <sz val="10"/>
      <name val="MS Sans Serif"/>
      <family val="2"/>
    </font>
    <font>
      <sz val="11"/>
      <color rgb="FF000000"/>
      <name val="Calibri"/>
      <family val="2"/>
      <scheme val="minor"/>
    </font>
    <font>
      <b/>
      <sz val="9"/>
      <color indexed="8"/>
      <name val="Tahoma"/>
      <family val="2"/>
    </font>
    <font>
      <b/>
      <sz val="18"/>
      <color theme="3"/>
      <name val="Cambria"/>
      <family val="2"/>
      <scheme val="major"/>
    </font>
    <font>
      <sz val="11"/>
      <color rgb="FF000000"/>
      <name val="Calibri"/>
      <family val="2"/>
    </font>
    <font>
      <sz val="11"/>
      <color rgb="FF000000"/>
      <name val="Calibri"/>
      <family val="2"/>
      <charset val="1"/>
    </font>
    <font>
      <b/>
      <sz val="11"/>
      <color rgb="FF000000"/>
      <name val="Calibri"/>
      <family val="2"/>
      <charset val="1"/>
    </font>
    <font>
      <sz val="10"/>
      <color theme="1"/>
      <name val="Times New Roman"/>
      <family val="1"/>
      <charset val="1"/>
    </font>
    <font>
      <sz val="7"/>
      <color rgb="FF000000"/>
      <name val="Calibri"/>
      <family val="2"/>
      <scheme val="minor"/>
    </font>
    <font>
      <sz val="12"/>
      <color theme="10"/>
      <name val="Avenir LT Std 55 Roman"/>
      <family val="2"/>
    </font>
    <font>
      <sz val="11"/>
      <color rgb="FF000000"/>
      <name val="Avenir LT Std 55 Roman"/>
      <family val="2"/>
    </font>
    <font>
      <b/>
      <sz val="12"/>
      <color rgb="FF000000"/>
      <name val="Avenir LT Std 55 Roman"/>
      <family val="2"/>
    </font>
    <font>
      <sz val="11"/>
      <color indexed="8"/>
      <name val="Calibri"/>
      <family val="2"/>
    </font>
    <font>
      <b/>
      <sz val="14"/>
      <color rgb="FFC00000"/>
      <name val="Avenir LT Std 55 Roman"/>
      <family val="2"/>
    </font>
    <font>
      <sz val="12"/>
      <color rgb="FFC00000"/>
      <name val="Avenir LT Std 55 Roman"/>
      <family val="2"/>
    </font>
    <font>
      <b/>
      <sz val="12"/>
      <color theme="0" tint="-0.249977111117893"/>
      <name val="Avenir LT Std 55 Roman"/>
      <family val="2"/>
    </font>
    <font>
      <vertAlign val="subscript"/>
      <sz val="12"/>
      <color theme="1"/>
      <name val="Avenir LT Std 55 Roman"/>
      <family val="2"/>
    </font>
    <font>
      <sz val="12"/>
      <color rgb="FF222222"/>
      <name val="Avenir LT Std 55 Roman"/>
      <family val="2"/>
    </font>
    <font>
      <sz val="14"/>
      <color theme="1"/>
      <name val="Avenir LT Std 55 Roman"/>
      <family val="2"/>
    </font>
    <font>
      <u/>
      <sz val="14"/>
      <color theme="10"/>
      <name val="Avenir LT Std 55 Roman"/>
      <family val="2"/>
    </font>
    <font>
      <b/>
      <sz val="14"/>
      <color rgb="FF000000"/>
      <name val="Avenir LT Std 55 Roman"/>
      <family val="2"/>
    </font>
    <font>
      <sz val="11"/>
      <color rgb="FF444444"/>
      <name val="Avenir LT Std 55 Roman"/>
      <family val="2"/>
    </font>
    <font>
      <sz val="11"/>
      <name val="Avenir LT Std 55 Roman"/>
      <family val="2"/>
    </font>
    <font>
      <sz val="14"/>
      <name val="Avenir LT Std 55 Roman"/>
      <family val="2"/>
    </font>
    <font>
      <sz val="14"/>
      <color rgb="FF000000"/>
      <name val="Avenir LT Std 55 Roman"/>
      <family val="2"/>
    </font>
    <font>
      <b/>
      <vertAlign val="subscript"/>
      <sz val="14"/>
      <color rgb="FF000000"/>
      <name val="Avenir LT Std 55 Roman"/>
      <family val="2"/>
    </font>
    <font>
      <sz val="8"/>
      <name val="Calibri"/>
      <family val="2"/>
      <scheme val="minor"/>
    </font>
    <font>
      <b/>
      <sz val="11"/>
      <color rgb="FF000000"/>
      <name val="Avenir LT Std 55 Roman"/>
      <family val="2"/>
    </font>
    <font>
      <vertAlign val="subscript"/>
      <sz val="11"/>
      <color theme="1"/>
      <name val="Avenir LT Std 55 Roman"/>
      <family val="2"/>
    </font>
    <font>
      <b/>
      <sz val="11"/>
      <name val="Avenir LT Std 55 Roman"/>
      <family val="2"/>
    </font>
    <font>
      <vertAlign val="superscript"/>
      <sz val="11"/>
      <color theme="1"/>
      <name val="Avenir LT Std 55 Roman"/>
      <family val="2"/>
    </font>
    <font>
      <vertAlign val="subscript"/>
      <sz val="12"/>
      <name val="Avenir LT Std 55 Roman"/>
      <family val="2"/>
    </font>
    <font>
      <b/>
      <vertAlign val="superscript"/>
      <sz val="14"/>
      <color theme="1"/>
      <name val="Avenir LT Std 55 Roman"/>
      <family val="2"/>
    </font>
  </fonts>
  <fills count="46">
    <fill>
      <patternFill patternType="none"/>
    </fill>
    <fill>
      <patternFill patternType="gray125"/>
    </fill>
    <fill>
      <patternFill patternType="solid">
        <fgColor theme="0" tint="-0.14999847407452621"/>
        <bgColor indexed="64"/>
      </patternFill>
    </fill>
    <fill>
      <patternFill patternType="solid">
        <fgColor rgb="FFF6FE94"/>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0"/>
        <bgColor indexed="64"/>
      </patternFill>
    </fill>
    <fill>
      <patternFill patternType="solid">
        <fgColor rgb="FFE2EFDA"/>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rgb="FFFFFFFF"/>
        <bgColor indexed="64"/>
      </patternFill>
    </fill>
    <fill>
      <patternFill patternType="solid">
        <fgColor rgb="FFDDEBF7"/>
        <bgColor indexed="64"/>
      </patternFill>
    </fill>
    <fill>
      <patternFill patternType="solid">
        <fgColor rgb="FFD9D9D9"/>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rgb="FFFF0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medium">
        <color indexed="64"/>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indexed="64"/>
      </right>
      <top/>
      <bottom/>
      <diagonal/>
    </border>
    <border>
      <left/>
      <right/>
      <top style="thin">
        <color rgb="FF000000"/>
      </top>
      <bottom style="medium">
        <color indexed="64"/>
      </bottom>
      <diagonal/>
    </border>
    <border>
      <left/>
      <right style="thin">
        <color indexed="64"/>
      </right>
      <top style="medium">
        <color indexed="64"/>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bottom style="medium">
        <color indexed="64"/>
      </bottom>
      <diagonal/>
    </border>
  </borders>
  <cellStyleXfs count="388">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44" fontId="9" fillId="0" borderId="0" applyFont="0" applyFill="0" applyBorder="0" applyAlignment="0" applyProtection="0"/>
    <xf numFmtId="0" fontId="10" fillId="0" borderId="0"/>
    <xf numFmtId="0" fontId="11"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15" fillId="0" borderId="0" applyNumberFormat="0" applyFill="0" applyBorder="0" applyAlignment="0" applyProtection="0"/>
    <xf numFmtId="43" fontId="10" fillId="0" borderId="0" applyFont="0" applyFill="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0" fontId="4" fillId="0" borderId="0" applyNumberFormat="0" applyFill="0" applyBorder="0" applyAlignment="0" applyProtection="0"/>
    <xf numFmtId="0" fontId="11" fillId="0" borderId="0" applyNumberFormat="0" applyFill="0" applyBorder="0" applyAlignment="0" applyProtection="0">
      <alignment vertical="top"/>
      <protection locked="0"/>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37" fillId="0" borderId="1" applyNumberFormat="0" applyFill="0" applyProtection="0">
      <alignment horizontal="left"/>
    </xf>
    <xf numFmtId="0" fontId="15" fillId="0" borderId="0" applyNumberFormat="0" applyFill="0" applyBorder="0" applyAlignment="0" applyProtection="0"/>
    <xf numFmtId="0" fontId="3"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10" fillId="0" borderId="0"/>
    <xf numFmtId="0" fontId="9" fillId="0" borderId="0"/>
    <xf numFmtId="0" fontId="10" fillId="0" borderId="0"/>
    <xf numFmtId="0" fontId="10" fillId="0" borderId="0"/>
    <xf numFmtId="0" fontId="14" fillId="0" borderId="0"/>
    <xf numFmtId="0" fontId="38" fillId="0" borderId="0"/>
    <xf numFmtId="0" fontId="9"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9" fillId="16" borderId="86" applyNumberFormat="0" applyFont="0" applyAlignment="0" applyProtection="0"/>
    <xf numFmtId="0" fontId="41" fillId="29" borderId="87">
      <alignment vertical="center"/>
    </xf>
    <xf numFmtId="9" fontId="10" fillId="0" borderId="0" applyFont="0" applyFill="0" applyBorder="0" applyAlignment="0" applyProtection="0"/>
    <xf numFmtId="9" fontId="9" fillId="0" borderId="0" applyFont="0" applyFill="0" applyBorder="0" applyAlignment="0" applyProtection="0"/>
    <xf numFmtId="43" fontId="17" fillId="12" borderId="1" applyAlignment="0">
      <alignment horizontal="center" vertical="center"/>
    </xf>
    <xf numFmtId="39" fontId="17" fillId="12" borderId="1">
      <alignment horizontal="center" vertical="center"/>
    </xf>
    <xf numFmtId="0" fontId="42" fillId="0" borderId="0" applyNumberFormat="0" applyFill="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4"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44" borderId="87" applyNumberFormat="0" applyFont="0" applyAlignment="0" applyProtection="0"/>
    <xf numFmtId="0" fontId="51" fillId="44" borderId="87" applyNumberFormat="0" applyFont="0" applyAlignment="0" applyProtection="0"/>
    <xf numFmtId="0" fontId="51" fillId="44" borderId="87" applyNumberFormat="0" applyFont="0" applyAlignment="0" applyProtection="0"/>
  </cellStyleXfs>
  <cellXfs count="1020">
    <xf numFmtId="0" fontId="0" fillId="0" borderId="0" xfId="0"/>
    <xf numFmtId="0" fontId="2" fillId="0" borderId="0" xfId="0" applyFont="1"/>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xf numFmtId="3" fontId="0" fillId="2" borderId="1" xfId="0" applyNumberFormat="1" applyFill="1" applyBorder="1" applyAlignment="1" applyProtection="1">
      <alignment horizontal="right"/>
    </xf>
    <xf numFmtId="3" fontId="0" fillId="0" borderId="0" xfId="0" applyNumberFormat="1"/>
    <xf numFmtId="0" fontId="0" fillId="0" borderId="16" xfId="0"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Fill="1" applyBorder="1" applyAlignment="1">
      <alignment vertical="center"/>
    </xf>
    <xf numFmtId="0" fontId="5" fillId="0" borderId="0" xfId="0" applyFont="1" applyAlignment="1">
      <alignment horizontal="left"/>
    </xf>
    <xf numFmtId="0" fontId="12" fillId="0" borderId="0" xfId="5" applyFont="1" applyAlignment="1" applyProtection="1">
      <alignment vertical="top"/>
    </xf>
    <xf numFmtId="0" fontId="5" fillId="0" borderId="0" xfId="0" applyFont="1" applyAlignment="1">
      <alignment vertical="top"/>
    </xf>
    <xf numFmtId="0" fontId="0" fillId="0" borderId="0" xfId="0" applyAlignment="1">
      <alignment vertical="top"/>
    </xf>
    <xf numFmtId="0" fontId="0" fillId="2" borderId="54" xfId="0" applyFill="1" applyBorder="1" applyAlignment="1">
      <alignment horizontal="center" vertical="center" wrapText="1"/>
    </xf>
    <xf numFmtId="0" fontId="0" fillId="0" borderId="54" xfId="0" applyBorder="1"/>
    <xf numFmtId="168" fontId="0" fillId="0" borderId="63" xfId="0" applyNumberFormat="1" applyBorder="1"/>
    <xf numFmtId="166" fontId="0" fillId="0" borderId="54" xfId="0" applyNumberFormat="1" applyBorder="1"/>
    <xf numFmtId="0" fontId="0" fillId="0" borderId="7" xfId="0" applyBorder="1" applyAlignment="1">
      <alignment horizontal="left" vertical="center"/>
    </xf>
    <xf numFmtId="0" fontId="0" fillId="0" borderId="63" xfId="0" applyBorder="1"/>
    <xf numFmtId="2" fontId="0" fillId="0" borderId="54" xfId="0" applyNumberFormat="1" applyBorder="1"/>
    <xf numFmtId="2" fontId="0" fillId="0" borderId="62" xfId="0" applyNumberFormat="1" applyBorder="1"/>
    <xf numFmtId="2" fontId="0" fillId="0" borderId="0" xfId="0" applyNumberFormat="1" applyBorder="1"/>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0" fontId="0" fillId="0" borderId="11" xfId="0" applyBorder="1"/>
    <xf numFmtId="0" fontId="1" fillId="0" borderId="0" xfId="0" applyFont="1"/>
    <xf numFmtId="0" fontId="0" fillId="0" borderId="11" xfId="0" applyFont="1" applyBorder="1"/>
    <xf numFmtId="0" fontId="0" fillId="0" borderId="1" xfId="0" applyFill="1" applyBorder="1"/>
    <xf numFmtId="9" fontId="0" fillId="0" borderId="1" xfId="0" applyNumberFormat="1" applyBorder="1"/>
    <xf numFmtId="0" fontId="0" fillId="0" borderId="13" xfId="0" applyBorder="1"/>
    <xf numFmtId="0" fontId="0" fillId="0" borderId="55" xfId="0" applyFont="1" applyBorder="1" applyAlignment="1" applyProtection="1">
      <alignment horizontal="center" vertical="center" wrapText="1"/>
    </xf>
    <xf numFmtId="0" fontId="0" fillId="0" borderId="16" xfId="0" applyBorder="1"/>
    <xf numFmtId="0" fontId="0" fillId="0" borderId="21" xfId="0" applyBorder="1"/>
    <xf numFmtId="0" fontId="0" fillId="0" borderId="5" xfId="0" applyBorder="1"/>
    <xf numFmtId="0" fontId="0" fillId="0" borderId="27" xfId="0" applyBorder="1"/>
    <xf numFmtId="0" fontId="0" fillId="0" borderId="13" xfId="0" applyFill="1" applyBorder="1"/>
    <xf numFmtId="0" fontId="0" fillId="0" borderId="6" xfId="0" applyBorder="1"/>
    <xf numFmtId="169" fontId="0" fillId="0" borderId="1" xfId="0" applyNumberFormat="1" applyFill="1" applyBorder="1"/>
    <xf numFmtId="0" fontId="0" fillId="0" borderId="24" xfId="0" applyBorder="1"/>
    <xf numFmtId="0" fontId="0" fillId="0" borderId="46" xfId="0" applyBorder="1"/>
    <xf numFmtId="0" fontId="0" fillId="0" borderId="49" xfId="0" applyBorder="1"/>
    <xf numFmtId="0" fontId="0" fillId="0" borderId="13" xfId="0" applyFont="1" applyBorder="1"/>
    <xf numFmtId="0" fontId="0" fillId="0" borderId="27" xfId="0" applyFont="1" applyBorder="1"/>
    <xf numFmtId="0" fontId="0" fillId="0" borderId="6" xfId="0" applyFill="1" applyBorder="1"/>
    <xf numFmtId="9" fontId="0" fillId="0" borderId="6" xfId="0" applyNumberFormat="1" applyBorder="1"/>
    <xf numFmtId="9" fontId="0" fillId="0" borderId="16" xfId="0" applyNumberFormat="1" applyBorder="1"/>
    <xf numFmtId="0" fontId="0" fillId="0" borderId="1" xfId="0" applyBorder="1"/>
    <xf numFmtId="39" fontId="5" fillId="8" borderId="12" xfId="0" applyNumberFormat="1" applyFont="1" applyFill="1" applyBorder="1" applyAlignment="1">
      <alignment horizontal="center" vertical="center"/>
    </xf>
    <xf numFmtId="39" fontId="5" fillId="8" borderId="14" xfId="0" applyNumberFormat="1" applyFont="1" applyFill="1" applyBorder="1" applyAlignment="1">
      <alignment horizontal="center" vertical="center"/>
    </xf>
    <xf numFmtId="1" fontId="0" fillId="0" borderId="11" xfId="0" applyNumberFormat="1" applyBorder="1"/>
    <xf numFmtId="1" fontId="0" fillId="0" borderId="1" xfId="0" applyNumberFormat="1" applyBorder="1"/>
    <xf numFmtId="1" fontId="0" fillId="0" borderId="12" xfId="0" applyNumberFormat="1" applyBorder="1"/>
    <xf numFmtId="0" fontId="3" fillId="0" borderId="0" xfId="1" applyAlignment="1" applyProtection="1">
      <alignment vertical="top"/>
    </xf>
    <xf numFmtId="3" fontId="0" fillId="3" borderId="9" xfId="0" applyNumberFormat="1" applyFill="1" applyBorder="1" applyAlignment="1" applyProtection="1">
      <alignment horizontal="right"/>
    </xf>
    <xf numFmtId="9" fontId="0" fillId="3" borderId="15" xfId="0" applyNumberFormat="1" applyFill="1" applyBorder="1" applyAlignment="1" applyProtection="1">
      <alignment horizontal="center"/>
    </xf>
    <xf numFmtId="0" fontId="0" fillId="0" borderId="10" xfId="0" applyBorder="1" applyAlignment="1">
      <alignment horizontal="center" vertical="center" wrapText="1"/>
    </xf>
    <xf numFmtId="0" fontId="0" fillId="0" borderId="56" xfId="0" applyFont="1" applyBorder="1" applyAlignment="1" applyProtection="1">
      <alignment horizontal="center" vertical="center" wrapText="1"/>
    </xf>
    <xf numFmtId="0" fontId="0" fillId="0" borderId="85" xfId="0" applyFont="1"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55" xfId="0"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58" xfId="0" applyFill="1" applyBorder="1" applyAlignment="1" applyProtection="1">
      <alignment horizontal="center" vertical="center" wrapText="1"/>
    </xf>
    <xf numFmtId="9" fontId="0" fillId="3" borderId="1" xfId="0" applyNumberFormat="1" applyFill="1" applyBorder="1" applyAlignment="1" applyProtection="1">
      <alignment horizontal="center"/>
    </xf>
    <xf numFmtId="1" fontId="0" fillId="10" borderId="1" xfId="0" applyNumberFormat="1" applyFill="1" applyBorder="1"/>
    <xf numFmtId="3" fontId="0" fillId="2" borderId="15" xfId="0" applyNumberFormat="1" applyFill="1" applyBorder="1" applyAlignment="1" applyProtection="1">
      <alignment horizontal="right"/>
    </xf>
    <xf numFmtId="3" fontId="0" fillId="3" borderId="11" xfId="0" applyNumberFormat="1" applyFill="1" applyBorder="1" applyAlignment="1" applyProtection="1">
      <alignment horizontal="right"/>
    </xf>
    <xf numFmtId="1" fontId="0" fillId="2" borderId="33" xfId="0" applyNumberFormat="1" applyFill="1" applyBorder="1" applyProtection="1"/>
    <xf numFmtId="1" fontId="0" fillId="2" borderId="34" xfId="0" applyNumberFormat="1" applyFill="1" applyBorder="1" applyProtection="1"/>
    <xf numFmtId="1" fontId="0" fillId="10" borderId="15" xfId="0" applyNumberFormat="1" applyFill="1" applyBorder="1"/>
    <xf numFmtId="1" fontId="0" fillId="10" borderId="10" xfId="0" applyNumberFormat="1" applyFill="1" applyBorder="1"/>
    <xf numFmtId="1" fontId="0" fillId="10" borderId="12" xfId="0" applyNumberFormat="1" applyFill="1" applyBorder="1"/>
    <xf numFmtId="1" fontId="0" fillId="10" borderId="50" xfId="0" applyNumberFormat="1" applyFill="1" applyBorder="1"/>
    <xf numFmtId="1" fontId="0" fillId="10" borderId="4" xfId="0" applyNumberFormat="1" applyFill="1" applyBorder="1"/>
    <xf numFmtId="1" fontId="0" fillId="0" borderId="9" xfId="0" applyNumberFormat="1" applyBorder="1"/>
    <xf numFmtId="1" fontId="0" fillId="0" borderId="15" xfId="0" applyNumberFormat="1" applyBorder="1"/>
    <xf numFmtId="1" fontId="0" fillId="0" borderId="10" xfId="0" applyNumberFormat="1" applyBorder="1"/>
    <xf numFmtId="1" fontId="0" fillId="10" borderId="35" xfId="0" applyNumberFormat="1" applyFill="1" applyBorder="1"/>
    <xf numFmtId="1" fontId="0" fillId="10" borderId="2" xfId="0" applyNumberFormat="1" applyFill="1" applyBorder="1"/>
    <xf numFmtId="3" fontId="0" fillId="0" borderId="29" xfId="0" applyNumberFormat="1" applyBorder="1" applyProtection="1"/>
    <xf numFmtId="3" fontId="0" fillId="0" borderId="30" xfId="0" applyNumberFormat="1" applyBorder="1" applyProtection="1"/>
    <xf numFmtId="3" fontId="0" fillId="0" borderId="31" xfId="0" applyNumberFormat="1" applyBorder="1" applyProtection="1"/>
    <xf numFmtId="9" fontId="0" fillId="3" borderId="35" xfId="0" applyNumberFormat="1" applyFill="1" applyBorder="1" applyAlignment="1" applyProtection="1">
      <alignment horizontal="center"/>
    </xf>
    <xf numFmtId="9" fontId="0" fillId="3" borderId="2" xfId="0" applyNumberFormat="1" applyFill="1" applyBorder="1" applyAlignment="1" applyProtection="1">
      <alignment horizontal="center"/>
    </xf>
    <xf numFmtId="1" fontId="0" fillId="10" borderId="50" xfId="0" applyNumberFormat="1" applyFill="1" applyBorder="1" applyProtection="1"/>
    <xf numFmtId="1" fontId="0" fillId="10" borderId="4" xfId="0" applyNumberFormat="1" applyFill="1" applyBorder="1" applyProtection="1"/>
    <xf numFmtId="3" fontId="0" fillId="0" borderId="40" xfId="0" applyNumberFormat="1" applyBorder="1" applyProtection="1"/>
    <xf numFmtId="0" fontId="16" fillId="14" borderId="0" xfId="0" applyFont="1" applyFill="1" applyAlignment="1">
      <alignment horizontal="center" vertical="center"/>
    </xf>
    <xf numFmtId="0" fontId="17" fillId="14" borderId="0" xfId="0" applyFont="1" applyFill="1"/>
    <xf numFmtId="0" fontId="18" fillId="14" borderId="0" xfId="0" applyFont="1" applyFill="1"/>
    <xf numFmtId="0" fontId="19" fillId="14" borderId="0" xfId="0" applyFont="1" applyFill="1" applyBorder="1"/>
    <xf numFmtId="0" fontId="21" fillId="14" borderId="77" xfId="1" applyFont="1" applyFill="1" applyBorder="1"/>
    <xf numFmtId="0" fontId="18" fillId="14" borderId="77" xfId="0" applyFont="1" applyFill="1" applyBorder="1"/>
    <xf numFmtId="0" fontId="18" fillId="14" borderId="77" xfId="0" applyFont="1" applyFill="1" applyBorder="1" applyAlignment="1">
      <alignment wrapText="1"/>
    </xf>
    <xf numFmtId="0" fontId="19" fillId="14" borderId="77" xfId="0" applyFont="1" applyFill="1" applyBorder="1"/>
    <xf numFmtId="0" fontId="21" fillId="14" borderId="77" xfId="1" applyFont="1" applyFill="1" applyBorder="1" applyAlignment="1">
      <alignment horizontal="left" indent="4"/>
    </xf>
    <xf numFmtId="0" fontId="23" fillId="0" borderId="45" xfId="4" applyFont="1" applyFill="1" applyBorder="1" applyAlignment="1" applyProtection="1">
      <alignment horizontal="centerContinuous" vertical="center"/>
    </xf>
    <xf numFmtId="0" fontId="18" fillId="0" borderId="47" xfId="0" applyFont="1" applyBorder="1" applyAlignment="1" applyProtection="1">
      <alignment horizontal="centerContinuous"/>
    </xf>
    <xf numFmtId="0" fontId="18" fillId="0" borderId="53" xfId="0" applyFont="1" applyBorder="1" applyAlignment="1" applyProtection="1">
      <alignment horizontal="centerContinuous"/>
    </xf>
    <xf numFmtId="0" fontId="18" fillId="0" borderId="0" xfId="0" applyFont="1" applyBorder="1" applyProtection="1"/>
    <xf numFmtId="0" fontId="18" fillId="0" borderId="54" xfId="0" applyFont="1" applyBorder="1" applyProtection="1"/>
    <xf numFmtId="0" fontId="22" fillId="10" borderId="60" xfId="4" applyFont="1" applyFill="1" applyBorder="1" applyAlignment="1" applyProtection="1">
      <alignment vertical="center"/>
    </xf>
    <xf numFmtId="0" fontId="22" fillId="12" borderId="60" xfId="4" applyFont="1" applyFill="1" applyBorder="1" applyAlignment="1" applyProtection="1">
      <alignment vertical="center"/>
    </xf>
    <xf numFmtId="0" fontId="21" fillId="14" borderId="59" xfId="1" applyFont="1" applyFill="1" applyBorder="1" applyAlignment="1">
      <alignment horizontal="left" indent="4"/>
    </xf>
    <xf numFmtId="0" fontId="22" fillId="8" borderId="61" xfId="4" applyFont="1" applyFill="1" applyBorder="1" applyAlignment="1" applyProtection="1">
      <alignment vertical="center"/>
    </xf>
    <xf numFmtId="0" fontId="18" fillId="0" borderId="52" xfId="0" applyFont="1" applyBorder="1" applyProtection="1"/>
    <xf numFmtId="0" fontId="18" fillId="0" borderId="62" xfId="0" applyFont="1" applyBorder="1" applyProtection="1"/>
    <xf numFmtId="0" fontId="22" fillId="0" borderId="0" xfId="4" applyFont="1" applyFill="1" applyBorder="1" applyAlignment="1" applyProtection="1">
      <alignment vertical="top"/>
    </xf>
    <xf numFmtId="0" fontId="22" fillId="14" borderId="66" xfId="0" applyFont="1" applyFill="1" applyBorder="1" applyAlignment="1">
      <alignment vertical="top" wrapText="1"/>
    </xf>
    <xf numFmtId="0" fontId="26" fillId="14" borderId="0" xfId="0" applyFont="1" applyFill="1" applyAlignment="1">
      <alignment horizontal="center" vertical="center"/>
    </xf>
    <xf numFmtId="0" fontId="17" fillId="0" borderId="0" xfId="0" applyFont="1" applyFill="1" applyBorder="1"/>
    <xf numFmtId="0" fontId="19" fillId="0" borderId="0" xfId="0" applyFont="1" applyFill="1" applyBorder="1"/>
    <xf numFmtId="0" fontId="18" fillId="0" borderId="0" xfId="0" applyFont="1"/>
    <xf numFmtId="0" fontId="17" fillId="0" borderId="0" xfId="0" applyFont="1" applyProtection="1"/>
    <xf numFmtId="0" fontId="32" fillId="0" borderId="0" xfId="0" applyFont="1" applyProtection="1"/>
    <xf numFmtId="0" fontId="27" fillId="0" borderId="0" xfId="0" applyFont="1" applyFill="1" applyBorder="1" applyAlignment="1">
      <alignment vertical="center"/>
    </xf>
    <xf numFmtId="0" fontId="17" fillId="0" borderId="0" xfId="0" applyFont="1" applyFill="1" applyBorder="1" applyAlignment="1"/>
    <xf numFmtId="0" fontId="29" fillId="0" borderId="0" xfId="0" applyFont="1" applyFill="1" applyBorder="1" applyAlignment="1">
      <alignment vertical="center"/>
    </xf>
    <xf numFmtId="0" fontId="32" fillId="0" borderId="0" xfId="0" applyFont="1" applyAlignment="1" applyProtection="1"/>
    <xf numFmtId="0" fontId="17" fillId="0" borderId="0" xfId="0" applyFont="1" applyFill="1" applyBorder="1" applyAlignment="1" applyProtection="1">
      <alignment horizontal="left"/>
    </xf>
    <xf numFmtId="0" fontId="21" fillId="0" borderId="0" xfId="1" applyFont="1" applyFill="1" applyBorder="1" applyAlignment="1">
      <alignment horizontal="left" vertical="center" wrapText="1"/>
    </xf>
    <xf numFmtId="0" fontId="16" fillId="0" borderId="0" xfId="0" applyFont="1" applyProtection="1"/>
    <xf numFmtId="0" fontId="17" fillId="0" borderId="0" xfId="0" applyFont="1" applyBorder="1" applyAlignment="1" applyProtection="1"/>
    <xf numFmtId="0" fontId="16" fillId="0" borderId="1" xfId="0" applyFont="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7" fillId="0" borderId="1" xfId="0" applyFont="1" applyBorder="1" applyAlignment="1" applyProtection="1">
      <alignment horizontal="center"/>
    </xf>
    <xf numFmtId="3" fontId="17" fillId="11" borderId="1" xfId="0" applyNumberFormat="1" applyFont="1" applyFill="1" applyBorder="1" applyAlignment="1" applyProtection="1">
      <alignment horizontal="right"/>
      <protection locked="0"/>
    </xf>
    <xf numFmtId="9" fontId="17" fillId="11" borderId="1" xfId="0" applyNumberFormat="1" applyFont="1" applyFill="1" applyBorder="1" applyAlignment="1" applyProtection="1">
      <alignment horizontal="right"/>
      <protection locked="0"/>
    </xf>
    <xf numFmtId="9" fontId="17" fillId="12" borderId="1" xfId="0" applyNumberFormat="1" applyFont="1" applyFill="1" applyBorder="1" applyAlignment="1" applyProtection="1">
      <alignment horizontal="right"/>
    </xf>
    <xf numFmtId="3" fontId="17" fillId="12" borderId="1" xfId="0" applyNumberFormat="1" applyFont="1" applyFill="1" applyBorder="1" applyAlignment="1" applyProtection="1">
      <alignment horizontal="right"/>
    </xf>
    <xf numFmtId="0" fontId="17" fillId="0" borderId="0" xfId="0" applyFont="1" applyFill="1" applyBorder="1" applyProtection="1"/>
    <xf numFmtId="3" fontId="32" fillId="0" borderId="0" xfId="0" applyNumberFormat="1" applyFont="1" applyFill="1" applyBorder="1" applyProtection="1"/>
    <xf numFmtId="0" fontId="17" fillId="0" borderId="0" xfId="7" applyFont="1" applyFill="1" applyBorder="1" applyProtection="1"/>
    <xf numFmtId="0" fontId="17" fillId="0" borderId="0" xfId="8" applyFont="1" applyProtection="1"/>
    <xf numFmtId="0" fontId="17" fillId="0" borderId="81" xfId="8" applyFont="1" applyBorder="1" applyProtection="1"/>
    <xf numFmtId="0" fontId="17" fillId="0" borderId="0" xfId="8" applyFont="1" applyBorder="1" applyProtection="1"/>
    <xf numFmtId="0" fontId="16" fillId="0" borderId="0" xfId="8" applyFont="1" applyAlignment="1" applyProtection="1">
      <alignment horizontal="center"/>
    </xf>
    <xf numFmtId="0" fontId="31" fillId="0" borderId="0" xfId="4" applyFont="1" applyFill="1" applyBorder="1" applyProtection="1"/>
    <xf numFmtId="0" fontId="31" fillId="0" borderId="82" xfId="4" applyFont="1" applyFill="1" applyBorder="1" applyProtection="1"/>
    <xf numFmtId="0" fontId="17" fillId="0" borderId="0" xfId="9" applyFont="1" applyFill="1" applyBorder="1" applyAlignment="1" applyProtection="1">
      <alignment horizontal="left" vertical="center"/>
    </xf>
    <xf numFmtId="0" fontId="21" fillId="0" borderId="0" xfId="10" applyFont="1" applyFill="1" applyBorder="1" applyAlignment="1" applyProtection="1">
      <alignment vertical="center" wrapText="1"/>
    </xf>
    <xf numFmtId="0" fontId="32" fillId="0" borderId="0" xfId="8" applyFont="1" applyBorder="1" applyAlignment="1" applyProtection="1"/>
    <xf numFmtId="0" fontId="17" fillId="0" borderId="0" xfId="8" applyFont="1" applyFill="1" applyBorder="1" applyAlignment="1" applyProtection="1">
      <alignment horizontal="left"/>
    </xf>
    <xf numFmtId="0" fontId="18" fillId="0" borderId="0" xfId="8" applyFont="1" applyProtection="1"/>
    <xf numFmtId="0" fontId="19" fillId="0" borderId="81" xfId="8" applyFont="1" applyBorder="1" applyProtection="1"/>
    <xf numFmtId="0" fontId="19" fillId="0" borderId="0" xfId="8" applyFont="1" applyBorder="1" applyProtection="1"/>
    <xf numFmtId="0" fontId="18" fillId="0" borderId="0" xfId="8" applyFont="1" applyBorder="1" applyProtection="1"/>
    <xf numFmtId="0" fontId="18" fillId="0" borderId="0" xfId="8" applyFont="1" applyFill="1" applyBorder="1" applyProtection="1"/>
    <xf numFmtId="0" fontId="18" fillId="0" borderId="82" xfId="8" applyFont="1" applyFill="1" applyBorder="1" applyProtection="1"/>
    <xf numFmtId="0" fontId="18" fillId="0" borderId="81" xfId="8" applyFont="1" applyBorder="1" applyProtection="1"/>
    <xf numFmtId="3" fontId="18" fillId="15" borderId="10" xfId="11" applyNumberFormat="1" applyFont="1" applyFill="1" applyBorder="1" applyAlignment="1" applyProtection="1">
      <alignment horizontal="right" vertical="center" indent="1"/>
      <protection locked="0"/>
    </xf>
    <xf numFmtId="0" fontId="19" fillId="0" borderId="82" xfId="8" applyFont="1" applyBorder="1" applyAlignment="1" applyProtection="1">
      <alignment horizontal="center" vertical="center" wrapText="1"/>
    </xf>
    <xf numFmtId="3" fontId="18" fillId="15" borderId="12" xfId="11" applyNumberFormat="1" applyFont="1" applyFill="1" applyBorder="1" applyAlignment="1" applyProtection="1">
      <alignment horizontal="right" vertical="center" indent="1"/>
      <protection locked="0"/>
    </xf>
    <xf numFmtId="3" fontId="17" fillId="0" borderId="82" xfId="8" applyNumberFormat="1" applyFont="1" applyFill="1" applyBorder="1" applyAlignment="1" applyProtection="1">
      <alignment horizontal="right"/>
    </xf>
    <xf numFmtId="3" fontId="18" fillId="2" borderId="14" xfId="8" applyNumberFormat="1" applyFont="1" applyFill="1" applyBorder="1" applyAlignment="1" applyProtection="1">
      <alignment horizontal="right" vertical="center" indent="1"/>
    </xf>
    <xf numFmtId="0" fontId="18" fillId="0" borderId="82" xfId="8" applyFont="1" applyBorder="1" applyProtection="1"/>
    <xf numFmtId="0" fontId="19" fillId="0" borderId="9" xfId="8" applyFont="1" applyBorder="1" applyAlignment="1" applyProtection="1">
      <alignment horizontal="center" vertical="center" wrapText="1"/>
    </xf>
    <xf numFmtId="0" fontId="19" fillId="0" borderId="15" xfId="8" applyFont="1" applyBorder="1" applyAlignment="1" applyProtection="1">
      <alignment horizontal="center" vertical="center" wrapText="1"/>
    </xf>
    <xf numFmtId="0" fontId="19" fillId="0" borderId="10" xfId="8" applyFont="1" applyBorder="1" applyAlignment="1" applyProtection="1">
      <alignment horizontal="center" vertical="center" wrapText="1"/>
    </xf>
    <xf numFmtId="0" fontId="18" fillId="15" borderId="11" xfId="8" applyFont="1" applyFill="1" applyBorder="1" applyAlignment="1" applyProtection="1">
      <alignment horizontal="center"/>
      <protection locked="0"/>
    </xf>
    <xf numFmtId="0" fontId="18" fillId="15" borderId="1" xfId="8" applyFont="1" applyFill="1" applyBorder="1" applyAlignment="1" applyProtection="1">
      <alignment horizontal="left"/>
      <protection locked="0"/>
    </xf>
    <xf numFmtId="1" fontId="18" fillId="15" borderId="1" xfId="8" applyNumberFormat="1" applyFont="1" applyFill="1" applyBorder="1" applyAlignment="1" applyProtection="1">
      <alignment horizontal="right"/>
      <protection locked="0"/>
    </xf>
    <xf numFmtId="167" fontId="18" fillId="15" borderId="1" xfId="8" applyNumberFormat="1" applyFont="1" applyFill="1" applyBorder="1" applyAlignment="1" applyProtection="1">
      <alignment horizontal="right"/>
      <protection locked="0"/>
    </xf>
    <xf numFmtId="167" fontId="18" fillId="15" borderId="12" xfId="8" applyNumberFormat="1" applyFont="1" applyFill="1" applyBorder="1" applyAlignment="1" applyProtection="1">
      <alignment horizontal="right"/>
      <protection locked="0"/>
    </xf>
    <xf numFmtId="0" fontId="18" fillId="15" borderId="1" xfId="8" applyFont="1" applyFill="1" applyBorder="1" applyAlignment="1" applyProtection="1">
      <alignment horizontal="right"/>
      <protection locked="0"/>
    </xf>
    <xf numFmtId="1" fontId="18" fillId="2" borderId="16" xfId="8" applyNumberFormat="1" applyFont="1" applyFill="1" applyBorder="1" applyAlignment="1" applyProtection="1">
      <alignment horizontal="right"/>
    </xf>
    <xf numFmtId="167" fontId="18" fillId="2" borderId="16" xfId="8" applyNumberFormat="1" applyFont="1" applyFill="1" applyBorder="1" applyAlignment="1" applyProtection="1">
      <alignment horizontal="right"/>
    </xf>
    <xf numFmtId="167" fontId="18" fillId="2" borderId="14" xfId="8" applyNumberFormat="1" applyFont="1" applyFill="1" applyBorder="1" applyAlignment="1" applyProtection="1">
      <alignment horizontal="right"/>
    </xf>
    <xf numFmtId="3" fontId="18" fillId="0" borderId="0" xfId="8" applyNumberFormat="1" applyFont="1" applyFill="1" applyBorder="1" applyAlignment="1" applyProtection="1">
      <alignment horizontal="right"/>
    </xf>
    <xf numFmtId="0" fontId="17" fillId="0" borderId="81" xfId="8" applyFont="1" applyFill="1" applyBorder="1" applyAlignment="1" applyProtection="1">
      <alignment horizontal="center"/>
    </xf>
    <xf numFmtId="0" fontId="17" fillId="0" borderId="0" xfId="8" applyFont="1" applyFill="1" applyBorder="1" applyAlignment="1" applyProtection="1">
      <alignment horizontal="center"/>
    </xf>
    <xf numFmtId="3" fontId="17" fillId="0" borderId="0" xfId="8" applyNumberFormat="1" applyFont="1" applyFill="1" applyBorder="1" applyProtection="1"/>
    <xf numFmtId="3" fontId="17" fillId="0" borderId="82" xfId="8" applyNumberFormat="1" applyFont="1" applyFill="1" applyBorder="1" applyProtection="1"/>
    <xf numFmtId="3" fontId="17" fillId="0" borderId="0" xfId="8" applyNumberFormat="1" applyFont="1" applyFill="1" applyProtection="1"/>
    <xf numFmtId="0" fontId="17" fillId="0" borderId="0" xfId="8" applyFont="1" applyFill="1" applyProtection="1"/>
    <xf numFmtId="1" fontId="18" fillId="2" borderId="53" xfId="8" applyNumberFormat="1" applyFont="1" applyFill="1" applyBorder="1" applyAlignment="1" applyProtection="1">
      <alignment horizontal="right" vertical="center" indent="1"/>
    </xf>
    <xf numFmtId="1" fontId="22" fillId="2" borderId="23" xfId="8" applyNumberFormat="1" applyFont="1" applyFill="1" applyBorder="1" applyAlignment="1" applyProtection="1">
      <alignment horizontal="right" vertical="center" indent="1"/>
    </xf>
    <xf numFmtId="3" fontId="22" fillId="2" borderId="23" xfId="8" applyNumberFormat="1" applyFont="1" applyFill="1" applyBorder="1" applyAlignment="1" applyProtection="1">
      <alignment horizontal="right" vertical="center" indent="1"/>
    </xf>
    <xf numFmtId="3" fontId="22" fillId="2" borderId="12" xfId="4" applyNumberFormat="1" applyFont="1" applyFill="1" applyBorder="1" applyAlignment="1" applyProtection="1">
      <alignment horizontal="right" vertical="center" indent="1"/>
    </xf>
    <xf numFmtId="3" fontId="22" fillId="2" borderId="14" xfId="4" applyNumberFormat="1" applyFont="1" applyFill="1" applyBorder="1" applyAlignment="1" applyProtection="1">
      <alignment horizontal="right" vertical="center" indent="1"/>
    </xf>
    <xf numFmtId="0" fontId="17" fillId="0" borderId="83" xfId="8" applyFont="1" applyBorder="1" applyProtection="1"/>
    <xf numFmtId="0" fontId="17" fillId="0" borderId="84" xfId="8" applyFont="1" applyBorder="1" applyProtection="1"/>
    <xf numFmtId="0" fontId="18" fillId="0" borderId="0" xfId="0" applyFont="1" applyAlignment="1">
      <alignment vertical="top" wrapText="1"/>
    </xf>
    <xf numFmtId="0" fontId="22" fillId="0" borderId="0" xfId="0" applyFont="1"/>
    <xf numFmtId="0" fontId="22" fillId="0" borderId="0" xfId="0" applyFont="1" applyAlignment="1">
      <alignment horizontal="left"/>
    </xf>
    <xf numFmtId="0" fontId="17" fillId="0" borderId="68" xfId="0" applyFont="1" applyBorder="1"/>
    <xf numFmtId="0" fontId="17" fillId="0" borderId="69" xfId="0" applyFont="1" applyBorder="1"/>
    <xf numFmtId="0" fontId="19" fillId="0" borderId="69" xfId="0" applyFont="1" applyBorder="1"/>
    <xf numFmtId="0" fontId="18" fillId="0" borderId="69" xfId="0" applyFont="1" applyBorder="1"/>
    <xf numFmtId="0" fontId="18" fillId="0" borderId="68" xfId="0" applyFont="1" applyBorder="1"/>
    <xf numFmtId="0" fontId="17" fillId="0" borderId="70" xfId="0" applyFont="1" applyBorder="1"/>
    <xf numFmtId="0" fontId="18" fillId="12" borderId="11" xfId="0" applyFont="1" applyFill="1" applyBorder="1"/>
    <xf numFmtId="3" fontId="18" fillId="12" borderId="1" xfId="0" applyNumberFormat="1" applyFont="1" applyFill="1" applyBorder="1"/>
    <xf numFmtId="0" fontId="18" fillId="12" borderId="12" xfId="0" applyFont="1" applyFill="1" applyBorder="1"/>
    <xf numFmtId="0" fontId="18" fillId="12" borderId="74" xfId="0" applyFont="1" applyFill="1" applyBorder="1"/>
    <xf numFmtId="172" fontId="18" fillId="12" borderId="75" xfId="0" applyNumberFormat="1" applyFont="1" applyFill="1" applyBorder="1"/>
    <xf numFmtId="0" fontId="18" fillId="12" borderId="76" xfId="0" applyFont="1" applyFill="1" applyBorder="1"/>
    <xf numFmtId="0" fontId="18" fillId="0" borderId="71" xfId="0" applyFont="1" applyBorder="1"/>
    <xf numFmtId="0" fontId="18" fillId="12" borderId="9" xfId="6" applyFont="1" applyFill="1" applyBorder="1" applyAlignment="1" applyProtection="1">
      <alignment horizontal="left" vertical="center" wrapText="1"/>
    </xf>
    <xf numFmtId="0" fontId="18" fillId="0" borderId="72" xfId="0" applyFont="1" applyBorder="1"/>
    <xf numFmtId="0" fontId="18" fillId="12" borderId="11" xfId="6" applyFont="1" applyFill="1" applyBorder="1" applyAlignment="1" applyProtection="1">
      <alignment horizontal="left" vertical="center" wrapText="1"/>
    </xf>
    <xf numFmtId="0" fontId="19" fillId="14" borderId="0" xfId="0" applyFont="1" applyFill="1"/>
    <xf numFmtId="3" fontId="18" fillId="12" borderId="10" xfId="0" applyNumberFormat="1" applyFont="1" applyFill="1" applyBorder="1"/>
    <xf numFmtId="0" fontId="18" fillId="14" borderId="0" xfId="0" applyFont="1" applyFill="1" applyBorder="1"/>
    <xf numFmtId="1" fontId="18" fillId="12" borderId="12" xfId="0" applyNumberFormat="1" applyFont="1" applyFill="1" applyBorder="1"/>
    <xf numFmtId="1" fontId="18" fillId="12" borderId="28" xfId="0" applyNumberFormat="1" applyFont="1" applyFill="1" applyBorder="1"/>
    <xf numFmtId="3" fontId="18" fillId="12" borderId="14" xfId="0" applyNumberFormat="1" applyFont="1" applyFill="1" applyBorder="1"/>
    <xf numFmtId="0" fontId="17" fillId="0" borderId="71" xfId="0" applyFont="1" applyBorder="1"/>
    <xf numFmtId="0" fontId="0" fillId="0" borderId="0" xfId="0" applyAlignment="1">
      <alignment horizontal="left" vertical="top"/>
    </xf>
    <xf numFmtId="0" fontId="17" fillId="30" borderId="0" xfId="0" applyFont="1" applyFill="1" applyBorder="1" applyAlignment="1">
      <alignment horizontal="left" vertical="top"/>
    </xf>
    <xf numFmtId="0" fontId="17" fillId="30" borderId="0" xfId="0" applyFont="1" applyFill="1" applyBorder="1" applyAlignment="1" applyProtection="1">
      <alignment horizontal="left" vertical="top"/>
    </xf>
    <xf numFmtId="0" fontId="0" fillId="0" borderId="0" xfId="0"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1" fontId="0" fillId="0" borderId="1" xfId="0" applyNumberFormat="1" applyBorder="1" applyAlignment="1">
      <alignment horizontal="left" vertical="top"/>
    </xf>
    <xf numFmtId="2" fontId="0" fillId="0" borderId="1" xfId="0" applyNumberFormat="1" applyBorder="1" applyAlignment="1">
      <alignment horizontal="left" vertical="top"/>
    </xf>
    <xf numFmtId="0" fontId="1" fillId="0" borderId="0" xfId="0" applyFont="1" applyAlignment="1">
      <alignment horizontal="left" vertical="top" wrapText="1"/>
    </xf>
    <xf numFmtId="1" fontId="1" fillId="0" borderId="0" xfId="0" applyNumberFormat="1" applyFont="1" applyAlignment="1">
      <alignment horizontal="left" vertical="top"/>
    </xf>
    <xf numFmtId="11" fontId="1" fillId="0" borderId="0" xfId="0" applyNumberFormat="1" applyFont="1" applyAlignment="1">
      <alignment horizontal="left" vertical="top"/>
    </xf>
    <xf numFmtId="11" fontId="0" fillId="0" borderId="0" xfId="0" applyNumberFormat="1" applyAlignment="1">
      <alignment horizontal="left" vertical="top"/>
    </xf>
    <xf numFmtId="0" fontId="32" fillId="32" borderId="1" xfId="0" applyFont="1" applyFill="1" applyBorder="1" applyAlignment="1" applyProtection="1">
      <alignment horizontal="center"/>
    </xf>
    <xf numFmtId="3" fontId="32" fillId="32" borderId="1" xfId="0" applyNumberFormat="1" applyFont="1" applyFill="1" applyBorder="1" applyProtection="1"/>
    <xf numFmtId="0" fontId="18" fillId="30" borderId="0" xfId="0" applyFont="1" applyFill="1" applyBorder="1" applyAlignment="1">
      <alignment horizontal="left" vertical="top"/>
    </xf>
    <xf numFmtId="0" fontId="44" fillId="0" borderId="88" xfId="0" applyFont="1" applyBorder="1"/>
    <xf numFmtId="0" fontId="44" fillId="0" borderId="90" xfId="0" applyFont="1" applyBorder="1"/>
    <xf numFmtId="10" fontId="44" fillId="0" borderId="88" xfId="0" applyNumberFormat="1" applyFont="1" applyBorder="1"/>
    <xf numFmtId="10" fontId="44" fillId="0" borderId="90" xfId="0" applyNumberFormat="1" applyFont="1" applyBorder="1"/>
    <xf numFmtId="0" fontId="46" fillId="0" borderId="0" xfId="0" applyFont="1" applyBorder="1"/>
    <xf numFmtId="10" fontId="46" fillId="0" borderId="0" xfId="0" applyNumberFormat="1" applyFont="1" applyBorder="1"/>
    <xf numFmtId="0" fontId="45" fillId="0" borderId="88" xfId="0" applyFont="1" applyBorder="1"/>
    <xf numFmtId="3" fontId="18" fillId="12" borderId="15" xfId="0" applyNumberFormat="1" applyFont="1" applyFill="1" applyBorder="1" applyAlignment="1">
      <alignment horizontal="left"/>
    </xf>
    <xf numFmtId="0" fontId="18" fillId="12" borderId="10" xfId="0" applyFont="1" applyFill="1" applyBorder="1" applyAlignment="1">
      <alignment horizontal="left"/>
    </xf>
    <xf numFmtId="3" fontId="18" fillId="12" borderId="1" xfId="0" applyNumberFormat="1" applyFont="1" applyFill="1" applyBorder="1" applyAlignment="1">
      <alignment horizontal="left"/>
    </xf>
    <xf numFmtId="0" fontId="18" fillId="12" borderId="12" xfId="0" applyFont="1" applyFill="1" applyBorder="1" applyAlignment="1">
      <alignment horizontal="left"/>
    </xf>
    <xf numFmtId="0" fontId="0" fillId="0" borderId="0" xfId="0" applyAlignment="1">
      <alignment horizontal="center" vertical="top"/>
    </xf>
    <xf numFmtId="0" fontId="44" fillId="0" borderId="0" xfId="0" applyFont="1" applyBorder="1" applyAlignment="1">
      <alignment horizontal="center" vertical="top"/>
    </xf>
    <xf numFmtId="16" fontId="0" fillId="0" borderId="0" xfId="0" applyNumberFormat="1" applyAlignment="1">
      <alignment horizontal="center" vertical="top"/>
    </xf>
    <xf numFmtId="0" fontId="40"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44" fillId="0" borderId="0" xfId="0" applyFont="1"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xf numFmtId="0" fontId="1" fillId="0" borderId="0" xfId="0" applyFont="1" applyFill="1" applyBorder="1" applyAlignment="1">
      <alignment horizontal="center" vertical="top"/>
    </xf>
    <xf numFmtId="0" fontId="1" fillId="0" borderId="0" xfId="0" applyFont="1" applyAlignment="1">
      <alignment horizontal="center" vertical="top"/>
    </xf>
    <xf numFmtId="0" fontId="1" fillId="0" borderId="17" xfId="0" applyFont="1" applyFill="1" applyBorder="1" applyAlignment="1">
      <alignment horizontal="left" vertical="top"/>
    </xf>
    <xf numFmtId="0" fontId="47" fillId="0" borderId="0" xfId="0" applyFont="1"/>
    <xf numFmtId="0" fontId="17" fillId="14" borderId="0" xfId="8" applyFont="1" applyFill="1" applyProtection="1"/>
    <xf numFmtId="0" fontId="32" fillId="14" borderId="0" xfId="8" applyFont="1" applyFill="1" applyBorder="1" applyAlignment="1" applyProtection="1"/>
    <xf numFmtId="0" fontId="31" fillId="14" borderId="0" xfId="4" applyFont="1" applyFill="1" applyBorder="1" applyProtection="1"/>
    <xf numFmtId="0" fontId="31" fillId="14" borderId="82" xfId="4" applyFont="1" applyFill="1" applyBorder="1" applyProtection="1"/>
    <xf numFmtId="0" fontId="17" fillId="14" borderId="0" xfId="8" applyFont="1" applyFill="1" applyBorder="1" applyAlignment="1" applyProtection="1">
      <alignment horizontal="left"/>
    </xf>
    <xf numFmtId="0" fontId="48" fillId="30" borderId="0" xfId="1" applyFont="1" applyFill="1" applyBorder="1" applyAlignment="1">
      <alignment horizontal="left" vertical="center" wrapText="1"/>
    </xf>
    <xf numFmtId="0" fontId="22" fillId="0" borderId="0" xfId="4" applyFont="1" applyFill="1" applyBorder="1" applyAlignment="1" applyProtection="1">
      <alignment horizontal="left" vertical="top" wrapText="1"/>
    </xf>
    <xf numFmtId="0" fontId="19" fillId="0" borderId="81" xfId="4" applyFont="1" applyFill="1" applyBorder="1" applyAlignment="1" applyProtection="1">
      <alignment horizontal="left" vertical="top"/>
    </xf>
    <xf numFmtId="0" fontId="19" fillId="0" borderId="0" xfId="4" applyFont="1" applyFill="1" applyBorder="1" applyAlignment="1" applyProtection="1">
      <alignment horizontal="left" vertical="top"/>
    </xf>
    <xf numFmtId="0" fontId="31" fillId="0" borderId="0" xfId="4" applyFont="1" applyFill="1" applyBorder="1" applyAlignment="1" applyProtection="1">
      <alignment horizontal="left" vertical="top"/>
    </xf>
    <xf numFmtId="0" fontId="17" fillId="0" borderId="0" xfId="9" applyFont="1" applyFill="1" applyBorder="1" applyAlignment="1" applyProtection="1">
      <alignment horizontal="left" vertical="top"/>
    </xf>
    <xf numFmtId="0" fontId="17" fillId="0" borderId="0" xfId="8" applyFont="1" applyAlignment="1" applyProtection="1">
      <alignment horizontal="left" vertical="top"/>
    </xf>
    <xf numFmtId="0" fontId="0" fillId="0" borderId="0" xfId="0" applyBorder="1" applyAlignment="1">
      <alignment horizontal="left" vertical="center"/>
    </xf>
    <xf numFmtId="0" fontId="18" fillId="0" borderId="0" xfId="0" applyFont="1" applyAlignment="1">
      <alignment horizontal="centerContinuous"/>
    </xf>
    <xf numFmtId="0" fontId="16" fillId="0" borderId="0" xfId="0" applyFont="1" applyAlignment="1">
      <alignment horizontal="centerContinuous"/>
    </xf>
    <xf numFmtId="0" fontId="16" fillId="0" borderId="0" xfId="0" applyFont="1"/>
    <xf numFmtId="0" fontId="52" fillId="0" borderId="0" xfId="0" applyFont="1" applyAlignment="1">
      <alignment horizontal="centerContinuous"/>
    </xf>
    <xf numFmtId="0" fontId="23" fillId="0" borderId="0" xfId="1" applyFont="1" applyFill="1" applyBorder="1" applyAlignment="1" applyProtection="1">
      <alignment vertical="top"/>
    </xf>
    <xf numFmtId="0" fontId="22" fillId="0" borderId="0" xfId="1" applyFont="1" applyFill="1" applyBorder="1" applyAlignment="1" applyProtection="1">
      <alignment vertical="top"/>
    </xf>
    <xf numFmtId="0" fontId="22" fillId="0" borderId="0" xfId="1" applyFont="1" applyFill="1" applyBorder="1" applyAlignment="1" applyProtection="1">
      <alignment vertical="top" wrapText="1"/>
    </xf>
    <xf numFmtId="0" fontId="22" fillId="0" borderId="0" xfId="1" applyFont="1" applyFill="1" applyBorder="1" applyAlignment="1" applyProtection="1">
      <alignment horizontal="center" vertical="center"/>
    </xf>
    <xf numFmtId="0" fontId="22" fillId="0" borderId="0" xfId="1" applyFont="1" applyFill="1" applyBorder="1" applyAlignment="1" applyProtection="1">
      <alignment horizontal="left" vertical="center"/>
    </xf>
    <xf numFmtId="0" fontId="22" fillId="12" borderId="45" xfId="4" applyFont="1" applyFill="1" applyBorder="1" applyAlignment="1">
      <alignment vertical="center"/>
    </xf>
    <xf numFmtId="0" fontId="22" fillId="12" borderId="24" xfId="4" applyFont="1" applyFill="1" applyBorder="1" applyAlignment="1">
      <alignment vertical="center"/>
    </xf>
    <xf numFmtId="0" fontId="22" fillId="12" borderId="2" xfId="4" applyFont="1" applyFill="1" applyBorder="1" applyAlignment="1">
      <alignment horizontal="centerContinuous" vertical="center"/>
    </xf>
    <xf numFmtId="0" fontId="22" fillId="12" borderId="25" xfId="4" applyFont="1" applyFill="1" applyBorder="1" applyAlignment="1">
      <alignment vertical="center"/>
    </xf>
    <xf numFmtId="0" fontId="22" fillId="12" borderId="45" xfId="4" applyFont="1" applyFill="1" applyBorder="1" applyAlignment="1">
      <alignment vertical="center" wrapText="1"/>
    </xf>
    <xf numFmtId="0" fontId="22" fillId="12" borderId="24" xfId="4" applyFont="1" applyFill="1" applyBorder="1" applyAlignment="1">
      <alignment vertical="center" wrapText="1"/>
    </xf>
    <xf numFmtId="44" fontId="22" fillId="10" borderId="2" xfId="3" applyFont="1" applyFill="1" applyBorder="1" applyAlignment="1" applyProtection="1">
      <alignment horizontal="centerContinuous" vertical="center"/>
      <protection locked="0"/>
    </xf>
    <xf numFmtId="0" fontId="22" fillId="12" borderId="46" xfId="4" applyFont="1" applyFill="1" applyBorder="1" applyAlignment="1">
      <alignment vertical="center"/>
    </xf>
    <xf numFmtId="44" fontId="22" fillId="12" borderId="36" xfId="4" applyNumberFormat="1" applyFont="1" applyFill="1" applyBorder="1" applyAlignment="1">
      <alignment horizontal="centerContinuous" vertical="center"/>
    </xf>
    <xf numFmtId="0" fontId="22" fillId="12" borderId="37" xfId="0" applyFont="1" applyFill="1" applyBorder="1" applyAlignment="1">
      <alignment horizontal="right" vertical="center"/>
    </xf>
    <xf numFmtId="0" fontId="18" fillId="0" borderId="31" xfId="0" applyFont="1" applyBorder="1" applyAlignment="1">
      <alignment horizontal="center"/>
    </xf>
    <xf numFmtId="0" fontId="23" fillId="4" borderId="20" xfId="0" applyFont="1" applyFill="1" applyBorder="1" applyAlignment="1">
      <alignment horizontal="centerContinuous" vertical="center"/>
    </xf>
    <xf numFmtId="0" fontId="54" fillId="4" borderId="19" xfId="0" applyFont="1" applyFill="1" applyBorder="1" applyAlignment="1">
      <alignment horizontal="centerContinuous" vertical="center"/>
    </xf>
    <xf numFmtId="0" fontId="18" fillId="12" borderId="4" xfId="0" applyFont="1" applyFill="1" applyBorder="1"/>
    <xf numFmtId="171" fontId="18" fillId="12" borderId="2" xfId="0" applyNumberFormat="1" applyFont="1" applyFill="1" applyBorder="1" applyAlignment="1">
      <alignment vertical="center"/>
    </xf>
    <xf numFmtId="0" fontId="18" fillId="12" borderId="92" xfId="0" applyFont="1" applyFill="1" applyBorder="1"/>
    <xf numFmtId="0" fontId="19" fillId="0" borderId="0" xfId="0" applyFont="1" applyAlignment="1">
      <alignment horizontal="right"/>
    </xf>
    <xf numFmtId="1" fontId="22" fillId="0" borderId="0" xfId="0" applyNumberFormat="1" applyFont="1"/>
    <xf numFmtId="0" fontId="18" fillId="12" borderId="4" xfId="0" applyFont="1" applyFill="1" applyBorder="1" applyAlignment="1">
      <alignment vertical="center"/>
    </xf>
    <xf numFmtId="0" fontId="18" fillId="0" borderId="0" xfId="0" applyFont="1" applyAlignment="1">
      <alignment vertical="center"/>
    </xf>
    <xf numFmtId="0" fontId="18" fillId="12" borderId="92" xfId="0" applyFont="1" applyFill="1" applyBorder="1" applyAlignment="1">
      <alignment vertical="center" wrapText="1"/>
    </xf>
    <xf numFmtId="0" fontId="18" fillId="12" borderId="55" xfId="0" applyFont="1" applyFill="1" applyBorder="1" applyAlignment="1">
      <alignment vertical="center" wrapText="1"/>
    </xf>
    <xf numFmtId="0" fontId="18" fillId="12" borderId="13" xfId="0" applyFont="1" applyFill="1" applyBorder="1" applyAlignment="1">
      <alignment vertical="center" wrapText="1"/>
    </xf>
    <xf numFmtId="0" fontId="21" fillId="0" borderId="0" xfId="1" applyFont="1" applyFill="1" applyBorder="1" applyAlignment="1">
      <alignment vertical="top" wrapText="1"/>
    </xf>
    <xf numFmtId="0" fontId="19" fillId="0" borderId="0" xfId="0" applyFont="1" applyAlignment="1">
      <alignment vertical="top"/>
    </xf>
    <xf numFmtId="0" fontId="23" fillId="2" borderId="20"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18" fillId="0" borderId="0" xfId="0" applyFont="1" applyAlignment="1">
      <alignment horizontal="left" vertical="top" readingOrder="1"/>
    </xf>
    <xf numFmtId="0" fontId="18" fillId="0" borderId="0" xfId="0" applyFont="1" applyAlignment="1">
      <alignment horizontal="centerContinuous" vertical="top" wrapText="1" readingOrder="1"/>
    </xf>
    <xf numFmtId="0" fontId="18" fillId="0" borderId="0" xfId="0" applyFont="1" applyAlignment="1">
      <alignment horizontal="centerContinuous" vertical="top" wrapText="1"/>
    </xf>
    <xf numFmtId="0" fontId="18" fillId="0" borderId="0" xfId="0" applyFont="1" applyAlignment="1">
      <alignment vertical="top"/>
    </xf>
    <xf numFmtId="0" fontId="50" fillId="0" borderId="0" xfId="0" applyFont="1" applyAlignment="1">
      <alignment horizontal="center" vertical="center" wrapText="1"/>
    </xf>
    <xf numFmtId="0" fontId="50" fillId="2" borderId="9"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30" fillId="14" borderId="0" xfId="0" applyFont="1" applyFill="1"/>
    <xf numFmtId="179" fontId="36" fillId="0" borderId="0" xfId="0" applyNumberFormat="1" applyFont="1" applyAlignment="1">
      <alignment horizontal="center" vertical="center" wrapText="1"/>
    </xf>
    <xf numFmtId="0" fontId="36" fillId="14" borderId="11" xfId="0" applyFont="1" applyFill="1" applyBorder="1" applyAlignment="1">
      <alignment horizontal="left" vertical="top" wrapText="1"/>
    </xf>
    <xf numFmtId="0" fontId="18" fillId="14" borderId="0" xfId="0" applyFont="1" applyFill="1" applyAlignment="1">
      <alignment horizontal="left" vertical="top"/>
    </xf>
    <xf numFmtId="0" fontId="23" fillId="2" borderId="1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30" fillId="0" borderId="0" xfId="0" applyFont="1" applyAlignment="1">
      <alignment horizontal="left" vertical="center"/>
    </xf>
    <xf numFmtId="0" fontId="18" fillId="0" borderId="1" xfId="0" applyFont="1" applyBorder="1" applyAlignment="1">
      <alignment horizontal="left" vertical="top" wrapText="1"/>
    </xf>
    <xf numFmtId="0" fontId="18" fillId="0" borderId="0" xfId="0" applyFont="1" applyAlignment="1">
      <alignment horizontal="left" vertical="top"/>
    </xf>
    <xf numFmtId="0" fontId="18" fillId="0" borderId="4" xfId="0" applyFont="1" applyBorder="1" applyAlignment="1">
      <alignment horizontal="left" vertical="center"/>
    </xf>
    <xf numFmtId="0" fontId="18" fillId="0" borderId="51" xfId="0" applyFont="1" applyBorder="1" applyAlignment="1">
      <alignment horizontal="left" vertical="center"/>
    </xf>
    <xf numFmtId="0" fontId="18" fillId="0" borderId="16" xfId="0" applyFont="1" applyBorder="1" applyAlignment="1">
      <alignment horizontal="left" vertical="top" wrapText="1"/>
    </xf>
    <xf numFmtId="0" fontId="26" fillId="0" borderId="0" xfId="0" applyFont="1" applyAlignment="1">
      <alignment horizontal="centerContinuous"/>
    </xf>
    <xf numFmtId="0" fontId="17" fillId="0" borderId="0" xfId="0" applyFont="1"/>
    <xf numFmtId="0" fontId="24" fillId="14" borderId="0" xfId="1" applyFont="1" applyFill="1" applyBorder="1" applyAlignment="1" applyProtection="1"/>
    <xf numFmtId="0" fontId="17" fillId="14" borderId="0" xfId="0" applyFont="1" applyFill="1" applyBorder="1" applyAlignment="1"/>
    <xf numFmtId="0" fontId="18" fillId="30" borderId="0" xfId="0" applyFont="1" applyFill="1" applyAlignment="1">
      <alignment horizontal="left" vertical="top"/>
    </xf>
    <xf numFmtId="0" fontId="56" fillId="30" borderId="0" xfId="0" applyFont="1" applyFill="1" applyBorder="1" applyAlignment="1">
      <alignment horizontal="left" vertical="top" wrapText="1"/>
    </xf>
    <xf numFmtId="0" fontId="57" fillId="30" borderId="0" xfId="0" applyFont="1" applyFill="1" applyAlignment="1">
      <alignment horizontal="left" vertical="top"/>
    </xf>
    <xf numFmtId="11" fontId="60" fillId="0" borderId="0" xfId="0" quotePrefix="1" applyNumberFormat="1" applyFont="1"/>
    <xf numFmtId="0" fontId="17" fillId="30" borderId="0" xfId="0" applyFont="1" applyFill="1" applyAlignment="1">
      <alignment horizontal="left" vertical="top"/>
    </xf>
    <xf numFmtId="0" fontId="16" fillId="30" borderId="0" xfId="0" applyFont="1" applyFill="1" applyBorder="1" applyAlignment="1">
      <alignment horizontal="center" vertical="center"/>
    </xf>
    <xf numFmtId="2" fontId="32" fillId="30" borderId="0" xfId="0" applyNumberFormat="1" applyFont="1" applyFill="1" applyBorder="1" applyAlignment="1">
      <alignment horizontal="left" vertical="top"/>
    </xf>
    <xf numFmtId="0" fontId="16" fillId="14" borderId="0" xfId="0" applyFont="1" applyFill="1" applyBorder="1" applyAlignment="1">
      <alignment horizontal="center" vertical="center"/>
    </xf>
    <xf numFmtId="0" fontId="32" fillId="14" borderId="0" xfId="0" applyFont="1" applyFill="1" applyBorder="1" applyAlignment="1">
      <alignment horizontal="center" vertical="center"/>
    </xf>
    <xf numFmtId="0" fontId="17" fillId="14" borderId="0" xfId="0" applyFont="1" applyFill="1" applyBorder="1" applyAlignment="1">
      <alignment horizontal="left" vertical="top"/>
    </xf>
    <xf numFmtId="2" fontId="32" fillId="14" borderId="0" xfId="0" applyNumberFormat="1" applyFont="1" applyFill="1" applyBorder="1" applyAlignment="1">
      <alignment horizontal="left" vertical="top"/>
    </xf>
    <xf numFmtId="0" fontId="19" fillId="30" borderId="0" xfId="0" applyFont="1" applyFill="1" applyBorder="1" applyAlignment="1">
      <alignment horizontal="left" vertical="top"/>
    </xf>
    <xf numFmtId="0" fontId="32" fillId="30" borderId="0" xfId="0" applyFont="1" applyFill="1" applyBorder="1" applyAlignment="1">
      <alignment horizontal="center" vertical="center"/>
    </xf>
    <xf numFmtId="0" fontId="16" fillId="30" borderId="0" xfId="0" applyFont="1" applyFill="1" applyBorder="1" applyAlignment="1">
      <alignment vertical="center"/>
    </xf>
    <xf numFmtId="0" fontId="18" fillId="30" borderId="0" xfId="0" applyFont="1" applyFill="1" applyBorder="1" applyAlignment="1">
      <alignment horizontal="left" vertical="top" wrapText="1"/>
    </xf>
    <xf numFmtId="0" fontId="60" fillId="0" borderId="0" xfId="0" applyFont="1"/>
    <xf numFmtId="0" fontId="63" fillId="30" borderId="0" xfId="0" applyFont="1" applyFill="1" applyBorder="1" applyAlignment="1">
      <alignment vertical="top"/>
    </xf>
    <xf numFmtId="0" fontId="63" fillId="30" borderId="0" xfId="0" applyFont="1" applyFill="1" applyBorder="1" applyAlignment="1">
      <alignment vertical="top" wrapText="1"/>
    </xf>
    <xf numFmtId="0" fontId="36" fillId="30" borderId="0" xfId="0" applyFont="1" applyFill="1" applyBorder="1" applyAlignment="1">
      <alignment horizontal="left"/>
    </xf>
    <xf numFmtId="0" fontId="22" fillId="30" borderId="0" xfId="0" applyFont="1" applyFill="1" applyBorder="1" applyAlignment="1">
      <alignment horizontal="left"/>
    </xf>
    <xf numFmtId="0" fontId="18" fillId="30" borderId="0" xfId="0" applyFont="1" applyFill="1" applyBorder="1" applyAlignment="1">
      <alignment horizontal="left" vertical="center"/>
    </xf>
    <xf numFmtId="0" fontId="19" fillId="30" borderId="0" xfId="0" applyFont="1" applyFill="1" applyAlignment="1">
      <alignment horizontal="left" vertical="top"/>
    </xf>
    <xf numFmtId="3" fontId="18" fillId="12" borderId="18" xfId="0" applyNumberFormat="1" applyFont="1" applyFill="1" applyBorder="1" applyAlignment="1">
      <alignment vertical="center"/>
    </xf>
    <xf numFmtId="0" fontId="18" fillId="12" borderId="10" xfId="0" applyNumberFormat="1" applyFont="1" applyFill="1" applyBorder="1" applyAlignment="1">
      <alignment vertical="center"/>
    </xf>
    <xf numFmtId="0" fontId="16" fillId="0" borderId="0" xfId="0" applyFont="1" applyAlignment="1">
      <alignment horizontal="center"/>
    </xf>
    <xf numFmtId="0" fontId="18" fillId="12" borderId="4" xfId="0" applyFont="1" applyFill="1" applyBorder="1" applyAlignment="1">
      <alignment horizontal="center" vertical="center"/>
    </xf>
    <xf numFmtId="0" fontId="18" fillId="12" borderId="2" xfId="0" applyFont="1" applyFill="1" applyBorder="1" applyAlignment="1">
      <alignment horizontal="left" vertical="center"/>
    </xf>
    <xf numFmtId="0" fontId="18" fillId="9" borderId="4" xfId="0" applyFont="1" applyFill="1" applyBorder="1" applyAlignment="1">
      <alignment horizontal="left" vertical="center" wrapText="1"/>
    </xf>
    <xf numFmtId="0" fontId="18" fillId="9" borderId="92" xfId="0" applyFont="1" applyFill="1" applyBorder="1" applyAlignment="1">
      <alignment horizontal="left" vertical="center" wrapText="1"/>
    </xf>
    <xf numFmtId="0" fontId="18" fillId="11" borderId="4" xfId="0" applyFont="1" applyFill="1" applyBorder="1" applyAlignment="1">
      <alignment horizontal="left" vertical="center" wrapText="1"/>
    </xf>
    <xf numFmtId="0" fontId="18" fillId="33" borderId="4" xfId="0" applyFont="1" applyFill="1" applyBorder="1" applyAlignment="1">
      <alignment horizontal="left" vertical="center" wrapText="1"/>
    </xf>
    <xf numFmtId="0" fontId="18" fillId="14" borderId="2" xfId="0" applyFont="1" applyFill="1" applyBorder="1" applyAlignment="1">
      <alignment horizontal="left" vertical="center" wrapText="1"/>
    </xf>
    <xf numFmtId="0" fontId="18" fillId="14" borderId="18" xfId="0" applyFont="1" applyFill="1" applyBorder="1" applyAlignment="1">
      <alignment horizontal="left" vertical="center" wrapText="1"/>
    </xf>
    <xf numFmtId="0" fontId="18" fillId="14" borderId="0" xfId="0" applyFont="1" applyFill="1" applyAlignment="1">
      <alignment horizontal="left" wrapText="1"/>
    </xf>
    <xf numFmtId="0" fontId="23" fillId="2" borderId="50" xfId="0" applyFont="1" applyFill="1" applyBorder="1" applyAlignment="1">
      <alignment horizontal="center" vertical="center" wrapText="1"/>
    </xf>
    <xf numFmtId="0" fontId="57" fillId="14" borderId="0" xfId="0" applyFont="1" applyFill="1" applyAlignment="1">
      <alignment horizontal="left" vertical="top"/>
    </xf>
    <xf numFmtId="0" fontId="58" fillId="14" borderId="0" xfId="1" applyFont="1" applyFill="1" applyAlignment="1">
      <alignment horizontal="left" vertical="top"/>
    </xf>
    <xf numFmtId="0" fontId="57" fillId="14" borderId="0" xfId="0" applyFont="1" applyFill="1" applyBorder="1" applyAlignment="1">
      <alignment horizontal="left" vertical="top"/>
    </xf>
    <xf numFmtId="173" fontId="0" fillId="0" borderId="1" xfId="0" applyNumberFormat="1" applyBorder="1" applyAlignment="1">
      <alignment horizontal="left" vertical="top"/>
    </xf>
    <xf numFmtId="0" fontId="26" fillId="0" borderId="0" xfId="0" applyFont="1" applyAlignment="1">
      <alignment horizontal="center"/>
    </xf>
    <xf numFmtId="3" fontId="18" fillId="12" borderId="2" xfId="0" applyNumberFormat="1" applyFont="1" applyFill="1" applyBorder="1" applyAlignment="1">
      <alignment vertical="center"/>
    </xf>
    <xf numFmtId="0" fontId="33" fillId="0" borderId="0" xfId="8" applyFont="1" applyBorder="1" applyAlignment="1" applyProtection="1">
      <alignment horizontal="center"/>
    </xf>
    <xf numFmtId="0" fontId="33" fillId="0" borderId="82" xfId="8" applyFont="1" applyBorder="1" applyAlignment="1" applyProtection="1">
      <alignment horizontal="center"/>
    </xf>
    <xf numFmtId="0" fontId="27" fillId="0" borderId="0" xfId="0" applyFont="1" applyFill="1" applyBorder="1" applyAlignment="1">
      <alignment horizontal="center" vertical="center"/>
    </xf>
    <xf numFmtId="0" fontId="17" fillId="0" borderId="0" xfId="0" applyFont="1" applyFill="1" applyBorder="1" applyAlignment="1">
      <alignment horizontal="center"/>
    </xf>
    <xf numFmtId="0" fontId="28" fillId="0" borderId="0" xfId="0" applyFont="1" applyFill="1" applyBorder="1" applyAlignment="1">
      <alignment horizontal="center" vertical="center"/>
    </xf>
    <xf numFmtId="2" fontId="1" fillId="0" borderId="0" xfId="0" applyNumberFormat="1" applyFont="1" applyAlignment="1">
      <alignment horizontal="left" vertical="top"/>
    </xf>
    <xf numFmtId="0" fontId="22" fillId="14" borderId="0" xfId="0" applyFont="1" applyFill="1" applyBorder="1" applyAlignment="1">
      <alignment horizontal="left" vertical="top"/>
    </xf>
    <xf numFmtId="0" fontId="23" fillId="14" borderId="0" xfId="0" applyFont="1" applyFill="1" applyBorder="1" applyAlignment="1">
      <alignment horizontal="left" vertical="top"/>
    </xf>
    <xf numFmtId="0" fontId="22" fillId="14" borderId="0" xfId="1" applyFont="1" applyFill="1" applyBorder="1" applyAlignment="1">
      <alignment horizontal="left" vertical="top"/>
    </xf>
    <xf numFmtId="0" fontId="22" fillId="14" borderId="0" xfId="1" applyFont="1" applyFill="1" applyBorder="1" applyAlignment="1" applyProtection="1">
      <alignment vertical="top"/>
    </xf>
    <xf numFmtId="0" fontId="22" fillId="14" borderId="0" xfId="0" applyFont="1" applyFill="1" applyBorder="1" applyAlignment="1">
      <alignment vertical="top"/>
    </xf>
    <xf numFmtId="0" fontId="22" fillId="0" borderId="0" xfId="0" applyFont="1" applyAlignment="1">
      <alignment vertical="top"/>
    </xf>
    <xf numFmtId="0" fontId="22" fillId="0" borderId="0" xfId="1" applyFont="1"/>
    <xf numFmtId="0" fontId="26" fillId="14" borderId="0" xfId="0" applyFont="1" applyFill="1" applyBorder="1" applyAlignment="1">
      <alignment horizontal="center" vertical="top"/>
    </xf>
    <xf numFmtId="0" fontId="23" fillId="14" borderId="0" xfId="0" applyFont="1" applyFill="1" applyBorder="1" applyAlignment="1">
      <alignment horizontal="center" vertical="top"/>
    </xf>
    <xf numFmtId="4" fontId="17" fillId="2" borderId="88"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Alignment="1">
      <alignment horizontal="left" vertical="top"/>
    </xf>
    <xf numFmtId="0" fontId="32" fillId="0" borderId="88" xfId="0" applyFont="1" applyFill="1" applyBorder="1" applyAlignment="1">
      <alignment horizontal="left" vertical="top"/>
    </xf>
    <xf numFmtId="0" fontId="32" fillId="0" borderId="89" xfId="0" applyFont="1" applyFill="1" applyBorder="1" applyAlignment="1">
      <alignment horizontal="left" vertical="top" wrapText="1"/>
    </xf>
    <xf numFmtId="0" fontId="32" fillId="0" borderId="1" xfId="0" applyFont="1" applyBorder="1" applyAlignment="1">
      <alignment horizontal="left" vertical="top"/>
    </xf>
    <xf numFmtId="0" fontId="32" fillId="0" borderId="0" xfId="0" applyFont="1" applyFill="1" applyBorder="1" applyAlignment="1">
      <alignment horizontal="left" vertical="top"/>
    </xf>
    <xf numFmtId="0" fontId="17" fillId="31" borderId="90" xfId="0" applyFont="1" applyFill="1" applyBorder="1" applyAlignment="1">
      <alignment horizontal="left" vertical="top"/>
    </xf>
    <xf numFmtId="0" fontId="17" fillId="31" borderId="89" xfId="0" applyFont="1" applyFill="1" applyBorder="1" applyAlignment="1">
      <alignment horizontal="left" vertical="top"/>
    </xf>
    <xf numFmtId="0" fontId="17" fillId="33" borderId="1" xfId="0" applyFont="1" applyFill="1" applyBorder="1" applyAlignment="1">
      <alignment horizontal="left" vertical="top"/>
    </xf>
    <xf numFmtId="0" fontId="17" fillId="11" borderId="1" xfId="0" applyFont="1" applyFill="1" applyBorder="1" applyAlignment="1">
      <alignment horizontal="left" vertical="top"/>
    </xf>
    <xf numFmtId="0" fontId="17" fillId="0" borderId="0" xfId="0" applyFont="1" applyFill="1" applyAlignment="1">
      <alignment horizontal="left" vertical="top"/>
    </xf>
    <xf numFmtId="0" fontId="49" fillId="0" borderId="0" xfId="0" applyFont="1" applyBorder="1" applyAlignment="1">
      <alignment horizontal="left" vertical="top"/>
    </xf>
    <xf numFmtId="0" fontId="32" fillId="0" borderId="0" xfId="0" applyFont="1" applyFill="1" applyAlignment="1">
      <alignment horizontal="left" vertical="top"/>
    </xf>
    <xf numFmtId="0" fontId="36" fillId="0" borderId="0" xfId="0" applyFont="1" applyFill="1" applyBorder="1" applyAlignment="1">
      <alignment horizontal="left"/>
    </xf>
    <xf numFmtId="0" fontId="66" fillId="0" borderId="18" xfId="0" applyFont="1" applyFill="1" applyBorder="1" applyAlignment="1">
      <alignment horizontal="left" vertical="top"/>
    </xf>
    <xf numFmtId="0" fontId="66" fillId="0" borderId="96" xfId="0" applyFont="1" applyFill="1" applyBorder="1" applyAlignment="1">
      <alignment horizontal="left" vertical="top" wrapText="1"/>
    </xf>
    <xf numFmtId="0" fontId="66" fillId="0" borderId="92" xfId="0" applyFont="1" applyFill="1" applyBorder="1" applyAlignment="1">
      <alignment horizontal="left" vertical="top" wrapText="1"/>
    </xf>
    <xf numFmtId="0" fontId="49" fillId="33" borderId="90" xfId="0" applyFont="1" applyFill="1" applyBorder="1" applyAlignment="1">
      <alignment horizontal="left"/>
    </xf>
    <xf numFmtId="2" fontId="49" fillId="33" borderId="1" xfId="0" applyNumberFormat="1" applyFont="1" applyFill="1" applyBorder="1" applyAlignment="1">
      <alignment horizontal="left"/>
    </xf>
    <xf numFmtId="2" fontId="49" fillId="33" borderId="4" xfId="0" applyNumberFormat="1" applyFont="1" applyFill="1" applyBorder="1" applyAlignment="1">
      <alignment horizontal="left"/>
    </xf>
    <xf numFmtId="0" fontId="49" fillId="11" borderId="90" xfId="0" applyFont="1" applyFill="1" applyBorder="1" applyAlignment="1">
      <alignment horizontal="left"/>
    </xf>
    <xf numFmtId="2" fontId="61" fillId="11" borderId="6" xfId="0" applyNumberFormat="1" applyFont="1" applyFill="1" applyBorder="1" applyAlignment="1">
      <alignment horizontal="left"/>
    </xf>
    <xf numFmtId="2" fontId="61" fillId="11" borderId="20" xfId="0" applyNumberFormat="1" applyFont="1" applyFill="1" applyBorder="1" applyAlignment="1">
      <alignment horizontal="left"/>
    </xf>
    <xf numFmtId="2" fontId="49" fillId="11" borderId="20" xfId="0" applyNumberFormat="1" applyFont="1" applyFill="1" applyBorder="1" applyAlignment="1">
      <alignment horizontal="left"/>
    </xf>
    <xf numFmtId="2" fontId="49" fillId="33" borderId="6" xfId="0" applyNumberFormat="1" applyFont="1" applyFill="1" applyBorder="1" applyAlignment="1">
      <alignment horizontal="left"/>
    </xf>
    <xf numFmtId="2" fontId="49" fillId="33" borderId="20" xfId="0" applyNumberFormat="1" applyFont="1" applyFill="1" applyBorder="1" applyAlignment="1">
      <alignment horizontal="left"/>
    </xf>
    <xf numFmtId="2" fontId="61" fillId="33" borderId="6" xfId="0" applyNumberFormat="1" applyFont="1" applyFill="1" applyBorder="1" applyAlignment="1">
      <alignment horizontal="left"/>
    </xf>
    <xf numFmtId="2" fontId="61" fillId="33" borderId="20" xfId="0" applyNumberFormat="1" applyFont="1" applyFill="1" applyBorder="1" applyAlignment="1">
      <alignment horizontal="left"/>
    </xf>
    <xf numFmtId="0" fontId="17" fillId="0" borderId="88" xfId="0" applyFont="1" applyFill="1" applyBorder="1" applyAlignment="1">
      <alignment horizontal="left" vertical="top"/>
    </xf>
    <xf numFmtId="0" fontId="16" fillId="0" borderId="0" xfId="0" applyFont="1" applyFill="1" applyAlignment="1">
      <alignment horizontal="left" vertical="top"/>
    </xf>
    <xf numFmtId="0" fontId="32" fillId="0" borderId="55" xfId="0" applyFont="1" applyFill="1" applyBorder="1" applyAlignment="1">
      <alignment horizontal="left" vertical="top"/>
    </xf>
    <xf numFmtId="0" fontId="32" fillId="0" borderId="56" xfId="0" applyFont="1" applyFill="1" applyBorder="1" applyAlignment="1">
      <alignment horizontal="left" vertical="top"/>
    </xf>
    <xf numFmtId="0" fontId="32" fillId="0" borderId="58" xfId="0" applyFont="1" applyFill="1" applyBorder="1" applyAlignment="1">
      <alignment horizontal="left" vertical="top"/>
    </xf>
    <xf numFmtId="0" fontId="32" fillId="0" borderId="85" xfId="0" applyFont="1" applyFill="1" applyBorder="1" applyAlignment="1">
      <alignment horizontal="left" vertical="top"/>
    </xf>
    <xf numFmtId="0" fontId="32" fillId="0" borderId="56" xfId="0" applyFont="1" applyBorder="1" applyAlignment="1">
      <alignment horizontal="left" vertical="top"/>
    </xf>
    <xf numFmtId="0" fontId="32" fillId="0" borderId="58" xfId="0" applyFont="1" applyBorder="1" applyAlignment="1">
      <alignment horizontal="left" vertical="top"/>
    </xf>
    <xf numFmtId="0" fontId="32" fillId="0" borderId="44" xfId="0" applyFont="1" applyBorder="1" applyAlignment="1">
      <alignment horizontal="left" vertical="top"/>
    </xf>
    <xf numFmtId="0" fontId="17" fillId="33" borderId="9" xfId="0" applyFont="1" applyFill="1" applyBorder="1" applyAlignment="1">
      <alignment horizontal="left" vertical="top"/>
    </xf>
    <xf numFmtId="0" fontId="17" fillId="33" borderId="15" xfId="0" applyFont="1" applyFill="1" applyBorder="1" applyAlignment="1">
      <alignment horizontal="left" vertical="top"/>
    </xf>
    <xf numFmtId="0" fontId="17" fillId="33" borderId="10" xfId="0" applyFont="1" applyFill="1" applyBorder="1" applyAlignment="1">
      <alignment horizontal="left" vertical="top"/>
    </xf>
    <xf numFmtId="4" fontId="17" fillId="33" borderId="15" xfId="0" applyNumberFormat="1" applyFont="1" applyFill="1" applyBorder="1" applyAlignment="1">
      <alignment horizontal="left" vertical="top"/>
    </xf>
    <xf numFmtId="4" fontId="17" fillId="33" borderId="10" xfId="0" applyNumberFormat="1" applyFont="1" applyFill="1" applyBorder="1" applyAlignment="1">
      <alignment horizontal="left" vertical="top"/>
    </xf>
    <xf numFmtId="0" fontId="17" fillId="11" borderId="11" xfId="0" applyFont="1" applyFill="1" applyBorder="1" applyAlignment="1">
      <alignment horizontal="left" vertical="top"/>
    </xf>
    <xf numFmtId="0" fontId="17" fillId="11" borderId="12" xfId="0" applyFont="1" applyFill="1" applyBorder="1" applyAlignment="1">
      <alignment horizontal="left" vertical="top"/>
    </xf>
    <xf numFmtId="4" fontId="17" fillId="11" borderId="1" xfId="0" applyNumberFormat="1" applyFont="1" applyFill="1" applyBorder="1" applyAlignment="1">
      <alignment horizontal="left" vertical="top"/>
    </xf>
    <xf numFmtId="4" fontId="17" fillId="11" borderId="12" xfId="0" applyNumberFormat="1" applyFont="1" applyFill="1" applyBorder="1" applyAlignment="1">
      <alignment horizontal="left" vertical="top"/>
    </xf>
    <xf numFmtId="0" fontId="17" fillId="33" borderId="11" xfId="0" applyFont="1" applyFill="1" applyBorder="1" applyAlignment="1">
      <alignment horizontal="left" vertical="top"/>
    </xf>
    <xf numFmtId="0" fontId="17" fillId="33" borderId="12" xfId="0" applyFont="1" applyFill="1" applyBorder="1" applyAlignment="1">
      <alignment horizontal="left" vertical="top"/>
    </xf>
    <xf numFmtId="4" fontId="17" fillId="33" borderId="1" xfId="0" applyNumberFormat="1" applyFont="1" applyFill="1" applyBorder="1" applyAlignment="1">
      <alignment horizontal="left" vertical="top"/>
    </xf>
    <xf numFmtId="4" fontId="17" fillId="33" borderId="12" xfId="0" applyNumberFormat="1" applyFont="1" applyFill="1" applyBorder="1" applyAlignment="1">
      <alignment horizontal="left" vertical="top"/>
    </xf>
    <xf numFmtId="0" fontId="17" fillId="33" borderId="13" xfId="0" applyFont="1" applyFill="1" applyBorder="1" applyAlignment="1">
      <alignment horizontal="left" vertical="top"/>
    </xf>
    <xf numFmtId="0" fontId="17" fillId="33" borderId="16" xfId="0" applyFont="1" applyFill="1" applyBorder="1" applyAlignment="1">
      <alignment horizontal="left" vertical="top"/>
    </xf>
    <xf numFmtId="0" fontId="17" fillId="33" borderId="14" xfId="0" applyFont="1" applyFill="1" applyBorder="1" applyAlignment="1">
      <alignment horizontal="left" vertical="top"/>
    </xf>
    <xf numFmtId="4" fontId="17" fillId="33" borderId="16" xfId="0" applyNumberFormat="1" applyFont="1" applyFill="1" applyBorder="1" applyAlignment="1">
      <alignment horizontal="left" vertical="top"/>
    </xf>
    <xf numFmtId="4" fontId="17" fillId="33" borderId="14" xfId="0" applyNumberFormat="1" applyFont="1" applyFill="1" applyBorder="1" applyAlignment="1">
      <alignment horizontal="left" vertical="top"/>
    </xf>
    <xf numFmtId="0" fontId="32" fillId="0" borderId="1" xfId="0" applyFont="1" applyFill="1" applyBorder="1" applyAlignment="1">
      <alignment horizontal="left" vertical="top" wrapText="1"/>
    </xf>
    <xf numFmtId="0" fontId="32" fillId="0" borderId="1" xfId="0" applyFont="1" applyBorder="1" applyAlignment="1">
      <alignment horizontal="left" vertical="top" wrapText="1"/>
    </xf>
    <xf numFmtId="10" fontId="0" fillId="0" borderId="1" xfId="0" applyNumberFormat="1" applyBorder="1" applyAlignment="1">
      <alignment horizontal="left" vertical="top"/>
    </xf>
    <xf numFmtId="10" fontId="0" fillId="0" borderId="1" xfId="0" applyNumberFormat="1" applyBorder="1" applyAlignment="1">
      <alignment vertical="top"/>
    </xf>
    <xf numFmtId="167" fontId="0" fillId="0" borderId="1" xfId="0" applyNumberFormat="1" applyBorder="1" applyAlignment="1">
      <alignment vertical="top"/>
    </xf>
    <xf numFmtId="4" fontId="0" fillId="0" borderId="1" xfId="0" applyNumberFormat="1" applyBorder="1"/>
    <xf numFmtId="0" fontId="32" fillId="0" borderId="43" xfId="0" applyFont="1" applyFill="1" applyBorder="1" applyAlignment="1">
      <alignment horizontal="left" vertical="top"/>
    </xf>
    <xf numFmtId="0" fontId="17" fillId="33" borderId="50" xfId="0" applyFont="1" applyFill="1" applyBorder="1" applyAlignment="1">
      <alignment horizontal="left" vertical="top"/>
    </xf>
    <xf numFmtId="0" fontId="17" fillId="11" borderId="4" xfId="0" applyFont="1" applyFill="1" applyBorder="1" applyAlignment="1">
      <alignment horizontal="left" vertical="top"/>
    </xf>
    <xf numFmtId="0" fontId="17" fillId="33" borderId="4" xfId="0" applyFont="1" applyFill="1" applyBorder="1" applyAlignment="1">
      <alignment horizontal="left" vertical="top"/>
    </xf>
    <xf numFmtId="0" fontId="17" fillId="33" borderId="51" xfId="0" applyFont="1" applyFill="1" applyBorder="1" applyAlignment="1">
      <alignment horizontal="left" vertical="top"/>
    </xf>
    <xf numFmtId="4" fontId="17" fillId="33" borderId="35" xfId="0" applyNumberFormat="1" applyFont="1" applyFill="1" applyBorder="1" applyAlignment="1">
      <alignment horizontal="left" vertical="top"/>
    </xf>
    <xf numFmtId="4" fontId="17" fillId="11" borderId="2" xfId="0" applyNumberFormat="1" applyFont="1" applyFill="1" applyBorder="1" applyAlignment="1">
      <alignment horizontal="left" vertical="top"/>
    </xf>
    <xf numFmtId="4" fontId="17" fillId="33" borderId="2" xfId="0" applyNumberFormat="1" applyFont="1" applyFill="1" applyBorder="1" applyAlignment="1">
      <alignment horizontal="left" vertical="top"/>
    </xf>
    <xf numFmtId="4" fontId="17" fillId="33" borderId="36" xfId="0" applyNumberFormat="1" applyFont="1" applyFill="1" applyBorder="1" applyAlignment="1">
      <alignment horizontal="left" vertical="top"/>
    </xf>
    <xf numFmtId="4" fontId="17" fillId="33" borderId="9" xfId="0" applyNumberFormat="1" applyFont="1" applyFill="1" applyBorder="1" applyAlignment="1">
      <alignment horizontal="left" vertical="top"/>
    </xf>
    <xf numFmtId="4" fontId="17" fillId="33" borderId="11" xfId="0" applyNumberFormat="1" applyFont="1" applyFill="1" applyBorder="1" applyAlignment="1">
      <alignment horizontal="left" vertical="top"/>
    </xf>
    <xf numFmtId="4" fontId="17" fillId="33" borderId="13" xfId="0" applyNumberFormat="1" applyFont="1" applyFill="1" applyBorder="1" applyAlignment="1">
      <alignment horizontal="left" vertical="top"/>
    </xf>
    <xf numFmtId="4" fontId="17" fillId="11" borderId="11" xfId="0" applyNumberFormat="1" applyFont="1" applyFill="1" applyBorder="1" applyAlignment="1">
      <alignment horizontal="left" vertical="top"/>
    </xf>
    <xf numFmtId="0" fontId="24" fillId="0" borderId="0" xfId="1" applyFont="1" applyBorder="1"/>
    <xf numFmtId="0" fontId="17" fillId="0" borderId="0" xfId="0" applyFont="1" applyBorder="1" applyAlignment="1">
      <alignment horizontal="left"/>
    </xf>
    <xf numFmtId="0" fontId="32" fillId="5" borderId="21" xfId="0" applyFont="1" applyFill="1" applyBorder="1" applyAlignment="1">
      <alignment horizontal="center" vertical="center"/>
    </xf>
    <xf numFmtId="0" fontId="32" fillId="5" borderId="5" xfId="0" applyFont="1" applyFill="1" applyBorder="1" applyAlignment="1">
      <alignment horizontal="center" vertical="center" wrapText="1"/>
    </xf>
    <xf numFmtId="0" fontId="32" fillId="5" borderId="5" xfId="0" applyFont="1" applyFill="1" applyBorder="1" applyAlignment="1">
      <alignment horizontal="center" vertical="center"/>
    </xf>
    <xf numFmtId="0" fontId="32" fillId="5" borderId="28" xfId="0" applyFont="1" applyFill="1" applyBorder="1" applyAlignment="1">
      <alignment horizontal="center" vertical="center"/>
    </xf>
    <xf numFmtId="0" fontId="17" fillId="0" borderId="9" xfId="0" applyFont="1" applyBorder="1" applyAlignment="1">
      <alignment vertical="center" wrapText="1"/>
    </xf>
    <xf numFmtId="0" fontId="61" fillId="0" borderId="15" xfId="0" applyFont="1" applyBorder="1" applyAlignment="1">
      <alignment horizontal="center" vertical="center"/>
    </xf>
    <xf numFmtId="0" fontId="17" fillId="0" borderId="35" xfId="0" applyFont="1" applyBorder="1" applyAlignment="1">
      <alignment horizontal="center" vertical="center" wrapText="1"/>
    </xf>
    <xf numFmtId="0" fontId="17" fillId="0" borderId="11" xfId="0" applyFont="1" applyBorder="1" applyAlignment="1">
      <alignment vertical="center" wrapText="1"/>
    </xf>
    <xf numFmtId="168" fontId="61" fillId="0" borderId="1"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13" xfId="0" applyFont="1" applyBorder="1" applyAlignment="1">
      <alignment vertical="center" wrapText="1"/>
    </xf>
    <xf numFmtId="0" fontId="61" fillId="0" borderId="16" xfId="0" applyFont="1" applyFill="1" applyBorder="1" applyAlignment="1">
      <alignment horizontal="center" vertical="center"/>
    </xf>
    <xf numFmtId="0" fontId="17" fillId="0" borderId="36" xfId="0" applyFont="1" applyBorder="1" applyAlignment="1">
      <alignment horizontal="center" vertical="center" wrapText="1"/>
    </xf>
    <xf numFmtId="0" fontId="17" fillId="0" borderId="27" xfId="0" applyFont="1" applyBorder="1" applyAlignment="1">
      <alignment vertical="center" wrapText="1"/>
    </xf>
    <xf numFmtId="0" fontId="61" fillId="0" borderId="6" xfId="0" applyFont="1" applyFill="1" applyBorder="1" applyAlignment="1">
      <alignment horizontal="center" vertical="center"/>
    </xf>
    <xf numFmtId="0" fontId="17" fillId="0" borderId="19" xfId="0" applyFont="1" applyBorder="1" applyAlignment="1">
      <alignment horizontal="center" vertical="center"/>
    </xf>
    <xf numFmtId="2" fontId="61" fillId="0" borderId="1" xfId="0" applyNumberFormat="1" applyFont="1" applyFill="1" applyBorder="1" applyAlignment="1">
      <alignment horizontal="center" vertical="center"/>
    </xf>
    <xf numFmtId="0" fontId="17" fillId="0" borderId="2" xfId="0" applyFont="1" applyBorder="1" applyAlignment="1">
      <alignment horizontal="center" vertical="center"/>
    </xf>
    <xf numFmtId="0" fontId="17" fillId="0" borderId="36" xfId="0" applyFont="1" applyBorder="1" applyAlignment="1">
      <alignment horizontal="center" vertical="center"/>
    </xf>
    <xf numFmtId="0" fontId="17" fillId="0" borderId="0" xfId="0" applyFont="1" applyAlignment="1">
      <alignment vertical="center"/>
    </xf>
    <xf numFmtId="0" fontId="32" fillId="6" borderId="11" xfId="0" applyFont="1" applyFill="1" applyBorder="1" applyAlignment="1">
      <alignment horizontal="center" vertical="center"/>
    </xf>
    <xf numFmtId="0" fontId="32" fillId="6" borderId="1" xfId="0" applyFont="1" applyFill="1" applyBorder="1" applyAlignment="1">
      <alignment horizontal="center" vertical="center" wrapText="1"/>
    </xf>
    <xf numFmtId="0" fontId="32" fillId="6" borderId="1" xfId="0" applyFont="1" applyFill="1" applyBorder="1" applyAlignment="1">
      <alignment horizontal="center" vertical="center"/>
    </xf>
    <xf numFmtId="0" fontId="32" fillId="6" borderId="28" xfId="0" applyFont="1" applyFill="1" applyBorder="1" applyAlignment="1">
      <alignment horizontal="center" vertical="center"/>
    </xf>
    <xf numFmtId="0" fontId="17" fillId="0" borderId="11" xfId="0" applyFont="1" applyBorder="1" applyAlignment="1">
      <alignment horizontal="left" vertical="center" wrapText="1"/>
    </xf>
    <xf numFmtId="165" fontId="61" fillId="0" borderId="1" xfId="0" applyNumberFormat="1" applyFont="1" applyFill="1" applyBorder="1" applyAlignment="1">
      <alignment horizontal="center" vertical="center"/>
    </xf>
    <xf numFmtId="0" fontId="24" fillId="0" borderId="59" xfId="1" applyFont="1" applyBorder="1" applyAlignment="1">
      <alignment wrapText="1"/>
    </xf>
    <xf numFmtId="0" fontId="17" fillId="0" borderId="0" xfId="0" applyFont="1" applyFill="1" applyBorder="1" applyAlignment="1">
      <alignment horizontal="left" vertical="center" wrapText="1"/>
    </xf>
    <xf numFmtId="2" fontId="61"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Border="1" applyAlignment="1">
      <alignment vertical="center" wrapText="1"/>
    </xf>
    <xf numFmtId="0" fontId="32" fillId="6" borderId="12" xfId="0" applyFont="1" applyFill="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left" vertical="center" wrapText="1"/>
    </xf>
    <xf numFmtId="3" fontId="61" fillId="0" borderId="16" xfId="0" applyNumberFormat="1" applyFont="1" applyFill="1" applyBorder="1" applyAlignment="1">
      <alignment horizontal="center" vertical="center"/>
    </xf>
    <xf numFmtId="0" fontId="17" fillId="0" borderId="16" xfId="0" applyFont="1" applyBorder="1" applyAlignment="1">
      <alignment horizontal="center" vertical="center"/>
    </xf>
    <xf numFmtId="0" fontId="24" fillId="0" borderId="14" xfId="1" applyFont="1" applyBorder="1" applyAlignment="1">
      <alignment vertical="center" wrapText="1"/>
    </xf>
    <xf numFmtId="170" fontId="61" fillId="0"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32" fillId="7" borderId="11" xfId="0" applyFont="1" applyFill="1" applyBorder="1" applyAlignment="1">
      <alignment horizontal="center" vertical="center"/>
    </xf>
    <xf numFmtId="0" fontId="32" fillId="7"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32" fillId="7" borderId="12" xfId="0" applyFont="1" applyFill="1" applyBorder="1" applyAlignment="1">
      <alignment horizontal="center" vertical="center"/>
    </xf>
    <xf numFmtId="0" fontId="17" fillId="0" borderId="11" xfId="0" applyFont="1" applyBorder="1" applyAlignment="1">
      <alignment vertical="center"/>
    </xf>
    <xf numFmtId="0" fontId="17" fillId="0" borderId="13" xfId="0" applyFont="1" applyBorder="1" applyAlignment="1">
      <alignment vertical="center"/>
    </xf>
    <xf numFmtId="168" fontId="61" fillId="0" borderId="16" xfId="0" applyNumberFormat="1" applyFont="1" applyBorder="1" applyAlignment="1">
      <alignment horizontal="center" vertical="center"/>
    </xf>
    <xf numFmtId="0" fontId="17" fillId="0" borderId="0" xfId="0" applyFont="1" applyBorder="1" applyAlignment="1">
      <alignment vertical="center"/>
    </xf>
    <xf numFmtId="168" fontId="61" fillId="0" borderId="0" xfId="0" applyNumberFormat="1" applyFont="1" applyBorder="1" applyAlignment="1">
      <alignment horizontal="center" vertical="center"/>
    </xf>
    <xf numFmtId="0" fontId="17" fillId="0" borderId="0" xfId="0" applyFont="1" applyBorder="1" applyAlignment="1">
      <alignment horizontal="center" vertical="center"/>
    </xf>
    <xf numFmtId="49" fontId="17" fillId="0" borderId="21" xfId="0" applyNumberFormat="1" applyFont="1" applyBorder="1" applyAlignment="1">
      <alignment vertical="center"/>
    </xf>
    <xf numFmtId="4" fontId="61" fillId="0" borderId="5" xfId="0" applyNumberFormat="1" applyFont="1" applyBorder="1" applyAlignment="1">
      <alignment horizontal="center" vertical="center"/>
    </xf>
    <xf numFmtId="0" fontId="17" fillId="0" borderId="5" xfId="0" applyFont="1" applyBorder="1" applyAlignment="1">
      <alignment horizontal="center" vertical="center"/>
    </xf>
    <xf numFmtId="49" fontId="17" fillId="0" borderId="11" xfId="0" applyNumberFormat="1" applyFont="1" applyFill="1" applyBorder="1" applyAlignment="1">
      <alignment vertical="center"/>
    </xf>
    <xf numFmtId="49" fontId="17" fillId="14" borderId="11" xfId="0" applyNumberFormat="1" applyFont="1" applyFill="1" applyBorder="1" applyAlignment="1">
      <alignment vertical="center"/>
    </xf>
    <xf numFmtId="4" fontId="61" fillId="14" borderId="5" xfId="0" applyNumberFormat="1" applyFont="1" applyFill="1" applyBorder="1" applyAlignment="1">
      <alignment horizontal="center" vertical="center"/>
    </xf>
    <xf numFmtId="0" fontId="17" fillId="14" borderId="5" xfId="0" applyFont="1" applyFill="1" applyBorder="1" applyAlignment="1">
      <alignment horizontal="center" vertical="center"/>
    </xf>
    <xf numFmtId="49" fontId="17" fillId="0" borderId="21" xfId="0" applyNumberFormat="1" applyFont="1" applyFill="1" applyBorder="1" applyAlignment="1">
      <alignment horizontal="left" vertical="center"/>
    </xf>
    <xf numFmtId="165" fontId="17" fillId="0" borderId="5" xfId="0" applyNumberFormat="1" applyFont="1" applyFill="1" applyBorder="1" applyAlignment="1">
      <alignment horizontal="center" vertical="center"/>
    </xf>
    <xf numFmtId="0" fontId="17" fillId="0" borderId="5" xfId="0" applyFont="1" applyFill="1" applyBorder="1" applyAlignment="1">
      <alignment horizontal="center" vertical="center"/>
    </xf>
    <xf numFmtId="0" fontId="17" fillId="0" borderId="12" xfId="0" applyFont="1" applyFill="1" applyBorder="1" applyAlignment="1">
      <alignment vertical="center" wrapText="1"/>
    </xf>
    <xf numFmtId="0" fontId="17" fillId="14" borderId="11" xfId="0" applyFont="1" applyFill="1" applyBorder="1" applyAlignment="1" applyProtection="1">
      <alignment horizontal="left" vertical="center"/>
    </xf>
    <xf numFmtId="9" fontId="17" fillId="14" borderId="1" xfId="0" applyNumberFormat="1" applyFont="1" applyFill="1" applyBorder="1" applyAlignment="1" applyProtection="1">
      <alignment horizontal="center" vertical="center"/>
    </xf>
    <xf numFmtId="0" fontId="17" fillId="14" borderId="1" xfId="0" applyFont="1" applyFill="1" applyBorder="1" applyAlignment="1" applyProtection="1">
      <alignment horizontal="center" vertical="center"/>
    </xf>
    <xf numFmtId="49" fontId="17" fillId="0" borderId="11" xfId="0" applyNumberFormat="1" applyFont="1" applyBorder="1" applyAlignment="1">
      <alignment vertical="center"/>
    </xf>
    <xf numFmtId="4" fontId="61"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49" fontId="17" fillId="0" borderId="13" xfId="0" applyNumberFormat="1" applyFont="1" applyFill="1" applyBorder="1" applyAlignment="1">
      <alignment horizontal="left" vertical="center"/>
    </xf>
    <xf numFmtId="165" fontId="17" fillId="0" borderId="16" xfId="0" applyNumberFormat="1" applyFont="1" applyFill="1" applyBorder="1" applyAlignment="1">
      <alignment horizontal="center" vertical="center"/>
    </xf>
    <xf numFmtId="0" fontId="17" fillId="0" borderId="16" xfId="0" applyFont="1" applyFill="1" applyBorder="1" applyAlignment="1">
      <alignment horizontal="center" vertical="center"/>
    </xf>
    <xf numFmtId="0" fontId="17" fillId="0" borderId="14" xfId="0" applyFont="1" applyFill="1" applyBorder="1" applyAlignment="1">
      <alignment vertical="center" wrapText="1"/>
    </xf>
    <xf numFmtId="49" fontId="17" fillId="0" borderId="27" xfId="0" applyNumberFormat="1" applyFont="1" applyFill="1" applyBorder="1" applyAlignment="1">
      <alignment horizontal="left" vertical="center" wrapText="1"/>
    </xf>
    <xf numFmtId="9" fontId="17" fillId="0" borderId="6" xfId="0" applyNumberFormat="1" applyFont="1" applyFill="1" applyBorder="1" applyAlignment="1">
      <alignment horizontal="center" vertical="center"/>
    </xf>
    <xf numFmtId="0" fontId="17" fillId="0" borderId="6" xfId="0" applyFont="1" applyFill="1" applyBorder="1" applyAlignment="1">
      <alignment horizontal="center" vertical="center"/>
    </xf>
    <xf numFmtId="49" fontId="17" fillId="0" borderId="11" xfId="0" applyNumberFormat="1" applyFont="1" applyFill="1" applyBorder="1" applyAlignment="1">
      <alignment horizontal="left" vertical="center" wrapText="1"/>
    </xf>
    <xf numFmtId="170" fontId="17"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49" fontId="17" fillId="0" borderId="13" xfId="0" applyNumberFormat="1" applyFont="1" applyFill="1" applyBorder="1" applyAlignment="1">
      <alignment horizontal="left" vertical="center" wrapText="1"/>
    </xf>
    <xf numFmtId="3" fontId="17" fillId="0" borderId="16" xfId="0" applyNumberFormat="1" applyFont="1" applyFill="1" applyBorder="1" applyAlignment="1">
      <alignment horizontal="center" vertical="center"/>
    </xf>
    <xf numFmtId="49" fontId="17" fillId="0" borderId="0" xfId="0" applyNumberFormat="1" applyFont="1" applyFill="1" applyBorder="1" applyAlignment="1">
      <alignment vertical="center"/>
    </xf>
    <xf numFmtId="3" fontId="61" fillId="0" borderId="0" xfId="0" applyNumberFormat="1" applyFont="1" applyFill="1" applyBorder="1" applyAlignment="1">
      <alignment horizontal="center" vertical="center"/>
    </xf>
    <xf numFmtId="0" fontId="17" fillId="0" borderId="0" xfId="0" applyFont="1" applyFill="1" applyBorder="1" applyAlignment="1">
      <alignment vertical="center" wrapText="1"/>
    </xf>
    <xf numFmtId="0" fontId="32" fillId="7" borderId="21" xfId="0" applyFont="1" applyFill="1" applyBorder="1" applyAlignment="1">
      <alignment horizontal="center" vertical="center"/>
    </xf>
    <xf numFmtId="0" fontId="32" fillId="7" borderId="5" xfId="0" applyFont="1" applyFill="1" applyBorder="1" applyAlignment="1">
      <alignment horizontal="center" vertical="center" wrapText="1"/>
    </xf>
    <xf numFmtId="0" fontId="32" fillId="7" borderId="5" xfId="0" applyFont="1" applyFill="1" applyBorder="1" applyAlignment="1">
      <alignment horizontal="center" vertical="center"/>
    </xf>
    <xf numFmtId="0" fontId="32" fillId="7" borderId="28" xfId="0" applyFont="1" applyFill="1" applyBorder="1" applyAlignment="1">
      <alignment horizontal="center" vertical="center"/>
    </xf>
    <xf numFmtId="0" fontId="17" fillId="0" borderId="9" xfId="0" applyFont="1" applyBorder="1" applyAlignment="1">
      <alignment horizontal="left" vertical="center" wrapText="1"/>
    </xf>
    <xf numFmtId="164" fontId="17" fillId="0" borderId="15" xfId="0" applyNumberFormat="1" applyFont="1" applyBorder="1" applyAlignment="1">
      <alignment horizontal="center" vertical="center"/>
    </xf>
    <xf numFmtId="0" fontId="17" fillId="0" borderId="35" xfId="0" applyFont="1" applyBorder="1" applyAlignment="1">
      <alignment horizontal="center" vertical="center"/>
    </xf>
    <xf numFmtId="164" fontId="17" fillId="0" borderId="1" xfId="0" applyNumberFormat="1" applyFont="1" applyBorder="1" applyAlignment="1">
      <alignment horizontal="center" vertical="center"/>
    </xf>
    <xf numFmtId="164" fontId="17" fillId="0" borderId="16" xfId="0" applyNumberFormat="1" applyFont="1" applyBorder="1" applyAlignment="1">
      <alignment horizontal="center" vertical="center"/>
    </xf>
    <xf numFmtId="0" fontId="17" fillId="0" borderId="27" xfId="0" applyFont="1" applyBorder="1" applyAlignment="1">
      <alignment horizontal="left" vertical="center" wrapText="1"/>
    </xf>
    <xf numFmtId="164" fontId="17" fillId="0" borderId="6" xfId="0" applyNumberFormat="1" applyFont="1" applyBorder="1" applyAlignment="1">
      <alignment horizontal="center" vertical="center"/>
    </xf>
    <xf numFmtId="0" fontId="17" fillId="0" borderId="21" xfId="0" applyFont="1" applyBorder="1" applyAlignment="1">
      <alignment horizontal="left" vertical="center" wrapText="1"/>
    </xf>
    <xf numFmtId="164" fontId="17" fillId="0" borderId="5" xfId="0" applyNumberFormat="1" applyFont="1" applyBorder="1" applyAlignment="1">
      <alignment horizontal="center" vertical="center"/>
    </xf>
    <xf numFmtId="164" fontId="17" fillId="0" borderId="1" xfId="0" applyNumberFormat="1" applyFont="1" applyBorder="1" applyAlignment="1">
      <alignment horizontal="center"/>
    </xf>
    <xf numFmtId="164" fontId="17" fillId="0" borderId="16" xfId="0" applyNumberFormat="1" applyFont="1" applyBorder="1" applyAlignment="1">
      <alignment horizontal="center"/>
    </xf>
    <xf numFmtId="174" fontId="17" fillId="0" borderId="6" xfId="0" applyNumberFormat="1" applyFont="1" applyFill="1" applyBorder="1" applyAlignment="1">
      <alignment horizontal="center" vertical="center"/>
    </xf>
    <xf numFmtId="174" fontId="17" fillId="0" borderId="1" xfId="0" applyNumberFormat="1" applyFont="1" applyFill="1" applyBorder="1" applyAlignment="1">
      <alignment horizontal="center" vertical="center"/>
    </xf>
    <xf numFmtId="49" fontId="17" fillId="0" borderId="22" xfId="0" applyNumberFormat="1" applyFont="1" applyFill="1" applyBorder="1" applyAlignment="1">
      <alignment horizontal="left" vertical="center" wrapText="1"/>
    </xf>
    <xf numFmtId="177" fontId="17" fillId="0" borderId="16" xfId="0" applyNumberFormat="1" applyFont="1" applyFill="1" applyBorder="1" applyAlignment="1">
      <alignment horizontal="center" vertical="center"/>
    </xf>
    <xf numFmtId="0" fontId="24" fillId="0" borderId="12" xfId="1" applyFont="1" applyFill="1" applyBorder="1" applyAlignment="1">
      <alignment vertical="center" wrapText="1"/>
    </xf>
    <xf numFmtId="9" fontId="17" fillId="0" borderId="16" xfId="0" applyNumberFormat="1" applyFont="1" applyFill="1" applyBorder="1" applyAlignment="1">
      <alignment horizontal="center" vertical="center"/>
    </xf>
    <xf numFmtId="0" fontId="24" fillId="0" borderId="14" xfId="1" applyFont="1" applyFill="1" applyBorder="1" applyAlignment="1">
      <alignment vertical="center" wrapText="1"/>
    </xf>
    <xf numFmtId="0" fontId="17" fillId="0" borderId="9" xfId="0" applyFont="1" applyBorder="1" applyAlignment="1" applyProtection="1">
      <alignment vertical="top" wrapText="1"/>
    </xf>
    <xf numFmtId="8" fontId="17" fillId="0" borderId="15" xfId="0" applyNumberFormat="1" applyFont="1" applyBorder="1" applyAlignment="1" applyProtection="1">
      <alignment horizontal="right" vertical="top" wrapText="1"/>
    </xf>
    <xf numFmtId="0" fontId="17" fillId="0" borderId="15" xfId="0" applyFont="1" applyBorder="1" applyAlignment="1" applyProtection="1">
      <alignment vertical="top" wrapText="1"/>
    </xf>
    <xf numFmtId="0" fontId="17" fillId="0" borderId="11" xfId="0" applyFont="1" applyBorder="1" applyProtection="1"/>
    <xf numFmtId="8" fontId="17" fillId="0" borderId="1" xfId="0" applyNumberFormat="1" applyFont="1" applyBorder="1" applyAlignment="1">
      <alignment horizontal="right"/>
    </xf>
    <xf numFmtId="0" fontId="17" fillId="0" borderId="1" xfId="0" applyFont="1" applyBorder="1"/>
    <xf numFmtId="175" fontId="17" fillId="0" borderId="1" xfId="0" applyNumberFormat="1" applyFont="1" applyBorder="1" applyAlignment="1">
      <alignment horizontal="right"/>
    </xf>
    <xf numFmtId="172" fontId="17" fillId="0" borderId="15" xfId="0" applyNumberFormat="1" applyFont="1" applyBorder="1"/>
    <xf numFmtId="0" fontId="17" fillId="0" borderId="15" xfId="0" applyFont="1" applyBorder="1"/>
    <xf numFmtId="172" fontId="17" fillId="0" borderId="1" xfId="0" applyNumberFormat="1" applyFont="1" applyBorder="1"/>
    <xf numFmtId="0" fontId="17" fillId="0" borderId="6" xfId="0" applyFont="1" applyBorder="1"/>
    <xf numFmtId="172" fontId="17" fillId="0" borderId="16" xfId="0" applyNumberFormat="1" applyFont="1" applyBorder="1"/>
    <xf numFmtId="0" fontId="17" fillId="0" borderId="40" xfId="0" applyFont="1" applyBorder="1"/>
    <xf numFmtId="0" fontId="32" fillId="5" borderId="11" xfId="0" applyFont="1" applyFill="1" applyBorder="1" applyAlignment="1">
      <alignment horizontal="center" vertical="center"/>
    </xf>
    <xf numFmtId="0" fontId="32" fillId="5" borderId="1" xfId="0" applyFont="1" applyFill="1" applyBorder="1" applyAlignment="1">
      <alignment horizontal="center" vertical="center" wrapText="1"/>
    </xf>
    <xf numFmtId="0" fontId="32" fillId="5" borderId="1" xfId="0" applyFont="1" applyFill="1" applyBorder="1" applyAlignment="1">
      <alignment horizontal="center" vertical="center"/>
    </xf>
    <xf numFmtId="0" fontId="32" fillId="5" borderId="12" xfId="0" applyFont="1" applyFill="1" applyBorder="1" applyAlignment="1">
      <alignment horizontal="center" vertical="center"/>
    </xf>
    <xf numFmtId="2" fontId="61" fillId="0" borderId="1" xfId="0" applyNumberFormat="1" applyFont="1" applyBorder="1" applyAlignment="1">
      <alignment horizontal="center" vertical="center"/>
    </xf>
    <xf numFmtId="0" fontId="17" fillId="0" borderId="11" xfId="0" applyFont="1" applyFill="1" applyBorder="1" applyAlignment="1">
      <alignment vertical="center"/>
    </xf>
    <xf numFmtId="0" fontId="17" fillId="0" borderId="13" xfId="0" applyFont="1" applyFill="1" applyBorder="1" applyAlignment="1">
      <alignment vertical="center"/>
    </xf>
    <xf numFmtId="0" fontId="32" fillId="7" borderId="13" xfId="0" applyFont="1" applyFill="1" applyBorder="1" applyAlignment="1">
      <alignment horizontal="center" vertical="center"/>
    </xf>
    <xf numFmtId="0" fontId="32" fillId="7" borderId="16" xfId="0" applyFont="1" applyFill="1" applyBorder="1" applyAlignment="1">
      <alignment horizontal="center" vertical="center" wrapText="1"/>
    </xf>
    <xf numFmtId="0" fontId="32" fillId="7" borderId="16" xfId="0" applyFont="1" applyFill="1" applyBorder="1" applyAlignment="1">
      <alignment horizontal="center" vertical="center"/>
    </xf>
    <xf numFmtId="0" fontId="32" fillId="7" borderId="14" xfId="0" applyFont="1" applyFill="1" applyBorder="1" applyAlignment="1">
      <alignment horizontal="center" vertical="center"/>
    </xf>
    <xf numFmtId="0" fontId="17" fillId="0" borderId="55" xfId="0" applyFont="1" applyBorder="1" applyAlignment="1">
      <alignment horizontal="center" vertical="center" wrapText="1"/>
    </xf>
    <xf numFmtId="3" fontId="17" fillId="0" borderId="56" xfId="0" applyNumberFormat="1" applyFont="1" applyBorder="1" applyAlignment="1">
      <alignment horizontal="center" vertical="center"/>
    </xf>
    <xf numFmtId="0" fontId="17" fillId="0" borderId="56" xfId="0" applyFont="1" applyBorder="1" applyAlignment="1">
      <alignment horizontal="center" vertical="center"/>
    </xf>
    <xf numFmtId="0" fontId="24" fillId="0" borderId="58" xfId="1" applyFont="1" applyBorder="1" applyAlignment="1">
      <alignment vertical="center" wrapText="1"/>
    </xf>
    <xf numFmtId="4" fontId="17" fillId="0" borderId="15" xfId="0" applyNumberFormat="1" applyFont="1" applyBorder="1" applyAlignment="1">
      <alignment horizontal="center" vertical="center"/>
    </xf>
    <xf numFmtId="0" fontId="17" fillId="0" borderId="15" xfId="0" applyFont="1" applyBorder="1" applyAlignment="1">
      <alignment horizontal="center" vertical="center"/>
    </xf>
    <xf numFmtId="0" fontId="61" fillId="0" borderId="58" xfId="0" applyFont="1" applyBorder="1" applyAlignment="1">
      <alignment horizontal="left" vertical="center" wrapText="1"/>
    </xf>
    <xf numFmtId="4" fontId="17" fillId="0" borderId="1" xfId="0" applyNumberFormat="1" applyFont="1" applyBorder="1" applyAlignment="1">
      <alignment horizontal="center" vertical="center"/>
    </xf>
    <xf numFmtId="0" fontId="24" fillId="0" borderId="73" xfId="1" applyFont="1" applyBorder="1" applyAlignment="1">
      <alignment horizontal="left" vertical="center" wrapText="1"/>
    </xf>
    <xf numFmtId="0" fontId="61" fillId="0" borderId="73" xfId="0" applyFont="1" applyBorder="1" applyAlignment="1">
      <alignment horizontal="left" vertical="center" wrapText="1"/>
    </xf>
    <xf numFmtId="4" fontId="17" fillId="0" borderId="16" xfId="0" applyNumberFormat="1" applyFont="1" applyBorder="1" applyAlignment="1">
      <alignment horizontal="center" vertical="center"/>
    </xf>
    <xf numFmtId="0" fontId="61" fillId="0" borderId="41" xfId="0" applyFont="1" applyBorder="1" applyAlignment="1">
      <alignment horizontal="left" vertical="center" wrapText="1"/>
    </xf>
    <xf numFmtId="0" fontId="17" fillId="0" borderId="9" xfId="0" applyFont="1" applyBorder="1" applyAlignment="1">
      <alignment horizontal="center" vertical="center" wrapText="1"/>
    </xf>
    <xf numFmtId="3" fontId="17" fillId="0" borderId="15" xfId="0" applyNumberFormat="1" applyFont="1" applyBorder="1" applyAlignment="1">
      <alignment horizontal="center" vertical="center"/>
    </xf>
    <xf numFmtId="0" fontId="17" fillId="0" borderId="11" xfId="0" applyFont="1" applyBorder="1" applyAlignment="1">
      <alignment horizontal="center" vertical="center" wrapText="1"/>
    </xf>
    <xf numFmtId="3" fontId="17" fillId="0" borderId="1" xfId="0" applyNumberFormat="1" applyFont="1" applyBorder="1" applyAlignment="1">
      <alignment horizontal="center" vertical="center"/>
    </xf>
    <xf numFmtId="0" fontId="17" fillId="0" borderId="13" xfId="0" applyFont="1" applyBorder="1" applyAlignment="1">
      <alignment horizontal="center" vertical="center" wrapText="1"/>
    </xf>
    <xf numFmtId="3" fontId="17" fillId="0" borderId="16" xfId="0" applyNumberFormat="1" applyFont="1" applyBorder="1" applyAlignment="1">
      <alignment horizontal="center" vertical="center"/>
    </xf>
    <xf numFmtId="0" fontId="17" fillId="0" borderId="27" xfId="0" applyFont="1" applyBorder="1" applyAlignment="1">
      <alignment horizontal="center" vertical="center" wrapText="1"/>
    </xf>
    <xf numFmtId="3" fontId="17" fillId="0" borderId="6" xfId="0" applyNumberFormat="1"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xf numFmtId="0" fontId="17" fillId="0" borderId="10" xfId="0" applyFont="1" applyBorder="1" applyAlignment="1">
      <alignment horizontal="center" vertical="center" wrapText="1"/>
    </xf>
    <xf numFmtId="3" fontId="17" fillId="0" borderId="11"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3" fontId="17" fillId="0" borderId="11" xfId="0" applyNumberFormat="1"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2" fillId="0" borderId="11" xfId="8" applyFont="1" applyBorder="1" applyAlignment="1">
      <alignment vertical="center" wrapText="1"/>
    </xf>
    <xf numFmtId="9" fontId="22" fillId="0" borderId="1" xfId="8" applyNumberFormat="1" applyFont="1" applyBorder="1" applyAlignment="1">
      <alignment horizontal="center" vertical="center"/>
    </xf>
    <xf numFmtId="1" fontId="22" fillId="0" borderId="1" xfId="8" applyNumberFormat="1" applyFont="1" applyBorder="1" applyAlignment="1">
      <alignment horizontal="center" vertical="center"/>
    </xf>
    <xf numFmtId="168" fontId="22" fillId="0" borderId="1" xfId="8" applyNumberFormat="1" applyFont="1" applyFill="1" applyBorder="1" applyAlignment="1">
      <alignment horizontal="center" vertical="center"/>
    </xf>
    <xf numFmtId="176" fontId="22" fillId="0" borderId="1" xfId="8" applyNumberFormat="1" applyFont="1" applyFill="1" applyBorder="1" applyAlignment="1">
      <alignment horizontal="center" vertical="center"/>
    </xf>
    <xf numFmtId="176" fontId="22" fillId="0" borderId="1" xfId="8" applyNumberFormat="1" applyFont="1" applyBorder="1" applyAlignment="1">
      <alignment horizontal="center" vertical="center"/>
    </xf>
    <xf numFmtId="0" fontId="22" fillId="0" borderId="21" xfId="8" applyFont="1" applyBorder="1" applyAlignment="1">
      <alignment vertical="center" wrapText="1"/>
    </xf>
    <xf numFmtId="173" fontId="22" fillId="0" borderId="5" xfId="8" applyNumberFormat="1" applyFont="1" applyFill="1" applyBorder="1" applyAlignment="1">
      <alignment horizontal="center" vertical="center"/>
    </xf>
    <xf numFmtId="164" fontId="22" fillId="0" borderId="5" xfId="8" applyNumberFormat="1" applyFont="1" applyFill="1" applyBorder="1" applyAlignment="1">
      <alignment horizontal="center" vertical="center"/>
    </xf>
    <xf numFmtId="2" fontId="22" fillId="0" borderId="5" xfId="8" applyNumberFormat="1" applyFont="1" applyFill="1" applyBorder="1" applyAlignment="1">
      <alignment horizontal="center" vertical="center"/>
    </xf>
    <xf numFmtId="0" fontId="18" fillId="0" borderId="13" xfId="8" applyFont="1" applyBorder="1" applyAlignment="1">
      <alignment vertical="center" wrapText="1"/>
    </xf>
    <xf numFmtId="9" fontId="22" fillId="0" borderId="16" xfId="8" applyNumberFormat="1" applyFont="1" applyFill="1" applyBorder="1" applyAlignment="1">
      <alignment horizontal="center" vertical="center"/>
    </xf>
    <xf numFmtId="0" fontId="18" fillId="12" borderId="9" xfId="0" applyFont="1" applyFill="1" applyBorder="1"/>
    <xf numFmtId="3" fontId="18" fillId="12" borderId="15" xfId="0" applyNumberFormat="1" applyFont="1" applyFill="1" applyBorder="1"/>
    <xf numFmtId="0" fontId="18" fillId="12" borderId="10" xfId="0" applyFont="1" applyFill="1" applyBorder="1"/>
    <xf numFmtId="0" fontId="18" fillId="12" borderId="13" xfId="6" applyFont="1" applyFill="1" applyBorder="1" applyAlignment="1" applyProtection="1">
      <alignment horizontal="left" vertical="center" wrapText="1"/>
    </xf>
    <xf numFmtId="3" fontId="18" fillId="12" borderId="16" xfId="0" applyNumberFormat="1" applyFont="1" applyFill="1" applyBorder="1" applyAlignment="1">
      <alignment horizontal="left"/>
    </xf>
    <xf numFmtId="0" fontId="18" fillId="12" borderId="14" xfId="0" applyFont="1" applyFill="1" applyBorder="1" applyAlignment="1">
      <alignment horizontal="left"/>
    </xf>
    <xf numFmtId="3" fontId="18" fillId="12" borderId="31" xfId="0" applyNumberFormat="1" applyFont="1" applyFill="1" applyBorder="1"/>
    <xf numFmtId="0" fontId="22" fillId="11" borderId="60" xfId="4" applyFont="1" applyFill="1" applyBorder="1" applyAlignment="1" applyProtection="1">
      <alignment vertical="center"/>
    </xf>
    <xf numFmtId="0" fontId="22" fillId="11" borderId="35" xfId="4" applyFont="1" applyFill="1" applyBorder="1" applyAlignment="1" applyProtection="1">
      <alignment horizontal="centerContinuous" vertical="center"/>
      <protection locked="0"/>
    </xf>
    <xf numFmtId="0" fontId="22" fillId="11" borderId="2" xfId="4" applyFont="1" applyFill="1" applyBorder="1" applyAlignment="1" applyProtection="1">
      <alignment horizontal="centerContinuous" vertical="center"/>
      <protection locked="0"/>
    </xf>
    <xf numFmtId="0" fontId="3" fillId="11" borderId="2" xfId="1" applyFill="1" applyBorder="1" applyAlignment="1" applyProtection="1">
      <alignment horizontal="centerContinuous" vertical="center"/>
      <protection locked="0"/>
    </xf>
    <xf numFmtId="44" fontId="22" fillId="11" borderId="35" xfId="3" applyFont="1" applyFill="1" applyBorder="1" applyAlignment="1" applyProtection="1">
      <alignment horizontal="centerContinuous" vertical="center"/>
      <protection locked="0"/>
    </xf>
    <xf numFmtId="180" fontId="22" fillId="11" borderId="18" xfId="4" applyNumberFormat="1" applyFont="1" applyFill="1" applyBorder="1" applyAlignment="1" applyProtection="1">
      <alignment horizontal="centerContinuous" vertical="center"/>
      <protection locked="0"/>
    </xf>
    <xf numFmtId="0" fontId="18" fillId="8" borderId="43" xfId="0" applyFont="1" applyFill="1" applyBorder="1" applyAlignment="1">
      <alignment horizontal="left" vertical="top"/>
    </xf>
    <xf numFmtId="0" fontId="56" fillId="8" borderId="52" xfId="0" applyFont="1" applyFill="1" applyBorder="1" applyAlignment="1">
      <alignment horizontal="left" vertical="top" wrapText="1"/>
    </xf>
    <xf numFmtId="0" fontId="36" fillId="8" borderId="52" xfId="1" applyFont="1" applyFill="1" applyBorder="1" applyAlignment="1">
      <alignment horizontal="left" vertical="top" wrapText="1"/>
    </xf>
    <xf numFmtId="0" fontId="18" fillId="8" borderId="52" xfId="0" applyFont="1" applyFill="1" applyBorder="1" applyAlignment="1">
      <alignment horizontal="left" vertical="top"/>
    </xf>
    <xf numFmtId="0" fontId="18" fillId="8" borderId="62" xfId="0" applyFont="1" applyFill="1" applyBorder="1" applyAlignment="1">
      <alignment horizontal="left" vertical="top"/>
    </xf>
    <xf numFmtId="0" fontId="36" fillId="8" borderId="52" xfId="1" applyFont="1" applyFill="1" applyBorder="1" applyAlignment="1" applyProtection="1">
      <alignment horizontal="left" vertical="top" wrapText="1"/>
    </xf>
    <xf numFmtId="0" fontId="36" fillId="8" borderId="62" xfId="1" applyFont="1" applyFill="1" applyBorder="1" applyAlignment="1" applyProtection="1">
      <alignment horizontal="left" vertical="top" wrapText="1"/>
    </xf>
    <xf numFmtId="0" fontId="36" fillId="8" borderId="52" xfId="0" applyFont="1" applyFill="1" applyBorder="1"/>
    <xf numFmtId="0" fontId="56" fillId="8" borderId="62" xfId="0" applyFont="1" applyFill="1" applyBorder="1" applyAlignment="1">
      <alignment horizontal="left" vertical="top" wrapText="1"/>
    </xf>
    <xf numFmtId="0" fontId="17" fillId="8" borderId="62" xfId="0" applyFont="1" applyFill="1" applyBorder="1" applyAlignment="1" applyProtection="1">
      <alignment horizontal="left" vertical="top"/>
    </xf>
    <xf numFmtId="0" fontId="56" fillId="8" borderId="43" xfId="0" applyFont="1" applyFill="1" applyBorder="1" applyAlignment="1">
      <alignment horizontal="left" vertical="top"/>
    </xf>
    <xf numFmtId="0" fontId="36" fillId="8" borderId="43" xfId="0" applyFont="1" applyFill="1" applyBorder="1" applyAlignment="1"/>
    <xf numFmtId="0" fontId="56" fillId="8" borderId="44" xfId="0" applyFont="1" applyFill="1" applyBorder="1" applyAlignment="1">
      <alignment horizontal="left" vertical="top"/>
    </xf>
    <xf numFmtId="0" fontId="36" fillId="8" borderId="42" xfId="1" applyFont="1" applyFill="1" applyBorder="1" applyAlignment="1">
      <alignment vertical="top"/>
    </xf>
    <xf numFmtId="0" fontId="36" fillId="8" borderId="43" xfId="1" applyFont="1" applyFill="1" applyBorder="1" applyAlignment="1">
      <alignment vertical="top"/>
    </xf>
    <xf numFmtId="0" fontId="18" fillId="8" borderId="52" xfId="0" applyFont="1" applyFill="1" applyBorder="1" applyAlignment="1">
      <alignment horizontal="left"/>
    </xf>
    <xf numFmtId="0" fontId="21" fillId="8" borderId="61" xfId="1" applyFont="1" applyFill="1" applyBorder="1" applyAlignment="1">
      <alignment horizontal="left" vertical="center"/>
    </xf>
    <xf numFmtId="0" fontId="18" fillId="0" borderId="0" xfId="0" applyFont="1" applyFill="1" applyBorder="1" applyAlignment="1" applyProtection="1">
      <alignment horizontal="left"/>
    </xf>
    <xf numFmtId="0" fontId="18" fillId="0" borderId="0" xfId="0" applyFont="1" applyFill="1" applyBorder="1" applyAlignment="1">
      <alignment horizontal="left" vertical="top"/>
    </xf>
    <xf numFmtId="0" fontId="17" fillId="0" borderId="0" xfId="0" applyFont="1" applyFill="1" applyBorder="1" applyAlignment="1" applyProtection="1">
      <alignment horizontal="left" vertical="top"/>
    </xf>
    <xf numFmtId="0" fontId="21" fillId="8" borderId="61" xfId="1" applyFont="1" applyFill="1" applyBorder="1" applyAlignment="1">
      <alignment horizontal="left" vertical="top"/>
    </xf>
    <xf numFmtId="0" fontId="21" fillId="8" borderId="61" xfId="1" applyFont="1" applyFill="1" applyBorder="1" applyAlignment="1" applyProtection="1">
      <alignment horizontal="left" vertical="top"/>
    </xf>
    <xf numFmtId="0" fontId="21" fillId="8" borderId="61" xfId="1" applyFont="1" applyFill="1" applyBorder="1" applyAlignment="1">
      <alignment horizontal="left" vertical="top" wrapText="1"/>
    </xf>
    <xf numFmtId="0" fontId="17" fillId="0" borderId="0" xfId="0" applyFont="1" applyAlignment="1" applyProtection="1">
      <alignment vertical="center"/>
    </xf>
    <xf numFmtId="0" fontId="18" fillId="14" borderId="0" xfId="0" applyFont="1" applyFill="1" applyAlignment="1">
      <alignment horizontal="left" vertical="center" wrapText="1"/>
    </xf>
    <xf numFmtId="4" fontId="17" fillId="33" borderId="50" xfId="0" applyNumberFormat="1" applyFont="1" applyFill="1" applyBorder="1" applyAlignment="1">
      <alignment horizontal="left" vertical="top"/>
    </xf>
    <xf numFmtId="4" fontId="17" fillId="11" borderId="4" xfId="0" applyNumberFormat="1" applyFont="1" applyFill="1" applyBorder="1" applyAlignment="1">
      <alignment horizontal="left" vertical="top"/>
    </xf>
    <xf numFmtId="4" fontId="17" fillId="33" borderId="4" xfId="0" applyNumberFormat="1" applyFont="1" applyFill="1" applyBorder="1" applyAlignment="1">
      <alignment horizontal="left" vertical="top"/>
    </xf>
    <xf numFmtId="4" fontId="17" fillId="33" borderId="51" xfId="0" applyNumberFormat="1" applyFont="1" applyFill="1" applyBorder="1" applyAlignment="1">
      <alignment horizontal="left" vertical="top"/>
    </xf>
    <xf numFmtId="0" fontId="17" fillId="11" borderId="2" xfId="0" applyFont="1" applyFill="1" applyBorder="1" applyAlignment="1">
      <alignment horizontal="left" vertical="top"/>
    </xf>
    <xf numFmtId="0" fontId="17" fillId="33" borderId="2" xfId="0" applyFont="1" applyFill="1" applyBorder="1" applyAlignment="1">
      <alignment horizontal="left" vertical="top"/>
    </xf>
    <xf numFmtId="0" fontId="17" fillId="33" borderId="36" xfId="0" applyFont="1" applyFill="1" applyBorder="1" applyAlignment="1">
      <alignment horizontal="left" vertical="top"/>
    </xf>
    <xf numFmtId="0" fontId="49" fillId="11" borderId="1" xfId="0" applyFont="1" applyFill="1" applyBorder="1" applyAlignment="1">
      <alignment horizontal="left"/>
    </xf>
    <xf numFmtId="0" fontId="17" fillId="31" borderId="95" xfId="0" applyFont="1" applyFill="1" applyBorder="1" applyAlignment="1">
      <alignment horizontal="left" vertical="top"/>
    </xf>
    <xf numFmtId="0" fontId="17" fillId="15" borderId="1" xfId="0" applyFont="1" applyFill="1" applyBorder="1" applyAlignment="1">
      <alignment horizontal="left" vertical="top"/>
    </xf>
    <xf numFmtId="1" fontId="17" fillId="15" borderId="1" xfId="0" applyNumberFormat="1" applyFont="1" applyFill="1" applyBorder="1" applyAlignment="1">
      <alignment horizontal="left" vertical="top"/>
    </xf>
    <xf numFmtId="0" fontId="32" fillId="0" borderId="55" xfId="0" applyFont="1" applyBorder="1" applyAlignment="1">
      <alignment horizontal="left" vertical="top"/>
    </xf>
    <xf numFmtId="0" fontId="17" fillId="33" borderId="27" xfId="0" applyFont="1" applyFill="1" applyBorder="1" applyAlignment="1">
      <alignment horizontal="left" vertical="top"/>
    </xf>
    <xf numFmtId="0" fontId="17" fillId="33" borderId="6" xfId="0" applyFont="1" applyFill="1" applyBorder="1" applyAlignment="1">
      <alignment horizontal="left" vertical="top"/>
    </xf>
    <xf numFmtId="0" fontId="17" fillId="33" borderId="19" xfId="0" applyFont="1" applyFill="1" applyBorder="1" applyAlignment="1">
      <alignment horizontal="left" vertical="top"/>
    </xf>
    <xf numFmtId="0" fontId="17" fillId="33" borderId="32" xfId="0" applyFont="1" applyFill="1" applyBorder="1" applyAlignment="1">
      <alignment horizontal="left" vertical="top"/>
    </xf>
    <xf numFmtId="0" fontId="32" fillId="0" borderId="29" xfId="0" applyFont="1" applyFill="1" applyBorder="1" applyAlignment="1">
      <alignment horizontal="left" vertical="top"/>
    </xf>
    <xf numFmtId="0" fontId="32" fillId="0" borderId="98" xfId="0" applyFont="1" applyFill="1" applyBorder="1" applyAlignment="1">
      <alignment horizontal="left" vertical="top"/>
    </xf>
    <xf numFmtId="0" fontId="32" fillId="0" borderId="39" xfId="0" applyFont="1" applyFill="1" applyBorder="1" applyAlignment="1">
      <alignment horizontal="left" vertical="top"/>
    </xf>
    <xf numFmtId="0" fontId="26" fillId="14" borderId="42" xfId="0" applyFont="1" applyFill="1" applyBorder="1" applyAlignment="1">
      <alignment horizontal="left" vertical="top"/>
    </xf>
    <xf numFmtId="0" fontId="26" fillId="14" borderId="99" xfId="0" applyFont="1" applyFill="1" applyBorder="1" applyAlignment="1">
      <alignment horizontal="left" vertical="top"/>
    </xf>
    <xf numFmtId="0" fontId="50" fillId="32" borderId="100" xfId="0" applyFont="1" applyFill="1" applyBorder="1" applyAlignment="1">
      <alignment horizontal="left" vertical="center" wrapText="1"/>
    </xf>
    <xf numFmtId="0" fontId="50" fillId="2" borderId="100" xfId="0" applyFont="1" applyFill="1" applyBorder="1" applyAlignment="1">
      <alignment horizontal="left" vertical="center" wrapText="1"/>
    </xf>
    <xf numFmtId="0" fontId="50" fillId="32" borderId="102" xfId="0" applyFont="1" applyFill="1" applyBorder="1" applyAlignment="1">
      <alignment horizontal="left" vertical="center" wrapText="1"/>
    </xf>
    <xf numFmtId="4" fontId="17" fillId="2" borderId="100" xfId="0" applyNumberFormat="1" applyFont="1" applyFill="1" applyBorder="1" applyAlignment="1">
      <alignment horizontal="left" vertical="top"/>
    </xf>
    <xf numFmtId="4" fontId="17" fillId="2" borderId="101" xfId="0" applyNumberFormat="1" applyFont="1" applyFill="1" applyBorder="1" applyAlignment="1">
      <alignment horizontal="left" vertical="top"/>
    </xf>
    <xf numFmtId="4" fontId="32" fillId="2" borderId="16" xfId="0" applyNumberFormat="1" applyFont="1" applyFill="1" applyBorder="1" applyAlignment="1">
      <alignment horizontal="left" vertical="top"/>
    </xf>
    <xf numFmtId="4" fontId="32" fillId="2" borderId="61" xfId="0" applyNumberFormat="1" applyFont="1" applyFill="1" applyBorder="1" applyAlignment="1">
      <alignment horizontal="left" vertical="top"/>
    </xf>
    <xf numFmtId="4" fontId="32" fillId="2" borderId="40" xfId="0" applyNumberFormat="1" applyFont="1" applyFill="1" applyBorder="1" applyAlignment="1">
      <alignment horizontal="left" vertical="top"/>
    </xf>
    <xf numFmtId="4" fontId="17" fillId="2" borderId="109" xfId="0" applyNumberFormat="1" applyFont="1" applyFill="1" applyBorder="1" applyAlignment="1">
      <alignment horizontal="left" vertical="top"/>
    </xf>
    <xf numFmtId="4" fontId="17" fillId="2" borderId="102" xfId="0" applyNumberFormat="1" applyFont="1" applyFill="1" applyBorder="1" applyAlignment="1">
      <alignment horizontal="left" vertical="top"/>
    </xf>
    <xf numFmtId="4" fontId="17" fillId="2" borderId="106" xfId="0" applyNumberFormat="1" applyFont="1" applyFill="1" applyBorder="1" applyAlignment="1">
      <alignment horizontal="left" vertical="top"/>
    </xf>
    <xf numFmtId="4" fontId="17" fillId="2" borderId="103" xfId="0" applyNumberFormat="1" applyFont="1" applyFill="1" applyBorder="1" applyAlignment="1">
      <alignment horizontal="left" vertical="top"/>
    </xf>
    <xf numFmtId="4" fontId="17" fillId="2" borderId="94" xfId="0" applyNumberFormat="1" applyFont="1" applyFill="1" applyBorder="1" applyAlignment="1">
      <alignment horizontal="left" vertical="top"/>
    </xf>
    <xf numFmtId="4" fontId="32" fillId="2" borderId="67" xfId="0" applyNumberFormat="1" applyFont="1" applyFill="1" applyBorder="1" applyAlignment="1">
      <alignment horizontal="left" vertical="top"/>
    </xf>
    <xf numFmtId="4" fontId="32" fillId="2" borderId="41" xfId="0" applyNumberFormat="1" applyFont="1" applyFill="1" applyBorder="1" applyAlignment="1">
      <alignment horizontal="left" vertical="top"/>
    </xf>
    <xf numFmtId="4" fontId="17" fillId="2" borderId="111" xfId="0" applyNumberFormat="1" applyFont="1" applyFill="1" applyBorder="1" applyAlignment="1">
      <alignment horizontal="left" vertical="top"/>
    </xf>
    <xf numFmtId="0" fontId="16" fillId="2" borderId="37" xfId="0" applyFont="1" applyFill="1" applyBorder="1" applyAlignment="1">
      <alignment vertical="center"/>
    </xf>
    <xf numFmtId="0" fontId="16" fillId="2" borderId="38" xfId="0" applyFont="1" applyFill="1" applyBorder="1" applyAlignment="1">
      <alignment vertical="center"/>
    </xf>
    <xf numFmtId="0" fontId="16" fillId="2" borderId="39" xfId="0" applyFont="1" applyFill="1" applyBorder="1" applyAlignment="1">
      <alignment vertical="center"/>
    </xf>
    <xf numFmtId="0" fontId="16" fillId="14" borderId="9" xfId="0" applyFont="1" applyFill="1" applyBorder="1" applyAlignment="1" applyProtection="1">
      <alignment horizontal="center" vertical="center" wrapText="1"/>
    </xf>
    <xf numFmtId="0" fontId="16" fillId="14" borderId="15" xfId="0" applyFont="1" applyFill="1" applyBorder="1" applyAlignment="1" applyProtection="1">
      <alignment horizontal="center" vertical="center" wrapText="1"/>
    </xf>
    <xf numFmtId="0" fontId="16" fillId="14" borderId="105" xfId="0" applyFont="1" applyFill="1" applyBorder="1" applyAlignment="1" applyProtection="1">
      <alignment horizontal="center" vertical="center" wrapText="1"/>
    </xf>
    <xf numFmtId="0" fontId="16" fillId="14" borderId="50" xfId="0" applyFont="1" applyFill="1" applyBorder="1" applyAlignment="1" applyProtection="1">
      <alignment horizontal="center" vertical="center" wrapText="1"/>
    </xf>
    <xf numFmtId="0" fontId="16" fillId="14" borderId="47" xfId="0" applyFont="1" applyFill="1" applyBorder="1" applyAlignment="1" applyProtection="1">
      <alignment horizontal="center" vertical="center" wrapText="1"/>
    </xf>
    <xf numFmtId="0" fontId="59" fillId="14" borderId="9" xfId="0" applyFont="1" applyFill="1" applyBorder="1" applyAlignment="1" applyProtection="1">
      <alignment horizontal="center" vertical="center" wrapText="1"/>
    </xf>
    <xf numFmtId="0" fontId="59" fillId="14" borderId="15" xfId="0" applyFont="1" applyFill="1" applyBorder="1" applyAlignment="1" applyProtection="1">
      <alignment horizontal="center" vertical="center" wrapText="1"/>
    </xf>
    <xf numFmtId="0" fontId="59" fillId="14" borderId="10" xfId="0" applyFont="1" applyFill="1" applyBorder="1" applyAlignment="1" applyProtection="1">
      <alignment horizontal="center" vertical="center" wrapText="1"/>
    </xf>
    <xf numFmtId="0" fontId="59" fillId="45" borderId="7" xfId="0" applyFont="1" applyFill="1" applyBorder="1" applyAlignment="1" applyProtection="1">
      <alignment horizontal="center" vertical="center" wrapText="1"/>
    </xf>
    <xf numFmtId="0" fontId="59" fillId="14" borderId="110" xfId="8" applyFont="1" applyFill="1" applyBorder="1" applyAlignment="1" applyProtection="1">
      <alignment horizontal="center" vertical="center" wrapText="1"/>
    </xf>
    <xf numFmtId="0" fontId="59" fillId="14" borderId="99" xfId="8" applyFont="1" applyFill="1" applyBorder="1" applyAlignment="1" applyProtection="1">
      <alignment horizontal="center" vertical="center" wrapText="1"/>
    </xf>
    <xf numFmtId="0" fontId="57" fillId="30" borderId="43" xfId="0" applyFont="1" applyFill="1" applyBorder="1" applyAlignment="1">
      <alignment horizontal="left" vertical="center"/>
    </xf>
    <xf numFmtId="0" fontId="26" fillId="14" borderId="42" xfId="0" applyFont="1" applyFill="1" applyBorder="1" applyAlignment="1">
      <alignment horizontal="centerContinuous" vertical="center"/>
    </xf>
    <xf numFmtId="0" fontId="26" fillId="14" borderId="43" xfId="0" applyFont="1" applyFill="1" applyBorder="1" applyAlignment="1">
      <alignment horizontal="centerContinuous" vertical="top"/>
    </xf>
    <xf numFmtId="0" fontId="26" fillId="14" borderId="43" xfId="0" applyFont="1" applyFill="1" applyBorder="1" applyAlignment="1">
      <alignment horizontal="centerContinuous" vertical="center"/>
    </xf>
    <xf numFmtId="0" fontId="26" fillId="14" borderId="37" xfId="0" applyFont="1" applyFill="1" applyBorder="1" applyAlignment="1">
      <alignment horizontal="centerContinuous" vertical="center"/>
    </xf>
    <xf numFmtId="0" fontId="57" fillId="30" borderId="39" xfId="0" applyFont="1" applyFill="1" applyBorder="1" applyAlignment="1">
      <alignment horizontal="centerContinuous" vertical="center"/>
    </xf>
    <xf numFmtId="0" fontId="18" fillId="0" borderId="0" xfId="0" applyFont="1" applyProtection="1"/>
    <xf numFmtId="0" fontId="21" fillId="8" borderId="8" xfId="1" applyFont="1" applyFill="1" applyBorder="1" applyAlignment="1" applyProtection="1">
      <alignment horizontal="centerContinuous" vertical="justify" wrapText="1"/>
    </xf>
    <xf numFmtId="0" fontId="21" fillId="8" borderId="92" xfId="1" applyFont="1" applyFill="1" applyBorder="1" applyAlignment="1" applyProtection="1">
      <alignment horizontal="centerContinuous" vertical="justify" wrapText="1"/>
    </xf>
    <xf numFmtId="0" fontId="21" fillId="8" borderId="7" xfId="1" applyFont="1" applyFill="1" applyBorder="1" applyAlignment="1" applyProtection="1">
      <alignment horizontal="centerContinuous" vertical="center" wrapText="1"/>
    </xf>
    <xf numFmtId="0" fontId="21" fillId="8" borderId="20" xfId="1" applyFont="1" applyFill="1" applyBorder="1" applyAlignment="1" applyProtection="1">
      <alignment horizontal="centerContinuous" vertical="center" wrapText="1"/>
    </xf>
    <xf numFmtId="0" fontId="21" fillId="0" borderId="0" xfId="1" applyFont="1" applyProtection="1"/>
    <xf numFmtId="0" fontId="18" fillId="11" borderId="53" xfId="0" applyFont="1" applyFill="1" applyBorder="1" applyAlignment="1" applyProtection="1">
      <alignment horizontal="center" vertical="center"/>
    </xf>
    <xf numFmtId="0" fontId="23" fillId="0" borderId="45" xfId="4" applyFont="1" applyBorder="1" applyAlignment="1" applyProtection="1">
      <alignment horizontal="centerContinuous" vertical="center"/>
    </xf>
    <xf numFmtId="0" fontId="18" fillId="12" borderId="23" xfId="0" applyFont="1" applyFill="1" applyBorder="1" applyAlignment="1" applyProtection="1">
      <alignment horizontal="center" vertical="center"/>
    </xf>
    <xf numFmtId="0" fontId="18" fillId="11" borderId="23" xfId="0" applyFont="1" applyFill="1" applyBorder="1" applyAlignment="1" applyProtection="1">
      <alignment horizontal="center" vertical="center"/>
    </xf>
    <xf numFmtId="0" fontId="18" fillId="11" borderId="26" xfId="0" applyFont="1" applyFill="1" applyBorder="1" applyAlignment="1" applyProtection="1">
      <alignment horizontal="center" vertical="center"/>
    </xf>
    <xf numFmtId="0" fontId="22" fillId="0" borderId="0" xfId="4" applyFont="1" applyAlignment="1" applyProtection="1">
      <alignment vertical="top"/>
    </xf>
    <xf numFmtId="0" fontId="17" fillId="14" borderId="0" xfId="0" applyFont="1" applyFill="1" applyProtection="1"/>
    <xf numFmtId="0" fontId="18" fillId="10" borderId="23" xfId="0" applyFont="1" applyFill="1" applyBorder="1" applyAlignment="1" applyProtection="1">
      <alignment horizontal="center" vertical="center"/>
    </xf>
    <xf numFmtId="0" fontId="18" fillId="12" borderId="64" xfId="0" applyFont="1" applyFill="1" applyBorder="1" applyAlignment="1" applyProtection="1">
      <alignment horizontal="center" vertical="center"/>
    </xf>
    <xf numFmtId="0" fontId="19" fillId="0" borderId="0" xfId="0" applyFont="1" applyProtection="1"/>
    <xf numFmtId="0" fontId="48" fillId="13" borderId="18" xfId="1" applyFont="1" applyFill="1" applyBorder="1" applyAlignment="1" applyProtection="1">
      <alignment horizontal="left" vertical="center"/>
    </xf>
    <xf numFmtId="0" fontId="21" fillId="8" borderId="19" xfId="1" applyFont="1" applyFill="1" applyBorder="1" applyAlignment="1" applyProtection="1">
      <alignment horizontal="left" vertical="center"/>
    </xf>
    <xf numFmtId="0" fontId="23" fillId="0" borderId="0" xfId="1" applyFont="1" applyFill="1" applyBorder="1" applyAlignment="1" applyProtection="1">
      <alignment horizontal="left" vertical="top" indent="3"/>
    </xf>
    <xf numFmtId="0" fontId="22" fillId="0" borderId="0" xfId="1" applyFont="1" applyFill="1" applyBorder="1" applyAlignment="1" applyProtection="1">
      <alignment horizontal="right" vertical="top" wrapText="1"/>
    </xf>
    <xf numFmtId="0" fontId="17" fillId="15" borderId="100" xfId="0" applyFont="1" applyFill="1" applyBorder="1" applyAlignment="1" applyProtection="1">
      <alignment horizontal="left" vertical="top"/>
      <protection locked="0"/>
    </xf>
    <xf numFmtId="0" fontId="17" fillId="15" borderId="88" xfId="0" applyFont="1" applyFill="1" applyBorder="1" applyAlignment="1" applyProtection="1">
      <alignment horizontal="left" vertical="top"/>
      <protection locked="0"/>
    </xf>
    <xf numFmtId="0" fontId="17" fillId="15" borderId="94" xfId="0" applyFont="1" applyFill="1" applyBorder="1" applyAlignment="1" applyProtection="1">
      <alignment horizontal="left" vertical="top"/>
      <protection locked="0"/>
    </xf>
    <xf numFmtId="0" fontId="17" fillId="15" borderId="89" xfId="0" applyFont="1" applyFill="1" applyBorder="1" applyAlignment="1" applyProtection="1">
      <alignment horizontal="left" vertical="top"/>
      <protection locked="0"/>
    </xf>
    <xf numFmtId="0" fontId="17" fillId="15" borderId="91" xfId="0" applyFont="1" applyFill="1" applyBorder="1" applyAlignment="1" applyProtection="1">
      <alignment horizontal="left" vertical="top"/>
      <protection locked="0"/>
    </xf>
    <xf numFmtId="0" fontId="17" fillId="15" borderId="93" xfId="0" applyFont="1" applyFill="1" applyBorder="1" applyAlignment="1" applyProtection="1">
      <alignment horizontal="left" vertical="top"/>
      <protection locked="0"/>
    </xf>
    <xf numFmtId="0" fontId="17" fillId="15" borderId="102" xfId="0" applyFont="1" applyFill="1" applyBorder="1" applyAlignment="1" applyProtection="1">
      <alignment horizontal="left" vertical="top"/>
      <protection locked="0"/>
    </xf>
    <xf numFmtId="0" fontId="17" fillId="15" borderId="106" xfId="0" applyFont="1" applyFill="1" applyBorder="1" applyAlignment="1" applyProtection="1">
      <alignment horizontal="left" vertical="top"/>
      <protection locked="0"/>
    </xf>
    <xf numFmtId="0" fontId="17" fillId="15" borderId="97" xfId="0" applyFont="1" applyFill="1" applyBorder="1" applyAlignment="1" applyProtection="1">
      <alignment horizontal="left" vertical="top"/>
      <protection locked="0"/>
    </xf>
    <xf numFmtId="0" fontId="17" fillId="15" borderId="107" xfId="0" applyFont="1" applyFill="1" applyBorder="1" applyAlignment="1" applyProtection="1">
      <alignment horizontal="left" vertical="top"/>
      <protection locked="0"/>
    </xf>
    <xf numFmtId="0" fontId="17" fillId="15" borderId="108" xfId="0" applyFont="1" applyFill="1" applyBorder="1" applyAlignment="1" applyProtection="1">
      <alignment horizontal="left" vertical="top"/>
      <protection locked="0"/>
    </xf>
    <xf numFmtId="0" fontId="18" fillId="11" borderId="101" xfId="0" applyFont="1" applyFill="1" applyBorder="1" applyAlignment="1" applyProtection="1">
      <alignment horizontal="left" vertical="top"/>
      <protection locked="0"/>
    </xf>
    <xf numFmtId="0" fontId="18" fillId="11" borderId="103" xfId="0" applyFont="1" applyFill="1" applyBorder="1" applyAlignment="1" applyProtection="1">
      <alignment horizontal="left" vertical="top"/>
      <protection locked="0"/>
    </xf>
    <xf numFmtId="0" fontId="36" fillId="9" borderId="12" xfId="0" applyFont="1" applyFill="1" applyBorder="1" applyAlignment="1" applyProtection="1">
      <alignment horizontal="center" vertical="center" wrapText="1"/>
      <protection locked="0"/>
    </xf>
    <xf numFmtId="0" fontId="36" fillId="9" borderId="14" xfId="0" applyFont="1" applyFill="1" applyBorder="1" applyAlignment="1" applyProtection="1">
      <alignment horizontal="center" vertical="center" wrapText="1"/>
      <protection locked="0"/>
    </xf>
    <xf numFmtId="0" fontId="22" fillId="14" borderId="77" xfId="1" applyFont="1" applyFill="1" applyBorder="1"/>
    <xf numFmtId="0" fontId="18" fillId="8" borderId="42" xfId="0" applyFont="1" applyFill="1" applyBorder="1" applyAlignment="1">
      <alignment horizontal="left" wrapText="1"/>
    </xf>
    <xf numFmtId="0" fontId="18" fillId="8" borderId="43" xfId="0" applyFont="1" applyFill="1" applyBorder="1" applyAlignment="1">
      <alignment horizontal="left" wrapText="1"/>
    </xf>
    <xf numFmtId="0" fontId="18" fillId="8" borderId="44" xfId="0" applyFont="1" applyFill="1" applyBorder="1" applyAlignment="1">
      <alignment horizontal="left" wrapText="1"/>
    </xf>
    <xf numFmtId="0" fontId="21" fillId="8" borderId="61" xfId="1" applyFont="1" applyFill="1" applyBorder="1" applyAlignment="1">
      <alignment horizontal="left" vertical="center" wrapText="1"/>
    </xf>
    <xf numFmtId="0" fontId="18" fillId="8" borderId="52" xfId="0" applyFont="1" applyFill="1" applyBorder="1" applyAlignment="1">
      <alignment horizontal="left" vertical="center" wrapText="1"/>
    </xf>
    <xf numFmtId="0" fontId="18" fillId="8" borderId="62" xfId="0" applyFont="1" applyFill="1" applyBorder="1" applyAlignment="1">
      <alignment horizontal="left" vertical="center" wrapText="1"/>
    </xf>
    <xf numFmtId="0" fontId="23" fillId="0" borderId="11" xfId="4" applyFont="1" applyFill="1" applyBorder="1" applyAlignment="1" applyProtection="1">
      <alignment horizontal="right" vertical="center" wrapText="1"/>
    </xf>
    <xf numFmtId="0" fontId="23" fillId="0" borderId="1" xfId="4" applyFont="1" applyFill="1" applyBorder="1" applyAlignment="1" applyProtection="1">
      <alignment horizontal="right" vertical="center" wrapText="1"/>
    </xf>
    <xf numFmtId="0" fontId="18" fillId="8" borderId="42" xfId="0" applyFont="1" applyFill="1" applyBorder="1" applyAlignment="1">
      <alignment horizontal="left" vertical="top" wrapText="1"/>
    </xf>
    <xf numFmtId="0" fontId="18" fillId="8" borderId="43" xfId="0" applyFont="1" applyFill="1" applyBorder="1" applyAlignment="1">
      <alignment horizontal="left" vertical="top"/>
    </xf>
    <xf numFmtId="0" fontId="18" fillId="8" borderId="44" xfId="0" applyFont="1" applyFill="1" applyBorder="1" applyAlignment="1">
      <alignment horizontal="left" vertical="top"/>
    </xf>
    <xf numFmtId="0" fontId="19" fillId="0" borderId="11" xfId="8" applyFont="1" applyBorder="1" applyAlignment="1" applyProtection="1">
      <alignment horizontal="right" vertical="center"/>
    </xf>
    <xf numFmtId="0" fontId="19" fillId="0" borderId="1" xfId="8" applyFont="1" applyBorder="1" applyAlignment="1" applyProtection="1">
      <alignment horizontal="right" vertical="center"/>
    </xf>
    <xf numFmtId="0" fontId="23" fillId="0" borderId="11" xfId="4" applyFont="1" applyFill="1" applyBorder="1" applyAlignment="1" applyProtection="1">
      <alignment horizontal="right" vertical="center"/>
    </xf>
    <xf numFmtId="0" fontId="23" fillId="0" borderId="1" xfId="4" applyFont="1" applyFill="1" applyBorder="1" applyAlignment="1" applyProtection="1">
      <alignment horizontal="right" vertical="center"/>
    </xf>
    <xf numFmtId="0" fontId="18" fillId="0" borderId="81" xfId="8" applyFont="1" applyBorder="1" applyAlignment="1" applyProtection="1">
      <alignment horizontal="left" wrapText="1"/>
    </xf>
    <xf numFmtId="0" fontId="18" fillId="0" borderId="0" xfId="8" applyFont="1" applyBorder="1" applyAlignment="1" applyProtection="1">
      <alignment horizontal="left" wrapText="1"/>
    </xf>
    <xf numFmtId="0" fontId="18" fillId="0" borderId="82" xfId="8" applyFont="1" applyBorder="1" applyAlignment="1" applyProtection="1">
      <alignment horizontal="left" wrapText="1"/>
    </xf>
    <xf numFmtId="0" fontId="19" fillId="0" borderId="61" xfId="8" applyFont="1" applyBorder="1" applyAlignment="1" applyProtection="1">
      <alignment horizontal="right"/>
    </xf>
    <xf numFmtId="0" fontId="19" fillId="0" borderId="52" xfId="8" applyFont="1" applyBorder="1" applyAlignment="1" applyProtection="1">
      <alignment horizontal="right"/>
    </xf>
    <xf numFmtId="0" fontId="19" fillId="0" borderId="9" xfId="8" applyFont="1" applyBorder="1" applyAlignment="1" applyProtection="1">
      <alignment horizontal="right" vertical="center"/>
    </xf>
    <xf numFmtId="0" fontId="19" fillId="0" borderId="15" xfId="8" applyFont="1" applyBorder="1" applyAlignment="1" applyProtection="1">
      <alignment horizontal="right" vertical="center"/>
    </xf>
    <xf numFmtId="0" fontId="36" fillId="8" borderId="42" xfId="1" applyFont="1" applyFill="1" applyBorder="1" applyAlignment="1" applyProtection="1">
      <alignment horizontal="left" vertical="top" wrapText="1"/>
    </xf>
    <xf numFmtId="0" fontId="36" fillId="8" borderId="43" xfId="1" applyFont="1" applyFill="1" applyBorder="1" applyAlignment="1" applyProtection="1">
      <alignment horizontal="left" vertical="top" wrapText="1"/>
    </xf>
    <xf numFmtId="0" fontId="36" fillId="8" borderId="44" xfId="1" applyFont="1" applyFill="1" applyBorder="1" applyAlignment="1" applyProtection="1">
      <alignment horizontal="left" vertical="top" wrapText="1"/>
    </xf>
    <xf numFmtId="0" fontId="21" fillId="8" borderId="61" xfId="1" applyFont="1" applyFill="1" applyBorder="1" applyAlignment="1">
      <alignment horizontal="left" wrapText="1"/>
    </xf>
    <xf numFmtId="0" fontId="18" fillId="8" borderId="52" xfId="0" applyFont="1" applyFill="1" applyBorder="1" applyAlignment="1">
      <alignment horizontal="left" wrapText="1"/>
    </xf>
    <xf numFmtId="0" fontId="18" fillId="8" borderId="62" xfId="0" applyFont="1" applyFill="1" applyBorder="1" applyAlignment="1">
      <alignment horizontal="left" wrapText="1"/>
    </xf>
    <xf numFmtId="0" fontId="23" fillId="0" borderId="13" xfId="4" applyFont="1" applyFill="1" applyBorder="1" applyAlignment="1" applyProtection="1">
      <alignment horizontal="right" vertical="center"/>
    </xf>
    <xf numFmtId="0" fontId="23" fillId="0" borderId="16" xfId="4" applyFont="1" applyFill="1" applyBorder="1" applyAlignment="1" applyProtection="1">
      <alignment horizontal="right" vertical="center"/>
    </xf>
    <xf numFmtId="0" fontId="23" fillId="0" borderId="13" xfId="8" applyFont="1" applyBorder="1" applyAlignment="1" applyProtection="1">
      <alignment horizontal="left" vertical="center"/>
    </xf>
    <xf numFmtId="0" fontId="23" fillId="0" borderId="16" xfId="8" applyFont="1" applyBorder="1" applyAlignment="1" applyProtection="1">
      <alignment horizontal="left" vertical="center"/>
    </xf>
    <xf numFmtId="0" fontId="27" fillId="0" borderId="78" xfId="7" applyFont="1" applyFill="1" applyBorder="1" applyAlignment="1" applyProtection="1">
      <alignment horizontal="center" vertical="center"/>
    </xf>
    <xf numFmtId="0" fontId="27" fillId="0" borderId="79" xfId="7" applyFont="1" applyFill="1" applyBorder="1" applyAlignment="1" applyProtection="1">
      <alignment horizontal="center" vertical="center"/>
    </xf>
    <xf numFmtId="0" fontId="27" fillId="0" borderId="80" xfId="7" applyFont="1" applyFill="1" applyBorder="1" applyAlignment="1" applyProtection="1">
      <alignment horizontal="center" vertical="center"/>
    </xf>
    <xf numFmtId="0" fontId="17" fillId="0" borderId="81" xfId="7" applyFont="1" applyFill="1" applyBorder="1" applyAlignment="1" applyProtection="1">
      <alignment horizontal="center"/>
    </xf>
    <xf numFmtId="0" fontId="17" fillId="0" borderId="0" xfId="7" applyFont="1" applyFill="1" applyBorder="1" applyAlignment="1" applyProtection="1">
      <alignment horizontal="center"/>
    </xf>
    <xf numFmtId="0" fontId="17" fillId="0" borderId="82" xfId="7" applyFont="1" applyFill="1" applyBorder="1" applyAlignment="1" applyProtection="1">
      <alignment horizontal="center"/>
    </xf>
    <xf numFmtId="0" fontId="27" fillId="0" borderId="81" xfId="7" applyFont="1" applyFill="1" applyBorder="1" applyAlignment="1" applyProtection="1">
      <alignment horizontal="center" vertical="center"/>
    </xf>
    <xf numFmtId="0" fontId="27" fillId="0" borderId="0" xfId="7" applyFont="1" applyFill="1" applyBorder="1" applyAlignment="1" applyProtection="1">
      <alignment horizontal="center" vertical="center"/>
    </xf>
    <xf numFmtId="0" fontId="27" fillId="0" borderId="82" xfId="7" applyFont="1" applyFill="1" applyBorder="1" applyAlignment="1" applyProtection="1">
      <alignment horizontal="center" vertical="center"/>
    </xf>
    <xf numFmtId="0" fontId="28" fillId="0" borderId="81" xfId="7" applyFont="1" applyFill="1" applyBorder="1" applyAlignment="1" applyProtection="1">
      <alignment horizontal="center" vertical="center"/>
    </xf>
    <xf numFmtId="0" fontId="28" fillId="0" borderId="0" xfId="7" applyFont="1" applyFill="1" applyBorder="1" applyAlignment="1" applyProtection="1">
      <alignment horizontal="center" vertical="center"/>
    </xf>
    <xf numFmtId="0" fontId="28" fillId="0" borderId="82" xfId="7" applyFont="1" applyFill="1" applyBorder="1" applyAlignment="1" applyProtection="1">
      <alignment horizontal="center" vertical="center"/>
    </xf>
    <xf numFmtId="0" fontId="33" fillId="0" borderId="81" xfId="8" applyFont="1" applyBorder="1" applyAlignment="1" applyProtection="1">
      <alignment horizontal="center"/>
    </xf>
    <xf numFmtId="0" fontId="33" fillId="0" borderId="0" xfId="8" applyFont="1" applyBorder="1" applyAlignment="1" applyProtection="1">
      <alignment horizontal="center"/>
    </xf>
    <xf numFmtId="0" fontId="33" fillId="0" borderId="82" xfId="8" applyFont="1" applyBorder="1" applyAlignment="1" applyProtection="1">
      <alignment horizontal="center"/>
    </xf>
    <xf numFmtId="0" fontId="22" fillId="0" borderId="81" xfId="8" applyFont="1" applyBorder="1" applyAlignment="1" applyProtection="1">
      <alignment wrapText="1"/>
    </xf>
    <xf numFmtId="0" fontId="22" fillId="0" borderId="0" xfId="8" applyFont="1" applyBorder="1" applyAlignment="1" applyProtection="1">
      <alignment wrapText="1"/>
    </xf>
    <xf numFmtId="0" fontId="22" fillId="0" borderId="82" xfId="8" applyFont="1" applyBorder="1" applyAlignment="1" applyProtection="1">
      <alignment wrapText="1"/>
    </xf>
    <xf numFmtId="0" fontId="23" fillId="0" borderId="9" xfId="8" applyFont="1" applyBorder="1" applyAlignment="1" applyProtection="1">
      <alignment horizontal="left" vertical="center" wrapText="1"/>
    </xf>
    <xf numFmtId="0" fontId="23" fillId="0" borderId="15" xfId="8" applyFont="1" applyBorder="1" applyAlignment="1" applyProtection="1">
      <alignment horizontal="left" vertical="center"/>
    </xf>
    <xf numFmtId="0" fontId="19" fillId="0" borderId="11" xfId="8" applyFont="1" applyBorder="1" applyAlignment="1" applyProtection="1">
      <alignment horizontal="left" vertical="center"/>
    </xf>
    <xf numFmtId="0" fontId="19" fillId="0" borderId="1" xfId="8" applyFont="1" applyBorder="1" applyAlignment="1" applyProtection="1">
      <alignment horizontal="left" vertical="center"/>
    </xf>
    <xf numFmtId="0" fontId="16" fillId="0" borderId="0" xfId="0" applyFont="1" applyFill="1" applyBorder="1" applyAlignment="1">
      <alignment horizontal="left" vertical="top"/>
    </xf>
    <xf numFmtId="0" fontId="17" fillId="0" borderId="0" xfId="0" applyFont="1" applyFill="1" applyBorder="1" applyAlignment="1">
      <alignment horizontal="left" vertical="top"/>
    </xf>
    <xf numFmtId="0" fontId="16" fillId="30" borderId="0" xfId="0" applyFont="1" applyFill="1" applyBorder="1" applyAlignment="1">
      <alignment horizontal="left" vertical="top"/>
    </xf>
    <xf numFmtId="0" fontId="17" fillId="30" borderId="0" xfId="0" applyFont="1" applyFill="1" applyBorder="1" applyAlignment="1"/>
    <xf numFmtId="0" fontId="61" fillId="30" borderId="0" xfId="1" applyFont="1" applyFill="1" applyBorder="1" applyAlignment="1">
      <alignment vertical="top" wrapText="1"/>
    </xf>
    <xf numFmtId="0" fontId="17" fillId="30" borderId="0" xfId="0" applyFont="1" applyFill="1" applyBorder="1" applyAlignment="1">
      <alignment vertical="top" wrapText="1"/>
    </xf>
    <xf numFmtId="0" fontId="26" fillId="30" borderId="0" xfId="0" applyFont="1" applyFill="1" applyBorder="1" applyAlignment="1"/>
    <xf numFmtId="0" fontId="62" fillId="30" borderId="0" xfId="0" applyFont="1" applyFill="1" applyBorder="1" applyAlignment="1">
      <alignment vertical="top"/>
    </xf>
    <xf numFmtId="0" fontId="62" fillId="30" borderId="0" xfId="0" applyFont="1" applyFill="1" applyBorder="1" applyAlignment="1">
      <alignment vertical="top" wrapText="1"/>
    </xf>
    <xf numFmtId="0" fontId="36" fillId="8" borderId="42" xfId="1" applyFont="1" applyFill="1" applyBorder="1" applyAlignment="1">
      <alignment horizontal="left" vertical="top"/>
    </xf>
    <xf numFmtId="0" fontId="36" fillId="8" borderId="43" xfId="1" applyFont="1" applyFill="1" applyBorder="1" applyAlignment="1">
      <alignment horizontal="left" vertical="top"/>
    </xf>
    <xf numFmtId="0" fontId="36" fillId="8" borderId="44" xfId="1" applyFont="1" applyFill="1" applyBorder="1" applyAlignment="1">
      <alignment horizontal="left" vertical="top"/>
    </xf>
    <xf numFmtId="0" fontId="18" fillId="8" borderId="42" xfId="0" applyFont="1" applyFill="1" applyBorder="1" applyAlignment="1">
      <alignment horizontal="left"/>
    </xf>
    <xf numFmtId="0" fontId="18" fillId="8" borderId="43" xfId="0" applyFont="1" applyFill="1" applyBorder="1" applyAlignment="1">
      <alignment horizontal="left"/>
    </xf>
    <xf numFmtId="0" fontId="18" fillId="8" borderId="44" xfId="0" applyFont="1" applyFill="1" applyBorder="1" applyAlignment="1">
      <alignment horizontal="left"/>
    </xf>
    <xf numFmtId="0" fontId="36" fillId="30" borderId="0" xfId="0" applyFont="1" applyFill="1" applyBorder="1" applyAlignment="1">
      <alignment horizontal="left" wrapText="1"/>
    </xf>
    <xf numFmtId="0" fontId="16" fillId="14" borderId="104" xfId="0" applyFont="1" applyFill="1" applyBorder="1" applyAlignment="1" applyProtection="1">
      <alignment horizontal="center" vertical="center" wrapText="1"/>
    </xf>
    <xf numFmtId="0" fontId="16" fillId="30" borderId="0" xfId="0" applyFont="1" applyFill="1" applyBorder="1" applyAlignment="1">
      <alignment horizontal="center" vertical="center"/>
    </xf>
    <xf numFmtId="0" fontId="18" fillId="30" borderId="0" xfId="0" applyFont="1" applyFill="1" applyBorder="1" applyAlignment="1">
      <alignment horizontal="left" vertical="center"/>
    </xf>
    <xf numFmtId="0" fontId="18" fillId="12" borderId="9" xfId="0" applyFont="1" applyFill="1" applyBorder="1" applyAlignment="1">
      <alignment wrapText="1"/>
    </xf>
    <xf numFmtId="0" fontId="18" fillId="12" borderId="15" xfId="0" applyFont="1" applyFill="1" applyBorder="1" applyAlignment="1">
      <alignment wrapText="1"/>
    </xf>
    <xf numFmtId="0" fontId="18" fillId="12" borderId="11" xfId="0" applyFont="1" applyFill="1" applyBorder="1" applyAlignment="1">
      <alignment wrapText="1"/>
    </xf>
    <xf numFmtId="0" fontId="18" fillId="12" borderId="1" xfId="0" applyFont="1" applyFill="1" applyBorder="1" applyAlignment="1">
      <alignment wrapText="1"/>
    </xf>
    <xf numFmtId="0" fontId="18" fillId="12" borderId="29" xfId="0" applyFont="1" applyFill="1" applyBorder="1" applyAlignment="1">
      <alignment wrapText="1"/>
    </xf>
    <xf numFmtId="0" fontId="18" fillId="12" borderId="30" xfId="0" applyFont="1" applyFill="1" applyBorder="1" applyAlignment="1">
      <alignment wrapText="1"/>
    </xf>
    <xf numFmtId="0" fontId="18" fillId="12" borderId="13" xfId="0" applyFont="1" applyFill="1" applyBorder="1" applyAlignment="1">
      <alignment wrapText="1"/>
    </xf>
    <xf numFmtId="0" fontId="18" fillId="12" borderId="16" xfId="0" applyFont="1" applyFill="1" applyBorder="1" applyAlignment="1">
      <alignment wrapText="1"/>
    </xf>
    <xf numFmtId="0" fontId="18" fillId="12" borderId="24" xfId="0" applyFont="1" applyFill="1" applyBorder="1" applyAlignment="1">
      <alignment horizontal="left" wrapText="1"/>
    </xf>
    <xf numFmtId="0" fontId="18" fillId="12" borderId="3" xfId="0" applyFont="1" applyFill="1" applyBorder="1" applyAlignment="1">
      <alignment horizontal="left" wrapText="1"/>
    </xf>
    <xf numFmtId="0" fontId="18" fillId="12" borderId="4" xfId="0" applyFont="1" applyFill="1" applyBorder="1" applyAlignment="1">
      <alignment horizontal="left" wrapText="1"/>
    </xf>
    <xf numFmtId="0" fontId="27" fillId="0" borderId="0" xfId="0" applyFont="1" applyFill="1" applyBorder="1" applyAlignment="1">
      <alignment horizontal="center" vertical="center"/>
    </xf>
    <xf numFmtId="0" fontId="17" fillId="0" borderId="0" xfId="0" applyFont="1" applyFill="1" applyBorder="1" applyAlignment="1">
      <alignment horizontal="center"/>
    </xf>
    <xf numFmtId="0" fontId="28" fillId="0" borderId="0" xfId="0" applyFont="1" applyFill="1" applyBorder="1" applyAlignment="1">
      <alignment horizontal="center" vertical="center"/>
    </xf>
    <xf numFmtId="0" fontId="22" fillId="14" borderId="0" xfId="0" applyFont="1" applyFill="1" applyBorder="1" applyAlignment="1">
      <alignment horizontal="left" vertical="top"/>
    </xf>
    <xf numFmtId="0" fontId="22" fillId="14" borderId="0" xfId="1" applyFont="1" applyFill="1" applyBorder="1" applyAlignment="1">
      <alignment horizontal="left" vertical="top"/>
    </xf>
    <xf numFmtId="178" fontId="22" fillId="30" borderId="0" xfId="0" applyNumberFormat="1" applyFont="1" applyFill="1" applyAlignment="1">
      <alignment vertical="top" wrapText="1"/>
    </xf>
    <xf numFmtId="178" fontId="22" fillId="0" borderId="0" xfId="0" applyNumberFormat="1" applyFont="1"/>
    <xf numFmtId="0" fontId="22" fillId="14" borderId="0" xfId="1" applyFont="1" applyFill="1" applyBorder="1" applyAlignment="1" applyProtection="1">
      <alignment horizontal="left" vertical="top"/>
    </xf>
    <xf numFmtId="0" fontId="22" fillId="0" borderId="2" xfId="8" applyFont="1" applyBorder="1" applyAlignment="1">
      <alignment horizontal="left" vertical="top" wrapText="1"/>
    </xf>
    <xf numFmtId="0" fontId="22" fillId="0" borderId="3" xfId="8" applyFont="1" applyBorder="1" applyAlignment="1">
      <alignment horizontal="left" vertical="top" wrapText="1"/>
    </xf>
    <xf numFmtId="0" fontId="22" fillId="0" borderId="23" xfId="8" applyFont="1" applyBorder="1" applyAlignment="1">
      <alignment horizontal="left" vertical="top" wrapText="1"/>
    </xf>
    <xf numFmtId="0" fontId="22" fillId="0" borderId="1" xfId="8" applyFont="1" applyBorder="1" applyAlignment="1">
      <alignment horizontal="left" vertical="top" wrapText="1"/>
    </xf>
    <xf numFmtId="0" fontId="22" fillId="0" borderId="12" xfId="8" applyFont="1" applyBorder="1" applyAlignment="1">
      <alignment horizontal="left" vertical="top" wrapText="1"/>
    </xf>
    <xf numFmtId="0" fontId="18" fillId="0" borderId="36" xfId="8" applyFont="1" applyBorder="1" applyAlignment="1">
      <alignment horizontal="left" vertical="top" wrapText="1"/>
    </xf>
    <xf numFmtId="0" fontId="18" fillId="0" borderId="48" xfId="8" applyFont="1" applyBorder="1" applyAlignment="1">
      <alignment horizontal="left" vertical="top" wrapText="1"/>
    </xf>
    <xf numFmtId="0" fontId="18" fillId="0" borderId="64" xfId="8" applyFont="1" applyBorder="1" applyAlignment="1">
      <alignment horizontal="left" vertical="top" wrapText="1"/>
    </xf>
    <xf numFmtId="0" fontId="22" fillId="0" borderId="18" xfId="8" applyFont="1" applyBorder="1" applyAlignment="1">
      <alignment horizontal="left" vertical="top" wrapText="1"/>
    </xf>
    <xf numFmtId="0" fontId="22" fillId="0" borderId="8" xfId="8" applyFont="1" applyBorder="1" applyAlignment="1">
      <alignment horizontal="left" vertical="top" wrapText="1"/>
    </xf>
    <xf numFmtId="0" fontId="22" fillId="0" borderId="26" xfId="8" applyFont="1" applyBorder="1" applyAlignment="1">
      <alignment horizontal="left" vertical="top" wrapText="1"/>
    </xf>
    <xf numFmtId="0" fontId="22" fillId="0" borderId="19" xfId="8" applyFont="1" applyBorder="1" applyAlignment="1">
      <alignment horizontal="left" vertical="top" wrapText="1"/>
    </xf>
    <xf numFmtId="0" fontId="22" fillId="0" borderId="7" xfId="8" applyFont="1" applyBorder="1" applyAlignment="1">
      <alignment horizontal="left" vertical="top" wrapText="1"/>
    </xf>
    <xf numFmtId="0" fontId="22" fillId="0" borderId="63" xfId="8" applyFont="1" applyBorder="1" applyAlignment="1">
      <alignment horizontal="left" vertical="top" wrapText="1"/>
    </xf>
    <xf numFmtId="0" fontId="22" fillId="0" borderId="65" xfId="8" applyFont="1" applyBorder="1" applyAlignment="1">
      <alignment horizontal="left" vertical="top" wrapText="1"/>
    </xf>
    <xf numFmtId="0" fontId="22" fillId="0" borderId="0" xfId="8" applyFont="1" applyBorder="1" applyAlignment="1">
      <alignment horizontal="left" vertical="top" wrapText="1"/>
    </xf>
    <xf numFmtId="0" fontId="22" fillId="0" borderId="54" xfId="8" applyFont="1" applyBorder="1" applyAlignment="1">
      <alignment horizontal="left" vertical="top" wrapText="1"/>
    </xf>
    <xf numFmtId="0" fontId="22" fillId="0" borderId="18" xfId="8" applyFont="1" applyBorder="1" applyAlignment="1">
      <alignment vertical="center" wrapText="1"/>
    </xf>
    <xf numFmtId="0" fontId="22" fillId="0" borderId="8" xfId="8" applyFont="1" applyBorder="1" applyAlignment="1">
      <alignment vertical="center" wrapText="1"/>
    </xf>
    <xf numFmtId="0" fontId="22" fillId="0" borderId="26" xfId="8" applyFont="1" applyBorder="1" applyAlignment="1">
      <alignment vertical="center" wrapText="1"/>
    </xf>
    <xf numFmtId="0" fontId="22" fillId="0" borderId="65" xfId="8" applyFont="1" applyBorder="1" applyAlignment="1">
      <alignment vertical="center" wrapText="1"/>
    </xf>
    <xf numFmtId="0" fontId="22" fillId="0" borderId="0" xfId="8" applyFont="1" applyBorder="1" applyAlignment="1">
      <alignment vertical="center" wrapText="1"/>
    </xf>
    <xf numFmtId="0" fontId="22" fillId="0" borderId="54" xfId="8" applyFont="1" applyBorder="1" applyAlignment="1">
      <alignment vertical="center" wrapText="1"/>
    </xf>
    <xf numFmtId="0" fontId="22" fillId="0" borderId="19" xfId="8" applyFont="1" applyBorder="1" applyAlignment="1">
      <alignment vertical="center" wrapText="1"/>
    </xf>
    <xf numFmtId="0" fontId="22" fillId="0" borderId="7" xfId="8" applyFont="1" applyBorder="1" applyAlignment="1">
      <alignment vertical="center" wrapText="1"/>
    </xf>
    <xf numFmtId="0" fontId="22" fillId="0" borderId="63" xfId="8" applyFont="1" applyBorder="1" applyAlignment="1">
      <alignment vertical="center" wrapText="1"/>
    </xf>
    <xf numFmtId="0" fontId="16" fillId="0" borderId="0" xfId="0" applyFont="1" applyFill="1" applyBorder="1" applyAlignment="1">
      <alignment horizontal="center" vertical="center"/>
    </xf>
    <xf numFmtId="0" fontId="17" fillId="0" borderId="0" xfId="0" applyFont="1" applyBorder="1" applyAlignment="1">
      <alignment horizontal="left"/>
    </xf>
    <xf numFmtId="0" fontId="19" fillId="2" borderId="45" xfId="8" applyFont="1" applyFill="1" applyBorder="1" applyAlignment="1">
      <alignment horizontal="center" vertical="center"/>
    </xf>
    <xf numFmtId="0" fontId="19" fillId="2" borderId="47" xfId="8" applyFont="1" applyFill="1" applyBorder="1" applyAlignment="1">
      <alignment horizontal="center" vertical="center"/>
    </xf>
    <xf numFmtId="0" fontId="19" fillId="2" borderId="53" xfId="8" applyFont="1" applyFill="1" applyBorder="1" applyAlignment="1">
      <alignment horizontal="center" vertical="center"/>
    </xf>
    <xf numFmtId="0" fontId="18" fillId="0" borderId="1" xfId="8" applyFont="1" applyBorder="1" applyAlignment="1">
      <alignment horizontal="left" vertical="top" wrapText="1"/>
    </xf>
    <xf numFmtId="0" fontId="18" fillId="0" borderId="12" xfId="8" applyFont="1" applyBorder="1" applyAlignment="1">
      <alignment horizontal="left" vertical="top" wrapText="1"/>
    </xf>
    <xf numFmtId="0" fontId="22" fillId="0" borderId="1" xfId="8" applyFont="1" applyBorder="1" applyAlignment="1">
      <alignment horizontal="left" vertical="top"/>
    </xf>
    <xf numFmtId="0" fontId="22" fillId="0" borderId="12" xfId="8" applyFont="1" applyBorder="1" applyAlignment="1">
      <alignment horizontal="left" vertical="top"/>
    </xf>
    <xf numFmtId="0" fontId="32" fillId="5" borderId="9" xfId="0" applyFont="1" applyFill="1" applyBorder="1" applyAlignment="1">
      <alignment horizontal="center" vertical="center"/>
    </xf>
    <xf numFmtId="0" fontId="32" fillId="5" borderId="15" xfId="0" applyFont="1" applyFill="1" applyBorder="1" applyAlignment="1">
      <alignment horizontal="center" vertical="center"/>
    </xf>
    <xf numFmtId="0" fontId="32" fillId="5" borderId="10" xfId="0" applyFont="1" applyFill="1" applyBorder="1" applyAlignment="1">
      <alignment horizontal="center" vertical="center"/>
    </xf>
    <xf numFmtId="0" fontId="24" fillId="0" borderId="28" xfId="1" applyFont="1" applyBorder="1" applyAlignment="1">
      <alignment horizontal="left" vertical="center" wrapText="1"/>
    </xf>
    <xf numFmtId="0" fontId="24" fillId="0" borderId="73" xfId="1" applyFont="1" applyBorder="1" applyAlignment="1">
      <alignment horizontal="left" vertical="center" wrapText="1"/>
    </xf>
    <xf numFmtId="0" fontId="24" fillId="0" borderId="41" xfId="1" applyFont="1" applyBorder="1" applyAlignment="1">
      <alignment horizontal="left" vertical="center" wrapText="1"/>
    </xf>
    <xf numFmtId="0" fontId="68" fillId="0" borderId="55" xfId="1" applyFont="1" applyBorder="1" applyAlignment="1">
      <alignment horizontal="center" vertical="center" wrapText="1"/>
    </xf>
    <xf numFmtId="0" fontId="68" fillId="0" borderId="58" xfId="1" applyFont="1" applyBorder="1" applyAlignment="1">
      <alignment horizontal="center" vertical="center" wrapText="1"/>
    </xf>
    <xf numFmtId="0" fontId="32" fillId="7" borderId="9" xfId="0" applyFont="1" applyFill="1" applyBorder="1" applyAlignment="1">
      <alignment horizontal="center" vertical="center"/>
    </xf>
    <xf numFmtId="0" fontId="32" fillId="7" borderId="15" xfId="0" applyFont="1" applyFill="1" applyBorder="1" applyAlignment="1">
      <alignment horizontal="center" vertical="center"/>
    </xf>
    <xf numFmtId="0" fontId="32" fillId="7" borderId="10" xfId="0" applyFont="1" applyFill="1" applyBorder="1" applyAlignment="1">
      <alignment horizontal="center" vertical="center"/>
    </xf>
    <xf numFmtId="0" fontId="61" fillId="0" borderId="58" xfId="0" applyFont="1" applyBorder="1" applyAlignment="1">
      <alignment horizontal="center" wrapText="1"/>
    </xf>
    <xf numFmtId="0" fontId="61" fillId="0" borderId="73" xfId="0" applyFont="1" applyBorder="1" applyAlignment="1">
      <alignment horizontal="center" wrapText="1"/>
    </xf>
    <xf numFmtId="0" fontId="24" fillId="0" borderId="73" xfId="1" applyFont="1" applyBorder="1" applyAlignment="1">
      <alignment horizontal="center" vertical="top" wrapText="1"/>
    </xf>
    <xf numFmtId="0" fontId="24" fillId="0" borderId="41" xfId="1" applyFont="1" applyBorder="1" applyAlignment="1">
      <alignment horizontal="center" vertical="top" wrapText="1"/>
    </xf>
    <xf numFmtId="0" fontId="57" fillId="0" borderId="0" xfId="0" applyFont="1" applyFill="1" applyBorder="1" applyAlignment="1">
      <alignment horizontal="center"/>
    </xf>
    <xf numFmtId="0" fontId="26" fillId="0" borderId="0" xfId="0" applyFont="1" applyFill="1" applyBorder="1" applyAlignment="1">
      <alignment horizontal="center" vertical="center"/>
    </xf>
    <xf numFmtId="0" fontId="24" fillId="0" borderId="58" xfId="1" applyFont="1" applyBorder="1" applyAlignment="1" applyProtection="1">
      <alignment horizontal="center" vertical="center" wrapText="1"/>
    </xf>
    <xf numFmtId="0" fontId="24" fillId="0" borderId="73" xfId="1" applyFont="1" applyBorder="1" applyAlignment="1" applyProtection="1">
      <alignment horizontal="center" vertical="center" wrapText="1"/>
    </xf>
    <xf numFmtId="0" fontId="24" fillId="0" borderId="41" xfId="1" applyFont="1" applyBorder="1" applyAlignment="1" applyProtection="1">
      <alignment horizontal="center" vertical="center" wrapText="1"/>
    </xf>
    <xf numFmtId="0" fontId="61" fillId="0" borderId="66" xfId="0" applyFont="1" applyBorder="1" applyAlignment="1">
      <alignment horizontal="center" wrapText="1"/>
    </xf>
    <xf numFmtId="0" fontId="61" fillId="0" borderId="77" xfId="0" applyFont="1" applyBorder="1" applyAlignment="1">
      <alignment horizontal="center" wrapText="1"/>
    </xf>
    <xf numFmtId="0" fontId="24" fillId="0" borderId="77" xfId="1" applyFont="1" applyFill="1" applyBorder="1" applyAlignment="1">
      <alignment horizontal="center" vertical="top"/>
    </xf>
    <xf numFmtId="0" fontId="24" fillId="0" borderId="59" xfId="1" applyFont="1" applyFill="1" applyBorder="1" applyAlignment="1">
      <alignment horizontal="center" vertical="top"/>
    </xf>
    <xf numFmtId="49" fontId="32" fillId="7" borderId="37" xfId="0" applyNumberFormat="1" applyFont="1" applyFill="1" applyBorder="1" applyAlignment="1">
      <alignment horizontal="center" vertical="center"/>
    </xf>
    <xf numFmtId="49" fontId="32" fillId="7" borderId="38" xfId="0" applyNumberFormat="1" applyFont="1" applyFill="1" applyBorder="1" applyAlignment="1">
      <alignment horizontal="center" vertical="center"/>
    </xf>
    <xf numFmtId="49" fontId="32" fillId="7" borderId="44" xfId="0" applyNumberFormat="1" applyFont="1" applyFill="1" applyBorder="1" applyAlignment="1">
      <alignment horizontal="center" vertical="center"/>
    </xf>
    <xf numFmtId="49" fontId="32" fillId="7" borderId="39" xfId="0" applyNumberFormat="1" applyFont="1" applyFill="1" applyBorder="1" applyAlignment="1">
      <alignment horizontal="center" vertical="center"/>
    </xf>
    <xf numFmtId="0" fontId="24" fillId="0" borderId="58" xfId="1" applyFont="1" applyFill="1" applyBorder="1" applyAlignment="1">
      <alignment horizontal="left" vertical="center" wrapText="1"/>
    </xf>
    <xf numFmtId="0" fontId="24" fillId="0" borderId="73" xfId="1" applyFont="1" applyFill="1" applyBorder="1" applyAlignment="1">
      <alignment horizontal="left" vertical="center" wrapText="1"/>
    </xf>
    <xf numFmtId="0" fontId="24" fillId="0" borderId="41" xfId="1" applyFont="1" applyFill="1" applyBorder="1" applyAlignment="1">
      <alignment horizontal="left" vertical="center" wrapText="1"/>
    </xf>
    <xf numFmtId="0" fontId="32" fillId="7" borderId="45" xfId="0" applyFont="1" applyFill="1" applyBorder="1" applyAlignment="1" applyProtection="1">
      <alignment horizontal="center" vertical="center"/>
    </xf>
    <xf numFmtId="0" fontId="32" fillId="7" borderId="47" xfId="0" applyFont="1" applyFill="1" applyBorder="1" applyAlignment="1" applyProtection="1">
      <alignment horizontal="center" vertical="center"/>
    </xf>
    <xf numFmtId="0" fontId="32" fillId="7" borderId="53" xfId="0" applyFont="1" applyFill="1" applyBorder="1" applyAlignment="1" applyProtection="1">
      <alignment horizontal="center" vertical="center"/>
    </xf>
    <xf numFmtId="49" fontId="24" fillId="0" borderId="28" xfId="1" applyNumberFormat="1" applyFont="1" applyBorder="1" applyAlignment="1">
      <alignment horizontal="left" vertical="center" wrapText="1"/>
    </xf>
    <xf numFmtId="49" fontId="24" fillId="0" borderId="73" xfId="1" applyNumberFormat="1" applyFont="1" applyBorder="1" applyAlignment="1">
      <alignment horizontal="left" vertical="center" wrapText="1"/>
    </xf>
    <xf numFmtId="49" fontId="24" fillId="0" borderId="41" xfId="1" applyNumberFormat="1" applyFont="1" applyBorder="1" applyAlignment="1">
      <alignment horizontal="left" vertical="center" wrapText="1"/>
    </xf>
    <xf numFmtId="0" fontId="24" fillId="0" borderId="32" xfId="1" applyFont="1" applyBorder="1" applyAlignment="1">
      <alignment horizontal="left" vertical="center" wrapText="1"/>
    </xf>
    <xf numFmtId="0" fontId="32" fillId="7" borderId="24" xfId="0" applyFont="1" applyFill="1" applyBorder="1" applyAlignment="1" applyProtection="1">
      <alignment horizontal="center" vertical="center"/>
    </xf>
    <xf numFmtId="0" fontId="32" fillId="7" borderId="3" xfId="0" applyFont="1" applyFill="1" applyBorder="1" applyAlignment="1" applyProtection="1">
      <alignment horizontal="center" vertical="center"/>
    </xf>
    <xf numFmtId="0" fontId="32" fillId="7" borderId="23" xfId="0" applyFont="1" applyFill="1" applyBorder="1" applyAlignment="1" applyProtection="1">
      <alignment horizontal="center" vertical="center"/>
    </xf>
    <xf numFmtId="0" fontId="24" fillId="0" borderId="28" xfId="1" applyFont="1" applyBorder="1" applyAlignment="1">
      <alignment horizontal="left" vertical="center"/>
    </xf>
    <xf numFmtId="0" fontId="24" fillId="0" borderId="73" xfId="1" applyFont="1" applyBorder="1" applyAlignment="1">
      <alignment horizontal="left" vertical="center"/>
    </xf>
    <xf numFmtId="0" fontId="24" fillId="0" borderId="32" xfId="1" applyFont="1" applyBorder="1" applyAlignment="1">
      <alignment horizontal="left" vertical="center"/>
    </xf>
    <xf numFmtId="0" fontId="32" fillId="6" borderId="9" xfId="0" applyFont="1" applyFill="1" applyBorder="1" applyAlignment="1">
      <alignment horizontal="center" vertical="center"/>
    </xf>
    <xf numFmtId="0" fontId="32" fillId="6" borderId="15" xfId="0" applyFont="1" applyFill="1" applyBorder="1" applyAlignment="1">
      <alignment horizontal="center" vertical="center"/>
    </xf>
    <xf numFmtId="0" fontId="32" fillId="6" borderId="10" xfId="0" applyFont="1" applyFill="1" applyBorder="1" applyAlignment="1">
      <alignment horizontal="center" vertical="center"/>
    </xf>
    <xf numFmtId="0" fontId="24" fillId="0" borderId="28" xfId="1" applyFont="1" applyBorder="1" applyAlignment="1">
      <alignment horizontal="center" vertical="center" wrapText="1"/>
    </xf>
    <xf numFmtId="0" fontId="24" fillId="0" borderId="73" xfId="1" applyFont="1" applyBorder="1" applyAlignment="1">
      <alignment horizontal="center" vertical="center" wrapText="1"/>
    </xf>
    <xf numFmtId="0" fontId="24" fillId="0" borderId="32" xfId="1" applyFont="1" applyBorder="1" applyAlignment="1">
      <alignment horizontal="center" vertical="center" wrapText="1"/>
    </xf>
    <xf numFmtId="0" fontId="17" fillId="0" borderId="66" xfId="0" applyFont="1" applyBorder="1" applyAlignment="1">
      <alignment horizontal="left" vertical="center" wrapText="1"/>
    </xf>
    <xf numFmtId="0" fontId="17" fillId="0" borderId="77" xfId="0" applyFont="1" applyBorder="1" applyAlignment="1">
      <alignment horizontal="left"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left" wrapText="1"/>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left"/>
    </xf>
    <xf numFmtId="0" fontId="0" fillId="0" borderId="0" xfId="0" applyBorder="1" applyAlignment="1">
      <alignment horizontal="left"/>
    </xf>
    <xf numFmtId="0" fontId="0" fillId="0" borderId="11" xfId="0" applyFill="1" applyBorder="1" applyAlignment="1">
      <alignment horizontal="left" vertical="center"/>
    </xf>
    <xf numFmtId="0" fontId="0" fillId="0" borderId="1" xfId="0" applyFill="1" applyBorder="1" applyAlignment="1">
      <alignment horizontal="left" vertical="center"/>
    </xf>
    <xf numFmtId="0" fontId="0" fillId="0" borderId="13" xfId="0" applyFill="1" applyBorder="1" applyAlignment="1">
      <alignment horizontal="left" vertical="center"/>
    </xf>
    <xf numFmtId="0" fontId="0" fillId="0" borderId="16" xfId="0" applyFill="1" applyBorder="1" applyAlignment="1">
      <alignment horizontal="lef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60" xfId="0" applyFill="1" applyBorder="1" applyAlignment="1">
      <alignment horizontal="center" vertical="center"/>
    </xf>
    <xf numFmtId="0" fontId="0" fillId="2" borderId="0" xfId="0" applyFill="1" applyBorder="1" applyAlignment="1">
      <alignment horizontal="center" vertical="center"/>
    </xf>
    <xf numFmtId="0" fontId="0" fillId="0" borderId="49" xfId="0" applyBorder="1" applyAlignment="1">
      <alignment horizontal="right"/>
    </xf>
    <xf numFmtId="0" fontId="0" fillId="0" borderId="7" xfId="0" applyBorder="1" applyAlignment="1">
      <alignment horizontal="right"/>
    </xf>
    <xf numFmtId="0" fontId="0" fillId="2" borderId="25"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0" fontId="0" fillId="0" borderId="0" xfId="0" applyAlignment="1">
      <alignment horizontal="left" wrapText="1"/>
    </xf>
    <xf numFmtId="0" fontId="0" fillId="0" borderId="60" xfId="0" applyBorder="1" applyAlignment="1">
      <alignment horizontal="right"/>
    </xf>
    <xf numFmtId="0" fontId="0" fillId="0" borderId="0" xfId="0" applyBorder="1" applyAlignment="1">
      <alignment horizontal="right"/>
    </xf>
    <xf numFmtId="0" fontId="0" fillId="0" borderId="60" xfId="0" applyBorder="1" applyAlignment="1">
      <alignment horizontal="left" vertical="center" wrapText="1"/>
    </xf>
    <xf numFmtId="0" fontId="0" fillId="0" borderId="49" xfId="0" applyBorder="1" applyAlignment="1">
      <alignment horizontal="left" vertical="center" wrapText="1"/>
    </xf>
    <xf numFmtId="0" fontId="0" fillId="2" borderId="54" xfId="0" applyFill="1" applyBorder="1" applyAlignment="1">
      <alignment horizontal="center" vertical="center"/>
    </xf>
    <xf numFmtId="0" fontId="0" fillId="0" borderId="60" xfId="0" applyBorder="1" applyAlignment="1">
      <alignment horizontal="left" vertical="center"/>
    </xf>
    <xf numFmtId="0" fontId="0" fillId="0" borderId="0" xfId="0" applyBorder="1" applyAlignment="1">
      <alignment horizontal="left" vertical="center"/>
    </xf>
    <xf numFmtId="0" fontId="0" fillId="0" borderId="61" xfId="0" applyBorder="1" applyAlignment="1">
      <alignment horizontal="left" vertical="center"/>
    </xf>
    <xf numFmtId="0" fontId="0" fillId="0" borderId="52" xfId="0" applyBorder="1" applyAlignment="1">
      <alignment horizontal="left" vertical="center"/>
    </xf>
    <xf numFmtId="0" fontId="13" fillId="0" borderId="0" xfId="0" applyFont="1" applyBorder="1" applyAlignment="1">
      <alignment horizontal="left" wrapText="1"/>
    </xf>
    <xf numFmtId="0" fontId="0" fillId="0" borderId="0" xfId="0" applyAlignment="1">
      <alignment horizontal="left" vertical="center" wrapText="1"/>
    </xf>
    <xf numFmtId="178" fontId="43" fillId="30" borderId="0" xfId="0" applyNumberFormat="1" applyFont="1" applyFill="1" applyAlignment="1">
      <alignment vertical="top" wrapText="1"/>
    </xf>
    <xf numFmtId="178" fontId="0" fillId="0" borderId="0" xfId="0" applyNumberFormat="1"/>
    <xf numFmtId="0" fontId="66" fillId="0" borderId="88" xfId="0" applyFont="1" applyFill="1" applyBorder="1" applyAlignment="1">
      <alignment horizontal="left"/>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8" xfId="0" applyBorder="1" applyAlignment="1" applyProtection="1">
      <alignment horizontal="center" vertical="center"/>
    </xf>
    <xf numFmtId="0" fontId="0" fillId="0" borderId="55" xfId="0" applyBorder="1" applyAlignment="1">
      <alignment horizontal="center" wrapText="1"/>
    </xf>
    <xf numFmtId="0" fontId="0" fillId="0" borderId="56" xfId="0" applyBorder="1" applyAlignment="1">
      <alignment horizontal="center"/>
    </xf>
    <xf numFmtId="0" fontId="0" fillId="0" borderId="58"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6" xfId="0" applyBorder="1" applyAlignment="1">
      <alignment horizontal="left" wrapText="1"/>
    </xf>
    <xf numFmtId="0" fontId="0" fillId="0" borderId="32"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0" fillId="0" borderId="16" xfId="0" applyBorder="1" applyAlignment="1">
      <alignment horizontal="left" wrapText="1"/>
    </xf>
    <xf numFmtId="0" fontId="0" fillId="0" borderId="14" xfId="0" applyBorder="1" applyAlignment="1">
      <alignment horizontal="left" wrapText="1"/>
    </xf>
    <xf numFmtId="0" fontId="8" fillId="0" borderId="45" xfId="0" applyFont="1" applyBorder="1" applyAlignment="1">
      <alignment horizontal="center"/>
    </xf>
    <xf numFmtId="0" fontId="8" fillId="0" borderId="47" xfId="0" applyFont="1" applyBorder="1" applyAlignment="1">
      <alignment horizontal="center"/>
    </xf>
    <xf numFmtId="0" fontId="8" fillId="0" borderId="53" xfId="0" applyFont="1" applyBorder="1" applyAlignment="1">
      <alignment horizontal="center"/>
    </xf>
    <xf numFmtId="0" fontId="0" fillId="0" borderId="5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65" xfId="0" applyBorder="1" applyAlignment="1">
      <alignment horizontal="center" vertical="center"/>
    </xf>
    <xf numFmtId="0" fontId="0" fillId="0" borderId="0"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2" xfId="0" applyBorder="1" applyAlignment="1">
      <alignment horizontal="center" vertical="center"/>
    </xf>
    <xf numFmtId="0" fontId="0" fillId="0" borderId="62" xfId="0" applyBorder="1" applyAlignment="1">
      <alignment horizontal="center" vertical="center"/>
    </xf>
    <xf numFmtId="0" fontId="0" fillId="0" borderId="5" xfId="0" applyBorder="1" applyAlignment="1">
      <alignment horizontal="center"/>
    </xf>
    <xf numFmtId="0" fontId="0" fillId="0" borderId="28" xfId="0" applyBorder="1" applyAlignment="1">
      <alignment horizontal="center"/>
    </xf>
    <xf numFmtId="0" fontId="0" fillId="0" borderId="6" xfId="0" applyBorder="1" applyAlignment="1">
      <alignment horizontal="left"/>
    </xf>
    <xf numFmtId="0" fontId="0" fillId="0" borderId="32" xfId="0" applyBorder="1" applyAlignment="1">
      <alignment horizontal="left"/>
    </xf>
    <xf numFmtId="0" fontId="8" fillId="0" borderId="9" xfId="0" applyFont="1" applyBorder="1" applyAlignment="1">
      <alignment horizontal="center"/>
    </xf>
    <xf numFmtId="0" fontId="8" fillId="0" borderId="15" xfId="0" applyFont="1" applyBorder="1" applyAlignment="1">
      <alignment horizontal="center"/>
    </xf>
    <xf numFmtId="0" fontId="8" fillId="0" borderId="10" xfId="0" applyFont="1"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0" fillId="0" borderId="64" xfId="0" applyBorder="1" applyAlignment="1">
      <alignment horizontal="center"/>
    </xf>
    <xf numFmtId="0" fontId="0" fillId="0" borderId="1" xfId="0" applyBorder="1" applyAlignment="1">
      <alignment horizontal="left"/>
    </xf>
    <xf numFmtId="0" fontId="0" fillId="0" borderId="12" xfId="0" applyBorder="1" applyAlignment="1">
      <alignment horizontal="left"/>
    </xf>
    <xf numFmtId="0" fontId="8" fillId="0" borderId="29" xfId="0" applyFont="1" applyBorder="1" applyAlignment="1">
      <alignment horizontal="center"/>
    </xf>
    <xf numFmtId="0" fontId="8" fillId="0" borderId="30" xfId="0" applyFont="1" applyBorder="1" applyAlignment="1">
      <alignment horizontal="center"/>
    </xf>
    <xf numFmtId="0" fontId="8" fillId="0" borderId="3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3" xfId="0" applyBorder="1" applyAlignment="1">
      <alignment horizontal="center"/>
    </xf>
    <xf numFmtId="0" fontId="0" fillId="0" borderId="6" xfId="0" applyBorder="1" applyAlignment="1">
      <alignment horizontal="center"/>
    </xf>
    <xf numFmtId="0" fontId="0" fillId="0" borderId="32" xfId="0" applyBorder="1" applyAlignment="1">
      <alignment horizontal="center"/>
    </xf>
  </cellXfs>
  <cellStyles count="388">
    <cellStyle name="20% - Accent1 2" xfId="12" xr:uid="{00000000-0005-0000-0000-000000000000}"/>
    <cellStyle name="20% - Accent1 2 2" xfId="13" xr:uid="{00000000-0005-0000-0000-000001000000}"/>
    <cellStyle name="20% - Accent1 2 2 2" xfId="14" xr:uid="{00000000-0005-0000-0000-000002000000}"/>
    <cellStyle name="20% - Accent1 2 2 3" xfId="15" xr:uid="{00000000-0005-0000-0000-000003000000}"/>
    <cellStyle name="20% - Accent1 2 2_Lawn Mower data" xfId="326" xr:uid="{86794A26-A5CE-494F-B5E9-5D1B06B97585}"/>
    <cellStyle name="20% - Accent1 2 3" xfId="16" xr:uid="{00000000-0005-0000-0000-000004000000}"/>
    <cellStyle name="20% - Accent1 2 4" xfId="17" xr:uid="{00000000-0005-0000-0000-000005000000}"/>
    <cellStyle name="20% - Accent1 2 5" xfId="18" xr:uid="{00000000-0005-0000-0000-000006000000}"/>
    <cellStyle name="20% - Accent1 2 6" xfId="19" xr:uid="{00000000-0005-0000-0000-000007000000}"/>
    <cellStyle name="20% - Accent1 2_Lawn Mower data" xfId="325" xr:uid="{37C6D7F1-2A6C-4FDA-A02C-83C00EDD6B3D}"/>
    <cellStyle name="20% - Accent1 3" xfId="20" xr:uid="{00000000-0005-0000-0000-000008000000}"/>
    <cellStyle name="20% - Accent1 3 2" xfId="21" xr:uid="{00000000-0005-0000-0000-000009000000}"/>
    <cellStyle name="20% - Accent1 3 3" xfId="22" xr:uid="{00000000-0005-0000-0000-00000A000000}"/>
    <cellStyle name="20% - Accent1 3_Lawn Mower data" xfId="327" xr:uid="{6222753A-8780-451C-824C-97AE2CD0BD5C}"/>
    <cellStyle name="20% - Accent1 4" xfId="23" xr:uid="{00000000-0005-0000-0000-00000B000000}"/>
    <cellStyle name="20% - Accent1 5" xfId="24" xr:uid="{00000000-0005-0000-0000-00000C000000}"/>
    <cellStyle name="20% - Accent1 6" xfId="25" xr:uid="{00000000-0005-0000-0000-00000D000000}"/>
    <cellStyle name="20% - Accent2 2" xfId="26" xr:uid="{00000000-0005-0000-0000-00000E000000}"/>
    <cellStyle name="20% - Accent2 2 2" xfId="27" xr:uid="{00000000-0005-0000-0000-00000F000000}"/>
    <cellStyle name="20% - Accent2 2 2 2" xfId="28" xr:uid="{00000000-0005-0000-0000-000010000000}"/>
    <cellStyle name="20% - Accent2 2 2 3" xfId="29" xr:uid="{00000000-0005-0000-0000-000011000000}"/>
    <cellStyle name="20% - Accent2 2 2_Lawn Mower data" xfId="329" xr:uid="{88D95A1D-94D1-425F-941E-961515F02F6C}"/>
    <cellStyle name="20% - Accent2 2 3" xfId="30" xr:uid="{00000000-0005-0000-0000-000012000000}"/>
    <cellStyle name="20% - Accent2 2 4" xfId="31" xr:uid="{00000000-0005-0000-0000-000013000000}"/>
    <cellStyle name="20% - Accent2 2 5" xfId="32" xr:uid="{00000000-0005-0000-0000-000014000000}"/>
    <cellStyle name="20% - Accent2 2_Lawn Mower data" xfId="328" xr:uid="{959C54C5-E2BA-42F7-AA71-C10BAE62D910}"/>
    <cellStyle name="20% - Accent2 3" xfId="33" xr:uid="{00000000-0005-0000-0000-000015000000}"/>
    <cellStyle name="20% - Accent2 3 2" xfId="34" xr:uid="{00000000-0005-0000-0000-000016000000}"/>
    <cellStyle name="20% - Accent2 3 3" xfId="35" xr:uid="{00000000-0005-0000-0000-000017000000}"/>
    <cellStyle name="20% - Accent2 3_Lawn Mower data" xfId="330" xr:uid="{17AA6104-9592-439D-BF55-B057E0F20AEB}"/>
    <cellStyle name="20% - Accent2 4" xfId="36" xr:uid="{00000000-0005-0000-0000-000018000000}"/>
    <cellStyle name="20% - Accent2 5" xfId="37" xr:uid="{00000000-0005-0000-0000-000019000000}"/>
    <cellStyle name="20% - Accent2 6" xfId="38" xr:uid="{00000000-0005-0000-0000-00001A000000}"/>
    <cellStyle name="20% - Accent3 2" xfId="39" xr:uid="{00000000-0005-0000-0000-00001B000000}"/>
    <cellStyle name="20% - Accent3 2 2" xfId="40" xr:uid="{00000000-0005-0000-0000-00001C000000}"/>
    <cellStyle name="20% - Accent3 2 2 2" xfId="41" xr:uid="{00000000-0005-0000-0000-00001D000000}"/>
    <cellStyle name="20% - Accent3 2 2 3" xfId="42" xr:uid="{00000000-0005-0000-0000-00001E000000}"/>
    <cellStyle name="20% - Accent3 2 2_Lawn Mower data" xfId="332" xr:uid="{CF984231-BDB3-4A4A-8124-6D317C2395B9}"/>
    <cellStyle name="20% - Accent3 2 3" xfId="43" xr:uid="{00000000-0005-0000-0000-00001F000000}"/>
    <cellStyle name="20% - Accent3 2 4" xfId="44" xr:uid="{00000000-0005-0000-0000-000020000000}"/>
    <cellStyle name="20% - Accent3 2 5" xfId="45" xr:uid="{00000000-0005-0000-0000-000021000000}"/>
    <cellStyle name="20% - Accent3 2_Lawn Mower data" xfId="331" xr:uid="{9A6A4150-CE11-4969-8CEE-EAB44316D4E2}"/>
    <cellStyle name="20% - Accent3 3" xfId="46" xr:uid="{00000000-0005-0000-0000-000022000000}"/>
    <cellStyle name="20% - Accent3 3 2" xfId="47" xr:uid="{00000000-0005-0000-0000-000023000000}"/>
    <cellStyle name="20% - Accent3 3 3" xfId="48" xr:uid="{00000000-0005-0000-0000-000024000000}"/>
    <cellStyle name="20% - Accent3 3_Lawn Mower data" xfId="333" xr:uid="{92B9160F-0097-4462-BF84-4A361070AC6E}"/>
    <cellStyle name="20% - Accent3 4" xfId="49" xr:uid="{00000000-0005-0000-0000-000025000000}"/>
    <cellStyle name="20% - Accent3 5" xfId="50" xr:uid="{00000000-0005-0000-0000-000026000000}"/>
    <cellStyle name="20% - Accent3 6" xfId="51" xr:uid="{00000000-0005-0000-0000-000027000000}"/>
    <cellStyle name="20% - Accent4 2" xfId="52" xr:uid="{00000000-0005-0000-0000-000028000000}"/>
    <cellStyle name="20% - Accent4 2 2" xfId="53" xr:uid="{00000000-0005-0000-0000-000029000000}"/>
    <cellStyle name="20% - Accent4 2 2 2" xfId="54" xr:uid="{00000000-0005-0000-0000-00002A000000}"/>
    <cellStyle name="20% - Accent4 2 2 3" xfId="55" xr:uid="{00000000-0005-0000-0000-00002B000000}"/>
    <cellStyle name="20% - Accent4 2 2_Lawn Mower data" xfId="335" xr:uid="{A6FD4A99-DD46-435F-8F24-571B3FBDC89C}"/>
    <cellStyle name="20% - Accent4 2 3" xfId="56" xr:uid="{00000000-0005-0000-0000-00002C000000}"/>
    <cellStyle name="20% - Accent4 2 4" xfId="57" xr:uid="{00000000-0005-0000-0000-00002D000000}"/>
    <cellStyle name="20% - Accent4 2 5" xfId="58" xr:uid="{00000000-0005-0000-0000-00002E000000}"/>
    <cellStyle name="20% - Accent4 2_Lawn Mower data" xfId="334" xr:uid="{081C88E2-238A-4DEF-B973-7CDF65E98BCE}"/>
    <cellStyle name="20% - Accent4 3" xfId="59" xr:uid="{00000000-0005-0000-0000-00002F000000}"/>
    <cellStyle name="20% - Accent4 3 2" xfId="60" xr:uid="{00000000-0005-0000-0000-000030000000}"/>
    <cellStyle name="20% - Accent4 3 3" xfId="61" xr:uid="{00000000-0005-0000-0000-000031000000}"/>
    <cellStyle name="20% - Accent4 3_Lawn Mower data" xfId="336" xr:uid="{713CCFC4-5F2A-4F38-8F99-B8717A223699}"/>
    <cellStyle name="20% - Accent4 4" xfId="62" xr:uid="{00000000-0005-0000-0000-000032000000}"/>
    <cellStyle name="20% - Accent4 5" xfId="63" xr:uid="{00000000-0005-0000-0000-000033000000}"/>
    <cellStyle name="20% - Accent4 6" xfId="64" xr:uid="{00000000-0005-0000-0000-000034000000}"/>
    <cellStyle name="20% - Accent5 2" xfId="65" xr:uid="{00000000-0005-0000-0000-000035000000}"/>
    <cellStyle name="20% - Accent5 2 2" xfId="66" xr:uid="{00000000-0005-0000-0000-000036000000}"/>
    <cellStyle name="20% - Accent5 2 2 2" xfId="67" xr:uid="{00000000-0005-0000-0000-000037000000}"/>
    <cellStyle name="20% - Accent5 2 2 3" xfId="68" xr:uid="{00000000-0005-0000-0000-000038000000}"/>
    <cellStyle name="20% - Accent5 2 2_Lawn Mower data" xfId="338" xr:uid="{72466607-A457-479E-B350-F8EC8EE4D75B}"/>
    <cellStyle name="20% - Accent5 2 3" xfId="69" xr:uid="{00000000-0005-0000-0000-000039000000}"/>
    <cellStyle name="20% - Accent5 2 4" xfId="70" xr:uid="{00000000-0005-0000-0000-00003A000000}"/>
    <cellStyle name="20% - Accent5 2 5" xfId="71" xr:uid="{00000000-0005-0000-0000-00003B000000}"/>
    <cellStyle name="20% - Accent5 2_Lawn Mower data" xfId="337" xr:uid="{70689BEB-928E-4F78-9296-6FDC00AAD683}"/>
    <cellStyle name="20% - Accent5 3" xfId="72" xr:uid="{00000000-0005-0000-0000-00003C000000}"/>
    <cellStyle name="20% - Accent5 3 2" xfId="73" xr:uid="{00000000-0005-0000-0000-00003D000000}"/>
    <cellStyle name="20% - Accent5 3 3" xfId="74" xr:uid="{00000000-0005-0000-0000-00003E000000}"/>
    <cellStyle name="20% - Accent5 3_Lawn Mower data" xfId="339" xr:uid="{ABEECE3C-2763-4DD6-80A5-DFC76059982A}"/>
    <cellStyle name="20% - Accent5 4" xfId="75" xr:uid="{00000000-0005-0000-0000-00003F000000}"/>
    <cellStyle name="20% - Accent5 5" xfId="76" xr:uid="{00000000-0005-0000-0000-000040000000}"/>
    <cellStyle name="20% - Accent5 6" xfId="77" xr:uid="{00000000-0005-0000-0000-000041000000}"/>
    <cellStyle name="20% - Accent6 2" xfId="78" xr:uid="{00000000-0005-0000-0000-000042000000}"/>
    <cellStyle name="20% - Accent6 2 2" xfId="79" xr:uid="{00000000-0005-0000-0000-000043000000}"/>
    <cellStyle name="20% - Accent6 2 2 2" xfId="80" xr:uid="{00000000-0005-0000-0000-000044000000}"/>
    <cellStyle name="20% - Accent6 2 2 3" xfId="81" xr:uid="{00000000-0005-0000-0000-000045000000}"/>
    <cellStyle name="20% - Accent6 2 2_Lawn Mower data" xfId="341" xr:uid="{F82D71D4-881A-4666-9E0B-F44DA6DE367C}"/>
    <cellStyle name="20% - Accent6 2 3" xfId="82" xr:uid="{00000000-0005-0000-0000-000046000000}"/>
    <cellStyle name="20% - Accent6 2 4" xfId="83" xr:uid="{00000000-0005-0000-0000-000047000000}"/>
    <cellStyle name="20% - Accent6 2 5" xfId="84" xr:uid="{00000000-0005-0000-0000-000048000000}"/>
    <cellStyle name="20% - Accent6 2_Lawn Mower data" xfId="340" xr:uid="{BEEE3E62-6A9F-41BE-8507-52FA392C3491}"/>
    <cellStyle name="20% - Accent6 3" xfId="85" xr:uid="{00000000-0005-0000-0000-000049000000}"/>
    <cellStyle name="20% - Accent6 3 2" xfId="86" xr:uid="{00000000-0005-0000-0000-00004A000000}"/>
    <cellStyle name="20% - Accent6 3 3" xfId="87" xr:uid="{00000000-0005-0000-0000-00004B000000}"/>
    <cellStyle name="20% - Accent6 3_Lawn Mower data" xfId="342" xr:uid="{C3506709-65E5-47B6-9EE3-6466C7CBCCE1}"/>
    <cellStyle name="20% - Accent6 4" xfId="88" xr:uid="{00000000-0005-0000-0000-00004C000000}"/>
    <cellStyle name="20% - Accent6 5" xfId="89" xr:uid="{00000000-0005-0000-0000-00004D000000}"/>
    <cellStyle name="20% - Accent6 6" xfId="90" xr:uid="{00000000-0005-0000-0000-00004E000000}"/>
    <cellStyle name="40% - Accent1 2" xfId="91" xr:uid="{00000000-0005-0000-0000-00004F000000}"/>
    <cellStyle name="40% - Accent1 2 2" xfId="92" xr:uid="{00000000-0005-0000-0000-000050000000}"/>
    <cellStyle name="40% - Accent1 2 2 2" xfId="93" xr:uid="{00000000-0005-0000-0000-000051000000}"/>
    <cellStyle name="40% - Accent1 2 2 3" xfId="94" xr:uid="{00000000-0005-0000-0000-000052000000}"/>
    <cellStyle name="40% - Accent1 2 2_Lawn Mower data" xfId="344" xr:uid="{E4248DE7-9345-4250-8B52-FD045D615DE0}"/>
    <cellStyle name="40% - Accent1 2 3" xfId="95" xr:uid="{00000000-0005-0000-0000-000053000000}"/>
    <cellStyle name="40% - Accent1 2 4" xfId="96" xr:uid="{00000000-0005-0000-0000-000054000000}"/>
    <cellStyle name="40% - Accent1 2 5" xfId="97" xr:uid="{00000000-0005-0000-0000-000055000000}"/>
    <cellStyle name="40% - Accent1 2_Lawn Mower data" xfId="343" xr:uid="{F0DF89C9-CABA-4752-96D2-9D68B1C5B1F2}"/>
    <cellStyle name="40% - Accent1 3" xfId="98" xr:uid="{00000000-0005-0000-0000-000056000000}"/>
    <cellStyle name="40% - Accent1 3 2" xfId="99" xr:uid="{00000000-0005-0000-0000-000057000000}"/>
    <cellStyle name="40% - Accent1 3 3" xfId="100" xr:uid="{00000000-0005-0000-0000-000058000000}"/>
    <cellStyle name="40% - Accent1 3_Lawn Mower data" xfId="345" xr:uid="{39353EE1-EE93-40B3-8824-0936641EF0CB}"/>
    <cellStyle name="40% - Accent1 4" xfId="101" xr:uid="{00000000-0005-0000-0000-000059000000}"/>
    <cellStyle name="40% - Accent1 5" xfId="102" xr:uid="{00000000-0005-0000-0000-00005A000000}"/>
    <cellStyle name="40% - Accent1 6" xfId="103" xr:uid="{00000000-0005-0000-0000-00005B000000}"/>
    <cellStyle name="40% - Accent2 2" xfId="104" xr:uid="{00000000-0005-0000-0000-00005C000000}"/>
    <cellStyle name="40% - Accent2 2 2" xfId="105" xr:uid="{00000000-0005-0000-0000-00005D000000}"/>
    <cellStyle name="40% - Accent2 2 2 2" xfId="106" xr:uid="{00000000-0005-0000-0000-00005E000000}"/>
    <cellStyle name="40% - Accent2 2 2 3" xfId="107" xr:uid="{00000000-0005-0000-0000-00005F000000}"/>
    <cellStyle name="40% - Accent2 2 2_Lawn Mower data" xfId="347" xr:uid="{92B5008A-6EA5-4F35-9591-DFDBB2EE543B}"/>
    <cellStyle name="40% - Accent2 2 3" xfId="108" xr:uid="{00000000-0005-0000-0000-000060000000}"/>
    <cellStyle name="40% - Accent2 2 4" xfId="109" xr:uid="{00000000-0005-0000-0000-000061000000}"/>
    <cellStyle name="40% - Accent2 2 5" xfId="110" xr:uid="{00000000-0005-0000-0000-000062000000}"/>
    <cellStyle name="40% - Accent2 2_Lawn Mower data" xfId="346" xr:uid="{B5D61B62-2CE1-49C8-A102-F393FF3ACFC4}"/>
    <cellStyle name="40% - Accent2 3" xfId="111" xr:uid="{00000000-0005-0000-0000-000063000000}"/>
    <cellStyle name="40% - Accent2 3 2" xfId="112" xr:uid="{00000000-0005-0000-0000-000064000000}"/>
    <cellStyle name="40% - Accent2 3 3" xfId="113" xr:uid="{00000000-0005-0000-0000-000065000000}"/>
    <cellStyle name="40% - Accent2 3_Lawn Mower data" xfId="348" xr:uid="{203A1F1A-8A7B-419D-A343-AE22F46CF3D5}"/>
    <cellStyle name="40% - Accent2 4" xfId="114" xr:uid="{00000000-0005-0000-0000-000066000000}"/>
    <cellStyle name="40% - Accent2 5" xfId="115" xr:uid="{00000000-0005-0000-0000-000067000000}"/>
    <cellStyle name="40% - Accent2 6" xfId="116" xr:uid="{00000000-0005-0000-0000-000068000000}"/>
    <cellStyle name="40% - Accent3 2" xfId="117" xr:uid="{00000000-0005-0000-0000-000069000000}"/>
    <cellStyle name="40% - Accent3 2 2" xfId="118" xr:uid="{00000000-0005-0000-0000-00006A000000}"/>
    <cellStyle name="40% - Accent3 2 2 2" xfId="119" xr:uid="{00000000-0005-0000-0000-00006B000000}"/>
    <cellStyle name="40% - Accent3 2 2 3" xfId="120" xr:uid="{00000000-0005-0000-0000-00006C000000}"/>
    <cellStyle name="40% - Accent3 2 2_Lawn Mower data" xfId="350" xr:uid="{26000FC3-F83B-48A7-A495-A5E7CDD26242}"/>
    <cellStyle name="40% - Accent3 2 3" xfId="121" xr:uid="{00000000-0005-0000-0000-00006D000000}"/>
    <cellStyle name="40% - Accent3 2 4" xfId="122" xr:uid="{00000000-0005-0000-0000-00006E000000}"/>
    <cellStyle name="40% - Accent3 2 5" xfId="123" xr:uid="{00000000-0005-0000-0000-00006F000000}"/>
    <cellStyle name="40% - Accent3 2_Lawn Mower data" xfId="349" xr:uid="{244AB2DF-5154-4AB0-9A5D-C6CF537CCBAE}"/>
    <cellStyle name="40% - Accent3 3" xfId="124" xr:uid="{00000000-0005-0000-0000-000070000000}"/>
    <cellStyle name="40% - Accent3 3 2" xfId="125" xr:uid="{00000000-0005-0000-0000-000071000000}"/>
    <cellStyle name="40% - Accent3 3 3" xfId="126" xr:uid="{00000000-0005-0000-0000-000072000000}"/>
    <cellStyle name="40% - Accent3 3_Lawn Mower data" xfId="351" xr:uid="{D50C85B8-E1D9-4649-87B5-B69EEB81F8DF}"/>
    <cellStyle name="40% - Accent3 4" xfId="127" xr:uid="{00000000-0005-0000-0000-000073000000}"/>
    <cellStyle name="40% - Accent3 5" xfId="128" xr:uid="{00000000-0005-0000-0000-000074000000}"/>
    <cellStyle name="40% - Accent3 6" xfId="129" xr:uid="{00000000-0005-0000-0000-000075000000}"/>
    <cellStyle name="40% - Accent4 2" xfId="130" xr:uid="{00000000-0005-0000-0000-000076000000}"/>
    <cellStyle name="40% - Accent4 2 2" xfId="131" xr:uid="{00000000-0005-0000-0000-000077000000}"/>
    <cellStyle name="40% - Accent4 2 2 2" xfId="132" xr:uid="{00000000-0005-0000-0000-000078000000}"/>
    <cellStyle name="40% - Accent4 2 2 3" xfId="133" xr:uid="{00000000-0005-0000-0000-000079000000}"/>
    <cellStyle name="40% - Accent4 2 2_Lawn Mower data" xfId="353" xr:uid="{C9D18393-FE33-4057-B826-E07E68349BDA}"/>
    <cellStyle name="40% - Accent4 2 3" xfId="134" xr:uid="{00000000-0005-0000-0000-00007A000000}"/>
    <cellStyle name="40% - Accent4 2 4" xfId="135" xr:uid="{00000000-0005-0000-0000-00007B000000}"/>
    <cellStyle name="40% - Accent4 2 5" xfId="136" xr:uid="{00000000-0005-0000-0000-00007C000000}"/>
    <cellStyle name="40% - Accent4 2_Lawn Mower data" xfId="352" xr:uid="{973B78C3-149A-40FF-8BE2-121A915AC060}"/>
    <cellStyle name="40% - Accent4 3" xfId="137" xr:uid="{00000000-0005-0000-0000-00007D000000}"/>
    <cellStyle name="40% - Accent4 3 2" xfId="138" xr:uid="{00000000-0005-0000-0000-00007E000000}"/>
    <cellStyle name="40% - Accent4 3 3" xfId="139" xr:uid="{00000000-0005-0000-0000-00007F000000}"/>
    <cellStyle name="40% - Accent4 3_Lawn Mower data" xfId="354" xr:uid="{AB8809ED-0EB7-4E8D-BD4F-6B04666531D5}"/>
    <cellStyle name="40% - Accent4 4" xfId="140" xr:uid="{00000000-0005-0000-0000-000080000000}"/>
    <cellStyle name="40% - Accent4 5" xfId="141" xr:uid="{00000000-0005-0000-0000-000081000000}"/>
    <cellStyle name="40% - Accent4 6" xfId="142" xr:uid="{00000000-0005-0000-0000-000082000000}"/>
    <cellStyle name="40% - Accent5 2" xfId="143" xr:uid="{00000000-0005-0000-0000-000083000000}"/>
    <cellStyle name="40% - Accent5 2 2" xfId="144" xr:uid="{00000000-0005-0000-0000-000084000000}"/>
    <cellStyle name="40% - Accent5 2 2 2" xfId="145" xr:uid="{00000000-0005-0000-0000-000085000000}"/>
    <cellStyle name="40% - Accent5 2 2 3" xfId="146" xr:uid="{00000000-0005-0000-0000-000086000000}"/>
    <cellStyle name="40% - Accent5 2 2_Lawn Mower data" xfId="356" xr:uid="{2BB6748B-0E36-4E55-9A7F-E1433A55F42F}"/>
    <cellStyle name="40% - Accent5 2 3" xfId="147" xr:uid="{00000000-0005-0000-0000-000087000000}"/>
    <cellStyle name="40% - Accent5 2 4" xfId="148" xr:uid="{00000000-0005-0000-0000-000088000000}"/>
    <cellStyle name="40% - Accent5 2 5" xfId="149" xr:uid="{00000000-0005-0000-0000-000089000000}"/>
    <cellStyle name="40% - Accent5 2_Lawn Mower data" xfId="355" xr:uid="{092CAB64-018D-4F5D-B3BF-6276B672B9C3}"/>
    <cellStyle name="40% - Accent5 3" xfId="150" xr:uid="{00000000-0005-0000-0000-00008A000000}"/>
    <cellStyle name="40% - Accent5 3 2" xfId="151" xr:uid="{00000000-0005-0000-0000-00008B000000}"/>
    <cellStyle name="40% - Accent5 3 3" xfId="152" xr:uid="{00000000-0005-0000-0000-00008C000000}"/>
    <cellStyle name="40% - Accent5 3_Lawn Mower data" xfId="357" xr:uid="{0EB82C4B-7801-4FA6-900D-F5127F092BF9}"/>
    <cellStyle name="40% - Accent5 4" xfId="153" xr:uid="{00000000-0005-0000-0000-00008D000000}"/>
    <cellStyle name="40% - Accent5 5" xfId="154" xr:uid="{00000000-0005-0000-0000-00008E000000}"/>
    <cellStyle name="40% - Accent5 6" xfId="155" xr:uid="{00000000-0005-0000-0000-00008F000000}"/>
    <cellStyle name="40% - Accent6 2" xfId="156" xr:uid="{00000000-0005-0000-0000-000090000000}"/>
    <cellStyle name="40% - Accent6 2 2" xfId="157" xr:uid="{00000000-0005-0000-0000-000091000000}"/>
    <cellStyle name="40% - Accent6 2 2 2" xfId="158" xr:uid="{00000000-0005-0000-0000-000092000000}"/>
    <cellStyle name="40% - Accent6 2 2 3" xfId="159" xr:uid="{00000000-0005-0000-0000-000093000000}"/>
    <cellStyle name="40% - Accent6 2 2_Lawn Mower data" xfId="359" xr:uid="{5685B662-02F6-4BBC-895E-49FD71269046}"/>
    <cellStyle name="40% - Accent6 2 3" xfId="160" xr:uid="{00000000-0005-0000-0000-000094000000}"/>
    <cellStyle name="40% - Accent6 2 4" xfId="161" xr:uid="{00000000-0005-0000-0000-000095000000}"/>
    <cellStyle name="40% - Accent6 2 5" xfId="162" xr:uid="{00000000-0005-0000-0000-000096000000}"/>
    <cellStyle name="40% - Accent6 2_Lawn Mower data" xfId="358" xr:uid="{4BDC2CDA-903F-4D5C-B5A4-B95CFB87012A}"/>
    <cellStyle name="40% - Accent6 3" xfId="163" xr:uid="{00000000-0005-0000-0000-000097000000}"/>
    <cellStyle name="40% - Accent6 3 2" xfId="164" xr:uid="{00000000-0005-0000-0000-000098000000}"/>
    <cellStyle name="40% - Accent6 3 3" xfId="165" xr:uid="{00000000-0005-0000-0000-000099000000}"/>
    <cellStyle name="40% - Accent6 3_Lawn Mower data" xfId="360" xr:uid="{1F51B50E-E4BB-4CA6-9DE4-5F995A7AEA82}"/>
    <cellStyle name="40% - Accent6 4" xfId="166" xr:uid="{00000000-0005-0000-0000-00009A000000}"/>
    <cellStyle name="40% - Accent6 5" xfId="167" xr:uid="{00000000-0005-0000-0000-00009B000000}"/>
    <cellStyle name="40% - Accent6 6" xfId="168" xr:uid="{00000000-0005-0000-0000-00009C000000}"/>
    <cellStyle name="Comma 2" xfId="11" xr:uid="{00000000-0005-0000-0000-00009D000000}"/>
    <cellStyle name="Comma 2 2" xfId="169" xr:uid="{00000000-0005-0000-0000-00009E000000}"/>
    <cellStyle name="Comma 2 2 2" xfId="170" xr:uid="{00000000-0005-0000-0000-00009F000000}"/>
    <cellStyle name="Comma 2 2 3" xfId="171" xr:uid="{00000000-0005-0000-0000-0000A0000000}"/>
    <cellStyle name="Comma 2 3" xfId="172" xr:uid="{00000000-0005-0000-0000-0000A1000000}"/>
    <cellStyle name="Comma 2 4" xfId="173" xr:uid="{00000000-0005-0000-0000-0000A2000000}"/>
    <cellStyle name="Comma 2 5" xfId="174" xr:uid="{00000000-0005-0000-0000-0000A3000000}"/>
    <cellStyle name="Comma 3" xfId="175" xr:uid="{00000000-0005-0000-0000-0000A4000000}"/>
    <cellStyle name="Comma 4" xfId="176" xr:uid="{00000000-0005-0000-0000-0000A5000000}"/>
    <cellStyle name="Comma 4 2" xfId="177" xr:uid="{00000000-0005-0000-0000-0000A6000000}"/>
    <cellStyle name="Comma 5" xfId="178" xr:uid="{00000000-0005-0000-0000-0000A7000000}"/>
    <cellStyle name="Comma 6" xfId="179" xr:uid="{00000000-0005-0000-0000-0000A8000000}"/>
    <cellStyle name="Currency" xfId="3" builtinId="4"/>
    <cellStyle name="Currency 2" xfId="180" xr:uid="{00000000-0005-0000-0000-0000AA000000}"/>
    <cellStyle name="Currency 3" xfId="181" xr:uid="{00000000-0005-0000-0000-0000AB000000}"/>
    <cellStyle name="Currency 3 2" xfId="182" xr:uid="{00000000-0005-0000-0000-0000AC000000}"/>
    <cellStyle name="Currency 4" xfId="183" xr:uid="{00000000-0005-0000-0000-0000AD000000}"/>
    <cellStyle name="Currency 4 2" xfId="184" xr:uid="{00000000-0005-0000-0000-0000AE000000}"/>
    <cellStyle name="Hyperlink" xfId="1" builtinId="8"/>
    <cellStyle name="Hyperlink 2" xfId="2" xr:uid="{00000000-0005-0000-0000-0000B0000000}"/>
    <cellStyle name="Hyperlink 2 2" xfId="186" xr:uid="{00000000-0005-0000-0000-0000B1000000}"/>
    <cellStyle name="Hyperlink 2 3" xfId="187" xr:uid="{00000000-0005-0000-0000-0000B2000000}"/>
    <cellStyle name="Hyperlink 2 3 2" xfId="188" xr:uid="{00000000-0005-0000-0000-0000B3000000}"/>
    <cellStyle name="Hyperlink 2 3 3" xfId="189" xr:uid="{00000000-0005-0000-0000-0000B4000000}"/>
    <cellStyle name="Hyperlink 2 4" xfId="190" xr:uid="{00000000-0005-0000-0000-0000B5000000}"/>
    <cellStyle name="Hyperlink 2 4 2" xfId="191" xr:uid="{00000000-0005-0000-0000-0000B6000000}"/>
    <cellStyle name="Hyperlink 2 4 3" xfId="192" xr:uid="{00000000-0005-0000-0000-0000B7000000}"/>
    <cellStyle name="Hyperlink 2 5" xfId="193" xr:uid="{00000000-0005-0000-0000-0000B8000000}"/>
    <cellStyle name="Hyperlink 2 5 2" xfId="194" xr:uid="{00000000-0005-0000-0000-0000B9000000}"/>
    <cellStyle name="Hyperlink 2 5 3" xfId="195" xr:uid="{00000000-0005-0000-0000-0000BA000000}"/>
    <cellStyle name="Hyperlink 2 6" xfId="196" xr:uid="{00000000-0005-0000-0000-0000BB000000}"/>
    <cellStyle name="Hyperlink 2_Lawn Equipment" xfId="185" xr:uid="{00000000-0005-0000-0000-0000BC000000}"/>
    <cellStyle name="Hyperlink 3" xfId="5" xr:uid="{00000000-0005-0000-0000-0000BD000000}"/>
    <cellStyle name="Hyperlink 3 2" xfId="198" xr:uid="{00000000-0005-0000-0000-0000BE000000}"/>
    <cellStyle name="Hyperlink 3_Lawn Equipment" xfId="197" xr:uid="{00000000-0005-0000-0000-0000BF000000}"/>
    <cellStyle name="Hyperlink 4" xfId="10" xr:uid="{00000000-0005-0000-0000-0000C0000000}"/>
    <cellStyle name="Normal" xfId="0" builtinId="0"/>
    <cellStyle name="Normal 10" xfId="199" xr:uid="{00000000-0005-0000-0000-0000C2000000}"/>
    <cellStyle name="Normal 11" xfId="4" xr:uid="{00000000-0005-0000-0000-0000C3000000}"/>
    <cellStyle name="Normal 11 2" xfId="200" xr:uid="{00000000-0005-0000-0000-0000C4000000}"/>
    <cellStyle name="Normal 11 2 2" xfId="201" xr:uid="{00000000-0005-0000-0000-0000C5000000}"/>
    <cellStyle name="Normal 11 2 3" xfId="202" xr:uid="{00000000-0005-0000-0000-0000C6000000}"/>
    <cellStyle name="Normal 11 2_Lawn Mower data" xfId="361" xr:uid="{F3ECDA59-1D43-4200-9BBA-12522FBCA2BF}"/>
    <cellStyle name="Normal 11 3" xfId="203" xr:uid="{00000000-0005-0000-0000-0000C7000000}"/>
    <cellStyle name="Normal 11 3 2" xfId="204" xr:uid="{00000000-0005-0000-0000-0000C8000000}"/>
    <cellStyle name="Normal 11 3_Lawn Mower data" xfId="362" xr:uid="{C895CE47-CB97-4663-8AB5-631580217585}"/>
    <cellStyle name="Normal 11 4" xfId="205" xr:uid="{00000000-0005-0000-0000-0000C9000000}"/>
    <cellStyle name="Normal 11 5" xfId="206" xr:uid="{00000000-0005-0000-0000-0000CA000000}"/>
    <cellStyle name="Normal 12" xfId="207" xr:uid="{00000000-0005-0000-0000-0000CB000000}"/>
    <cellStyle name="Normal 12 2" xfId="208" xr:uid="{00000000-0005-0000-0000-0000CC000000}"/>
    <cellStyle name="Normal 12 3" xfId="209" xr:uid="{00000000-0005-0000-0000-0000CD000000}"/>
    <cellStyle name="Normal 12 4" xfId="210" xr:uid="{00000000-0005-0000-0000-0000CE000000}"/>
    <cellStyle name="Normal 12_Lawn Mower data" xfId="363" xr:uid="{49F10C5E-0A77-4AD9-8B8B-B75C5F680E1D}"/>
    <cellStyle name="Normal 13" xfId="8" xr:uid="{00000000-0005-0000-0000-0000CF000000}"/>
    <cellStyle name="Normal 13 2" xfId="211" xr:uid="{00000000-0005-0000-0000-0000D0000000}"/>
    <cellStyle name="Normal 13_Lawn Mower data" xfId="364" xr:uid="{7189FE3D-789D-49C2-9824-803F4B513514}"/>
    <cellStyle name="Normal 14" xfId="212" xr:uid="{00000000-0005-0000-0000-0000D1000000}"/>
    <cellStyle name="Normal 14 2" xfId="213" xr:uid="{00000000-0005-0000-0000-0000D2000000}"/>
    <cellStyle name="Normal 14_Lawn Mower data" xfId="365" xr:uid="{311565DB-1994-4BC2-8783-55C117EDFA07}"/>
    <cellStyle name="Normal 15" xfId="9" xr:uid="{00000000-0005-0000-0000-0000D3000000}"/>
    <cellStyle name="Normal 16" xfId="7" xr:uid="{00000000-0005-0000-0000-0000D4000000}"/>
    <cellStyle name="Normal 16 2" xfId="214" xr:uid="{00000000-0005-0000-0000-0000D5000000}"/>
    <cellStyle name="Normal 16_Lawn Mower data" xfId="366" xr:uid="{A278D1DD-56F9-43ED-B3F2-7188E32AB090}"/>
    <cellStyle name="Normal 17" xfId="6" xr:uid="{00000000-0005-0000-0000-0000D6000000}"/>
    <cellStyle name="Normal 18" xfId="215" xr:uid="{00000000-0005-0000-0000-0000D7000000}"/>
    <cellStyle name="Normal 18 2" xfId="216" xr:uid="{00000000-0005-0000-0000-0000D8000000}"/>
    <cellStyle name="Normal 19" xfId="217" xr:uid="{00000000-0005-0000-0000-0000D9000000}"/>
    <cellStyle name="Normal 19 2" xfId="218" xr:uid="{00000000-0005-0000-0000-0000DA000000}"/>
    <cellStyle name="Normal 19 3" xfId="219" xr:uid="{00000000-0005-0000-0000-0000DB000000}"/>
    <cellStyle name="Normal 2" xfId="220" xr:uid="{00000000-0005-0000-0000-0000DC000000}"/>
    <cellStyle name="Normal 2 2" xfId="221" xr:uid="{00000000-0005-0000-0000-0000DD000000}"/>
    <cellStyle name="Normal 2 3" xfId="222" xr:uid="{00000000-0005-0000-0000-0000DE000000}"/>
    <cellStyle name="Normal 2 3 2" xfId="223" xr:uid="{00000000-0005-0000-0000-0000DF000000}"/>
    <cellStyle name="Normal 2 3 3" xfId="224" xr:uid="{00000000-0005-0000-0000-0000E0000000}"/>
    <cellStyle name="Normal 2 3_Lawn Mower data" xfId="367" xr:uid="{7AD6A5F1-2C29-4690-ACF3-21FC6D29AC9E}"/>
    <cellStyle name="Normal 2_RTCI_Update_Dec_2011_Complete_Inventory_v3" xfId="225" xr:uid="{00000000-0005-0000-0000-0000E1000000}"/>
    <cellStyle name="Normal 20" xfId="226" xr:uid="{00000000-0005-0000-0000-0000E2000000}"/>
    <cellStyle name="Normal 20 2" xfId="227" xr:uid="{00000000-0005-0000-0000-0000E3000000}"/>
    <cellStyle name="Normal 20 3" xfId="228" xr:uid="{00000000-0005-0000-0000-0000E4000000}"/>
    <cellStyle name="Normal 21" xfId="229" xr:uid="{00000000-0005-0000-0000-0000E5000000}"/>
    <cellStyle name="Normal 21 2" xfId="230" xr:uid="{00000000-0005-0000-0000-0000E6000000}"/>
    <cellStyle name="Normal 21 3" xfId="231" xr:uid="{00000000-0005-0000-0000-0000E7000000}"/>
    <cellStyle name="Normal 22" xfId="232" xr:uid="{00000000-0005-0000-0000-0000E8000000}"/>
    <cellStyle name="Normal 22 2" xfId="233" xr:uid="{00000000-0005-0000-0000-0000E9000000}"/>
    <cellStyle name="Normal 22 3" xfId="234" xr:uid="{00000000-0005-0000-0000-0000EA000000}"/>
    <cellStyle name="Normal 23" xfId="235" xr:uid="{00000000-0005-0000-0000-0000EB000000}"/>
    <cellStyle name="Normal 23 2" xfId="236" xr:uid="{00000000-0005-0000-0000-0000EC000000}"/>
    <cellStyle name="Normal 23 3" xfId="237" xr:uid="{00000000-0005-0000-0000-0000ED000000}"/>
    <cellStyle name="Normal 24" xfId="238" xr:uid="{00000000-0005-0000-0000-0000EE000000}"/>
    <cellStyle name="Normal 24 2" xfId="239" xr:uid="{00000000-0005-0000-0000-0000EF000000}"/>
    <cellStyle name="Normal 24 3" xfId="240" xr:uid="{00000000-0005-0000-0000-0000F0000000}"/>
    <cellStyle name="Normal 25" xfId="241" xr:uid="{00000000-0005-0000-0000-0000F1000000}"/>
    <cellStyle name="Normal 25 2" xfId="242" xr:uid="{00000000-0005-0000-0000-0000F2000000}"/>
    <cellStyle name="Normal 25 3" xfId="243" xr:uid="{00000000-0005-0000-0000-0000F3000000}"/>
    <cellStyle name="Normal 3" xfId="244" xr:uid="{00000000-0005-0000-0000-0000F4000000}"/>
    <cellStyle name="Normal 3 2" xfId="245" xr:uid="{00000000-0005-0000-0000-0000F5000000}"/>
    <cellStyle name="Normal 3 2 2" xfId="246" xr:uid="{00000000-0005-0000-0000-0000F6000000}"/>
    <cellStyle name="Normal 3 2 3" xfId="247" xr:uid="{00000000-0005-0000-0000-0000F7000000}"/>
    <cellStyle name="Normal 3 2_Lawn Mower data" xfId="369" xr:uid="{77079FB8-7703-4162-93B6-74C62436B1B6}"/>
    <cellStyle name="Normal 3 3" xfId="248" xr:uid="{00000000-0005-0000-0000-0000F8000000}"/>
    <cellStyle name="Normal 3 3 2" xfId="249" xr:uid="{00000000-0005-0000-0000-0000F9000000}"/>
    <cellStyle name="Normal 3 3 3" xfId="250" xr:uid="{00000000-0005-0000-0000-0000FA000000}"/>
    <cellStyle name="Normal 3 3_Lawn Mower data" xfId="370" xr:uid="{E0C45553-DEE1-49DD-BF14-FC2C7045E4F2}"/>
    <cellStyle name="Normal 3 4" xfId="251" xr:uid="{00000000-0005-0000-0000-0000FB000000}"/>
    <cellStyle name="Normal 3 5" xfId="252" xr:uid="{00000000-0005-0000-0000-0000FC000000}"/>
    <cellStyle name="Normal 3 6" xfId="253" xr:uid="{00000000-0005-0000-0000-0000FD000000}"/>
    <cellStyle name="Normal 3 7" xfId="254" xr:uid="{00000000-0005-0000-0000-0000FE000000}"/>
    <cellStyle name="Normal 3 8" xfId="255" xr:uid="{00000000-0005-0000-0000-0000FF000000}"/>
    <cellStyle name="Normal 3 9" xfId="256" xr:uid="{00000000-0005-0000-0000-000000010000}"/>
    <cellStyle name="Normal 3_Lawn Mower data" xfId="368" xr:uid="{7AB9D9C9-A979-4453-84DE-CE5A36D933B7}"/>
    <cellStyle name="Normal 4" xfId="257" xr:uid="{00000000-0005-0000-0000-000001010000}"/>
    <cellStyle name="Normal 4 2" xfId="258" xr:uid="{00000000-0005-0000-0000-000002010000}"/>
    <cellStyle name="Normal 4 2 2" xfId="259" xr:uid="{00000000-0005-0000-0000-000003010000}"/>
    <cellStyle name="Normal 4 2 3" xfId="260" xr:uid="{00000000-0005-0000-0000-000004010000}"/>
    <cellStyle name="Normal 4 2_Lawn Mower data" xfId="372" xr:uid="{3F72F08E-12D1-45C8-9E53-060E60568D70}"/>
    <cellStyle name="Normal 4 3" xfId="261" xr:uid="{00000000-0005-0000-0000-000005010000}"/>
    <cellStyle name="Normal 4 4" xfId="262" xr:uid="{00000000-0005-0000-0000-000006010000}"/>
    <cellStyle name="Normal 4 5" xfId="263" xr:uid="{00000000-0005-0000-0000-000007010000}"/>
    <cellStyle name="Normal 4_Lawn Mower data" xfId="371" xr:uid="{FFE7B5B2-D583-494D-B506-76E2BECD54A7}"/>
    <cellStyle name="Normal 5" xfId="264" xr:uid="{00000000-0005-0000-0000-000008010000}"/>
    <cellStyle name="Normal 5 2" xfId="265" xr:uid="{00000000-0005-0000-0000-000009010000}"/>
    <cellStyle name="Normal 5 2 2" xfId="266" xr:uid="{00000000-0005-0000-0000-00000A010000}"/>
    <cellStyle name="Normal 5 2 3" xfId="267" xr:uid="{00000000-0005-0000-0000-00000B010000}"/>
    <cellStyle name="Normal 5 2_Lawn Mower data" xfId="374" xr:uid="{15F27BAB-87CE-4F95-8AE8-05A4239A7782}"/>
    <cellStyle name="Normal 5 3" xfId="268" xr:uid="{00000000-0005-0000-0000-00000C010000}"/>
    <cellStyle name="Normal 5 4" xfId="269" xr:uid="{00000000-0005-0000-0000-00000D010000}"/>
    <cellStyle name="Normal 5 5" xfId="270" xr:uid="{00000000-0005-0000-0000-00000E010000}"/>
    <cellStyle name="Normal 5_Lawn Mower data" xfId="373" xr:uid="{3FF2A4A1-C460-4446-8229-8057BB3C9A11}"/>
    <cellStyle name="Normal 6" xfId="271" xr:uid="{00000000-0005-0000-0000-00000F010000}"/>
    <cellStyle name="Normal 6 2" xfId="272" xr:uid="{00000000-0005-0000-0000-000010010000}"/>
    <cellStyle name="Normal 6 2 2" xfId="273" xr:uid="{00000000-0005-0000-0000-000011010000}"/>
    <cellStyle name="Normal 6 2 3" xfId="274" xr:uid="{00000000-0005-0000-0000-000012010000}"/>
    <cellStyle name="Normal 6 2_Lawn Mower data" xfId="376" xr:uid="{4CCB6994-65BB-4973-BA58-4AFE509FBB9D}"/>
    <cellStyle name="Normal 6 3" xfId="275" xr:uid="{00000000-0005-0000-0000-000013010000}"/>
    <cellStyle name="Normal 6 4" xfId="276" xr:uid="{00000000-0005-0000-0000-000014010000}"/>
    <cellStyle name="Normal 6 5" xfId="277" xr:uid="{00000000-0005-0000-0000-000015010000}"/>
    <cellStyle name="Normal 6_Lawn Mower data" xfId="375" xr:uid="{F5D5E02A-681C-44CA-8F15-1056E2E2F84D}"/>
    <cellStyle name="Normal 7" xfId="278" xr:uid="{00000000-0005-0000-0000-000016010000}"/>
    <cellStyle name="Normal 7 2" xfId="279" xr:uid="{00000000-0005-0000-0000-000017010000}"/>
    <cellStyle name="Normal 7 2 2" xfId="280" xr:uid="{00000000-0005-0000-0000-000018010000}"/>
    <cellStyle name="Normal 7 2 3" xfId="281" xr:uid="{00000000-0005-0000-0000-000019010000}"/>
    <cellStyle name="Normal 7 2_Lawn Mower data" xfId="378" xr:uid="{F3FDCC8A-C877-43BE-BB77-C052A0026B50}"/>
    <cellStyle name="Normal 7 3" xfId="282" xr:uid="{00000000-0005-0000-0000-00001A010000}"/>
    <cellStyle name="Normal 7 3 2" xfId="283" xr:uid="{00000000-0005-0000-0000-00001B010000}"/>
    <cellStyle name="Normal 7 3 3" xfId="284" xr:uid="{00000000-0005-0000-0000-00001C010000}"/>
    <cellStyle name="Normal 7 3_Lawn Mower data" xfId="379" xr:uid="{E73789E5-FBE8-4BC2-99A7-9A6EE140464B}"/>
    <cellStyle name="Normal 7 4" xfId="285" xr:uid="{00000000-0005-0000-0000-00001D010000}"/>
    <cellStyle name="Normal 7 5" xfId="286" xr:uid="{00000000-0005-0000-0000-00001E010000}"/>
    <cellStyle name="Normal 7 6" xfId="287" xr:uid="{00000000-0005-0000-0000-00001F010000}"/>
    <cellStyle name="Normal 7_Lawn Mower data" xfId="377" xr:uid="{676BC016-59BA-466D-AA6F-A0935F590FCF}"/>
    <cellStyle name="Normal 8" xfId="288" xr:uid="{00000000-0005-0000-0000-000020010000}"/>
    <cellStyle name="Normal 8 2" xfId="289" xr:uid="{00000000-0005-0000-0000-000021010000}"/>
    <cellStyle name="Normal 8 2 2" xfId="290" xr:uid="{00000000-0005-0000-0000-000022010000}"/>
    <cellStyle name="Normal 8 2 3" xfId="291" xr:uid="{00000000-0005-0000-0000-000023010000}"/>
    <cellStyle name="Normal 8 2_Lawn Mower data" xfId="381" xr:uid="{596BBCFB-27EF-4411-A6FE-85B5612D6688}"/>
    <cellStyle name="Normal 8 3" xfId="292" xr:uid="{00000000-0005-0000-0000-000024010000}"/>
    <cellStyle name="Normal 8 3 2" xfId="293" xr:uid="{00000000-0005-0000-0000-000025010000}"/>
    <cellStyle name="Normal 8 3 3" xfId="294" xr:uid="{00000000-0005-0000-0000-000026010000}"/>
    <cellStyle name="Normal 8 3_Lawn Mower data" xfId="382" xr:uid="{E6710A32-EB56-4C77-93AA-72BC39470195}"/>
    <cellStyle name="Normal 8 4" xfId="295" xr:uid="{00000000-0005-0000-0000-000027010000}"/>
    <cellStyle name="Normal 8 5" xfId="296" xr:uid="{00000000-0005-0000-0000-000028010000}"/>
    <cellStyle name="Normal 8 6" xfId="297" xr:uid="{00000000-0005-0000-0000-000029010000}"/>
    <cellStyle name="Normal 8_Lawn Mower data" xfId="380" xr:uid="{74F05EF3-1B82-482D-BB10-3F3C7C0F01F7}"/>
    <cellStyle name="Normal 9" xfId="298" xr:uid="{00000000-0005-0000-0000-00002A010000}"/>
    <cellStyle name="Normal 9 2" xfId="299" xr:uid="{00000000-0005-0000-0000-00002B010000}"/>
    <cellStyle name="Normal 9 2 2" xfId="300" xr:uid="{00000000-0005-0000-0000-00002C010000}"/>
    <cellStyle name="Normal 9 2 3" xfId="301" xr:uid="{00000000-0005-0000-0000-00002D010000}"/>
    <cellStyle name="Normal 9 2_Lawn Mower data" xfId="384" xr:uid="{7FB4E322-6FB6-4528-8202-C8F73D52104A}"/>
    <cellStyle name="Normal 9 3" xfId="302" xr:uid="{00000000-0005-0000-0000-00002E010000}"/>
    <cellStyle name="Normal 9 4" xfId="303" xr:uid="{00000000-0005-0000-0000-00002F010000}"/>
    <cellStyle name="Normal 9 5" xfId="304" xr:uid="{00000000-0005-0000-0000-000030010000}"/>
    <cellStyle name="Normal 9 6" xfId="305" xr:uid="{00000000-0005-0000-0000-000031010000}"/>
    <cellStyle name="Normal 9_Lawn Mower data" xfId="383" xr:uid="{0E5CDC00-8042-44D7-95F5-66BF29020F07}"/>
    <cellStyle name="Note 2" xfId="306" xr:uid="{00000000-0005-0000-0000-000032010000}"/>
    <cellStyle name="Note 2 2" xfId="307" xr:uid="{00000000-0005-0000-0000-000033010000}"/>
    <cellStyle name="Note 2 2 2" xfId="308" xr:uid="{00000000-0005-0000-0000-000034010000}"/>
    <cellStyle name="Note 2 2 3" xfId="309" xr:uid="{00000000-0005-0000-0000-000035010000}"/>
    <cellStyle name="Note 2 2_Lawn Mower data" xfId="386" xr:uid="{F03A4D64-AE6E-4DE5-9046-ECB7DF5815FB}"/>
    <cellStyle name="Note 2 3" xfId="310" xr:uid="{00000000-0005-0000-0000-000036010000}"/>
    <cellStyle name="Note 2 4" xfId="311" xr:uid="{00000000-0005-0000-0000-000037010000}"/>
    <cellStyle name="Note 2 5" xfId="312" xr:uid="{00000000-0005-0000-0000-000038010000}"/>
    <cellStyle name="Note 2_Lawn Mower data" xfId="385" xr:uid="{E31011F0-B0C9-4C83-82B8-C5E938BCC83F}"/>
    <cellStyle name="Note 3" xfId="313" xr:uid="{00000000-0005-0000-0000-000039010000}"/>
    <cellStyle name="Note 3 2" xfId="314" xr:uid="{00000000-0005-0000-0000-00003A010000}"/>
    <cellStyle name="Note 3 3" xfId="315" xr:uid="{00000000-0005-0000-0000-00003B010000}"/>
    <cellStyle name="Note 3_Lawn Mower data" xfId="387" xr:uid="{A2B4B11D-CAA0-4FEE-9B10-FCAB235D3942}"/>
    <cellStyle name="Note 4" xfId="316" xr:uid="{00000000-0005-0000-0000-00003C010000}"/>
    <cellStyle name="Note 5" xfId="317" xr:uid="{00000000-0005-0000-0000-00003D010000}"/>
    <cellStyle name="Note 6" xfId="318" xr:uid="{00000000-0005-0000-0000-00003E010000}"/>
    <cellStyle name="OBI_ColHeader" xfId="319" xr:uid="{00000000-0005-0000-0000-00003F010000}"/>
    <cellStyle name="Percent 2" xfId="320" xr:uid="{00000000-0005-0000-0000-000040010000}"/>
    <cellStyle name="Percent 3" xfId="321" xr:uid="{00000000-0005-0000-0000-000041010000}"/>
    <cellStyle name="Style 1" xfId="322" xr:uid="{00000000-0005-0000-0000-000042010000}"/>
    <cellStyle name="Style 2" xfId="323" xr:uid="{00000000-0005-0000-0000-000043010000}"/>
    <cellStyle name="Title 2" xfId="324" xr:uid="{00000000-0005-0000-0000-000044010000}"/>
  </cellStyles>
  <dxfs count="43">
    <dxf>
      <font>
        <b val="0"/>
        <i val="0"/>
        <strike val="0"/>
        <condense val="0"/>
        <extend val="0"/>
        <outline val="0"/>
        <shadow val="0"/>
        <u val="none"/>
        <vertAlign val="baseline"/>
        <sz val="12"/>
        <color theme="1"/>
        <name val="Avenir LT Std 55 Roman"/>
        <scheme val="none"/>
      </font>
      <fill>
        <patternFill patternType="none">
          <fgColor indexed="64"/>
          <bgColor indexed="65"/>
        </patternFill>
      </fill>
      <alignment horizontal="left" vertical="top" textRotation="0" wrapText="0" indent="0" justifyLastLine="0" shrinkToFit="0" readingOrder="0"/>
      <border outline="0">
        <left style="medium">
          <color indexed="64"/>
        </left>
      </border>
    </dxf>
    <dxf>
      <font>
        <b val="0"/>
        <i val="0"/>
        <strike val="0"/>
        <condense val="0"/>
        <extend val="0"/>
        <outline val="0"/>
        <shadow val="0"/>
        <u val="none"/>
        <vertAlign val="baseline"/>
        <sz val="12"/>
        <color rgb="FF000000"/>
        <name val="Avenir LT Std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venir LT Std 55 Roman"/>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venir LT Std 55 Roman"/>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border>
    </dxf>
    <dxf>
      <font>
        <b val="0"/>
        <i val="0"/>
        <strike val="0"/>
        <condense val="0"/>
        <extend val="0"/>
        <outline val="0"/>
        <shadow val="0"/>
        <u val="none"/>
        <vertAlign val="baseline"/>
        <sz val="12"/>
        <color theme="1"/>
        <name val="Avenir LT Std 55 Roman"/>
        <scheme val="none"/>
      </font>
      <fill>
        <patternFill patternType="solid">
          <fgColor indexed="64"/>
          <bgColor theme="0"/>
        </patternFill>
      </fill>
      <alignment horizontal="left" vertical="top" textRotation="0" wrapText="0" indent="0" justifyLastLine="0" shrinkToFit="0" readingOrder="0"/>
      <border outline="0">
        <left style="medium">
          <color indexed="64"/>
        </left>
      </border>
    </dxf>
    <dxf>
      <font>
        <b val="0"/>
        <i val="0"/>
        <strike val="0"/>
        <condense val="0"/>
        <extend val="0"/>
        <outline val="0"/>
        <shadow val="0"/>
        <u val="none"/>
        <vertAlign val="baseline"/>
        <sz val="12"/>
        <color rgb="FF000000"/>
        <name val="Avenir LT Std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Avenir LT Std 55 Roman"/>
        <scheme val="none"/>
      </font>
      <alignment horizontal="left" vertical="top" textRotation="0" wrapText="1" indent="0" justifyLastLine="0" shrinkToFit="0" readingOrder="0"/>
      <border diagonalUp="0" diagonalDown="0">
        <left style="medium">
          <color indexed="64"/>
        </left>
        <right style="thin">
          <color indexed="64"/>
        </right>
        <top style="thin">
          <color indexed="64"/>
        </top>
        <bottom style="thin">
          <color indexed="64"/>
        </bottom>
      </border>
    </dxf>
    <dxf>
      <border outline="0">
        <left style="medium">
          <color indexed="64"/>
        </left>
      </border>
    </dxf>
    <dxf>
      <fill>
        <patternFill>
          <fgColor indexed="64"/>
          <bgColor theme="0"/>
        </patternFill>
      </fill>
      <alignment horizontal="left" textRotation="0" wrapText="1" indent="0" justifyLastLine="0" shrinkToFit="0" readingOrder="0"/>
      <border>
        <left style="thin">
          <color indexed="64"/>
        </left>
      </border>
    </dxf>
    <dxf>
      <font>
        <b val="0"/>
        <i val="0"/>
        <strike val="0"/>
        <condense val="0"/>
        <extend val="0"/>
        <outline val="0"/>
        <shadow val="0"/>
        <u val="none"/>
        <vertAlign val="baseline"/>
        <sz val="12"/>
        <color theme="1"/>
        <name val="Avenir LT Std 55 Roman"/>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venir LT Std 55 Roman"/>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theme="1"/>
        <name val="Avenir LT Std 55 Roman"/>
        <scheme val="none"/>
      </font>
      <numFmt numFmtId="171" formatCode="_(&quot;$&quot;* #,##0_);_(&quot;$&quot;* \(#,##0\);_(&quot;$&quot;* &quot;-&quot;??_);_(@_)"/>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venir LT Std 55 Roman"/>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Avenir LT Std 55 Roman"/>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protection locked="1" hidden="0"/>
    </dxf>
    <dxf>
      <font>
        <strike val="0"/>
        <outline val="0"/>
        <shadow val="0"/>
        <vertAlign val="baseline"/>
        <name val="Avenir LT Std 55 Roman"/>
        <scheme val="none"/>
      </font>
      <border diagonalUp="0" diagonalDown="0">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2"/>
        <color auto="1"/>
        <name val="Avenir LT Std 55 Roman"/>
        <scheme val="none"/>
      </font>
      <fill>
        <patternFill patternType="solid">
          <fgColor indexed="64"/>
          <bgColor theme="0" tint="-4.9989318521683403E-2"/>
        </patternFill>
      </fill>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style="thin">
          <color indexed="64"/>
        </horizontal>
      </border>
      <protection locked="1" hidden="0"/>
    </dxf>
    <dxf>
      <font>
        <strike val="0"/>
        <outline val="0"/>
        <shadow val="0"/>
        <vertAlign val="baseline"/>
        <name val="Avenir LT Std 55 Roman"/>
        <scheme val="none"/>
      </font>
      <protection locked="1" hidden="0"/>
    </dxf>
    <dxf>
      <font>
        <strike val="0"/>
        <outline val="0"/>
        <shadow val="0"/>
        <vertAlign val="baseline"/>
        <name val="Avenir LT Std 55 Roman"/>
        <scheme val="none"/>
      </font>
      <alignment horizontal="center" vertical="center" textRotation="0" wrapText="0" indent="0" justifyLastLine="0" shrinkToFit="0" readingOrder="0"/>
      <protection locked="1" hidden="0"/>
    </dxf>
  </dxfs>
  <tableStyles count="0" defaultTableStyle="TableStyleMedium2" defaultPivotStyle="PivotStyleLight16"/>
  <colors>
    <mruColors>
      <color rgb="FFF8FCD2"/>
      <color rgb="FFF6FE9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customXml" Target="../customXml/item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1743467</xdr:colOff>
      <xdr:row>5</xdr:row>
      <xdr:rowOff>180984</xdr:rowOff>
    </xdr:to>
    <xdr:pic>
      <xdr:nvPicPr>
        <xdr:cNvPr id="2" name="Picture 1" descr="Logo: California Climate Investments- Cap and Trade Dollars at Work">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23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314305</xdr:colOff>
      <xdr:row>7</xdr:row>
      <xdr:rowOff>96548</xdr:rowOff>
    </xdr:to>
    <xdr:pic>
      <xdr:nvPicPr>
        <xdr:cNvPr id="7" name="Picture 6" descr="Logo: California Climate Investments- Cap and Trade Dollars at Work">
          <a:extLst>
            <a:ext uri="{FF2B5EF4-FFF2-40B4-BE49-F238E27FC236}">
              <a16:creationId xmlns:a16="http://schemas.microsoft.com/office/drawing/2014/main" id="{1FC0BCE4-043D-40A7-AD20-FD3108DB3D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8850" cy="16654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0</xdr:col>
      <xdr:colOff>2020740</xdr:colOff>
      <xdr:row>7</xdr:row>
      <xdr:rowOff>8146</xdr:rowOff>
    </xdr:to>
    <xdr:pic>
      <xdr:nvPicPr>
        <xdr:cNvPr id="5" name="Picture 4" descr="CCI Logo">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2020732" cy="1647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2372994</xdr:colOff>
      <xdr:row>8</xdr:row>
      <xdr:rowOff>35382</xdr:rowOff>
    </xdr:to>
    <xdr:pic>
      <xdr:nvPicPr>
        <xdr:cNvPr id="4" name="Picture 3" descr="CCI Logo">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2373036" cy="1866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1742103</xdr:colOff>
      <xdr:row>6</xdr:row>
      <xdr:rowOff>179620</xdr:rowOff>
    </xdr:to>
    <xdr:pic>
      <xdr:nvPicPr>
        <xdr:cNvPr id="2" name="Picture 1" descr="Logo: California Climate Investments- Cap and Trade Dollars at Work">
          <a:extLst>
            <a:ext uri="{FF2B5EF4-FFF2-40B4-BE49-F238E27FC236}">
              <a16:creationId xmlns:a16="http://schemas.microsoft.com/office/drawing/2014/main" id="{54A909DA-97E5-4F45-A72E-D6C0BBB96E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28600"/>
          <a:ext cx="1744819" cy="13253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1743472</xdr:colOff>
      <xdr:row>6</xdr:row>
      <xdr:rowOff>0</xdr:rowOff>
    </xdr:to>
    <xdr:pic>
      <xdr:nvPicPr>
        <xdr:cNvPr id="2" name="Picture 1" descr="CCI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743458" cy="1381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198967</xdr:colOff>
      <xdr:row>0</xdr:row>
      <xdr:rowOff>0</xdr:rowOff>
    </xdr:from>
    <xdr:to>
      <xdr:col>2</xdr:col>
      <xdr:colOff>402398</xdr:colOff>
      <xdr:row>5</xdr:row>
      <xdr:rowOff>178271</xdr:rowOff>
    </xdr:to>
    <xdr:pic>
      <xdr:nvPicPr>
        <xdr:cNvPr id="2" name="Picture 1" descr="CCI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7" y="0"/>
          <a:ext cx="1796072" cy="13451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1743705</xdr:colOff>
      <xdr:row>5</xdr:row>
      <xdr:rowOff>183308</xdr:rowOff>
    </xdr:to>
    <xdr:pic>
      <xdr:nvPicPr>
        <xdr:cNvPr id="5" name="Picture 4" descr="CCI Logo">
          <a:extLst>
            <a:ext uri="{FF2B5EF4-FFF2-40B4-BE49-F238E27FC236}">
              <a16:creationId xmlns:a16="http://schemas.microsoft.com/office/drawing/2014/main" id="{DC8575CC-98E9-47F3-AE6A-7145E2D5A47E}"/>
            </a:ext>
          </a:extLst>
        </xdr:cNvPr>
        <xdr:cNvPicPr>
          <a:picLocks noChangeAspect="1"/>
        </xdr:cNvPicPr>
      </xdr:nvPicPr>
      <xdr:blipFill>
        <a:blip xmlns:r="http://schemas.openxmlformats.org/officeDocument/2006/relationships" r:embed="rId1"/>
        <a:stretch>
          <a:fillRect/>
        </a:stretch>
      </xdr:blipFill>
      <xdr:spPr>
        <a:xfrm>
          <a:off x="0" y="0"/>
          <a:ext cx="1743607" cy="1353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1740742</xdr:colOff>
      <xdr:row>6</xdr:row>
      <xdr:rowOff>178259</xdr:rowOff>
    </xdr:to>
    <xdr:pic>
      <xdr:nvPicPr>
        <xdr:cNvPr id="2" name="Picture 1" descr="Logo: California Climate Investments- Cap and Trade Dollars at Work">
          <a:extLst>
            <a:ext uri="{FF2B5EF4-FFF2-40B4-BE49-F238E27FC236}">
              <a16:creationId xmlns:a16="http://schemas.microsoft.com/office/drawing/2014/main" id="{37DE60B1-BF39-4ECE-AB3B-B9AEFE7406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28600"/>
          <a:ext cx="1744819" cy="13253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1410083</xdr:colOff>
      <xdr:row>5</xdr:row>
      <xdr:rowOff>219078</xdr:rowOff>
    </xdr:to>
    <xdr:pic>
      <xdr:nvPicPr>
        <xdr:cNvPr id="2" name="Picture 1" descr="CCI Logo">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0656" cy="1330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106542</xdr:colOff>
      <xdr:row>7</xdr:row>
      <xdr:rowOff>84341</xdr:rowOff>
    </xdr:to>
    <xdr:pic>
      <xdr:nvPicPr>
        <xdr:cNvPr id="2" name="Picture 1" descr="Logo: California Climate Investments- Cap and Trade Dollars at Work">
          <a:extLst>
            <a:ext uri="{FF2B5EF4-FFF2-40B4-BE49-F238E27FC236}">
              <a16:creationId xmlns:a16="http://schemas.microsoft.com/office/drawing/2014/main" id="{E7E3865B-D71D-4DE8-91CC-16E93FC48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38125"/>
          <a:ext cx="1840069" cy="13702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1742099</xdr:colOff>
      <xdr:row>6</xdr:row>
      <xdr:rowOff>179616</xdr:rowOff>
    </xdr:to>
    <xdr:pic>
      <xdr:nvPicPr>
        <xdr:cNvPr id="2" name="Picture 1" descr="Logo: California Climate Investments- Cap and Trade Dollars at Work">
          <a:extLst>
            <a:ext uri="{FF2B5EF4-FFF2-40B4-BE49-F238E27FC236}">
              <a16:creationId xmlns:a16="http://schemas.microsoft.com/office/drawing/2014/main" id="{D22CC9A7-AEDF-4498-8F4D-FDC14CBF3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28600"/>
          <a:ext cx="1744819" cy="13253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CSISD\Div\CIA%20Section\CNRA%20-%20Urban%20Greening\FY%2017-18\QM\cnra_ug_calculator_16-17_draft_12-19-16_old.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CIA%20Section\CalRecycle\CalRecycle%20FY%202017-18\QM\old\LSAD%20vs.%20HSAD%20Burdens%20and%20Benefits%20RH%20Review.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CIA%20Section\CalRecycle\CalRecycle%20FY%202016-17\QM\calrecycle_draftcalculator_15-16_051616_RH_LSAD%20Edit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CIA%20Section\CalRecycle\CalRecycle%20FY%202017-18\QM\old\calrecycle_draftcalculator_15-16_051616_RH_LSAD%20Edi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lrecycle.sharepoint.com/Users/mdipalma/AppData/Local/Microsoft/Windows/INetCache/Content.Outlook/5H5EMIOB/Revised%20FY%2017-18%20Funding%20Plan%20Quantification-1012201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QISD\Div\CIB%20Benefits%20Section\State%20Agency%20Program%20FY%202018-19\TIRCP\QM\Draft\calsta_tircp_draftcalculator_18-19.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1B%20Bond\Emissions%20Estimates\Calculators\2010%20Updated%20Calculators\TruckCalculator\updatestarted0428201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hyper\AppData\Local\Temp\Rar$DIa6048.18337\Calculator%20Template_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CSISD\CIB%20Benefits%20Section\State%20Agency%20Program%20FY%202016-17\LCTOP\QM\caltrans_lctop_finalar_16-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CSISD\Cap%20and%20Trade\LCTOP\02%20Program\02%20FY15-16\04%20Forms\5%20LCTOP%20Allocation%20Request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lrecycle.sharepoint.com/Users/ryhuft/Downloads/cdfa_ddrdp_finalcalculator_1-23-19%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CIA%20Section\CDFA%20-%20Digesters\FY%202018-19\QM%20development\Posted%20version\cdfa_ddrdp_finalcalculator_1-23-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lrecycle.sharepoint.com/Users/ryhuft/Downloads/sgc_ahsc_finalrevisedcalc_16-1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lrecycle.sharepoint.com/Users/ryhuft/Downloads/cdfa_ammp_finalcalculator_2-8-19%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lrecycle.sharepoint.com/Users/ryhuft/Downloads/cnra_ug_finalcalculator_version2_020419%2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IA%20Section\CalRecycle\CalRecycle%20FY%202016-17\QM\LSAD%20vs.%20HSAD%20Burdens%20and%20Benefits%20RH%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Carbon &amp; Energy Savings (CTCC)"/>
      <sheetName val="Carbon &amp; Energy Savings (iTree)"/>
      <sheetName val="Wood Products"/>
      <sheetName val="Electricity"/>
      <sheetName val="New Bike-Ped Infrastructure"/>
      <sheetName val="GHG Summary"/>
      <sheetName val="ERFs &amp; Sources"/>
      <sheetName val="Infrastructure GHG Calculations"/>
      <sheetName val="Defaults"/>
      <sheetName val="Auto GHGs"/>
      <sheetName val="Bus EF"/>
      <sheetName val="LDH EF"/>
      <sheetName val="Definitions (2)"/>
      <sheetName val="GHG Summary (2)"/>
    </sheetNames>
    <sheetDataSet>
      <sheetData sheetId="0">
        <row r="28">
          <cell r="D28">
            <v>0</v>
          </cell>
        </row>
      </sheetData>
      <sheetData sheetId="1"/>
      <sheetData sheetId="2">
        <row r="16">
          <cell r="G16">
            <v>0</v>
          </cell>
        </row>
      </sheetData>
      <sheetData sheetId="3">
        <row r="15">
          <cell r="H15">
            <v>0</v>
          </cell>
        </row>
      </sheetData>
      <sheetData sheetId="4">
        <row r="16">
          <cell r="I16">
            <v>0</v>
          </cell>
        </row>
      </sheetData>
      <sheetData sheetId="5">
        <row r="16">
          <cell r="G16">
            <v>0</v>
          </cell>
        </row>
      </sheetData>
      <sheetData sheetId="6"/>
      <sheetData sheetId="7"/>
      <sheetData sheetId="8">
        <row r="13">
          <cell r="B13">
            <v>0.03</v>
          </cell>
        </row>
      </sheetData>
      <sheetData sheetId="9"/>
      <sheetData sheetId="10">
        <row r="2">
          <cell r="A2">
            <v>1971</v>
          </cell>
          <cell r="C2" t="str">
            <v>Alameda</v>
          </cell>
          <cell r="H2">
            <v>1E-3</v>
          </cell>
          <cell r="I2">
            <v>5.0000000000000001E-4</v>
          </cell>
        </row>
        <row r="3">
          <cell r="A3">
            <v>1972</v>
          </cell>
          <cell r="C3" t="str">
            <v>Alpine</v>
          </cell>
          <cell r="H3">
            <v>1.4E-3</v>
          </cell>
          <cell r="I3">
            <v>1E-3</v>
          </cell>
        </row>
        <row r="4">
          <cell r="A4">
            <v>1973</v>
          </cell>
          <cell r="B4">
            <v>2017</v>
          </cell>
          <cell r="C4" t="str">
            <v>Amador</v>
          </cell>
          <cell r="H4">
            <v>1.9E-3</v>
          </cell>
          <cell r="I4">
            <v>1.5E-3</v>
          </cell>
        </row>
        <row r="5">
          <cell r="A5">
            <v>1974</v>
          </cell>
          <cell r="B5">
            <v>2018</v>
          </cell>
          <cell r="C5" t="str">
            <v>Butte</v>
          </cell>
          <cell r="H5">
            <v>2E-3</v>
          </cell>
          <cell r="I5">
            <v>2E-3</v>
          </cell>
        </row>
        <row r="6">
          <cell r="A6">
            <v>1975</v>
          </cell>
          <cell r="B6">
            <v>2019</v>
          </cell>
          <cell r="C6" t="str">
            <v>Calaveras</v>
          </cell>
          <cell r="H6">
            <v>2.7000000000000001E-3</v>
          </cell>
          <cell r="I6">
            <v>3.0000000000000001E-3</v>
          </cell>
        </row>
        <row r="7">
          <cell r="A7">
            <v>1976</v>
          </cell>
          <cell r="B7">
            <v>2020</v>
          </cell>
          <cell r="C7" t="str">
            <v>Colusa</v>
          </cell>
          <cell r="H7">
            <v>2.8999999999999998E-3</v>
          </cell>
        </row>
        <row r="8">
          <cell r="A8">
            <v>1977</v>
          </cell>
          <cell r="B8">
            <v>2021</v>
          </cell>
          <cell r="C8" t="str">
            <v>Contra Costa</v>
          </cell>
          <cell r="H8">
            <v>3.8E-3</v>
          </cell>
        </row>
        <row r="9">
          <cell r="A9">
            <v>1978</v>
          </cell>
          <cell r="B9">
            <v>2022</v>
          </cell>
          <cell r="C9" t="str">
            <v>Del Norte</v>
          </cell>
          <cell r="H9">
            <v>5.1999999999999998E-3</v>
          </cell>
        </row>
        <row r="10">
          <cell r="A10">
            <v>1979</v>
          </cell>
          <cell r="B10">
            <v>2023</v>
          </cell>
          <cell r="C10" t="str">
            <v>El Dorado</v>
          </cell>
          <cell r="H10">
            <v>7.3000000000000001E-3</v>
          </cell>
        </row>
        <row r="11">
          <cell r="A11">
            <v>1980</v>
          </cell>
          <cell r="B11">
            <v>2024</v>
          </cell>
          <cell r="C11" t="str">
            <v>Fresno</v>
          </cell>
          <cell r="E11" t="str">
            <v>CNG</v>
          </cell>
          <cell r="H11">
            <v>7.7999999999999996E-3</v>
          </cell>
        </row>
        <row r="12">
          <cell r="A12">
            <v>1981</v>
          </cell>
          <cell r="B12">
            <v>2025</v>
          </cell>
          <cell r="C12" t="str">
            <v>Glenn</v>
          </cell>
          <cell r="E12" t="str">
            <v>Diesel</v>
          </cell>
          <cell r="H12">
            <v>1.04E-2</v>
          </cell>
        </row>
        <row r="13">
          <cell r="A13">
            <v>1982</v>
          </cell>
          <cell r="B13">
            <v>2026</v>
          </cell>
          <cell r="C13" t="str">
            <v>Humboldt</v>
          </cell>
          <cell r="E13" t="str">
            <v>Electric/BEV or PHEV</v>
          </cell>
          <cell r="H13">
            <v>1.09E-2</v>
          </cell>
        </row>
        <row r="14">
          <cell r="A14">
            <v>1983</v>
          </cell>
          <cell r="B14">
            <v>2027</v>
          </cell>
          <cell r="C14" t="str">
            <v>Imperial</v>
          </cell>
          <cell r="E14" t="str">
            <v>Electric (Heavy Rail)</v>
          </cell>
          <cell r="H14">
            <v>1.4500000000000001E-2</v>
          </cell>
        </row>
        <row r="15">
          <cell r="A15">
            <v>1984</v>
          </cell>
          <cell r="B15">
            <v>2028</v>
          </cell>
          <cell r="C15" t="str">
            <v>Inyo</v>
          </cell>
          <cell r="E15" t="str">
            <v>Electric (Light Rail)</v>
          </cell>
          <cell r="H15">
            <v>1.55E-2</v>
          </cell>
        </row>
        <row r="16">
          <cell r="A16">
            <v>1985</v>
          </cell>
          <cell r="B16">
            <v>2029</v>
          </cell>
          <cell r="C16" t="str">
            <v>Kern</v>
          </cell>
          <cell r="E16" t="str">
            <v>Electric (Trolley Bus, Cable Car, Street Car)</v>
          </cell>
          <cell r="H16">
            <v>2.07E-2</v>
          </cell>
        </row>
        <row r="17">
          <cell r="A17">
            <v>1986</v>
          </cell>
          <cell r="B17">
            <v>2030</v>
          </cell>
          <cell r="C17" t="str">
            <v>Kings</v>
          </cell>
          <cell r="E17" t="str">
            <v>Gasoline</v>
          </cell>
        </row>
        <row r="18">
          <cell r="A18">
            <v>1987</v>
          </cell>
          <cell r="B18">
            <v>2031</v>
          </cell>
          <cell r="C18" t="str">
            <v>Lake (County)</v>
          </cell>
          <cell r="E18" t="str">
            <v>Hydrogen Fuel Cell</v>
          </cell>
        </row>
        <row r="19">
          <cell r="A19">
            <v>1988</v>
          </cell>
          <cell r="B19">
            <v>2032</v>
          </cell>
          <cell r="C19" t="str">
            <v>Lassen</v>
          </cell>
          <cell r="E19" t="str">
            <v>Hydrogen Fuel Cell (SB 1505)</v>
          </cell>
        </row>
        <row r="20">
          <cell r="A20">
            <v>1989</v>
          </cell>
          <cell r="B20">
            <v>2033</v>
          </cell>
          <cell r="C20" t="str">
            <v>Los Angeles</v>
          </cell>
          <cell r="E20" t="str">
            <v>LNG</v>
          </cell>
        </row>
        <row r="21">
          <cell r="A21">
            <v>1990</v>
          </cell>
          <cell r="B21">
            <v>2034</v>
          </cell>
          <cell r="C21" t="str">
            <v>Madera</v>
          </cell>
          <cell r="E21" t="str">
            <v>Renewable Diesel</v>
          </cell>
        </row>
        <row r="22">
          <cell r="A22">
            <v>1991</v>
          </cell>
          <cell r="B22">
            <v>2035</v>
          </cell>
          <cell r="C22" t="str">
            <v>Marin</v>
          </cell>
        </row>
        <row r="23">
          <cell r="A23">
            <v>1992</v>
          </cell>
          <cell r="B23">
            <v>2036</v>
          </cell>
          <cell r="C23" t="str">
            <v>Mariposa</v>
          </cell>
        </row>
        <row r="24">
          <cell r="A24">
            <v>1993</v>
          </cell>
          <cell r="B24">
            <v>2037</v>
          </cell>
          <cell r="C24" t="str">
            <v>Mendocino</v>
          </cell>
        </row>
        <row r="25">
          <cell r="A25">
            <v>1994</v>
          </cell>
          <cell r="B25">
            <v>2038</v>
          </cell>
          <cell r="C25" t="str">
            <v>Merced</v>
          </cell>
        </row>
        <row r="26">
          <cell r="A26">
            <v>1995</v>
          </cell>
          <cell r="B26">
            <v>2039</v>
          </cell>
          <cell r="C26" t="str">
            <v>Modoc</v>
          </cell>
        </row>
        <row r="27">
          <cell r="A27">
            <v>1996</v>
          </cell>
          <cell r="B27">
            <v>2040</v>
          </cell>
          <cell r="C27" t="str">
            <v>Mono</v>
          </cell>
        </row>
        <row r="28">
          <cell r="A28">
            <v>1997</v>
          </cell>
          <cell r="B28">
            <v>2041</v>
          </cell>
          <cell r="C28" t="str">
            <v>Monterey</v>
          </cell>
        </row>
        <row r="29">
          <cell r="A29">
            <v>1998</v>
          </cell>
          <cell r="B29">
            <v>2042</v>
          </cell>
          <cell r="C29" t="str">
            <v>Napa</v>
          </cell>
        </row>
        <row r="30">
          <cell r="A30">
            <v>1999</v>
          </cell>
          <cell r="B30">
            <v>2043</v>
          </cell>
          <cell r="C30" t="str">
            <v>Nevada</v>
          </cell>
        </row>
        <row r="31">
          <cell r="A31">
            <v>2000</v>
          </cell>
          <cell r="B31">
            <v>2044</v>
          </cell>
          <cell r="C31" t="str">
            <v>Orange</v>
          </cell>
        </row>
        <row r="32">
          <cell r="A32">
            <v>2001</v>
          </cell>
          <cell r="B32">
            <v>2045</v>
          </cell>
          <cell r="C32" t="str">
            <v>Placer</v>
          </cell>
        </row>
        <row r="33">
          <cell r="A33">
            <v>2002</v>
          </cell>
          <cell r="B33">
            <v>2046</v>
          </cell>
          <cell r="C33" t="str">
            <v>Plumas</v>
          </cell>
        </row>
        <row r="34">
          <cell r="A34">
            <v>2003</v>
          </cell>
          <cell r="B34">
            <v>2047</v>
          </cell>
          <cell r="C34" t="str">
            <v>Riverside</v>
          </cell>
        </row>
        <row r="35">
          <cell r="A35">
            <v>2004</v>
          </cell>
          <cell r="B35">
            <v>2048</v>
          </cell>
          <cell r="C35" t="str">
            <v>Sacramento</v>
          </cell>
        </row>
        <row r="36">
          <cell r="A36">
            <v>2005</v>
          </cell>
          <cell r="B36">
            <v>2049</v>
          </cell>
          <cell r="C36" t="str">
            <v>San Benito</v>
          </cell>
        </row>
        <row r="37">
          <cell r="A37">
            <v>2006</v>
          </cell>
          <cell r="B37">
            <v>2050</v>
          </cell>
          <cell r="C37" t="str">
            <v>San Bernadino</v>
          </cell>
        </row>
        <row r="38">
          <cell r="A38">
            <v>2007</v>
          </cell>
          <cell r="C38" t="str">
            <v>San Diego (County)</v>
          </cell>
        </row>
        <row r="39">
          <cell r="A39">
            <v>2008</v>
          </cell>
          <cell r="C39" t="str">
            <v>San Francisco (County)</v>
          </cell>
        </row>
        <row r="40">
          <cell r="A40">
            <v>2009</v>
          </cell>
          <cell r="C40" t="str">
            <v>San Joaquin</v>
          </cell>
        </row>
        <row r="41">
          <cell r="A41">
            <v>2010</v>
          </cell>
          <cell r="C41" t="str">
            <v>San Luis Obispo</v>
          </cell>
        </row>
        <row r="42">
          <cell r="A42">
            <v>2011</v>
          </cell>
          <cell r="C42" t="str">
            <v>San Mateo</v>
          </cell>
        </row>
        <row r="43">
          <cell r="A43">
            <v>2012</v>
          </cell>
          <cell r="C43" t="str">
            <v>Santa Barbara</v>
          </cell>
        </row>
        <row r="44">
          <cell r="A44">
            <v>2013</v>
          </cell>
          <cell r="C44" t="str">
            <v>Santa Clara</v>
          </cell>
        </row>
        <row r="45">
          <cell r="A45">
            <v>2014</v>
          </cell>
          <cell r="C45" t="str">
            <v>Santa Cruz</v>
          </cell>
        </row>
        <row r="46">
          <cell r="A46">
            <v>2015</v>
          </cell>
          <cell r="C46" t="str">
            <v>Shasta</v>
          </cell>
        </row>
        <row r="47">
          <cell r="A47">
            <v>2015</v>
          </cell>
          <cell r="C47" t="str">
            <v>Sierra</v>
          </cell>
        </row>
        <row r="48">
          <cell r="A48">
            <v>2016</v>
          </cell>
          <cell r="C48" t="str">
            <v>Siskiyou</v>
          </cell>
        </row>
        <row r="49">
          <cell r="A49">
            <v>2017</v>
          </cell>
          <cell r="C49" t="str">
            <v>Solano</v>
          </cell>
        </row>
        <row r="50">
          <cell r="A50">
            <v>2018</v>
          </cell>
          <cell r="C50" t="str">
            <v>Sonoma</v>
          </cell>
        </row>
        <row r="51">
          <cell r="C51" t="str">
            <v>Stanislaus</v>
          </cell>
        </row>
        <row r="52">
          <cell r="C52" t="str">
            <v>Sutter</v>
          </cell>
        </row>
        <row r="53">
          <cell r="C53" t="str">
            <v>Tehama</v>
          </cell>
        </row>
        <row r="54">
          <cell r="C54" t="str">
            <v>Trinity</v>
          </cell>
        </row>
        <row r="55">
          <cell r="C55" t="str">
            <v>Tulare</v>
          </cell>
        </row>
        <row r="56">
          <cell r="C56" t="str">
            <v>Tuolumne</v>
          </cell>
        </row>
        <row r="57">
          <cell r="C57" t="str">
            <v>Ventura</v>
          </cell>
        </row>
        <row r="58">
          <cell r="C58" t="str">
            <v>Yolo</v>
          </cell>
        </row>
        <row r="59">
          <cell r="C59" t="str">
            <v>Yuba</v>
          </cell>
        </row>
      </sheetData>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AD Avg ERF"/>
      <sheetName val="HSAD vs. LSAD"/>
      <sheetName val="LCFS Data"/>
      <sheetName val="Potential ERF"/>
      <sheetName val="Potential ERF (2)"/>
      <sheetName val="Potential ERF (3)"/>
      <sheetName val="Potential ERF (4)"/>
      <sheetName val="Potential ERF-LF"/>
      <sheetName val="Potential ERF-COM"/>
      <sheetName val="ERFs"/>
      <sheetName val="Sheet4"/>
      <sheetName val="Sheet5"/>
      <sheetName val="Sheet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5">
          <cell r="A85" t="str">
            <v>Commercial Refrigerator with solid doors</v>
          </cell>
        </row>
        <row r="87">
          <cell r="A87" t="str">
            <v>Commercial Refrigerator with transparent doors</v>
          </cell>
        </row>
        <row r="89">
          <cell r="A89" t="str">
            <v>Commercial Freezer with solid doors</v>
          </cell>
        </row>
        <row r="91">
          <cell r="A91" t="str">
            <v>Commercial Freezer with transparent doors</v>
          </cell>
        </row>
        <row r="93">
          <cell r="A93" t="str">
            <v>Commercial Refrigerator/freezer with solid doors</v>
          </cell>
        </row>
      </sheetData>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FPG"/>
      <sheetName val="Compost"/>
      <sheetName val="HSAD"/>
      <sheetName val="LSAD"/>
      <sheetName val="LSAD v2"/>
      <sheetName val="Food Waste"/>
      <sheetName val="GHG Summary"/>
      <sheetName val="ERFs"/>
      <sheetName val="Sources"/>
      <sheetName val="Sheet1"/>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FPG"/>
      <sheetName val="Compost"/>
      <sheetName val="HSAD"/>
      <sheetName val="LSAD"/>
      <sheetName val="LSAD v2"/>
      <sheetName val="Food Waste"/>
      <sheetName val="GHG Summary"/>
      <sheetName val="ERFs"/>
      <sheetName val="Sources"/>
      <sheetName val="Sheet1"/>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FS CI &amp; LHV"/>
      <sheetName val="FE &amp; VMT - 2017 MYs"/>
      <sheetName val="FE &amp; VMT - Alt. MYs"/>
      <sheetName val="FE"/>
      <sheetName val="LDA EF in 2018"/>
      <sheetName val="CVRP"/>
      <sheetName val="EFMP"/>
      <sheetName val="Finance"/>
      <sheetName val="Car Share"/>
      <sheetName val="LHD EF in 2020"/>
      <sheetName val="Ag Vanpools"/>
      <sheetName val="School Bus"/>
      <sheetName val="CHE Data"/>
      <sheetName val="HD EF in 2024"/>
      <sheetName val="HVIP"/>
      <sheetName val="Low NOx"/>
      <sheetName val="Off-Road VIP"/>
      <sheetName val="Truck Loan EF in 2018"/>
      <sheetName val="Truck Loan"/>
      <sheetName val="Drayage EF"/>
      <sheetName val="TRU Data"/>
      <sheetName val="ZE Warehouse"/>
      <sheetName val="AB 8"/>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AC12">
            <v>5.4943804395846528E-2</v>
          </cell>
          <cell r="AP12">
            <v>1.4075602093423536</v>
          </cell>
        </row>
        <row r="23">
          <cell r="AC23">
            <v>3.7063170623117085E-2</v>
          </cell>
          <cell r="AP23">
            <v>0.85785886287692181</v>
          </cell>
        </row>
        <row r="38">
          <cell r="AC38">
            <v>7.8878474498533968E-2</v>
          </cell>
          <cell r="AP38">
            <v>1.4309683890678466</v>
          </cell>
        </row>
        <row r="40">
          <cell r="AC40">
            <v>2.2808091459486299E-2</v>
          </cell>
          <cell r="AP40">
            <v>0.81398773379792799</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Quantifiable Component 1"/>
      <sheetName val="Quantifiable Component 2"/>
      <sheetName val="Quantifiable Component 3"/>
      <sheetName val="Quantifiable Component 4"/>
      <sheetName val="Quantifiable Component 5"/>
      <sheetName val="Quantifiable Component 6"/>
      <sheetName val="GHG Summary"/>
      <sheetName val="Co-benefits Summary"/>
      <sheetName val="GHG Calcs"/>
      <sheetName val="Co-Benefit Calcs"/>
      <sheetName val="Defaults"/>
      <sheetName val="Auto GHG"/>
      <sheetName val="Auto C&amp;T EF"/>
      <sheetName val="EF Default Tables"/>
      <sheetName val="Fuel Consumption"/>
      <sheetName val="Bus C&amp;T EF"/>
      <sheetName val="Van C&amp;T EF"/>
      <sheetName val="Shuttle C&amp;T EF"/>
      <sheetName val="Over-Road Coach C&amp;T EF"/>
    </sheetNames>
    <sheetDataSet>
      <sheetData sheetId="0"/>
      <sheetData sheetId="1"/>
      <sheetData sheetId="2"/>
      <sheetData sheetId="3"/>
      <sheetData sheetId="4"/>
      <sheetData sheetId="5"/>
      <sheetData sheetId="6"/>
      <sheetData sheetId="7"/>
      <sheetData sheetId="8"/>
      <sheetData sheetId="9"/>
      <sheetData sheetId="10"/>
      <sheetData sheetId="11">
        <row r="2">
          <cell r="C2" t="str">
            <v>Air Basin</v>
          </cell>
          <cell r="F2" t="str">
            <v>Ferry</v>
          </cell>
          <cell r="G2" t="str">
            <v>Cut-A-Way</v>
          </cell>
        </row>
        <row r="3">
          <cell r="C3" t="str">
            <v>County</v>
          </cell>
          <cell r="F3" t="str">
            <v>Heavy Rail</v>
          </cell>
          <cell r="G3" t="str">
            <v>Ferry</v>
          </cell>
        </row>
        <row r="4">
          <cell r="F4" t="str">
            <v>Intercity/Express Bus (Long Distance)</v>
          </cell>
          <cell r="G4" t="str">
            <v>Heavy Rail</v>
          </cell>
        </row>
        <row r="5">
          <cell r="F5" t="str">
            <v>Light Rail</v>
          </cell>
          <cell r="G5" t="str">
            <v>Light Rail</v>
          </cell>
        </row>
        <row r="6">
          <cell r="F6" t="str">
            <v>Local/ Intercity Bus (Short Distances)</v>
          </cell>
          <cell r="G6" t="str">
            <v>Over-Road Coach</v>
          </cell>
        </row>
        <row r="7">
          <cell r="F7" t="str">
            <v>Multi-modal</v>
          </cell>
          <cell r="G7" t="str">
            <v>Streetcar</v>
          </cell>
        </row>
        <row r="8">
          <cell r="F8" t="str">
            <v>Shuttle</v>
          </cell>
          <cell r="G8" t="str">
            <v>Transit Bus</v>
          </cell>
        </row>
        <row r="9">
          <cell r="F9" t="str">
            <v>Streetcar</v>
          </cell>
          <cell r="G9" t="str">
            <v>Van</v>
          </cell>
        </row>
        <row r="10">
          <cell r="F10" t="str">
            <v>Vanpool</v>
          </cell>
        </row>
      </sheetData>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Sample Inputs"/>
      <sheetName val="Input Data"/>
      <sheetName val="Benefits Summary"/>
      <sheetName val="V"/>
      <sheetName val="Calc Inputs"/>
      <sheetName val="Final Calculations"/>
      <sheetName val="3-Way-Truck8to8"/>
      <sheetName val="3-Way-TruckFinal"/>
      <sheetName val="3-Way-Truck8to8drayage"/>
      <sheetName val="3-Way-Truck7to7drayage"/>
      <sheetName val="3-Way-Truck7to7"/>
      <sheetName val="Final Calculationsclass7"/>
      <sheetName val="Final Calculationsclass8"/>
      <sheetName val="Baseline Calculations Class 8"/>
      <sheetName val="Baseline Cals Drayage Class8"/>
      <sheetName val="Baseline Calculations Class 7"/>
      <sheetName val="Baseline Cals Drayage Class7"/>
      <sheetName val="Funding Check"/>
      <sheetName val="HYBRID_Class8"/>
      <sheetName val="HYBRID_Class7"/>
      <sheetName val="DIESEL-LNG-CNG_Class8"/>
      <sheetName val="DIESEL-LNG-CNG_Class7"/>
      <sheetName val="RETROFITClass7"/>
      <sheetName val="RETROFITClass8"/>
      <sheetName val="2-truckfinal"/>
      <sheetName val="2-truck-newtruck7"/>
      <sheetName val="2-truck-newtruck8"/>
      <sheetName val="2-truckbaseline7"/>
      <sheetName val="2-truckbaselinedrayageclass7"/>
      <sheetName val="2-truckbaseline8"/>
      <sheetName val="2-truckbaselinedrayageclass8"/>
      <sheetName val="ER Diesel "/>
      <sheetName val="Valid Ent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F4" t="str">
            <v>diesel</v>
          </cell>
        </row>
        <row r="5">
          <cell r="F5" t="str">
            <v>LNG/CNG</v>
          </cell>
        </row>
        <row r="6">
          <cell r="F6" t="str">
            <v>Hybrid</v>
          </cell>
        </row>
        <row r="7">
          <cell r="F7" t="str">
            <v>Electric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Inputs"/>
      <sheetName val="Sheet1"/>
      <sheetName val="GHG Summary"/>
      <sheetName val="Co-benefits Summary"/>
      <sheetName val="Definitions -OR- Conversions"/>
      <sheetName val="Documentation"/>
      <sheetName val="CCIRTS &lt;HIDE&gt;"/>
      <sheetName val="Defaults &lt;HIDE&gt;"/>
    </sheetNames>
    <sheetDataSet>
      <sheetData sheetId="0" refreshError="1">
        <row r="1">
          <cell r="B1" t="str">
            <v>California Air Resources Board</v>
          </cell>
        </row>
        <row r="3">
          <cell r="B3" t="str">
            <v>Benefits Calculator Tool</v>
          </cell>
        </row>
        <row r="6">
          <cell r="B6" t="str">
            <v xml:space="preserve">California Climate Investments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Request"/>
      <sheetName val="AA"/>
      <sheetName val="C&amp;A"/>
      <sheetName val="QM-Tool"/>
      <sheetName val="QM Sum"/>
      <sheetName val="Funding Plan"/>
      <sheetName val="AR_Sum"/>
      <sheetName val="AR tables"/>
      <sheetName val="EF Default Tables"/>
      <sheetName val="GHG Calcs"/>
      <sheetName val="Defaults"/>
      <sheetName val="Van"/>
      <sheetName val="Cut-A-Way"/>
      <sheetName val="Over-Road Coach"/>
      <sheetName val="Transit Bus"/>
      <sheetName val="Auto GH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ow r="2">
          <cell r="B2">
            <v>2015</v>
          </cell>
          <cell r="C2" t="str">
            <v>Alameda</v>
          </cell>
          <cell r="D2" t="str">
            <v>Great Basin</v>
          </cell>
          <cell r="E2" t="str">
            <v>New/Expanded Service</v>
          </cell>
          <cell r="H2" t="str">
            <v>Implement new transit service</v>
          </cell>
          <cell r="S2" t="str">
            <v>Bike-share</v>
          </cell>
          <cell r="T2" t="str">
            <v>Cut-A-Way</v>
          </cell>
          <cell r="U2" t="str">
            <v>County</v>
          </cell>
          <cell r="W2" t="str">
            <v>Yes</v>
          </cell>
          <cell r="Y2" t="str">
            <v>Biodiesel (gal)</v>
          </cell>
          <cell r="Z2" t="str">
            <v>Vehicle Replacement</v>
          </cell>
        </row>
        <row r="3">
          <cell r="B3">
            <v>2016</v>
          </cell>
          <cell r="C3" t="str">
            <v>Alpine</v>
          </cell>
          <cell r="D3" t="str">
            <v>Lake County (Air Basin)</v>
          </cell>
          <cell r="E3" t="str">
            <v>Service Improvements</v>
          </cell>
          <cell r="H3" t="str">
            <v>Expand/Enhance transit service</v>
          </cell>
          <cell r="S3" t="str">
            <v>Ferry</v>
          </cell>
          <cell r="T3" t="str">
            <v>Ferry</v>
          </cell>
          <cell r="U3" t="str">
            <v>Air Basin</v>
          </cell>
          <cell r="W3" t="str">
            <v>No</v>
          </cell>
          <cell r="Y3" t="str">
            <v>CNG (ft3)</v>
          </cell>
          <cell r="Z3" t="str">
            <v>Not Applicable</v>
          </cell>
        </row>
        <row r="4">
          <cell r="B4">
            <v>2017</v>
          </cell>
          <cell r="C4" t="str">
            <v>Amador</v>
          </cell>
          <cell r="D4" t="str">
            <v>Lake Tahoe</v>
          </cell>
          <cell r="E4" t="str">
            <v>Capital Improvements</v>
          </cell>
          <cell r="H4" t="str">
            <v xml:space="preserve">Provide alternative transit options
</v>
          </cell>
          <cell r="S4" t="str">
            <v>Heavy Rail</v>
          </cell>
          <cell r="T4" t="str">
            <v>Heavy Rail</v>
          </cell>
          <cell r="Y4" t="str">
            <v>Diesel (gal)</v>
          </cell>
          <cell r="Z4" t="str">
            <v>Fuel Reductions</v>
          </cell>
        </row>
        <row r="5">
          <cell r="B5">
            <v>2018</v>
          </cell>
          <cell r="C5" t="str">
            <v>Butte</v>
          </cell>
          <cell r="D5" t="str">
            <v>Mojave Desert</v>
          </cell>
          <cell r="E5" t="str">
            <v>Cleaner Vehicles</v>
          </cell>
          <cell r="H5" t="str">
            <v xml:space="preserve">Transit vouchers
</v>
          </cell>
          <cell r="S5" t="str">
            <v>Intercity/Express Bus (Long Distance)</v>
          </cell>
          <cell r="T5" t="str">
            <v>Light Rail</v>
          </cell>
          <cell r="Y5" t="str">
            <v>Electric (KWh)</v>
          </cell>
        </row>
        <row r="6">
          <cell r="B6">
            <v>2019</v>
          </cell>
          <cell r="C6" t="str">
            <v>Calaveras</v>
          </cell>
          <cell r="D6" t="str">
            <v>Mountain Counties</v>
          </cell>
          <cell r="H6" t="str">
            <v>Network/fare integration</v>
          </cell>
          <cell r="S6" t="str">
            <v>Light Rail</v>
          </cell>
          <cell r="T6" t="str">
            <v>Over-Road Coach</v>
          </cell>
          <cell r="Y6" t="str">
            <v>Gasoline (gal)</v>
          </cell>
        </row>
        <row r="7">
          <cell r="B7">
            <v>2020</v>
          </cell>
          <cell r="C7" t="str">
            <v>Colusa</v>
          </cell>
          <cell r="D7" t="str">
            <v>North Central Coast</v>
          </cell>
          <cell r="S7" t="str">
            <v>Local/ Intercity Bus (Short Distances)</v>
          </cell>
          <cell r="T7" t="str">
            <v>Streetcar</v>
          </cell>
          <cell r="Y7" t="str">
            <v>Hydrogen Fuel Cell (kg)</v>
          </cell>
        </row>
        <row r="8">
          <cell r="B8">
            <v>2021</v>
          </cell>
          <cell r="C8" t="str">
            <v>Contra Costa</v>
          </cell>
          <cell r="D8" t="str">
            <v>North Coast</v>
          </cell>
          <cell r="H8" t="str">
            <v>Purchase zero-emission vehicle(s)</v>
          </cell>
          <cell r="S8" t="str">
            <v>Multi-modal</v>
          </cell>
          <cell r="T8" t="str">
            <v>Transit Bus</v>
          </cell>
          <cell r="Y8" t="str">
            <v>LNG (gal)</v>
          </cell>
        </row>
        <row r="9">
          <cell r="B9">
            <v>2022</v>
          </cell>
          <cell r="C9" t="str">
            <v>Del Norte</v>
          </cell>
          <cell r="D9" t="str">
            <v>Northeast Plateau</v>
          </cell>
          <cell r="H9" t="str">
            <v>Purchase replacement zero-emission/hybrid vehicle(s)</v>
          </cell>
          <cell r="S9" t="str">
            <v>Shuttle</v>
          </cell>
          <cell r="T9" t="str">
            <v>Van</v>
          </cell>
          <cell r="Y9" t="str">
            <v>Renewable Diesel (gal)</v>
          </cell>
        </row>
        <row r="10">
          <cell r="B10">
            <v>2023</v>
          </cell>
          <cell r="C10" t="str">
            <v>El Dorado</v>
          </cell>
          <cell r="D10" t="str">
            <v>Sacramento Valley</v>
          </cell>
          <cell r="H10" t="str">
            <v>Install new transit facilities</v>
          </cell>
          <cell r="S10" t="str">
            <v>Streetcar</v>
          </cell>
          <cell r="Y10" t="str">
            <v>Renewable Natural Gas (ft3)</v>
          </cell>
        </row>
        <row r="11">
          <cell r="B11">
            <v>2024</v>
          </cell>
          <cell r="C11" t="str">
            <v>Fresno</v>
          </cell>
          <cell r="D11" t="str">
            <v>Salton Sea</v>
          </cell>
          <cell r="H11" t="str">
            <v>Upgrade transit facilities</v>
          </cell>
          <cell r="S11" t="str">
            <v>Vanpool</v>
          </cell>
        </row>
        <row r="12">
          <cell r="A12">
            <v>2022</v>
          </cell>
          <cell r="B12">
            <v>2025</v>
          </cell>
          <cell r="C12" t="str">
            <v>Glenn</v>
          </cell>
          <cell r="D12" t="str">
            <v>San Diego (Air Basin)</v>
          </cell>
          <cell r="H12" t="str">
            <v>Upgrade transit vehicle(s)</v>
          </cell>
        </row>
        <row r="13">
          <cell r="A13">
            <v>2021</v>
          </cell>
          <cell r="B13">
            <v>2026</v>
          </cell>
          <cell r="C13" t="str">
            <v>Humboldt</v>
          </cell>
          <cell r="D13" t="str">
            <v>San Francisco Bay Area</v>
          </cell>
        </row>
        <row r="14">
          <cell r="A14">
            <v>2020</v>
          </cell>
          <cell r="B14">
            <v>2027</v>
          </cell>
          <cell r="C14" t="str">
            <v>Imperial</v>
          </cell>
          <cell r="D14" t="str">
            <v>San Joaquin Valley</v>
          </cell>
        </row>
        <row r="15">
          <cell r="A15">
            <v>2019</v>
          </cell>
          <cell r="B15">
            <v>2028</v>
          </cell>
          <cell r="C15" t="str">
            <v>Inyo</v>
          </cell>
          <cell r="D15" t="str">
            <v>South Central Coast</v>
          </cell>
        </row>
        <row r="16">
          <cell r="A16">
            <v>2018</v>
          </cell>
          <cell r="B16">
            <v>2029</v>
          </cell>
          <cell r="C16" t="str">
            <v>Kern</v>
          </cell>
          <cell r="D16" t="str">
            <v>South Coast</v>
          </cell>
        </row>
        <row r="17">
          <cell r="A17">
            <v>2017</v>
          </cell>
          <cell r="B17">
            <v>2030</v>
          </cell>
          <cell r="C17" t="str">
            <v>Kings</v>
          </cell>
        </row>
        <row r="18">
          <cell r="A18">
            <v>2016</v>
          </cell>
          <cell r="B18">
            <v>2031</v>
          </cell>
          <cell r="C18" t="str">
            <v>Lake (County)</v>
          </cell>
        </row>
        <row r="19">
          <cell r="A19">
            <v>2015</v>
          </cell>
          <cell r="B19">
            <v>2032</v>
          </cell>
          <cell r="C19" t="str">
            <v>Lassen</v>
          </cell>
        </row>
        <row r="20">
          <cell r="A20">
            <v>2014</v>
          </cell>
          <cell r="B20">
            <v>2033</v>
          </cell>
          <cell r="C20" t="str">
            <v>Los Angeles</v>
          </cell>
        </row>
        <row r="21">
          <cell r="A21">
            <v>2013</v>
          </cell>
          <cell r="B21">
            <v>2034</v>
          </cell>
          <cell r="C21" t="str">
            <v>Madera</v>
          </cell>
        </row>
        <row r="22">
          <cell r="A22">
            <v>2012</v>
          </cell>
          <cell r="B22">
            <v>2035</v>
          </cell>
          <cell r="C22" t="str">
            <v>Marin</v>
          </cell>
        </row>
        <row r="23">
          <cell r="A23">
            <v>2011</v>
          </cell>
          <cell r="B23">
            <v>2036</v>
          </cell>
          <cell r="C23" t="str">
            <v>Mariposa</v>
          </cell>
        </row>
        <row r="24">
          <cell r="A24">
            <v>2010</v>
          </cell>
          <cell r="B24">
            <v>2037</v>
          </cell>
          <cell r="C24" t="str">
            <v>Mendocino</v>
          </cell>
        </row>
        <row r="25">
          <cell r="A25">
            <v>2009</v>
          </cell>
          <cell r="B25">
            <v>2038</v>
          </cell>
          <cell r="C25" t="str">
            <v>Merced</v>
          </cell>
        </row>
        <row r="26">
          <cell r="A26">
            <v>2008</v>
          </cell>
          <cell r="B26">
            <v>2039</v>
          </cell>
          <cell r="C26" t="str">
            <v>Modoc</v>
          </cell>
        </row>
        <row r="27">
          <cell r="A27">
            <v>2007</v>
          </cell>
          <cell r="B27">
            <v>2040</v>
          </cell>
          <cell r="C27" t="str">
            <v>Mono</v>
          </cell>
        </row>
        <row r="28">
          <cell r="A28">
            <v>2006</v>
          </cell>
          <cell r="B28">
            <v>2041</v>
          </cell>
          <cell r="C28" t="str">
            <v>Monterey</v>
          </cell>
        </row>
        <row r="29">
          <cell r="A29">
            <v>2005</v>
          </cell>
          <cell r="B29">
            <v>2042</v>
          </cell>
          <cell r="C29" t="str">
            <v>Napa</v>
          </cell>
        </row>
        <row r="30">
          <cell r="A30">
            <v>2004</v>
          </cell>
          <cell r="B30">
            <v>2043</v>
          </cell>
          <cell r="C30" t="str">
            <v>Nevada</v>
          </cell>
        </row>
        <row r="31">
          <cell r="A31">
            <v>2003</v>
          </cell>
          <cell r="B31">
            <v>2044</v>
          </cell>
          <cell r="C31" t="str">
            <v>Orange</v>
          </cell>
        </row>
        <row r="32">
          <cell r="A32">
            <v>2002</v>
          </cell>
          <cell r="B32">
            <v>2045</v>
          </cell>
          <cell r="C32" t="str">
            <v>Placer</v>
          </cell>
        </row>
        <row r="33">
          <cell r="A33">
            <v>2001</v>
          </cell>
          <cell r="B33">
            <v>2046</v>
          </cell>
          <cell r="C33" t="str">
            <v>Plumas</v>
          </cell>
        </row>
        <row r="34">
          <cell r="A34">
            <v>2000</v>
          </cell>
          <cell r="B34">
            <v>2047</v>
          </cell>
          <cell r="C34" t="str">
            <v>Riverside</v>
          </cell>
        </row>
        <row r="35">
          <cell r="A35">
            <v>1999</v>
          </cell>
          <cell r="B35">
            <v>2048</v>
          </cell>
          <cell r="C35" t="str">
            <v>Sacramento</v>
          </cell>
        </row>
        <row r="36">
          <cell r="A36">
            <v>1998</v>
          </cell>
          <cell r="B36">
            <v>2049</v>
          </cell>
          <cell r="C36" t="str">
            <v>San Benito</v>
          </cell>
        </row>
        <row r="37">
          <cell r="A37">
            <v>1997</v>
          </cell>
          <cell r="B37">
            <v>2050</v>
          </cell>
          <cell r="C37" t="str">
            <v>San Bernardino</v>
          </cell>
        </row>
        <row r="38">
          <cell r="A38">
            <v>1996</v>
          </cell>
          <cell r="C38" t="str">
            <v>San Diego (County)</v>
          </cell>
        </row>
        <row r="39">
          <cell r="A39">
            <v>1995</v>
          </cell>
          <cell r="C39" t="str">
            <v>San Francisco (County)</v>
          </cell>
        </row>
        <row r="40">
          <cell r="A40">
            <v>1994</v>
          </cell>
          <cell r="C40" t="str">
            <v>San Joaquin</v>
          </cell>
        </row>
        <row r="41">
          <cell r="A41">
            <v>1993</v>
          </cell>
          <cell r="C41" t="str">
            <v>San Luis Obispo</v>
          </cell>
        </row>
        <row r="42">
          <cell r="A42">
            <v>1992</v>
          </cell>
          <cell r="C42" t="str">
            <v>San Mateo</v>
          </cell>
        </row>
        <row r="43">
          <cell r="A43">
            <v>1991</v>
          </cell>
          <cell r="C43" t="str">
            <v>Santa Barbara</v>
          </cell>
        </row>
        <row r="44">
          <cell r="A44">
            <v>1990</v>
          </cell>
          <cell r="C44" t="str">
            <v>Santa Clara</v>
          </cell>
        </row>
        <row r="45">
          <cell r="A45">
            <v>1989</v>
          </cell>
          <cell r="C45" t="str">
            <v>Santa Cruz</v>
          </cell>
        </row>
        <row r="46">
          <cell r="A46">
            <v>1988</v>
          </cell>
          <cell r="C46" t="str">
            <v>Shasta</v>
          </cell>
        </row>
        <row r="47">
          <cell r="A47">
            <v>1987</v>
          </cell>
          <cell r="C47" t="str">
            <v>Sierra</v>
          </cell>
        </row>
        <row r="48">
          <cell r="A48">
            <v>1986</v>
          </cell>
          <cell r="C48" t="str">
            <v>Siskiyou</v>
          </cell>
        </row>
        <row r="49">
          <cell r="A49">
            <v>1985</v>
          </cell>
          <cell r="C49" t="str">
            <v>Solano</v>
          </cell>
        </row>
        <row r="50">
          <cell r="A50">
            <v>1984</v>
          </cell>
          <cell r="C50" t="str">
            <v>Sonoma</v>
          </cell>
        </row>
        <row r="51">
          <cell r="A51">
            <v>1983</v>
          </cell>
          <cell r="C51" t="str">
            <v>Stanislaus</v>
          </cell>
        </row>
        <row r="52">
          <cell r="A52">
            <v>1982</v>
          </cell>
          <cell r="C52" t="str">
            <v>Sutter</v>
          </cell>
        </row>
        <row r="53">
          <cell r="A53">
            <v>1981</v>
          </cell>
          <cell r="C53" t="str">
            <v>Tehama</v>
          </cell>
        </row>
        <row r="54">
          <cell r="A54">
            <v>1980</v>
          </cell>
          <cell r="C54" t="str">
            <v>Trinity</v>
          </cell>
        </row>
        <row r="55">
          <cell r="A55">
            <v>1979</v>
          </cell>
          <cell r="C55" t="str">
            <v>Tulare</v>
          </cell>
        </row>
        <row r="56">
          <cell r="A56">
            <v>1978</v>
          </cell>
          <cell r="C56" t="str">
            <v>Tuolumne</v>
          </cell>
        </row>
        <row r="57">
          <cell r="A57">
            <v>1977</v>
          </cell>
          <cell r="C57" t="str">
            <v>Ventura</v>
          </cell>
        </row>
        <row r="58">
          <cell r="A58">
            <v>1976</v>
          </cell>
          <cell r="C58" t="str">
            <v>Yolo</v>
          </cell>
        </row>
        <row r="59">
          <cell r="A59">
            <v>1975</v>
          </cell>
          <cell r="C59" t="str">
            <v>Yuba</v>
          </cell>
        </row>
        <row r="60">
          <cell r="A60">
            <v>1974</v>
          </cell>
        </row>
      </sheetData>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llocation-Request"/>
      <sheetName val="Attchment A"/>
      <sheetName val="Attchment B"/>
      <sheetName val="Sheet2"/>
    </sheetNames>
    <sheetDataSet>
      <sheetData sheetId="0"/>
      <sheetData sheetId="1"/>
      <sheetData sheetId="2"/>
      <sheetData sheetId="3"/>
      <sheetData sheetId="4">
        <row r="3">
          <cell r="A3" t="str">
            <v xml:space="preserve">A1: Implement new transit service </v>
          </cell>
        </row>
        <row r="4">
          <cell r="A4" t="str">
            <v>A2: Expand/Enhance transit service</v>
          </cell>
        </row>
        <row r="5">
          <cell r="A5" t="str">
            <v>A3: Provide alternative transit options</v>
          </cell>
        </row>
        <row r="6">
          <cell r="A6" t="str">
            <v>A4: Network/fare integration</v>
          </cell>
        </row>
        <row r="7">
          <cell r="A7" t="str">
            <v>A5: Free or reduced-fare transit vouchers</v>
          </cell>
        </row>
        <row r="8">
          <cell r="A8" t="str">
            <v>Ai: Purchase, operate and maintain zero-emission or hybrid vehicles and equipment</v>
          </cell>
        </row>
        <row r="9">
          <cell r="A9" t="str">
            <v>Aii: Install infrastructure to support zero-emission or plug-in hybid vehicles and equipment</v>
          </cell>
        </row>
        <row r="10">
          <cell r="A10" t="str">
            <v>Aiii: Install infrastructure to support natural gas or other low carbon alternative fuels</v>
          </cell>
        </row>
        <row r="11">
          <cell r="A11" t="str">
            <v xml:space="preserve">Aiv: Install renewable energy at transit facilities </v>
          </cell>
        </row>
        <row r="12">
          <cell r="A12" t="str">
            <v>B1: Install new stops/stations for local bus, intercity rail, commuter bus or rail service</v>
          </cell>
        </row>
        <row r="13">
          <cell r="A13" t="str">
            <v xml:space="preserve">B2: Install new transit stop/station that connect to bike paths/pedestrian path </v>
          </cell>
        </row>
        <row r="14">
          <cell r="A14" t="str">
            <v>B3: Upgrade transit stops/stations to support active transportation and encourages ridership</v>
          </cell>
        </row>
        <row r="15">
          <cell r="A15" t="str">
            <v>B4: Upgrade transit vehicles to support active transportation and encourage ridership</v>
          </cell>
        </row>
        <row r="16">
          <cell r="A16" t="str">
            <v>Bi: Install renewable energy at transit facilities</v>
          </cell>
        </row>
        <row r="17">
          <cell r="A17" t="str">
            <v>Bii: Maintenance or operations to support expanded transit facilities and enhancements</v>
          </cell>
        </row>
        <row r="20">
          <cell r="A20" t="str">
            <v>LCTP 1A: Project provides incentives for vehicles or equipment to those with a physical address in a disadvantaged community.</v>
          </cell>
        </row>
        <row r="21">
          <cell r="A21" t="str">
            <v>LCTP 1B: Project provides incentives for vehicles or equipment that will be domiciled in a disadvantaged community.</v>
          </cell>
        </row>
        <row r="22">
          <cell r="A22" t="str">
            <v>LCTP 1C: Project provides incentives for vehicles or equipment that reduce air pollution on fixed routes that are primarily within a disadvantaged community or vehicles that serve transit stations or stops in a disadvantaged community.</v>
          </cell>
        </row>
        <row r="23">
          <cell r="A23" t="str">
            <v>LCTP 1D: Project provides greater mobility and increased access to clean transportation for disadvantaged community residents by placing services in a disadvantaged community, including ride-sharing, car-sharing, or other advanced technology mobility options.</v>
          </cell>
        </row>
        <row r="24">
          <cell r="A24" t="str">
            <v>LCTP 2A: Project provides incentives for vehicles or equipment to those with a physical address in a ZIP code that contains a disadvantaged community census tract.</v>
          </cell>
        </row>
        <row r="25">
          <cell r="A25" t="str">
            <v>LCTP 2B: Project provides incentives for freight vehicles or equipment that primarily serve freight hubs** located in a ZIP code that contains a disadvantaged community census tract, as identified in Table 2.A-1,  Appendix 2.A,  of Volume 2 of the Funding Guidelines.</v>
          </cell>
        </row>
        <row r="26">
          <cell r="A26" t="str">
            <v>LCTP 2C:  Project provides greater mobility and increased access to clean transportation for disadvantaged community residents by placing services that are accessible by walking within ½ mile of a disadvantaged community, including ride-sharing, car-sharing, or other advanced technology mobility options.</v>
          </cell>
        </row>
        <row r="27">
          <cell r="A27" t="str">
            <v>TP 1A: Project provides improved transit or intercity rail service for stations or stops in a disadvantaged community.</v>
          </cell>
        </row>
        <row r="28">
          <cell r="A28" t="str">
            <v>TP 1B:  Project provides transit incentives to residents with a physical address in a disadvantaged community.</v>
          </cell>
        </row>
        <row r="29">
          <cell r="A29" t="str">
            <v>TP 1C: Project improves transit connectivity at stations or stops in a disadvantaged community.</v>
          </cell>
        </row>
        <row r="30">
          <cell r="A30" t="str">
            <v>TP 1D: Project improves connectivity between travel modes for vehicles or equipment that service stations or stops in a disadvantaged community.</v>
          </cell>
        </row>
        <row r="31">
          <cell r="A31" t="str">
            <v>TP 1E: Project creates or improves infrastructure or equipment that reduces air pollution at a station, stop or transit facility in a disadvantaged community.</v>
          </cell>
        </row>
        <row r="32">
          <cell r="A32" t="str">
            <v>TP 1F: Project creates or improves infrastructure or equipment that reduces air pollution on regular routes that are primarily within a disadvantaged community.</v>
          </cell>
        </row>
        <row r="33">
          <cell r="A33" t="str">
            <v>TP 1G: Project provides greater mobility and increased access to clean transportation for disadvantaged community residents by placing services in a disadvantaged community, including ride-sharing, car-sharing, or other advanced technology mobility options associated with transit.</v>
          </cell>
        </row>
        <row r="34">
          <cell r="A34" t="str">
            <v>TP 1H: Project improves transit stations or stops in a disadvantaged community to increase safety and comfort.</v>
          </cell>
        </row>
        <row r="35">
          <cell r="A35" t="str">
            <v>TP 2A: Project provides improved local bus transit service for riders using stations or stops that are accessible by walking within ½ mile of a DAC.</v>
          </cell>
        </row>
        <row r="36">
          <cell r="A36" t="str">
            <v>TP 2B: Project improves local bus transit connectivity for riders using stations  or stops that are accessible by walking within ½ mile of a disadvantaged community.</v>
          </cell>
        </row>
        <row r="37">
          <cell r="A37" t="str">
            <v>TP 2C: Project provides improved intercity rail (and related feeder bus service), commuter bus or rail transit service for riders using stations or stops in a ZIP code that contains a disadvantaged community census tract or within ½ mile of a disadvantaged community.</v>
          </cell>
        </row>
        <row r="38">
          <cell r="A38" t="str">
            <v>TP 2D: Project provides improved intercity rail (and related feeder bus service), commuter bus or rail transit connectivity for riders using stations or stops in a ZIP code that contains a disadvantaged community census tract or within ½ mile of a disadvantaged community.</v>
          </cell>
        </row>
        <row r="39">
          <cell r="A39" t="str">
            <v>TP 2E: Project will increase intercity rail (and related feeder bus service), commuter bus or rail transit ridership, with at least 25 percent of new riders from disadvantaged communities.</v>
          </cell>
        </row>
        <row r="40">
          <cell r="A40" t="str">
            <v>TP 2F: Project provides greater mobility and increased access to clean transportation for disadvantaged community residents by placing services that are accessible by walking within ½ mile of a disadvantaged community, including ride-sharing, car-sharing, or other advanced technology mobility options associated with transit.</v>
          </cell>
        </row>
        <row r="41">
          <cell r="A41" t="str">
            <v xml:space="preserve">TP 2G: Project improves transit stations or stops that are accessible by walking within ½ mile of a disadvantaged community, to increase safety and comfort. </v>
          </cell>
        </row>
        <row r="42">
          <cell r="A42" t="str">
            <v>TP 2H: Project includes recruitment, agreements, policies or other approaches that are consistent with federal and state law and result in at least 25 percent of project work hours performed by residents of a disadvantaged community.</v>
          </cell>
        </row>
        <row r="43">
          <cell r="A43" t="str">
            <v>TP 2I: Project includes recruitment, agreements, policies or other approaches that are consistent with federal and state law and result in at least 10 percent of project work hours performed by residents of a disadvantaged community participating in job training programs which lead to industry-recognized credentials or certifications.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CalEEMod Steps 4-6"/>
      <sheetName val="TAC Inputs"/>
      <sheetName val="GHG Summary"/>
      <sheetName val="Co-Benefits Summary"/>
      <sheetName val="Definitions"/>
      <sheetName val="GHG Calculations"/>
      <sheetName val="Criteria &amp; Toxics Calculations"/>
      <sheetName val="Defaults"/>
      <sheetName val="Auto GHGs"/>
      <sheetName val="Auto Criteria &amp; Toxics"/>
      <sheetName val="Cut-A-Way"/>
      <sheetName val="Van"/>
      <sheetName val="Transit Bus"/>
      <sheetName val="Train-criteria &amp; toxics"/>
      <sheetName val="Ferry-criteria &amp; toxics"/>
    </sheetNames>
    <sheetDataSet>
      <sheetData sheetId="0"/>
      <sheetData sheetId="1">
        <row r="49">
          <cell r="D49"/>
        </row>
      </sheetData>
      <sheetData sheetId="2">
        <row r="29">
          <cell r="T29">
            <v>0</v>
          </cell>
        </row>
      </sheetData>
      <sheetData sheetId="3"/>
      <sheetData sheetId="4"/>
      <sheetData sheetId="5"/>
      <sheetData sheetId="6"/>
      <sheetData sheetId="7"/>
      <sheetData sheetId="8">
        <row r="2">
          <cell r="A2">
            <v>2019</v>
          </cell>
        </row>
      </sheetData>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Definitions"/>
      <sheetName val="Project Info"/>
      <sheetName val="Project Data Inputs"/>
      <sheetName val="GHG Summary"/>
      <sheetName val="Co-benefits Summary"/>
      <sheetName val="Documentation"/>
      <sheetName val="For Technical Reviewers"/>
      <sheetName val="Temperature Data"/>
      <sheetName val="CH4 Calcs"/>
      <sheetName val="CH4 Other Practices"/>
      <sheetName val="CO2 Other Sources"/>
      <sheetName val="other metrics"/>
      <sheetName val="Other "/>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ow r="42">
          <cell r="A42" t="str">
            <v>Lactating Dairy Cows (freestall)</v>
          </cell>
        </row>
        <row r="43">
          <cell r="A43" t="str">
            <v>Lactating Dairy Cows (open lot)</v>
          </cell>
        </row>
        <row r="44">
          <cell r="A44" t="str">
            <v xml:space="preserve">Cattle: dry cows </v>
          </cell>
        </row>
        <row r="45">
          <cell r="A45" t="str">
            <v>Cattle: heifers (on feed)</v>
          </cell>
        </row>
        <row r="46">
          <cell r="A46" t="str">
            <v>Cattle: bulls</v>
          </cell>
        </row>
        <row r="47">
          <cell r="A47" t="str">
            <v>Cattle: calves (grazing)</v>
          </cell>
        </row>
        <row r="48">
          <cell r="A48" t="str">
            <v>Cattle: cows (grazing)</v>
          </cell>
        </row>
        <row r="49">
          <cell r="A49" t="str">
            <v>Cattle: heifers (grazing)</v>
          </cell>
        </row>
        <row r="50">
          <cell r="A50" t="str">
            <v>Swine: nursery swine</v>
          </cell>
        </row>
        <row r="51">
          <cell r="A51" t="str">
            <v>Swine: grow/finish swine</v>
          </cell>
        </row>
        <row r="52">
          <cell r="A52" t="str">
            <v>Swine: breeding swine</v>
          </cell>
        </row>
        <row r="53">
          <cell r="A53" t="str">
            <v>Sheep</v>
          </cell>
        </row>
        <row r="54">
          <cell r="A54" t="str">
            <v>Goats</v>
          </cell>
        </row>
        <row r="55">
          <cell r="A55" t="str">
            <v>Horses</v>
          </cell>
        </row>
        <row r="56">
          <cell r="A56" t="str">
            <v>Poultry: Layer Hens</v>
          </cell>
        </row>
        <row r="57">
          <cell r="A57" t="str">
            <v>Poultry: Other Chickens</v>
          </cell>
        </row>
        <row r="58">
          <cell r="A58" t="str">
            <v>Poultry: Pullets</v>
          </cell>
        </row>
        <row r="59">
          <cell r="A59" t="str">
            <v>Poultry: Broilers</v>
          </cell>
        </row>
        <row r="60">
          <cell r="A60" t="str">
            <v>Poultry: Turkeys</v>
          </cell>
        </row>
      </sheetData>
      <sheetData sheetId="10"/>
      <sheetData sheetId="11"/>
      <sheetData sheetId="12" refreshError="1"/>
      <sheetData sheetId="13">
        <row r="2">
          <cell r="F2" t="str">
            <v>Diesel (Distillate No. 1 or 2, gal.)</v>
          </cell>
        </row>
        <row r="18">
          <cell r="C18" t="str">
            <v>Flush</v>
          </cell>
        </row>
        <row r="19">
          <cell r="C19" t="str">
            <v>Partial scrape / partial flush / vacuum truck</v>
          </cell>
          <cell r="E19">
            <v>0.1</v>
          </cell>
        </row>
        <row r="20">
          <cell r="C20" t="str">
            <v>Scrape / vacuum truck</v>
          </cell>
          <cell r="E20">
            <v>0.15</v>
          </cell>
        </row>
        <row r="21">
          <cell r="C21" t="str">
            <v>Compost bedded pack barn</v>
          </cell>
          <cell r="E21">
            <v>0.2</v>
          </cell>
        </row>
        <row r="22">
          <cell r="C22" t="str">
            <v>Pit storage below animal confinements</v>
          </cell>
          <cell r="E22">
            <v>0.25</v>
          </cell>
        </row>
        <row r="23">
          <cell r="E23">
            <v>0.3</v>
          </cell>
        </row>
        <row r="24">
          <cell r="E24">
            <v>0.35</v>
          </cell>
        </row>
        <row r="25">
          <cell r="E25">
            <v>0.4</v>
          </cell>
          <cell r="J25" t="str">
            <v>none</v>
          </cell>
        </row>
        <row r="26">
          <cell r="E26">
            <v>0.45</v>
          </cell>
          <cell r="J26" t="str">
            <v>weeping wall</v>
          </cell>
        </row>
        <row r="27">
          <cell r="E27">
            <v>0.5</v>
          </cell>
          <cell r="J27" t="str">
            <v>stationary screen</v>
          </cell>
        </row>
        <row r="28">
          <cell r="E28">
            <v>0.55000000000000004</v>
          </cell>
          <cell r="J28" t="str">
            <v>vibrating screen</v>
          </cell>
        </row>
        <row r="29">
          <cell r="E29">
            <v>0.6</v>
          </cell>
          <cell r="J29" t="str">
            <v>screw press</v>
          </cell>
        </row>
        <row r="30">
          <cell r="E30">
            <v>0.65</v>
          </cell>
          <cell r="J30" t="str">
            <v>centrifuge</v>
          </cell>
        </row>
        <row r="31">
          <cell r="E31">
            <v>0.7</v>
          </cell>
          <cell r="J31" t="str">
            <v>roller drum</v>
          </cell>
        </row>
        <row r="32">
          <cell r="E32">
            <v>0.75</v>
          </cell>
          <cell r="J32" t="str">
            <v>belt press/screen</v>
          </cell>
          <cell r="K32">
            <v>0</v>
          </cell>
        </row>
        <row r="33">
          <cell r="E33">
            <v>0.8</v>
          </cell>
          <cell r="K33">
            <v>0.5</v>
          </cell>
        </row>
        <row r="34">
          <cell r="E34">
            <v>0.85</v>
          </cell>
          <cell r="K34">
            <v>1</v>
          </cell>
        </row>
        <row r="35">
          <cell r="E35">
            <v>0.9</v>
          </cell>
          <cell r="K35">
            <v>1.5</v>
          </cell>
        </row>
        <row r="36">
          <cell r="E36">
            <v>0.95</v>
          </cell>
          <cell r="K36">
            <v>2</v>
          </cell>
        </row>
        <row r="37">
          <cell r="E37">
            <v>1</v>
          </cell>
          <cell r="K37">
            <v>2.5</v>
          </cell>
        </row>
        <row r="38">
          <cell r="K38">
            <v>3</v>
          </cell>
        </row>
        <row r="39">
          <cell r="K39">
            <v>3.5</v>
          </cell>
        </row>
        <row r="40">
          <cell r="K40">
            <v>4</v>
          </cell>
        </row>
        <row r="41">
          <cell r="K41">
            <v>4.5</v>
          </cell>
        </row>
        <row r="42">
          <cell r="K42">
            <v>5</v>
          </cell>
        </row>
        <row r="43">
          <cell r="K43">
            <v>5.5</v>
          </cell>
        </row>
        <row r="44">
          <cell r="K44">
            <v>6</v>
          </cell>
        </row>
        <row r="45">
          <cell r="C45" t="str">
            <v>1a - Pasture based management - conversion to pasture management or increased time at pasture</v>
          </cell>
          <cell r="K45">
            <v>6.5</v>
          </cell>
        </row>
        <row r="46">
          <cell r="C46" t="str">
            <v>2a - Installation of compost bedded pack barn</v>
          </cell>
          <cell r="K46">
            <v>7</v>
          </cell>
        </row>
        <row r="47">
          <cell r="C47" t="str">
            <v>2b - Installation of slatted floor pit storage manure collection cleaned out at least monthly</v>
          </cell>
          <cell r="K47">
            <v>7.5</v>
          </cell>
        </row>
        <row r="48">
          <cell r="C48" t="str">
            <v>3a - Solid separation with open solar drying</v>
          </cell>
          <cell r="K48">
            <v>8</v>
          </cell>
        </row>
        <row r="49">
          <cell r="C49" t="str">
            <v>3b - Solid separation with closed solar drying</v>
          </cell>
          <cell r="K49">
            <v>8.5</v>
          </cell>
        </row>
        <row r="50">
          <cell r="C50" t="str">
            <v>3c - Solid separation with forced evaporation drying</v>
          </cell>
          <cell r="K50">
            <v>9</v>
          </cell>
        </row>
        <row r="51">
          <cell r="C51" t="str">
            <v>3d - Solid separation with daily spread</v>
          </cell>
          <cell r="K51">
            <v>9.5</v>
          </cell>
        </row>
        <row r="52">
          <cell r="C52" t="str">
            <v>3e - Solid separation with solid storage</v>
          </cell>
          <cell r="K52">
            <v>10</v>
          </cell>
        </row>
        <row r="53">
          <cell r="C53" t="str">
            <v>3f - Solid separation with composting (in vessel or aerated static pile)</v>
          </cell>
          <cell r="K53">
            <v>10.5</v>
          </cell>
        </row>
        <row r="54">
          <cell r="C54" t="str">
            <v>3g - Solid separation with composting (passive or intensive windrow)</v>
          </cell>
          <cell r="K54">
            <v>11</v>
          </cell>
        </row>
        <row r="55">
          <cell r="C55" t="str">
            <v>4a - Scrape conversion with open solar drying</v>
          </cell>
          <cell r="K55">
            <v>11.5</v>
          </cell>
        </row>
        <row r="56">
          <cell r="C56" t="str">
            <v>4b - Scrape conversion with closed solar drying</v>
          </cell>
          <cell r="K56">
            <v>12</v>
          </cell>
        </row>
        <row r="57">
          <cell r="C57" t="str">
            <v>4c - Scrape conversion with forced evaporation drying</v>
          </cell>
        </row>
        <row r="58">
          <cell r="C58" t="str">
            <v>4d - Scrape conversion with daily spread</v>
          </cell>
        </row>
        <row r="59">
          <cell r="C59" t="str">
            <v>4e - Scrape conversion with solid storage</v>
          </cell>
        </row>
        <row r="60">
          <cell r="C60" t="str">
            <v>4f - Scrape conversion with  composting (in vessel or aerated static pile)</v>
          </cell>
        </row>
        <row r="61">
          <cell r="C61" t="str">
            <v>4g - Scrape conversion with composting (passive or intensive windrow)</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Tree Planting-ITP"/>
      <sheetName val="Tree Planting-ITS"/>
      <sheetName val="New Bike-Ped Infrastructure"/>
      <sheetName val="GHG Summary"/>
      <sheetName val="Co-benefit Summary"/>
      <sheetName val="Definitions"/>
      <sheetName val="Documentation"/>
      <sheetName val="ERF"/>
      <sheetName val="Infrastructure GHG Calculations"/>
      <sheetName val="Criteria &amp; Toxics Calculations"/>
      <sheetName val="Passenger Auto GHG"/>
      <sheetName val="Passenger Auto Criteria &amp; Toxic"/>
      <sheetName val="Bike-Ped Matrix"/>
      <sheetName val="Defaul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ow r="11">
          <cell r="C11" t="str">
            <v>Alameda</v>
          </cell>
        </row>
        <row r="12">
          <cell r="C12" t="str">
            <v>Alpine</v>
          </cell>
        </row>
        <row r="13">
          <cell r="C13" t="str">
            <v>Amador</v>
          </cell>
        </row>
        <row r="14">
          <cell r="C14" t="str">
            <v>Butte</v>
          </cell>
        </row>
        <row r="15">
          <cell r="C15" t="str">
            <v>Calaveras</v>
          </cell>
        </row>
        <row r="16">
          <cell r="C16" t="str">
            <v>Colusa</v>
          </cell>
        </row>
        <row r="17">
          <cell r="C17" t="str">
            <v>Contra Costa</v>
          </cell>
        </row>
        <row r="18">
          <cell r="C18" t="str">
            <v>Del Norte</v>
          </cell>
        </row>
        <row r="19">
          <cell r="C19" t="str">
            <v>El Dorado</v>
          </cell>
        </row>
        <row r="20">
          <cell r="C20" t="str">
            <v>Fresno</v>
          </cell>
        </row>
        <row r="21">
          <cell r="C21" t="str">
            <v>Glenn</v>
          </cell>
        </row>
        <row r="22">
          <cell r="C22" t="str">
            <v>Humboldt</v>
          </cell>
          <cell r="K22" t="str">
            <v>Yes</v>
          </cell>
        </row>
        <row r="23">
          <cell r="C23" t="str">
            <v>Imperial</v>
          </cell>
          <cell r="K23" t="str">
            <v>No</v>
          </cell>
        </row>
        <row r="24">
          <cell r="C24" t="str">
            <v>Inyo</v>
          </cell>
        </row>
        <row r="25">
          <cell r="C25" t="str">
            <v>Kern</v>
          </cell>
        </row>
        <row r="26">
          <cell r="C26" t="str">
            <v>Kings</v>
          </cell>
          <cell r="K26" t="str">
            <v>$0 to $273.74</v>
          </cell>
        </row>
        <row r="27">
          <cell r="C27" t="str">
            <v>Lake</v>
          </cell>
          <cell r="K27" t="str">
            <v>$273.75 to $543.84</v>
          </cell>
        </row>
        <row r="28">
          <cell r="C28" t="str">
            <v>Lassen</v>
          </cell>
          <cell r="K28" t="str">
            <v>$543.85 to $1,087.69</v>
          </cell>
        </row>
        <row r="29">
          <cell r="C29" t="str">
            <v>Los Angeles</v>
          </cell>
          <cell r="K29" t="str">
            <v>$1,087.70 to $2,175.39</v>
          </cell>
        </row>
        <row r="30">
          <cell r="C30" t="str">
            <v>Madera</v>
          </cell>
          <cell r="K30" t="str">
            <v>$2,175.40 or greater</v>
          </cell>
        </row>
        <row r="31">
          <cell r="C31" t="str">
            <v>Marin</v>
          </cell>
        </row>
        <row r="32">
          <cell r="C32" t="str">
            <v>Mariposa</v>
          </cell>
        </row>
        <row r="33">
          <cell r="C33" t="str">
            <v>Mendocino</v>
          </cell>
        </row>
        <row r="34">
          <cell r="C34" t="str">
            <v>Merced</v>
          </cell>
        </row>
        <row r="35">
          <cell r="C35" t="str">
            <v>Modoc</v>
          </cell>
        </row>
        <row r="36">
          <cell r="C36" t="str">
            <v>Mono</v>
          </cell>
        </row>
        <row r="37">
          <cell r="C37" t="str">
            <v>Monterey</v>
          </cell>
        </row>
        <row r="38">
          <cell r="C38" t="str">
            <v>Napa</v>
          </cell>
        </row>
        <row r="39">
          <cell r="C39" t="str">
            <v>Nevada</v>
          </cell>
        </row>
        <row r="40">
          <cell r="C40" t="str">
            <v>Orange</v>
          </cell>
        </row>
        <row r="41">
          <cell r="C41" t="str">
            <v>Placer</v>
          </cell>
        </row>
        <row r="42">
          <cell r="C42" t="str">
            <v>Plumas</v>
          </cell>
        </row>
        <row r="43">
          <cell r="C43" t="str">
            <v>Riverside</v>
          </cell>
        </row>
        <row r="44">
          <cell r="C44" t="str">
            <v>Sacramento</v>
          </cell>
        </row>
        <row r="45">
          <cell r="C45" t="str">
            <v>San Benito</v>
          </cell>
        </row>
        <row r="46">
          <cell r="C46" t="str">
            <v>San Bernardino</v>
          </cell>
        </row>
        <row r="47">
          <cell r="C47" t="str">
            <v>San Diego</v>
          </cell>
        </row>
        <row r="48">
          <cell r="C48" t="str">
            <v>San Francisco</v>
          </cell>
        </row>
        <row r="49">
          <cell r="C49" t="str">
            <v>San Joaquin</v>
          </cell>
        </row>
        <row r="50">
          <cell r="C50" t="str">
            <v>San Luis Obispo</v>
          </cell>
        </row>
        <row r="51">
          <cell r="C51" t="str">
            <v>San Mateo</v>
          </cell>
        </row>
        <row r="52">
          <cell r="C52" t="str">
            <v>Santa Barbara</v>
          </cell>
        </row>
        <row r="53">
          <cell r="C53" t="str">
            <v>Santa Clara</v>
          </cell>
        </row>
        <row r="54">
          <cell r="C54" t="str">
            <v>Santa Cruz</v>
          </cell>
        </row>
        <row r="55">
          <cell r="C55" t="str">
            <v>Shasta</v>
          </cell>
        </row>
        <row r="56">
          <cell r="C56" t="str">
            <v>Sierra</v>
          </cell>
        </row>
        <row r="57">
          <cell r="C57" t="str">
            <v>Siskiyou</v>
          </cell>
        </row>
        <row r="58">
          <cell r="C58" t="str">
            <v>Solano</v>
          </cell>
        </row>
        <row r="59">
          <cell r="C59" t="str">
            <v>Sonoma</v>
          </cell>
        </row>
        <row r="60">
          <cell r="C60" t="str">
            <v>Stanislaus</v>
          </cell>
        </row>
        <row r="61">
          <cell r="C61" t="str">
            <v>Sutter</v>
          </cell>
        </row>
        <row r="62">
          <cell r="C62" t="str">
            <v>Tehama</v>
          </cell>
        </row>
        <row r="63">
          <cell r="C63" t="str">
            <v>Trinity</v>
          </cell>
        </row>
        <row r="64">
          <cell r="C64" t="str">
            <v>Tulare</v>
          </cell>
        </row>
        <row r="65">
          <cell r="C65" t="str">
            <v>Tuolumne</v>
          </cell>
        </row>
        <row r="66">
          <cell r="C66" t="str">
            <v>Ventura</v>
          </cell>
        </row>
        <row r="67">
          <cell r="C67" t="str">
            <v>Yolo</v>
          </cell>
        </row>
        <row r="68">
          <cell r="C68" t="str">
            <v>Yuba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AD Avg ERF"/>
      <sheetName val="HSAD vs. LSAD"/>
      <sheetName val="LCFS Data"/>
      <sheetName val="Potential ERF"/>
      <sheetName val="Potential ERF (2)"/>
      <sheetName val="Potential ERF (3)"/>
      <sheetName val="Potential ERF (4)"/>
      <sheetName val="Potential ERF-LF"/>
      <sheetName val="Potential ERF-COM"/>
      <sheetName val="ERFs"/>
      <sheetName val="Sheet4"/>
      <sheetName val="Sheet5"/>
      <sheetName val="Sheet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5">
          <cell r="A85" t="str">
            <v>Commercial Refrigerator with solid doors</v>
          </cell>
        </row>
        <row r="87">
          <cell r="A87" t="str">
            <v>Commercial Refrigerator with transparent doors</v>
          </cell>
        </row>
        <row r="89">
          <cell r="A89" t="str">
            <v>Commercial Freezer with solid doors</v>
          </cell>
        </row>
        <row r="91">
          <cell r="A91" t="str">
            <v>Commercial Freezer with transparent doors</v>
          </cell>
        </row>
        <row r="93">
          <cell r="A93" t="str">
            <v>Commercial Refrigerator/freezer with solid doors</v>
          </cell>
        </row>
      </sheetData>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00F25-CCD9-4C82-B730-A48BE0AFB019}" name="Table1" displayName="Table1" ref="B21:D31" totalsRowShown="0" headerRowDxfId="42" dataDxfId="41">
  <autoFilter ref="B21:D31" xr:uid="{00000000-0009-0000-0100-000001000000}"/>
  <tableColumns count="3">
    <tableColumn id="1" xr3:uid="{15E0D730-EF24-463E-91B1-6A599D25A063}" name="Category" dataDxfId="40" dataCellStyle="Normal 11"/>
    <tableColumn id="2" xr3:uid="{6CCB0060-E211-4A9B-A4D2-ED9A91BB29AC}" name="Input" dataDxfId="39"/>
    <tableColumn id="4" xr3:uid="{C78090EA-84A3-472B-AC78-D8C593945630}" name="Required?" dataDxfId="38">
      <calculatedColumnFormula>IF(ISBLANK(C22),"Required","")</calculatedColumnFormula>
    </tableColumn>
  </tableColumns>
  <tableStyleInfo showFirstColumn="0" showLastColumn="0" showRowStripes="1" showColumnStripes="0"/>
  <extLst>
    <ext xmlns:x14="http://schemas.microsoft.com/office/spreadsheetml/2009/9/main" uri="{504A1905-F514-4f6f-8877-14C23A59335A}">
      <x14:table altTextSummary="General projec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9A619A-065B-4A79-8906-0DD1DE81C8CE}" name="Table2" displayName="Table2" ref="B11:C15" totalsRowShown="0" headerRowBorderDxfId="29" tableBorderDxfId="28" totalsRowBorderDxfId="27">
  <autoFilter ref="B11:C15" xr:uid="{00000000-0009-0000-0100-000002000000}"/>
  <tableColumns count="2">
    <tableColumn id="1" xr3:uid="{1CB5465A-2545-419A-BAAB-008BAB9724B9}" name="Project Information" dataDxfId="26"/>
    <tableColumn id="2" xr3:uid="{A07C824F-6263-4CFD-B6B7-623C742167E2}" name="Result" dataDxfId="25">
      <calculatedColumnFormula>'Project Info'!C28</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Summary of Project Inform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3EEDC3-E96B-4A26-9ADE-D06903F24390}" name="Table5" displayName="Table5" ref="B17:C22" totalsRowShown="0" headerRowBorderDxfId="24" tableBorderDxfId="23" totalsRowBorderDxfId="22">
  <autoFilter ref="B17:C22" xr:uid="{00000000-0009-0000-0100-000005000000}"/>
  <tableColumns count="2">
    <tableColumn id="1" xr3:uid="{EE72FBCC-2F6F-420D-BC4E-FBFC1A4BEC60}" name="GHG Emission Reductions"/>
    <tableColumn id="2" xr3:uid="{6B4D777D-366B-4275-B756-54C56F589499}" name="Result" dataDxfId="21"/>
  </tableColumns>
  <tableStyleInfo name="TableStyleMedium2" showFirstColumn="0" showLastColumn="0" showRowStripes="1" showColumnStripes="0"/>
  <extLst>
    <ext xmlns:x14="http://schemas.microsoft.com/office/spreadsheetml/2009/9/main" uri="{504A1905-F514-4f6f-8877-14C23A59335A}">
      <x14:table altTextSummary="Summary of GHG Benefi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7F0D06-AD89-430E-8E75-C55E5E8715A1}" name="Table4" displayName="Table4" ref="B10:C12" totalsRowShown="0" headerRowDxfId="20" headerRowBorderDxfId="19" tableBorderDxfId="18" totalsRowBorderDxfId="17">
  <autoFilter ref="B10:C12" xr:uid="{00000000-0009-0000-0100-000004000000}"/>
  <tableColumns count="2">
    <tableColumn id="1" xr3:uid="{BA70B697-7261-4686-8C57-940F6D41024E}" name="Acronym" dataDxfId="16"/>
    <tableColumn id="2" xr3:uid="{2D294D18-8586-435C-9360-B9D245F8664A}" name="Term" dataDxfId="15"/>
  </tableColumns>
  <tableStyleInfo name="TableStyleMedium2" showFirstColumn="0" showLastColumn="0" showRowStripes="1" showColumnStripes="0"/>
  <extLst>
    <ext xmlns:x14="http://schemas.microsoft.com/office/spreadsheetml/2009/9/main" uri="{504A1905-F514-4f6f-8877-14C23A59335A}">
      <x14:table altTextSummary="Table of Acronym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0A2C947-D952-4E7E-9A8F-43C77C0D55D7}" name="Table12" displayName="Table12" ref="B14:C45" totalsRowShown="0" headerRowDxfId="14" headerRowBorderDxfId="13" tableBorderDxfId="12" totalsRowBorderDxfId="11">
  <autoFilter ref="B14:C45" xr:uid="{00000000-0009-0000-0100-00000C000000}"/>
  <tableColumns count="2">
    <tableColumn id="1" xr3:uid="{7D921CB6-5616-41DD-A8F8-C253BD9665FF}" name="Inputs/Outputs" dataDxfId="10"/>
    <tableColumn id="2" xr3:uid="{7426D13F-5EA3-4DCB-8EAD-54B60DE04E12}" name="Value" dataDxfId="9"/>
  </tableColumns>
  <tableStyleInfo name="TableStyleMedium2" showFirstColumn="0" showLastColumn="0" showRowStripes="1" showColumnStripes="0"/>
  <extLst>
    <ext xmlns:x14="http://schemas.microsoft.com/office/spreadsheetml/2009/9/main" uri="{504A1905-F514-4f6f-8877-14C23A59335A}">
      <x14:table altTextSummary="Conversion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7F239A-4C30-4E06-8265-268729AA3184}" name="Table7" displayName="Table7" ref="B16:D19" totalsRowShown="0" tableBorderDxfId="8">
  <autoFilter ref="B16:D19" xr:uid="{00000000-0009-0000-0100-000007000000}"/>
  <tableColumns count="3">
    <tableColumn id="1" xr3:uid="{0D1DDFA4-8149-4FDF-A516-91671694FFBD}" name="Documentation Description" dataDxfId="7"/>
    <tableColumn id="2" xr3:uid="{415724D7-2C4A-45A6-90CD-68B5DD50EAB5}" name="Completed?" dataDxfId="6"/>
    <tableColumn id="3" xr3:uid="{1D55ED11-9EF6-4296-B0DB-4C77F94704DA}" name="Required?" dataDxfId="5">
      <calculatedColumnFormula>IF(ISBLANK(C17),"Required","")</calculatedColumnFormula>
    </tableColumn>
  </tableColumns>
  <tableStyleInfo showFirstColumn="0" showLastColumn="0" showRowStripes="1" showColumnStripes="0"/>
  <extLst>
    <ext xmlns:x14="http://schemas.microsoft.com/office/spreadsheetml/2009/9/main" uri="{504A1905-F514-4f6f-8877-14C23A59335A}">
      <x14:table altTextSummary="Required general documentat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7414925-43F9-4BFE-9C89-274283F0B1BC}" name="Table8" displayName="Table8" ref="B24:E26" totalsRowShown="0" tableBorderDxfId="4">
  <autoFilter ref="B24:E26" xr:uid="{00000000-0009-0000-0100-000008000000}"/>
  <tableColumns count="4">
    <tableColumn id="1" xr3:uid="{6994C2EA-787E-423A-ACBA-940C06EB92A3}" name="Quantifiable Project Component" dataDxfId="3"/>
    <tableColumn id="2" xr3:uid="{D10D075B-0F92-4AA6-A87A-212E6CB08E3D}" name="Additional Documentation" dataDxfId="2"/>
    <tableColumn id="3" xr3:uid="{2ACC5094-6BC8-4708-81AD-D4E8BF3C4677}" name="Completed?" dataDxfId="1"/>
    <tableColumn id="4" xr3:uid="{E9278566-CA39-40CE-A4BB-E3D2752ACF76}" name="Required?" dataDxfId="0">
      <calculatedColumnFormula>IF(ISBLANK(D25),"Required","")</calculatedColumnFormula>
    </tableColumn>
  </tableColumns>
  <tableStyleInfo showFirstColumn="0" showLastColumn="0" showRowStripes="1" showColumnStripes="0"/>
  <extLst>
    <ext xmlns:x14="http://schemas.microsoft.com/office/spreadsheetml/2009/9/main" uri="{504A1905-F514-4f6f-8877-14C23A59335A}">
      <x14:table altTextSummary="Required project-specific document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www.arb.ca.gov/cci-resources" TargetMode="External"/><Relationship Id="rId7" Type="http://schemas.openxmlformats.org/officeDocument/2006/relationships/drawing" Target="../drawings/drawing1.xml"/><Relationship Id="rId2" Type="http://schemas.openxmlformats.org/officeDocument/2006/relationships/hyperlink" Target="mailto:GGRFProgram@arb.ca.gov" TargetMode="External"/><Relationship Id="rId1" Type="http://schemas.openxmlformats.org/officeDocument/2006/relationships/hyperlink" Target="http://www.arb.ca.gov/cci-cobenefits" TargetMode="External"/><Relationship Id="rId6" Type="http://schemas.openxmlformats.org/officeDocument/2006/relationships/printerSettings" Target="../printerSettings/printerSettings1.bin"/><Relationship Id="rId5" Type="http://schemas.openxmlformats.org/officeDocument/2006/relationships/hyperlink" Target="https://ww2.arb.ca.gov/sites/default/files/classic/cc/capandtrade/auctionproceeds/calrecycle_cpl_finaluserguide_5-7-21.pdf" TargetMode="External"/><Relationship Id="rId4" Type="http://schemas.openxmlformats.org/officeDocument/2006/relationships/hyperlink" Target="http://www.caclimateinvestments.ca.gov/"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climateactionreserve.org/wp-content/uploads/2009/10/Organic_Waste_Digestion_Project_Protocol_Version2.1.pdf" TargetMode="External"/><Relationship Id="rId13" Type="http://schemas.openxmlformats.org/officeDocument/2006/relationships/hyperlink" Target="http://www.arb.ca.gov/cc/inventory/slcp/doc/hfc_inventory_tsd_20160411.pdf" TargetMode="External"/><Relationship Id="rId18" Type="http://schemas.openxmlformats.org/officeDocument/2006/relationships/hyperlink" Target="http://www.fhwa.dot.gov/policyinformation/statistics/2014/vm1.cfm" TargetMode="External"/><Relationship Id="rId3" Type="http://schemas.openxmlformats.org/officeDocument/2006/relationships/hyperlink" Target="http://www.arb.ca.gov/emfac/2014/" TargetMode="External"/><Relationship Id="rId21" Type="http://schemas.openxmlformats.org/officeDocument/2006/relationships/drawing" Target="../drawings/drawing10.xml"/><Relationship Id="rId7" Type="http://schemas.openxmlformats.org/officeDocument/2006/relationships/hyperlink" Target="http://www.arb.ca.gov/cc/waste/cerffinal.pdf" TargetMode="External"/><Relationship Id="rId12" Type="http://schemas.openxmlformats.org/officeDocument/2006/relationships/hyperlink" Target="http://www.arb.ca.gov/cc/rmp/rmprefrigerants.htm" TargetMode="External"/><Relationship Id="rId17" Type="http://schemas.openxmlformats.org/officeDocument/2006/relationships/hyperlink" Target="http://www.arb.ca.gov/fuels/lcfs/121514wastewater.pdf" TargetMode="External"/><Relationship Id="rId2" Type="http://schemas.openxmlformats.org/officeDocument/2006/relationships/hyperlink" Target="http://www.cleanmetrics.com/pages/ClimateChangeImpactofUSFoodWaste.pdf" TargetMode="External"/><Relationship Id="rId16" Type="http://schemas.openxmlformats.org/officeDocument/2006/relationships/hyperlink" Target="http://www.arb.ca.gov/fuels/lcfs/121514hsad.pdf" TargetMode="External"/><Relationship Id="rId20" Type="http://schemas.openxmlformats.org/officeDocument/2006/relationships/printerSettings" Target="../printerSettings/printerSettings10.bin"/><Relationship Id="rId1" Type="http://schemas.openxmlformats.org/officeDocument/2006/relationships/hyperlink" Target="http://www.arb.ca.gov/cc/protocols/localgov/pubs/recycling_method.pdf" TargetMode="External"/><Relationship Id="rId6" Type="http://schemas.openxmlformats.org/officeDocument/2006/relationships/hyperlink" Target="http://www.arb.ca.gov/cc/waste/carpetrerf.pdf" TargetMode="External"/><Relationship Id="rId11" Type="http://schemas.openxmlformats.org/officeDocument/2006/relationships/hyperlink" Target="http://www.ecfr.gov/cgi-bin/text-idx?SID=ea9937006535237ca30dfd3e03ebaff2&amp;mc=true&amp;node=se10.3.431_166&amp;rgn=div8" TargetMode="External"/><Relationship Id="rId5" Type="http://schemas.openxmlformats.org/officeDocument/2006/relationships/hyperlink" Target="http://www.arb.ca.gov/fuels/lcfs/lcfs_meetings/040115_pathway_ci_comparison.pdf" TargetMode="External"/><Relationship Id="rId15" Type="http://schemas.openxmlformats.org/officeDocument/2006/relationships/hyperlink" Target="https://www.epa.gov/sites/production/files/2015-09/documents/2013_advncng_smm_rpt.pdf" TargetMode="External"/><Relationship Id="rId10" Type="http://schemas.openxmlformats.org/officeDocument/2006/relationships/hyperlink" Target="http://www.valleyair.org/Grant_Programs/TAP/documents/C-15636-ACP/C-15636_ACP_FinalReport.pdf" TargetMode="External"/><Relationship Id="rId19" Type="http://schemas.openxmlformats.org/officeDocument/2006/relationships/hyperlink" Target="https://www.cdfa.ca.gov/is/ffldrs/pdfs/2019_Tonnage.pdf" TargetMode="External"/><Relationship Id="rId4" Type="http://schemas.openxmlformats.org/officeDocument/2006/relationships/hyperlink" Target="http://www.arb.ca.gov/regact/2015/lcfs2015/lcfs15isor.pdf" TargetMode="External"/><Relationship Id="rId9" Type="http://schemas.openxmlformats.org/officeDocument/2006/relationships/hyperlink" Target="http://www.calrecycle.ca.gov/publications/Documents/1430/20121430.pdf" TargetMode="External"/><Relationship Id="rId14" Type="http://schemas.openxmlformats.org/officeDocument/2006/relationships/hyperlink" Target="https://www.epa.gov/sites/production/files/2015-12/documents/emission-factors_nov_2015.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arb.ca.gov/cc/waste/cerffinal.pdf" TargetMode="External"/><Relationship Id="rId7" Type="http://schemas.openxmlformats.org/officeDocument/2006/relationships/drawing" Target="../drawings/drawing11.xml"/><Relationship Id="rId2" Type="http://schemas.openxmlformats.org/officeDocument/2006/relationships/hyperlink" Target="https://www.arb.ca.gov/emfac/2014/" TargetMode="External"/><Relationship Id="rId1" Type="http://schemas.openxmlformats.org/officeDocument/2006/relationships/hyperlink" Target="http://www.arb.ca.gov/cci-resources." TargetMode="External"/><Relationship Id="rId6" Type="http://schemas.openxmlformats.org/officeDocument/2006/relationships/printerSettings" Target="../printerSettings/printerSettings11.bin"/><Relationship Id="rId5" Type="http://schemas.openxmlformats.org/officeDocument/2006/relationships/hyperlink" Target="https://www.arb.ca.gov/regact/2015/lcfs2015/lcfsfinalregorder.pdf" TargetMode="External"/><Relationship Id="rId4" Type="http://schemas.openxmlformats.org/officeDocument/2006/relationships/hyperlink" Target="https://www.fhwa.dot.gov/policyinformation/statistics/2014/vm1.cf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3.epa.gov/ttnchie1/ap42/ch02/final/c02s04.pdf" TargetMode="External"/><Relationship Id="rId13" Type="http://schemas.openxmlformats.org/officeDocument/2006/relationships/hyperlink" Target="https://www.arb.ca.gov/fuels/lcfs/ca-greet/ca-greet.htm" TargetMode="External"/><Relationship Id="rId3" Type="http://schemas.openxmlformats.org/officeDocument/2006/relationships/hyperlink" Target="https://www.arb.ca.gov/ei/areasrc/Composting%20Emissions%20Inventory%20Methodology%20Final%20Combined.pdf" TargetMode="External"/><Relationship Id="rId7" Type="http://schemas.openxmlformats.org/officeDocument/2006/relationships/hyperlink" Target="https://www.arb.ca.gov/cc/waste/cerffinal.htm" TargetMode="External"/><Relationship Id="rId12" Type="http://schemas.openxmlformats.org/officeDocument/2006/relationships/hyperlink" Target="http://www.cleanmetrics.com/pages/ClimateChangeImpactofUSFoodWaste.pdf" TargetMode="External"/><Relationship Id="rId17" Type="http://schemas.openxmlformats.org/officeDocument/2006/relationships/drawing" Target="../drawings/drawing12.xml"/><Relationship Id="rId2" Type="http://schemas.openxmlformats.org/officeDocument/2006/relationships/hyperlink" Target="https://www.arb.ca.gov/ei/areasrc/Composting%20Emissions%20Inventory%20Methodology%20Final%20Combined.pdf" TargetMode="External"/><Relationship Id="rId16" Type="http://schemas.openxmlformats.org/officeDocument/2006/relationships/printerSettings" Target="../printerSettings/printerSettings12.bin"/><Relationship Id="rId1" Type="http://schemas.openxmlformats.org/officeDocument/2006/relationships/hyperlink" Target="http://www.arb.ca.gov/cc/capandtrade/auctionproceeds/quantification.htm" TargetMode="External"/><Relationship Id="rId6" Type="http://schemas.openxmlformats.org/officeDocument/2006/relationships/hyperlink" Target="https://www.arb.ca.gov/app/emsinv/2017/emssumcat_query.php?F_YR=2012&amp;F_DIV=-4&amp;F_SEASON=A&amp;SP=SIP105ADJ&amp;F_AREA=CA" TargetMode="External"/><Relationship Id="rId11" Type="http://schemas.openxmlformats.org/officeDocument/2006/relationships/hyperlink" Target="http://www.arb.ca.gov/orion" TargetMode="External"/><Relationship Id="rId5" Type="http://schemas.openxmlformats.org/officeDocument/2006/relationships/hyperlink" Target="https://www.arb.ca.gov/cc/capandtrade/auctionproceeds/final_energyfuelcost_am.pdf" TargetMode="External"/><Relationship Id="rId15" Type="http://schemas.openxmlformats.org/officeDocument/2006/relationships/hyperlink" Target="https://www.arb.ca.gov/cc/capandtrade/auctionproceeds/final_energyfuelcost_am.pdf" TargetMode="External"/><Relationship Id="rId10" Type="http://schemas.openxmlformats.org/officeDocument/2006/relationships/hyperlink" Target="https://www.arb.ca.gov/fuels/lcfs/ca-greet/ca-greet.htm" TargetMode="External"/><Relationship Id="rId4" Type="http://schemas.openxmlformats.org/officeDocument/2006/relationships/hyperlink" Target="https://www.arb.ca.gov/cc/capandtrade/auctionproceeds/final_soil_am.pdf" TargetMode="External"/><Relationship Id="rId9" Type="http://schemas.openxmlformats.org/officeDocument/2006/relationships/hyperlink" Target="https://www3.epa.gov/ttnchie1/ap42/ch01/final/c01s04.pdf" TargetMode="External"/><Relationship Id="rId14" Type="http://schemas.openxmlformats.org/officeDocument/2006/relationships/hyperlink" Target="https://www.arb.ca.gov/fuels/multimedia/meetings/DMETierIReport_Feb2015.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arb.ca.gov/cc/waste/cerffinal.pdf" TargetMode="External"/><Relationship Id="rId2" Type="http://schemas.openxmlformats.org/officeDocument/2006/relationships/hyperlink" Target="http://www.climateactionreserve.org/wp-content/uploads/2009/10/Organic_Waste_Digestion_Project_Protocol_Version2.1.pdf" TargetMode="External"/><Relationship Id="rId1" Type="http://schemas.openxmlformats.org/officeDocument/2006/relationships/hyperlink" Target="http://www.valleyair.org/Grant_Programs/TAP/documents/C-15636-ACP/C-15636_ACP_FinalReport.pdf" TargetMode="External"/><Relationship Id="rId5" Type="http://schemas.openxmlformats.org/officeDocument/2006/relationships/printerSettings" Target="../printerSettings/printerSettings13.bin"/><Relationship Id="rId4" Type="http://schemas.openxmlformats.org/officeDocument/2006/relationships/hyperlink" Target="http://www.arb.ca.gov/cc/waste/cerffinal.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2.arb.ca.gov/sites/default/files/classic/cc/capandtrade/auctionproceeds/calrecycle_cpl_finaluserguide_5-7-21.pdf" TargetMode="External"/><Relationship Id="rId1" Type="http://schemas.openxmlformats.org/officeDocument/2006/relationships/hyperlink" Target="https://planting.itreetools.org/"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2.arb.ca.gov/sites/default/files/classic/cc/capandtrade/auctionproceeds/calrecycle_cpl_finaluserguide_5-7-2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final_water_am.pdf" TargetMode="External"/><Relationship Id="rId7" Type="http://schemas.openxmlformats.org/officeDocument/2006/relationships/drawing" Target="../drawings/drawing4.xml"/><Relationship Id="rId2" Type="http://schemas.openxmlformats.org/officeDocument/2006/relationships/hyperlink" Target="https://ucanr.edu/sites/WUCOLS/" TargetMode="External"/><Relationship Id="rId1" Type="http://schemas.openxmlformats.org/officeDocument/2006/relationships/hyperlink" Target="https://ww2.arb.ca.gov/sites/default/files/classic/cc/capandtrade/auctionproceeds/calrecycle_cpl_finaluserguide_5-7-21.pdf" TargetMode="External"/><Relationship Id="rId6" Type="http://schemas.openxmlformats.org/officeDocument/2006/relationships/printerSettings" Target="../printerSettings/printerSettings4.bin"/><Relationship Id="rId5" Type="http://schemas.openxmlformats.org/officeDocument/2006/relationships/hyperlink" Target="https://sunnyvale.ca.gov/civicax/filebank/blobdload.aspx?BlobID=25273" TargetMode="External"/><Relationship Id="rId4" Type="http://schemas.openxmlformats.org/officeDocument/2006/relationships/hyperlink" Target="https://planting.itreetools.org/"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alrecycle_cpl_finaluserguide_5-7-21.pdf" TargetMode="External"/><Relationship Id="rId7" Type="http://schemas.openxmlformats.org/officeDocument/2006/relationships/drawing" Target="../drawings/drawing5.xml"/><Relationship Id="rId2" Type="http://schemas.openxmlformats.org/officeDocument/2006/relationships/hyperlink" Target="https://www.google.com/maps" TargetMode="External"/><Relationship Id="rId1" Type="http://schemas.openxmlformats.org/officeDocument/2006/relationships/hyperlink" Target="https://www.mapdevelopers.com/area_finder.php" TargetMode="External"/><Relationship Id="rId6" Type="http://schemas.openxmlformats.org/officeDocument/2006/relationships/printerSettings" Target="../printerSettings/printerSettings5.bin"/><Relationship Id="rId5" Type="http://schemas.openxmlformats.org/officeDocument/2006/relationships/hyperlink" Target="https://www.mapdevelopers.com/area_finder.php" TargetMode="External"/><Relationship Id="rId4" Type="http://schemas.openxmlformats.org/officeDocument/2006/relationships/hyperlink" Target="https://www.google.com/maps"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table" Target="../tables/table3.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table" Target="../tables/table5.xml"/><Relationship Id="rId4" Type="http://schemas.openxmlformats.org/officeDocument/2006/relationships/table" Target="../tables/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C80"/>
  </sheetPr>
  <dimension ref="B1:H23"/>
  <sheetViews>
    <sheetView showGridLines="0" tabSelected="1" zoomScaleNormal="100" workbookViewId="0">
      <selection activeCell="H39" sqref="H39"/>
    </sheetView>
  </sheetViews>
  <sheetFormatPr defaultColWidth="9.15234375" defaultRowHeight="14.15"/>
  <cols>
    <col min="1" max="1" width="2.84375" style="92" customWidth="1"/>
    <col min="2" max="2" width="149.4609375" style="92" customWidth="1"/>
    <col min="3" max="3" width="2.84375" style="92" customWidth="1"/>
    <col min="4" max="16384" width="9.15234375" style="92"/>
  </cols>
  <sheetData>
    <row r="1" spans="2:2" ht="18">
      <c r="B1" s="91" t="s">
        <v>0</v>
      </c>
    </row>
    <row r="2" spans="2:2" ht="18">
      <c r="B2" s="91"/>
    </row>
    <row r="3" spans="2:2" ht="18">
      <c r="B3" s="91" t="s">
        <v>1</v>
      </c>
    </row>
    <row r="4" spans="2:2" ht="18">
      <c r="B4" s="113" t="s">
        <v>684</v>
      </c>
    </row>
    <row r="5" spans="2:2" ht="18">
      <c r="B5" s="91"/>
    </row>
    <row r="6" spans="2:2" ht="18">
      <c r="B6" s="91" t="s">
        <v>3</v>
      </c>
    </row>
    <row r="7" spans="2:2" ht="15.45">
      <c r="B7" s="93"/>
    </row>
    <row r="8" spans="2:2" ht="15.9" thickBot="1">
      <c r="B8" s="94" t="s">
        <v>6</v>
      </c>
    </row>
    <row r="9" spans="2:2" ht="67.5" customHeight="1">
      <c r="B9" s="112" t="s">
        <v>788</v>
      </c>
    </row>
    <row r="10" spans="2:2" ht="15.45">
      <c r="B10" s="95" t="s">
        <v>5</v>
      </c>
    </row>
    <row r="11" spans="2:2" ht="15.45">
      <c r="B11" s="96"/>
    </row>
    <row r="12" spans="2:2" ht="46.3">
      <c r="B12" s="97" t="s">
        <v>785</v>
      </c>
    </row>
    <row r="13" spans="2:2" ht="15.45">
      <c r="B13" s="95" t="s">
        <v>7</v>
      </c>
    </row>
    <row r="14" spans="2:2" ht="15.45">
      <c r="B14" s="95"/>
    </row>
    <row r="15" spans="2:2" ht="15.45">
      <c r="B15" s="758" t="s">
        <v>787</v>
      </c>
    </row>
    <row r="16" spans="2:2" ht="15.9" thickBot="1">
      <c r="B16" s="95" t="s">
        <v>786</v>
      </c>
    </row>
    <row r="17" spans="2:8" ht="15.45">
      <c r="B17" s="96"/>
      <c r="D17" s="100" t="s">
        <v>10</v>
      </c>
      <c r="E17" s="101"/>
      <c r="F17" s="101"/>
      <c r="G17" s="101"/>
      <c r="H17" s="102"/>
    </row>
    <row r="18" spans="2:8" ht="15.45">
      <c r="B18" s="98" t="s">
        <v>8</v>
      </c>
      <c r="D18" s="635" t="s">
        <v>11</v>
      </c>
      <c r="E18" s="103" t="s">
        <v>12</v>
      </c>
      <c r="F18" s="103"/>
      <c r="G18" s="103"/>
      <c r="H18" s="104"/>
    </row>
    <row r="19" spans="2:8" ht="15.45">
      <c r="B19" s="96" t="s">
        <v>9</v>
      </c>
      <c r="D19" s="105" t="s">
        <v>13</v>
      </c>
      <c r="E19" s="103" t="s">
        <v>14</v>
      </c>
      <c r="F19" s="103"/>
      <c r="G19" s="103"/>
      <c r="H19" s="104"/>
    </row>
    <row r="20" spans="2:8" ht="15.45">
      <c r="B20" s="99" t="s">
        <v>4</v>
      </c>
      <c r="D20" s="106" t="s">
        <v>16</v>
      </c>
      <c r="E20" s="103" t="s">
        <v>17</v>
      </c>
      <c r="F20" s="103"/>
      <c r="G20" s="103"/>
      <c r="H20" s="104"/>
    </row>
    <row r="21" spans="2:8" ht="15.9" thickBot="1">
      <c r="B21" s="96" t="s">
        <v>15</v>
      </c>
      <c r="D21" s="108" t="s">
        <v>19</v>
      </c>
      <c r="E21" s="109" t="s">
        <v>20</v>
      </c>
      <c r="F21" s="109"/>
      <c r="G21" s="109"/>
      <c r="H21" s="110"/>
    </row>
    <row r="22" spans="2:8" ht="15.9" thickBot="1">
      <c r="B22" s="107" t="s">
        <v>18</v>
      </c>
      <c r="D22" s="111" t="s">
        <v>21</v>
      </c>
    </row>
    <row r="23" spans="2:8" ht="15.45">
      <c r="B23" s="93"/>
    </row>
  </sheetData>
  <sheetProtection algorithmName="SHA-512" hashValue="25oLTjgNLFTVJCI3oNhdu9vW+cndgMesGt2ZLxoHXp1mC+08DD/fuFEbNp0Ee/BEpD9+kQGALFdflsw/SBZD8A==" saltValue="RWcE3R+LJQNpujED4ypdkQ==" spinCount="100000" sheet="1" objects="1" scenarios="1"/>
  <hyperlinks>
    <hyperlink ref="B13" r:id="rId1" tooltip="California Climate Investments co-benefits webpage" xr:uid="{00000000-0004-0000-0000-000000000000}"/>
    <hyperlink ref="B20" r:id="rId2" tooltip="California Climate Investments program email" xr:uid="{00000000-0004-0000-0000-000001000000}"/>
    <hyperlink ref="B10" r:id="rId3" tooltip="California Climate Investments resources webpage" xr:uid="{00000000-0004-0000-0000-000004000000}"/>
    <hyperlink ref="B22" r:id="rId4" tooltip="California Climate Investments program webpage" xr:uid="{00000000-0004-0000-0000-000005000000}"/>
    <hyperlink ref="B16" r:id="rId5" xr:uid="{B1027F50-2B26-4715-9B77-6717C2F7732C}"/>
  </hyperlinks>
  <pageMargins left="0.7" right="0.7" top="0.75" bottom="0.75" header="0.3" footer="0.3"/>
  <pageSetup orientation="portrait" r:id="rId6"/>
  <drawing r:id="rId7"/>
  <pictur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B166-35AA-4714-A4B4-4E616CB8EEED}">
  <dimension ref="A1:R98"/>
  <sheetViews>
    <sheetView workbookViewId="0">
      <selection activeCell="X38" sqref="X38"/>
    </sheetView>
  </sheetViews>
  <sheetFormatPr defaultColWidth="8.69140625" defaultRowHeight="15.45"/>
  <cols>
    <col min="1" max="2" width="9.15234375" style="372" customWidth="1"/>
    <col min="3" max="6" width="8.69140625" style="372"/>
    <col min="7" max="7" width="10.3828125" style="372" customWidth="1"/>
    <col min="8" max="16384" width="8.69140625" style="372"/>
  </cols>
  <sheetData>
    <row r="1" spans="1:14" ht="18">
      <c r="I1" s="379" t="s">
        <v>0</v>
      </c>
    </row>
    <row r="2" spans="1:14" ht="18">
      <c r="I2" s="379"/>
    </row>
    <row r="3" spans="1:14" ht="18">
      <c r="I3" s="379" t="s">
        <v>1</v>
      </c>
    </row>
    <row r="4" spans="1:14" ht="18">
      <c r="I4" s="379" t="s">
        <v>684</v>
      </c>
    </row>
    <row r="5" spans="1:14" ht="18">
      <c r="I5" s="379"/>
    </row>
    <row r="6" spans="1:14" ht="18">
      <c r="I6" s="379" t="s">
        <v>3</v>
      </c>
    </row>
    <row r="7" spans="1:14">
      <c r="I7" s="380"/>
    </row>
    <row r="10" spans="1:14">
      <c r="A10" s="373" t="s">
        <v>593</v>
      </c>
    </row>
    <row r="12" spans="1:14">
      <c r="A12" s="373" t="s">
        <v>594</v>
      </c>
    </row>
    <row r="14" spans="1:14">
      <c r="A14" s="372" t="s">
        <v>595</v>
      </c>
    </row>
    <row r="15" spans="1:14">
      <c r="A15" s="847" t="s">
        <v>596</v>
      </c>
      <c r="B15" s="847"/>
      <c r="C15" s="847"/>
      <c r="D15" s="847"/>
      <c r="E15" s="847"/>
      <c r="F15" s="847"/>
      <c r="G15" s="847"/>
      <c r="H15" s="847"/>
      <c r="I15" s="847"/>
      <c r="J15" s="847"/>
      <c r="K15" s="847"/>
      <c r="L15" s="847"/>
      <c r="M15" s="847"/>
      <c r="N15" s="847"/>
    </row>
    <row r="17" spans="1:15">
      <c r="A17" s="846" t="s">
        <v>597</v>
      </c>
      <c r="B17" s="846"/>
      <c r="C17" s="846"/>
      <c r="D17" s="846"/>
      <c r="E17" s="846"/>
      <c r="F17" s="846"/>
      <c r="G17" s="846"/>
      <c r="H17" s="846"/>
      <c r="I17" s="846"/>
      <c r="J17" s="846"/>
      <c r="K17" s="846"/>
      <c r="L17" s="846"/>
      <c r="M17" s="846"/>
      <c r="N17" s="846"/>
      <c r="O17" s="846"/>
    </row>
    <row r="18" spans="1:15">
      <c r="A18" s="847" t="s">
        <v>598</v>
      </c>
      <c r="B18" s="847"/>
      <c r="C18" s="847"/>
      <c r="D18" s="847"/>
      <c r="E18" s="847"/>
      <c r="F18" s="847"/>
      <c r="G18" s="847"/>
      <c r="H18" s="847"/>
      <c r="I18" s="847"/>
      <c r="J18" s="847"/>
      <c r="K18" s="847"/>
      <c r="L18" s="847"/>
      <c r="M18" s="847"/>
      <c r="N18" s="847"/>
      <c r="O18" s="847"/>
    </row>
    <row r="20" spans="1:15" ht="33" customHeight="1">
      <c r="A20" s="846" t="s">
        <v>599</v>
      </c>
      <c r="B20" s="846"/>
      <c r="C20" s="846"/>
      <c r="D20" s="846"/>
      <c r="E20" s="846"/>
      <c r="F20" s="846"/>
      <c r="G20" s="846"/>
      <c r="H20" s="846"/>
      <c r="I20" s="846"/>
      <c r="J20" s="846"/>
      <c r="K20" s="846"/>
      <c r="L20" s="846"/>
      <c r="M20" s="846"/>
      <c r="N20" s="846"/>
      <c r="O20" s="846"/>
    </row>
    <row r="21" spans="1:15">
      <c r="A21" s="847" t="s">
        <v>600</v>
      </c>
      <c r="B21" s="847"/>
      <c r="C21" s="847"/>
      <c r="D21" s="847"/>
      <c r="E21" s="847"/>
      <c r="F21" s="847"/>
      <c r="G21" s="847"/>
      <c r="H21" s="847"/>
      <c r="I21" s="847"/>
    </row>
    <row r="22" spans="1:15">
      <c r="A22" s="374"/>
    </row>
    <row r="23" spans="1:15" ht="15" customHeight="1">
      <c r="A23" s="846" t="s">
        <v>601</v>
      </c>
      <c r="B23" s="846"/>
      <c r="C23" s="846"/>
      <c r="D23" s="846"/>
      <c r="E23" s="846"/>
      <c r="F23" s="846"/>
      <c r="G23" s="846"/>
      <c r="H23" s="846"/>
      <c r="I23" s="846"/>
      <c r="J23" s="846"/>
      <c r="K23" s="846"/>
      <c r="L23" s="846"/>
      <c r="M23" s="846"/>
      <c r="N23" s="846"/>
      <c r="O23" s="846"/>
    </row>
    <row r="24" spans="1:15">
      <c r="A24" s="847" t="s">
        <v>499</v>
      </c>
      <c r="B24" s="846"/>
      <c r="C24" s="846"/>
      <c r="D24" s="846"/>
      <c r="E24" s="846"/>
      <c r="F24" s="846"/>
      <c r="G24" s="846"/>
      <c r="H24" s="846"/>
      <c r="I24" s="846"/>
      <c r="J24" s="846"/>
      <c r="K24" s="846"/>
      <c r="L24" s="846"/>
      <c r="M24" s="846"/>
      <c r="N24" s="846"/>
      <c r="O24" s="846"/>
    </row>
    <row r="26" spans="1:15" ht="15" customHeight="1">
      <c r="A26" s="846" t="s">
        <v>602</v>
      </c>
      <c r="B26" s="846"/>
      <c r="C26" s="846"/>
      <c r="D26" s="846"/>
      <c r="E26" s="846"/>
      <c r="F26" s="846"/>
      <c r="G26" s="846"/>
      <c r="H26" s="846"/>
      <c r="I26" s="846"/>
      <c r="J26" s="846"/>
      <c r="K26" s="846"/>
      <c r="L26" s="846"/>
      <c r="M26" s="846"/>
      <c r="N26" s="846"/>
      <c r="O26" s="846"/>
    </row>
    <row r="27" spans="1:15">
      <c r="A27" s="847" t="s">
        <v>603</v>
      </c>
      <c r="B27" s="846"/>
      <c r="C27" s="846"/>
      <c r="D27" s="846"/>
      <c r="E27" s="846"/>
      <c r="F27" s="846"/>
      <c r="G27" s="846"/>
      <c r="H27" s="846"/>
      <c r="I27" s="846"/>
      <c r="J27" s="846"/>
      <c r="K27" s="846"/>
      <c r="L27" s="846"/>
      <c r="M27" s="846"/>
      <c r="N27" s="846"/>
      <c r="O27" s="846"/>
    </row>
    <row r="29" spans="1:15" ht="30" customHeight="1">
      <c r="A29" s="846" t="s">
        <v>604</v>
      </c>
      <c r="B29" s="846"/>
      <c r="C29" s="846"/>
      <c r="D29" s="846"/>
      <c r="E29" s="846"/>
      <c r="F29" s="846"/>
      <c r="G29" s="846"/>
      <c r="H29" s="846"/>
      <c r="I29" s="846"/>
      <c r="J29" s="846"/>
      <c r="K29" s="846"/>
      <c r="L29" s="846"/>
      <c r="M29" s="846"/>
      <c r="N29" s="846"/>
      <c r="O29" s="846"/>
    </row>
    <row r="30" spans="1:15">
      <c r="A30" s="847" t="s">
        <v>605</v>
      </c>
      <c r="B30" s="847"/>
      <c r="C30" s="847"/>
      <c r="D30" s="847"/>
      <c r="E30" s="847"/>
      <c r="F30" s="847"/>
      <c r="G30" s="847"/>
      <c r="H30" s="847"/>
      <c r="I30" s="847"/>
      <c r="J30" s="847"/>
      <c r="K30" s="847"/>
      <c r="L30" s="847"/>
      <c r="M30" s="847"/>
      <c r="N30" s="847"/>
      <c r="O30" s="847"/>
    </row>
    <row r="32" spans="1:15" ht="30" customHeight="1">
      <c r="A32" s="846" t="s">
        <v>606</v>
      </c>
      <c r="B32" s="846"/>
      <c r="C32" s="846"/>
      <c r="D32" s="846"/>
      <c r="E32" s="846"/>
      <c r="F32" s="846"/>
      <c r="G32" s="846"/>
      <c r="H32" s="846"/>
      <c r="I32" s="846"/>
      <c r="J32" s="846"/>
      <c r="K32" s="846"/>
      <c r="L32" s="846"/>
      <c r="M32" s="846"/>
      <c r="N32" s="846"/>
      <c r="O32" s="846"/>
    </row>
    <row r="33" spans="1:15">
      <c r="A33" s="847" t="s">
        <v>607</v>
      </c>
      <c r="B33" s="847"/>
      <c r="C33" s="847"/>
      <c r="D33" s="847"/>
      <c r="E33" s="847"/>
      <c r="F33" s="847"/>
    </row>
    <row r="35" spans="1:15">
      <c r="A35" s="846" t="s">
        <v>608</v>
      </c>
      <c r="B35" s="846"/>
      <c r="C35" s="846"/>
      <c r="D35" s="846"/>
      <c r="E35" s="846"/>
      <c r="F35" s="846"/>
      <c r="G35" s="846"/>
      <c r="H35" s="846"/>
      <c r="I35" s="846"/>
      <c r="J35" s="846"/>
      <c r="K35" s="846"/>
      <c r="L35" s="846"/>
      <c r="M35" s="846"/>
      <c r="N35" s="846"/>
      <c r="O35" s="846"/>
    </row>
    <row r="36" spans="1:15">
      <c r="A36" s="847" t="s">
        <v>609</v>
      </c>
      <c r="B36" s="847"/>
      <c r="C36" s="847"/>
      <c r="D36" s="847"/>
      <c r="E36" s="847"/>
      <c r="F36" s="847"/>
      <c r="G36" s="847"/>
      <c r="H36" s="847"/>
      <c r="I36" s="847"/>
      <c r="J36" s="847"/>
      <c r="K36" s="847"/>
      <c r="L36" s="847"/>
      <c r="M36" s="847"/>
      <c r="N36" s="847"/>
      <c r="O36" s="847"/>
    </row>
    <row r="38" spans="1:15">
      <c r="A38" s="372" t="s">
        <v>610</v>
      </c>
    </row>
    <row r="39" spans="1:15">
      <c r="A39" s="847" t="s">
        <v>611</v>
      </c>
      <c r="B39" s="847"/>
      <c r="C39" s="847"/>
      <c r="D39" s="847"/>
      <c r="E39" s="847"/>
      <c r="F39" s="847"/>
    </row>
    <row r="41" spans="1:15" ht="30" customHeight="1">
      <c r="A41" s="846" t="s">
        <v>612</v>
      </c>
      <c r="B41" s="846"/>
      <c r="C41" s="846"/>
      <c r="D41" s="846"/>
      <c r="E41" s="846"/>
      <c r="F41" s="846"/>
      <c r="G41" s="846"/>
      <c r="H41" s="846"/>
      <c r="I41" s="846"/>
      <c r="J41" s="846"/>
      <c r="K41" s="846"/>
      <c r="L41" s="846"/>
      <c r="M41" s="846"/>
      <c r="N41" s="846"/>
      <c r="O41" s="846"/>
    </row>
    <row r="42" spans="1:15">
      <c r="A42" s="847" t="s">
        <v>613</v>
      </c>
      <c r="B42" s="847"/>
      <c r="C42" s="847"/>
      <c r="D42" s="847"/>
      <c r="E42" s="847"/>
      <c r="F42" s="847"/>
      <c r="G42" s="847"/>
      <c r="H42" s="847"/>
      <c r="I42" s="847"/>
      <c r="J42" s="847"/>
      <c r="K42" s="847"/>
      <c r="L42" s="847"/>
      <c r="M42" s="847"/>
      <c r="N42" s="847"/>
      <c r="O42" s="847"/>
    </row>
    <row r="43" spans="1:15">
      <c r="A43" s="374"/>
      <c r="B43" s="374"/>
      <c r="C43" s="374"/>
      <c r="D43" s="374"/>
      <c r="E43" s="374"/>
      <c r="F43" s="374"/>
      <c r="G43" s="374"/>
      <c r="H43" s="374"/>
      <c r="I43" s="374"/>
      <c r="J43" s="374"/>
      <c r="K43" s="374"/>
      <c r="L43" s="374"/>
      <c r="M43" s="374"/>
      <c r="N43" s="374"/>
      <c r="O43" s="374"/>
    </row>
    <row r="44" spans="1:15">
      <c r="A44" s="372" t="s">
        <v>614</v>
      </c>
    </row>
    <row r="45" spans="1:15">
      <c r="A45" s="847" t="s">
        <v>615</v>
      </c>
      <c r="B45" s="847"/>
      <c r="C45" s="847"/>
      <c r="D45" s="847"/>
      <c r="E45" s="847"/>
      <c r="F45" s="847"/>
      <c r="G45" s="847"/>
      <c r="H45" s="847"/>
    </row>
    <row r="47" spans="1:15">
      <c r="A47" s="372" t="s">
        <v>616</v>
      </c>
    </row>
    <row r="48" spans="1:15">
      <c r="A48" s="847" t="s">
        <v>530</v>
      </c>
      <c r="B48" s="847"/>
      <c r="C48" s="847"/>
      <c r="D48" s="847"/>
      <c r="E48" s="847"/>
      <c r="F48" s="847"/>
      <c r="G48" s="847"/>
      <c r="H48" s="847"/>
      <c r="I48" s="847"/>
      <c r="J48" s="847"/>
      <c r="K48" s="847"/>
      <c r="L48" s="847"/>
      <c r="M48" s="847"/>
      <c r="N48" s="847"/>
    </row>
    <row r="50" spans="1:15">
      <c r="A50" s="846" t="s">
        <v>617</v>
      </c>
      <c r="B50" s="846"/>
      <c r="C50" s="846"/>
      <c r="D50" s="846"/>
      <c r="E50" s="846"/>
      <c r="F50" s="846"/>
      <c r="G50" s="846"/>
      <c r="H50" s="846"/>
      <c r="I50" s="846"/>
      <c r="J50" s="846"/>
      <c r="K50" s="846"/>
      <c r="L50" s="846"/>
      <c r="M50" s="846"/>
      <c r="N50" s="846"/>
      <c r="O50" s="846"/>
    </row>
    <row r="51" spans="1:15">
      <c r="A51" s="847" t="s">
        <v>618</v>
      </c>
      <c r="B51" s="847"/>
      <c r="C51" s="847"/>
      <c r="D51" s="847"/>
      <c r="E51" s="847"/>
      <c r="F51" s="847"/>
      <c r="G51" s="847"/>
      <c r="H51" s="847"/>
      <c r="I51" s="847"/>
      <c r="J51" s="847"/>
      <c r="K51" s="847"/>
      <c r="L51" s="847"/>
      <c r="M51" s="847"/>
      <c r="N51" s="847"/>
      <c r="O51" s="847"/>
    </row>
    <row r="53" spans="1:15">
      <c r="A53" s="846" t="s">
        <v>619</v>
      </c>
      <c r="B53" s="846"/>
      <c r="C53" s="846"/>
      <c r="D53" s="846"/>
      <c r="E53" s="846"/>
      <c r="F53" s="846"/>
      <c r="G53" s="846"/>
      <c r="H53" s="846"/>
      <c r="I53" s="846"/>
      <c r="J53" s="846"/>
      <c r="K53" s="846"/>
      <c r="L53" s="846"/>
      <c r="M53" s="846"/>
      <c r="N53" s="846"/>
      <c r="O53" s="846"/>
    </row>
    <row r="54" spans="1:15">
      <c r="A54" s="847" t="s">
        <v>620</v>
      </c>
      <c r="B54" s="847"/>
      <c r="C54" s="847"/>
      <c r="D54" s="847"/>
      <c r="E54" s="847"/>
      <c r="F54" s="847"/>
      <c r="G54" s="847"/>
      <c r="H54" s="847"/>
      <c r="I54" s="847"/>
      <c r="J54" s="847"/>
      <c r="K54" s="847"/>
      <c r="L54" s="847"/>
      <c r="M54" s="847"/>
      <c r="N54" s="847"/>
      <c r="O54" s="847"/>
    </row>
    <row r="56" spans="1:15" ht="31.5" customHeight="1">
      <c r="A56" s="846" t="s">
        <v>621</v>
      </c>
      <c r="B56" s="846"/>
      <c r="C56" s="846"/>
      <c r="D56" s="846"/>
      <c r="E56" s="846"/>
      <c r="F56" s="846"/>
      <c r="G56" s="846"/>
      <c r="H56" s="846"/>
      <c r="I56" s="846"/>
      <c r="J56" s="846"/>
      <c r="K56" s="846"/>
      <c r="L56" s="846"/>
      <c r="M56" s="846"/>
      <c r="N56" s="846"/>
      <c r="O56" s="846"/>
    </row>
    <row r="57" spans="1:15">
      <c r="A57" s="847" t="s">
        <v>528</v>
      </c>
      <c r="B57" s="847"/>
      <c r="C57" s="847"/>
      <c r="D57" s="847"/>
      <c r="E57" s="847"/>
      <c r="F57" s="847"/>
      <c r="G57" s="847"/>
      <c r="H57" s="847"/>
      <c r="I57" s="847"/>
      <c r="J57" s="847"/>
      <c r="K57" s="847"/>
      <c r="L57" s="847"/>
    </row>
    <row r="59" spans="1:15">
      <c r="A59" s="846" t="s">
        <v>622</v>
      </c>
      <c r="B59" s="846"/>
      <c r="C59" s="846"/>
      <c r="D59" s="846"/>
      <c r="E59" s="846"/>
      <c r="F59" s="846"/>
      <c r="G59" s="846"/>
      <c r="H59" s="846"/>
      <c r="I59" s="846"/>
      <c r="J59" s="846"/>
      <c r="K59" s="846"/>
      <c r="L59" s="846"/>
      <c r="M59" s="846"/>
      <c r="N59" s="846"/>
      <c r="O59" s="846"/>
    </row>
    <row r="60" spans="1:15">
      <c r="A60" s="847" t="s">
        <v>623</v>
      </c>
      <c r="B60" s="847"/>
      <c r="C60" s="847"/>
      <c r="D60" s="847"/>
      <c r="E60" s="847"/>
      <c r="F60" s="847"/>
      <c r="G60" s="847"/>
      <c r="H60" s="847"/>
      <c r="I60" s="847"/>
      <c r="J60" s="847"/>
      <c r="K60" s="847"/>
    </row>
    <row r="62" spans="1:15" ht="15" customHeight="1">
      <c r="A62" s="846" t="s">
        <v>624</v>
      </c>
      <c r="B62" s="846"/>
      <c r="C62" s="846"/>
      <c r="D62" s="846"/>
      <c r="E62" s="846"/>
      <c r="F62" s="846"/>
      <c r="G62" s="846"/>
      <c r="H62" s="846"/>
      <c r="I62" s="846"/>
      <c r="J62" s="846"/>
      <c r="K62" s="846"/>
      <c r="L62" s="846"/>
      <c r="M62" s="846"/>
      <c r="N62" s="846"/>
      <c r="O62" s="846"/>
    </row>
    <row r="63" spans="1:15">
      <c r="A63" s="846"/>
      <c r="B63" s="846"/>
      <c r="C63" s="846"/>
      <c r="D63" s="846"/>
      <c r="E63" s="846"/>
      <c r="F63" s="846"/>
      <c r="G63" s="846"/>
      <c r="H63" s="846"/>
      <c r="I63" s="846"/>
      <c r="J63" s="846"/>
      <c r="K63" s="846"/>
      <c r="L63" s="846"/>
      <c r="M63" s="846"/>
      <c r="N63" s="846"/>
      <c r="O63" s="846"/>
    </row>
    <row r="64" spans="1:15">
      <c r="A64" s="850" t="s">
        <v>625</v>
      </c>
      <c r="B64" s="850"/>
      <c r="C64" s="850"/>
      <c r="D64" s="850"/>
      <c r="E64" s="850"/>
      <c r="F64" s="850"/>
      <c r="G64" s="850"/>
      <c r="H64" s="850"/>
      <c r="I64" s="850"/>
      <c r="J64" s="850"/>
    </row>
    <row r="66" spans="1:15" ht="30" customHeight="1">
      <c r="A66" s="846" t="s">
        <v>626</v>
      </c>
      <c r="B66" s="846"/>
      <c r="C66" s="846"/>
      <c r="D66" s="846"/>
      <c r="E66" s="846"/>
      <c r="F66" s="846"/>
      <c r="G66" s="846"/>
      <c r="H66" s="846"/>
      <c r="I66" s="846"/>
      <c r="J66" s="846"/>
      <c r="K66" s="846"/>
      <c r="L66" s="846"/>
      <c r="M66" s="846"/>
      <c r="N66" s="846"/>
      <c r="O66" s="846"/>
    </row>
    <row r="67" spans="1:15">
      <c r="A67" s="847" t="s">
        <v>627</v>
      </c>
      <c r="B67" s="847"/>
      <c r="C67" s="847"/>
      <c r="D67" s="847"/>
      <c r="E67" s="847"/>
      <c r="F67" s="847"/>
      <c r="G67" s="847"/>
    </row>
    <row r="69" spans="1:15">
      <c r="A69" s="373" t="s">
        <v>31</v>
      </c>
    </row>
    <row r="70" spans="1:15">
      <c r="A70" s="372" t="s">
        <v>630</v>
      </c>
    </row>
    <row r="71" spans="1:15">
      <c r="A71" s="372" t="s">
        <v>629</v>
      </c>
    </row>
    <row r="73" spans="1:15">
      <c r="A73" s="372" t="s">
        <v>36</v>
      </c>
    </row>
    <row r="74" spans="1:15">
      <c r="A74" s="846" t="s">
        <v>635</v>
      </c>
      <c r="B74" s="846"/>
      <c r="C74" s="846"/>
      <c r="D74" s="846"/>
      <c r="E74" s="846"/>
    </row>
    <row r="75" spans="1:15" ht="38.5" customHeight="1">
      <c r="A75" s="372" t="s">
        <v>631</v>
      </c>
    </row>
    <row r="76" spans="1:15" ht="17.149999999999999" customHeight="1">
      <c r="A76" s="375" t="s">
        <v>636</v>
      </c>
      <c r="B76" s="375"/>
      <c r="C76" s="375"/>
      <c r="D76" s="375"/>
      <c r="E76" s="375"/>
    </row>
    <row r="77" spans="1:15" ht="19.5" customHeight="1">
      <c r="A77" s="372" t="s">
        <v>632</v>
      </c>
    </row>
    <row r="79" spans="1:15">
      <c r="A79" s="376" t="s">
        <v>637</v>
      </c>
      <c r="B79" s="376"/>
      <c r="C79" s="376"/>
      <c r="D79" s="376"/>
      <c r="E79" s="376"/>
    </row>
    <row r="80" spans="1:15">
      <c r="A80" s="372" t="s">
        <v>633</v>
      </c>
    </row>
    <row r="82" spans="1:1">
      <c r="A82" s="372" t="s">
        <v>73</v>
      </c>
    </row>
    <row r="83" spans="1:1">
      <c r="A83" s="372" t="s">
        <v>638</v>
      </c>
    </row>
    <row r="84" spans="1:1">
      <c r="A84" s="372" t="s">
        <v>634</v>
      </c>
    </row>
    <row r="86" spans="1:1">
      <c r="A86" s="372" t="s">
        <v>639</v>
      </c>
    </row>
    <row r="87" spans="1:1">
      <c r="A87" s="377" t="s">
        <v>644</v>
      </c>
    </row>
    <row r="88" spans="1:1">
      <c r="A88" s="372" t="s">
        <v>641</v>
      </c>
    </row>
    <row r="90" spans="1:1">
      <c r="A90" s="187" t="s">
        <v>645</v>
      </c>
    </row>
    <row r="91" spans="1:1">
      <c r="A91" s="378" t="s">
        <v>648</v>
      </c>
    </row>
    <row r="93" spans="1:1">
      <c r="A93" s="377" t="s">
        <v>646</v>
      </c>
    </row>
    <row r="94" spans="1:1">
      <c r="A94" s="372" t="s">
        <v>640</v>
      </c>
    </row>
    <row r="96" spans="1:1">
      <c r="A96" s="372" t="s">
        <v>647</v>
      </c>
    </row>
    <row r="97" spans="1:18">
      <c r="A97" s="848" t="s">
        <v>642</v>
      </c>
      <c r="B97" s="849"/>
      <c r="C97" s="849"/>
      <c r="D97" s="849"/>
      <c r="E97" s="849"/>
      <c r="F97" s="849"/>
      <c r="G97" s="849"/>
      <c r="H97" s="849"/>
      <c r="I97" s="849"/>
      <c r="J97" s="849"/>
      <c r="K97" s="849"/>
      <c r="L97" s="849"/>
      <c r="M97" s="849"/>
      <c r="N97" s="849"/>
      <c r="O97" s="849"/>
      <c r="P97" s="849"/>
      <c r="Q97" s="849"/>
      <c r="R97" s="849"/>
    </row>
    <row r="98" spans="1:18">
      <c r="A98" s="372" t="s">
        <v>643</v>
      </c>
    </row>
  </sheetData>
  <sheetProtection algorithmName="SHA-512" hashValue="wnknhhZ/RX8KdJWHmDp4DUlGYKBj4LWAGP50pXWRJDwcSWvDuTCo5+fzcx2YUn6uFOy6Qx4s+WDhbAjG7QsJ1Q==" saltValue="f7x/WF6WqGWGaHvwGV19bg==" spinCount="100000" sheet="1" objects="1" scenarios="1"/>
  <mergeCells count="34">
    <mergeCell ref="A32:O32"/>
    <mergeCell ref="A15:N15"/>
    <mergeCell ref="A17:O17"/>
    <mergeCell ref="A18:O18"/>
    <mergeCell ref="A20:O20"/>
    <mergeCell ref="A21:I21"/>
    <mergeCell ref="A23:O23"/>
    <mergeCell ref="A24:O24"/>
    <mergeCell ref="A26:O26"/>
    <mergeCell ref="A27:O27"/>
    <mergeCell ref="A29:O29"/>
    <mergeCell ref="A30:O30"/>
    <mergeCell ref="A54:O54"/>
    <mergeCell ref="A33:F33"/>
    <mergeCell ref="A35:O35"/>
    <mergeCell ref="A36:O36"/>
    <mergeCell ref="A39:F39"/>
    <mergeCell ref="A41:O41"/>
    <mergeCell ref="A42:O42"/>
    <mergeCell ref="A45:H45"/>
    <mergeCell ref="A48:N48"/>
    <mergeCell ref="A50:O50"/>
    <mergeCell ref="A51:O51"/>
    <mergeCell ref="A53:O53"/>
    <mergeCell ref="A66:O66"/>
    <mergeCell ref="A67:G67"/>
    <mergeCell ref="A74:E74"/>
    <mergeCell ref="A97:R97"/>
    <mergeCell ref="A56:O56"/>
    <mergeCell ref="A57:L57"/>
    <mergeCell ref="A59:O59"/>
    <mergeCell ref="A60:K60"/>
    <mergeCell ref="A62:O63"/>
    <mergeCell ref="A64:J64"/>
  </mergeCells>
  <hyperlinks>
    <hyperlink ref="A36" r:id="rId1" xr:uid="{83552040-EE38-42E5-BFC0-3D2EF804B21B}"/>
    <hyperlink ref="A51" r:id="rId2" xr:uid="{C5E49267-36BD-4E71-9553-E1F240F50DE2}"/>
    <hyperlink ref="A54" r:id="rId3" xr:uid="{FC19A999-A54F-4F93-B61E-6E64DDD0B3E6}"/>
    <hyperlink ref="A42" r:id="rId4" xr:uid="{D24A68CF-2911-4B1D-97A6-16713EE3B7AA}"/>
    <hyperlink ref="A18" r:id="rId5" xr:uid="{A7ADF91A-1CC3-4A6D-8523-CDB38FE63513}"/>
    <hyperlink ref="A27" r:id="rId6" xr:uid="{45497115-9F71-4FD9-96B3-C38BE585B932}"/>
    <hyperlink ref="A24" r:id="rId7" xr:uid="{B49F9B6D-3D0F-4E1D-AFCE-139A06839622}"/>
    <hyperlink ref="A48" r:id="rId8" xr:uid="{DDB8103A-6075-430A-A0FC-1708F8550238}"/>
    <hyperlink ref="A45" r:id="rId9" xr:uid="{1BE7C0E0-2081-4A1F-B739-EFFE849E26B2}"/>
    <hyperlink ref="A57" r:id="rId10" xr:uid="{07070A25-C165-4AF3-8A30-10A257C5DA89}"/>
    <hyperlink ref="A15" r:id="rId11" xr:uid="{DA9343FC-7925-4875-84B6-C4539FBE1F99}"/>
    <hyperlink ref="A39" r:id="rId12" xr:uid="{E14D8A1A-EC0C-409A-B913-0EFFDFD62889}"/>
    <hyperlink ref="A21" r:id="rId13" xr:uid="{02B9743B-B1C1-4AAA-BF4D-E060EF1FC9EB}"/>
    <hyperlink ref="A60" r:id="rId14" xr:uid="{EBFB4184-729D-4AAD-9E5A-64CE0EEF941D}"/>
    <hyperlink ref="A64" r:id="rId15" xr:uid="{0ADBEF6F-A116-4B31-8CEE-19DE2F8D8871}"/>
    <hyperlink ref="A30" r:id="rId16" xr:uid="{4260C97A-03BD-4D83-886C-42087BA49A38}"/>
    <hyperlink ref="A33" r:id="rId17" xr:uid="{77C3E164-CEB7-44E5-A9B8-E6DE6DCE86D7}"/>
    <hyperlink ref="A67" r:id="rId18" xr:uid="{4AF7C1D1-99AC-4382-B96B-578A8F1DBD2D}"/>
    <hyperlink ref="A91" r:id="rId19" xr:uid="{3D2FC2DB-C75D-439E-AF04-792F6680686C}"/>
  </hyperlinks>
  <pageMargins left="0.7" right="0.7" top="0.75" bottom="0.75" header="0.3" footer="0.3"/>
  <pageSetup orientation="portrait" verticalDpi="0" r:id="rId20"/>
  <drawing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71"/>
  <sheetViews>
    <sheetView showGridLines="0" zoomScaleNormal="100" workbookViewId="0">
      <selection activeCell="D14" sqref="D14:D19"/>
    </sheetView>
  </sheetViews>
  <sheetFormatPr defaultRowHeight="14.15"/>
  <cols>
    <col min="1" max="1" width="42.69140625" style="322" customWidth="1"/>
    <col min="2" max="2" width="30.69140625" style="322" customWidth="1"/>
    <col min="3" max="3" width="29.3046875" style="322" customWidth="1"/>
    <col min="4" max="4" width="75.84375" style="322" customWidth="1"/>
    <col min="5" max="16384" width="9.23046875" style="322"/>
  </cols>
  <sheetData>
    <row r="1" spans="1:6" ht="18">
      <c r="A1" s="877" t="s">
        <v>0</v>
      </c>
      <c r="B1" s="877"/>
      <c r="C1" s="877"/>
      <c r="D1" s="877"/>
      <c r="E1" s="877"/>
      <c r="F1" s="877"/>
    </row>
    <row r="2" spans="1:6" ht="18">
      <c r="A2" s="901"/>
      <c r="B2" s="901"/>
      <c r="C2" s="901"/>
      <c r="D2" s="901"/>
      <c r="E2" s="901"/>
      <c r="F2" s="901"/>
    </row>
    <row r="3" spans="1:6" ht="18">
      <c r="A3" s="877" t="s">
        <v>138</v>
      </c>
      <c r="B3" s="877"/>
      <c r="C3" s="877"/>
      <c r="D3" s="877"/>
      <c r="E3" s="877"/>
      <c r="F3" s="877"/>
    </row>
    <row r="4" spans="1:6" ht="18">
      <c r="A4" s="902" t="s">
        <v>2</v>
      </c>
      <c r="B4" s="902"/>
      <c r="C4" s="902"/>
      <c r="D4" s="902"/>
      <c r="E4" s="902"/>
      <c r="F4" s="902"/>
    </row>
    <row r="5" spans="1:6" ht="18">
      <c r="A5" s="901"/>
      <c r="B5" s="901"/>
      <c r="C5" s="901"/>
      <c r="D5" s="901"/>
      <c r="E5" s="901"/>
      <c r="F5" s="901"/>
    </row>
    <row r="6" spans="1:6" ht="18">
      <c r="A6" s="877" t="s">
        <v>22</v>
      </c>
      <c r="B6" s="877"/>
      <c r="C6" s="877"/>
      <c r="D6" s="877"/>
      <c r="E6" s="877"/>
      <c r="F6" s="877"/>
    </row>
    <row r="7" spans="1:6" ht="18">
      <c r="C7" s="349"/>
    </row>
    <row r="9" spans="1:6" ht="18">
      <c r="A9" s="268" t="s">
        <v>287</v>
      </c>
    </row>
    <row r="10" spans="1:6">
      <c r="A10" s="878" t="s">
        <v>288</v>
      </c>
      <c r="B10" s="878"/>
      <c r="C10" s="878"/>
      <c r="D10" s="878"/>
    </row>
    <row r="11" spans="1:6" ht="14.6" thickBot="1">
      <c r="A11" s="457" t="s">
        <v>289</v>
      </c>
      <c r="B11" s="458"/>
      <c r="C11" s="458"/>
      <c r="D11" s="458"/>
    </row>
    <row r="12" spans="1:6" ht="18" customHeight="1">
      <c r="A12" s="886" t="s">
        <v>31</v>
      </c>
      <c r="B12" s="887"/>
      <c r="C12" s="887"/>
      <c r="D12" s="888"/>
    </row>
    <row r="13" spans="1:6" ht="18" customHeight="1">
      <c r="A13" s="575" t="s">
        <v>290</v>
      </c>
      <c r="B13" s="576" t="s">
        <v>291</v>
      </c>
      <c r="C13" s="577" t="s">
        <v>292</v>
      </c>
      <c r="D13" s="578" t="s">
        <v>293</v>
      </c>
    </row>
    <row r="14" spans="1:6" ht="33" customHeight="1">
      <c r="A14" s="502" t="s">
        <v>294</v>
      </c>
      <c r="B14" s="579">
        <f>'Compost ERF'!C9</f>
        <v>0.32</v>
      </c>
      <c r="C14" s="491" t="s">
        <v>738</v>
      </c>
      <c r="D14" s="889" t="s">
        <v>295</v>
      </c>
    </row>
    <row r="15" spans="1:6" ht="33" customHeight="1">
      <c r="A15" s="502" t="s">
        <v>296</v>
      </c>
      <c r="B15" s="579">
        <f>'Compost ERF'!C10</f>
        <v>0.14000000000000001</v>
      </c>
      <c r="C15" s="491" t="s">
        <v>738</v>
      </c>
      <c r="D15" s="890"/>
    </row>
    <row r="16" spans="1:6" ht="33" customHeight="1">
      <c r="A16" s="502" t="s">
        <v>297</v>
      </c>
      <c r="B16" s="475">
        <f>'Compost ERF'!C11</f>
        <v>0.36</v>
      </c>
      <c r="C16" s="491" t="s">
        <v>738</v>
      </c>
      <c r="D16" s="890"/>
    </row>
    <row r="17" spans="1:4" ht="33" customHeight="1">
      <c r="A17" s="502" t="s">
        <v>298</v>
      </c>
      <c r="B17" s="475">
        <f>'Compost ERF'!C12</f>
        <v>0.18</v>
      </c>
      <c r="C17" s="491" t="s">
        <v>738</v>
      </c>
      <c r="D17" s="890"/>
    </row>
    <row r="18" spans="1:4" ht="33" customHeight="1">
      <c r="A18" s="580" t="s">
        <v>299</v>
      </c>
      <c r="B18" s="475">
        <f>'Compost ERF'!C13</f>
        <v>0.39</v>
      </c>
      <c r="C18" s="491" t="s">
        <v>738</v>
      </c>
      <c r="D18" s="890"/>
    </row>
    <row r="19" spans="1:4" ht="33" customHeight="1" thickBot="1">
      <c r="A19" s="581" t="s">
        <v>300</v>
      </c>
      <c r="B19" s="470">
        <f>'Compost ERF'!C14</f>
        <v>0.21</v>
      </c>
      <c r="C19" s="494" t="s">
        <v>738</v>
      </c>
      <c r="D19" s="891"/>
    </row>
    <row r="20" spans="1:4">
      <c r="A20" s="478"/>
      <c r="B20" s="478"/>
      <c r="C20" s="478"/>
      <c r="D20" s="478"/>
    </row>
    <row r="21" spans="1:4" ht="14.6" thickBot="1">
      <c r="A21" s="478"/>
      <c r="B21" s="478"/>
      <c r="C21" s="478"/>
      <c r="D21" s="478"/>
    </row>
    <row r="22" spans="1:4">
      <c r="A22" s="894" t="s">
        <v>301</v>
      </c>
      <c r="B22" s="895"/>
      <c r="C22" s="895"/>
      <c r="D22" s="896"/>
    </row>
    <row r="23" spans="1:4" ht="14.6" thickBot="1">
      <c r="A23" s="582"/>
      <c r="B23" s="583" t="s">
        <v>302</v>
      </c>
      <c r="C23" s="584" t="s">
        <v>292</v>
      </c>
      <c r="D23" s="585" t="s">
        <v>303</v>
      </c>
    </row>
    <row r="24" spans="1:4" ht="28.75" thickBot="1">
      <c r="A24" s="586" t="s">
        <v>304</v>
      </c>
      <c r="B24" s="587">
        <v>13123</v>
      </c>
      <c r="C24" s="588" t="s">
        <v>305</v>
      </c>
      <c r="D24" s="589" t="s">
        <v>306</v>
      </c>
    </row>
    <row r="25" spans="1:4" ht="30" customHeight="1">
      <c r="A25" s="544" t="s">
        <v>307</v>
      </c>
      <c r="B25" s="590">
        <v>13507.51</v>
      </c>
      <c r="C25" s="591" t="s">
        <v>739</v>
      </c>
      <c r="D25" s="592" t="s">
        <v>308</v>
      </c>
    </row>
    <row r="26" spans="1:4" ht="16.75">
      <c r="A26" s="483" t="s">
        <v>309</v>
      </c>
      <c r="B26" s="593">
        <v>11518.14</v>
      </c>
      <c r="C26" s="491" t="s">
        <v>739</v>
      </c>
      <c r="D26" s="594" t="s">
        <v>310</v>
      </c>
    </row>
    <row r="27" spans="1:4" ht="16.75">
      <c r="A27" s="483" t="s">
        <v>311</v>
      </c>
      <c r="B27" s="593">
        <v>337.5</v>
      </c>
      <c r="C27" s="491" t="s">
        <v>740</v>
      </c>
      <c r="D27" s="595"/>
    </row>
    <row r="28" spans="1:4" ht="17.149999999999999" thickBot="1">
      <c r="A28" s="492" t="s">
        <v>312</v>
      </c>
      <c r="B28" s="596">
        <v>13393.2</v>
      </c>
      <c r="C28" s="494" t="s">
        <v>741</v>
      </c>
      <c r="D28" s="597"/>
    </row>
    <row r="29" spans="1:4">
      <c r="A29" s="598" t="s">
        <v>313</v>
      </c>
      <c r="B29" s="599">
        <v>1013</v>
      </c>
      <c r="C29" s="591" t="s">
        <v>314</v>
      </c>
      <c r="D29" s="897" t="s">
        <v>315</v>
      </c>
    </row>
    <row r="30" spans="1:4">
      <c r="A30" s="600" t="s">
        <v>316</v>
      </c>
      <c r="B30" s="601">
        <v>811</v>
      </c>
      <c r="C30" s="491" t="s">
        <v>314</v>
      </c>
      <c r="D30" s="898"/>
    </row>
    <row r="31" spans="1:4">
      <c r="A31" s="600" t="s">
        <v>317</v>
      </c>
      <c r="B31" s="601">
        <v>599</v>
      </c>
      <c r="C31" s="491" t="s">
        <v>314</v>
      </c>
      <c r="D31" s="898"/>
    </row>
    <row r="32" spans="1:4">
      <c r="A32" s="600" t="s">
        <v>318</v>
      </c>
      <c r="B32" s="601">
        <v>281</v>
      </c>
      <c r="C32" s="491" t="s">
        <v>314</v>
      </c>
      <c r="D32" s="898"/>
    </row>
    <row r="33" spans="1:4" ht="14.6" thickBot="1">
      <c r="A33" s="602" t="s">
        <v>319</v>
      </c>
      <c r="B33" s="603">
        <v>455</v>
      </c>
      <c r="C33" s="494" t="s">
        <v>314</v>
      </c>
      <c r="D33" s="898"/>
    </row>
    <row r="34" spans="1:4">
      <c r="A34" s="598" t="s">
        <v>320</v>
      </c>
      <c r="B34" s="599">
        <v>1519</v>
      </c>
      <c r="C34" s="591" t="s">
        <v>314</v>
      </c>
      <c r="D34" s="899" t="s">
        <v>321</v>
      </c>
    </row>
    <row r="35" spans="1:4">
      <c r="A35" s="600" t="s">
        <v>322</v>
      </c>
      <c r="B35" s="601">
        <v>1215</v>
      </c>
      <c r="C35" s="491" t="s">
        <v>314</v>
      </c>
      <c r="D35" s="899"/>
    </row>
    <row r="36" spans="1:4" ht="14.6" thickBot="1">
      <c r="A36" s="602" t="s">
        <v>323</v>
      </c>
      <c r="B36" s="603">
        <v>283</v>
      </c>
      <c r="C36" s="494" t="s">
        <v>314</v>
      </c>
      <c r="D36" s="899"/>
    </row>
    <row r="37" spans="1:4">
      <c r="A37" s="604" t="s">
        <v>324</v>
      </c>
      <c r="B37" s="605">
        <v>2101</v>
      </c>
      <c r="C37" s="606" t="s">
        <v>314</v>
      </c>
      <c r="D37" s="899"/>
    </row>
    <row r="38" spans="1:4" ht="14.6" thickBot="1">
      <c r="A38" s="602" t="s">
        <v>325</v>
      </c>
      <c r="B38" s="603">
        <v>392</v>
      </c>
      <c r="C38" s="494" t="s">
        <v>314</v>
      </c>
      <c r="D38" s="900"/>
    </row>
    <row r="39" spans="1:4" ht="14.6" thickBot="1">
      <c r="A39" s="457"/>
      <c r="B39" s="607"/>
      <c r="C39" s="607"/>
      <c r="D39" s="607"/>
    </row>
    <row r="40" spans="1:4" ht="14.6" thickBot="1">
      <c r="A40" s="892" t="s">
        <v>326</v>
      </c>
      <c r="B40" s="893"/>
      <c r="C40" s="607"/>
      <c r="D40" s="607"/>
    </row>
    <row r="41" spans="1:4">
      <c r="A41" s="598">
        <v>2204.62</v>
      </c>
      <c r="B41" s="608" t="s">
        <v>327</v>
      </c>
    </row>
    <row r="42" spans="1:4">
      <c r="A42" s="609">
        <v>1000000</v>
      </c>
      <c r="B42" s="610" t="s">
        <v>328</v>
      </c>
    </row>
    <row r="43" spans="1:4">
      <c r="A43" s="609">
        <v>1000</v>
      </c>
      <c r="B43" s="610" t="s">
        <v>329</v>
      </c>
    </row>
    <row r="44" spans="1:4">
      <c r="A44" s="600">
        <v>454</v>
      </c>
      <c r="B44" s="610" t="s">
        <v>330</v>
      </c>
    </row>
    <row r="45" spans="1:4">
      <c r="A45" s="600">
        <v>293.07</v>
      </c>
      <c r="B45" s="610" t="s">
        <v>331</v>
      </c>
    </row>
    <row r="46" spans="1:4">
      <c r="A46" s="600">
        <v>0.27800000000000002</v>
      </c>
      <c r="B46" s="610" t="s">
        <v>332</v>
      </c>
    </row>
    <row r="47" spans="1:4" ht="28.3">
      <c r="A47" s="609">
        <v>127460</v>
      </c>
      <c r="B47" s="610" t="s">
        <v>333</v>
      </c>
    </row>
    <row r="48" spans="1:4" ht="15.9">
      <c r="A48" s="600">
        <v>3.5069999999999997E-2</v>
      </c>
      <c r="B48" s="610" t="s">
        <v>742</v>
      </c>
    </row>
    <row r="49" spans="1:14">
      <c r="A49" s="611">
        <v>1.4</v>
      </c>
      <c r="B49" s="612" t="s">
        <v>334</v>
      </c>
    </row>
    <row r="50" spans="1:14" ht="28.3">
      <c r="A50" s="611">
        <v>0.57999999999999996</v>
      </c>
      <c r="B50" s="612" t="s">
        <v>335</v>
      </c>
    </row>
    <row r="51" spans="1:14">
      <c r="A51" s="611">
        <v>10</v>
      </c>
      <c r="B51" s="612" t="s">
        <v>336</v>
      </c>
    </row>
    <row r="52" spans="1:14">
      <c r="A52" s="611">
        <v>0.1</v>
      </c>
      <c r="B52" s="612" t="s">
        <v>337</v>
      </c>
    </row>
    <row r="53" spans="1:14">
      <c r="A53" s="613">
        <v>325851</v>
      </c>
      <c r="B53" s="612" t="s">
        <v>338</v>
      </c>
    </row>
    <row r="54" spans="1:14" ht="14.6" thickBot="1">
      <c r="A54" s="614">
        <v>907</v>
      </c>
      <c r="B54" s="615" t="s">
        <v>339</v>
      </c>
    </row>
    <row r="55" spans="1:14" ht="14.6" thickBot="1"/>
    <row r="56" spans="1:14" ht="15.45">
      <c r="A56" s="879" t="s">
        <v>340</v>
      </c>
      <c r="B56" s="880"/>
      <c r="C56" s="880"/>
      <c r="D56" s="880"/>
      <c r="E56" s="880"/>
      <c r="F56" s="880"/>
      <c r="G56" s="880"/>
      <c r="H56" s="880"/>
      <c r="I56" s="880"/>
      <c r="J56" s="880"/>
      <c r="K56" s="880"/>
      <c r="L56" s="880"/>
      <c r="M56" s="880"/>
      <c r="N56" s="881"/>
    </row>
    <row r="57" spans="1:14" ht="30.9">
      <c r="A57" s="616" t="s">
        <v>341</v>
      </c>
      <c r="B57" s="617">
        <v>0.03</v>
      </c>
      <c r="C57" s="882" t="s">
        <v>342</v>
      </c>
      <c r="D57" s="882"/>
      <c r="E57" s="882"/>
      <c r="F57" s="882"/>
      <c r="G57" s="882"/>
      <c r="H57" s="882"/>
      <c r="I57" s="882"/>
      <c r="J57" s="882"/>
      <c r="K57" s="882"/>
      <c r="L57" s="882"/>
      <c r="M57" s="882"/>
      <c r="N57" s="883"/>
    </row>
    <row r="58" spans="1:14" ht="30.9">
      <c r="A58" s="616" t="s">
        <v>343</v>
      </c>
      <c r="B58" s="618">
        <v>10</v>
      </c>
      <c r="C58" s="884" t="s">
        <v>344</v>
      </c>
      <c r="D58" s="884"/>
      <c r="E58" s="884"/>
      <c r="F58" s="884"/>
      <c r="G58" s="884"/>
      <c r="H58" s="884"/>
      <c r="I58" s="884"/>
      <c r="J58" s="884"/>
      <c r="K58" s="884"/>
      <c r="L58" s="884"/>
      <c r="M58" s="884"/>
      <c r="N58" s="885"/>
    </row>
    <row r="59" spans="1:14" ht="30.9">
      <c r="A59" s="616" t="s">
        <v>345</v>
      </c>
      <c r="B59" s="618">
        <v>2</v>
      </c>
      <c r="C59" s="851" t="s">
        <v>346</v>
      </c>
      <c r="D59" s="852"/>
      <c r="E59" s="852"/>
      <c r="F59" s="852"/>
      <c r="G59" s="852"/>
      <c r="H59" s="852"/>
      <c r="I59" s="852"/>
      <c r="J59" s="852"/>
      <c r="K59" s="852"/>
      <c r="L59" s="852"/>
      <c r="M59" s="852"/>
      <c r="N59" s="853"/>
    </row>
    <row r="60" spans="1:14" ht="30.9">
      <c r="A60" s="616" t="s">
        <v>347</v>
      </c>
      <c r="B60" s="618">
        <v>20</v>
      </c>
      <c r="C60" s="854" t="s">
        <v>348</v>
      </c>
      <c r="D60" s="854"/>
      <c r="E60" s="854"/>
      <c r="F60" s="854"/>
      <c r="G60" s="854"/>
      <c r="H60" s="854"/>
      <c r="I60" s="854"/>
      <c r="J60" s="854"/>
      <c r="K60" s="854"/>
      <c r="L60" s="854"/>
      <c r="M60" s="854"/>
      <c r="N60" s="855"/>
    </row>
    <row r="61" spans="1:14" ht="33.450000000000003">
      <c r="A61" s="616" t="s">
        <v>743</v>
      </c>
      <c r="B61" s="619">
        <v>0.22789999999999999</v>
      </c>
      <c r="C61" s="859" t="s">
        <v>349</v>
      </c>
      <c r="D61" s="860"/>
      <c r="E61" s="860"/>
      <c r="F61" s="860"/>
      <c r="G61" s="860"/>
      <c r="H61" s="860"/>
      <c r="I61" s="860"/>
      <c r="J61" s="860"/>
      <c r="K61" s="860"/>
      <c r="L61" s="860"/>
      <c r="M61" s="860"/>
      <c r="N61" s="861"/>
    </row>
    <row r="62" spans="1:14" ht="33.450000000000003">
      <c r="A62" s="616" t="s">
        <v>744</v>
      </c>
      <c r="B62" s="620">
        <v>2.2790000000000001E-4</v>
      </c>
      <c r="C62" s="862"/>
      <c r="D62" s="863"/>
      <c r="E62" s="863"/>
      <c r="F62" s="863"/>
      <c r="G62" s="863"/>
      <c r="H62" s="863"/>
      <c r="I62" s="863"/>
      <c r="J62" s="863"/>
      <c r="K62" s="863"/>
      <c r="L62" s="863"/>
      <c r="M62" s="863"/>
      <c r="N62" s="864"/>
    </row>
    <row r="63" spans="1:14" ht="33.450000000000003">
      <c r="A63" s="616" t="s">
        <v>745</v>
      </c>
      <c r="B63" s="621">
        <v>5.3099999999999996E-3</v>
      </c>
      <c r="C63" s="851" t="s">
        <v>350</v>
      </c>
      <c r="D63" s="852"/>
      <c r="E63" s="852"/>
      <c r="F63" s="852"/>
      <c r="G63" s="852"/>
      <c r="H63" s="852"/>
      <c r="I63" s="852"/>
      <c r="J63" s="852"/>
      <c r="K63" s="852"/>
      <c r="L63" s="852"/>
      <c r="M63" s="852"/>
      <c r="N63" s="853"/>
    </row>
    <row r="64" spans="1:14" ht="15.45">
      <c r="A64" s="622" t="s">
        <v>351</v>
      </c>
      <c r="B64" s="623">
        <v>2.0400000000000001E-5</v>
      </c>
      <c r="C64" s="859" t="s">
        <v>352</v>
      </c>
      <c r="D64" s="860"/>
      <c r="E64" s="860"/>
      <c r="F64" s="860"/>
      <c r="G64" s="860"/>
      <c r="H64" s="860"/>
      <c r="I64" s="860"/>
      <c r="J64" s="860"/>
      <c r="K64" s="860"/>
      <c r="L64" s="860"/>
      <c r="M64" s="860"/>
      <c r="N64" s="861"/>
    </row>
    <row r="65" spans="1:14" ht="18">
      <c r="A65" s="622" t="s">
        <v>746</v>
      </c>
      <c r="B65" s="623">
        <v>1.2799999999999999E-4</v>
      </c>
      <c r="C65" s="865"/>
      <c r="D65" s="866"/>
      <c r="E65" s="866"/>
      <c r="F65" s="866"/>
      <c r="G65" s="866"/>
      <c r="H65" s="866"/>
      <c r="I65" s="866"/>
      <c r="J65" s="866"/>
      <c r="K65" s="866"/>
      <c r="L65" s="866"/>
      <c r="M65" s="866"/>
      <c r="N65" s="867"/>
    </row>
    <row r="66" spans="1:14" ht="18">
      <c r="A66" s="622" t="s">
        <v>747</v>
      </c>
      <c r="B66" s="623">
        <v>3.2100000000000001E-5</v>
      </c>
      <c r="C66" s="862"/>
      <c r="D66" s="863"/>
      <c r="E66" s="863"/>
      <c r="F66" s="863"/>
      <c r="G66" s="863"/>
      <c r="H66" s="863"/>
      <c r="I66" s="863"/>
      <c r="J66" s="863"/>
      <c r="K66" s="863"/>
      <c r="L66" s="863"/>
      <c r="M66" s="863"/>
      <c r="N66" s="864"/>
    </row>
    <row r="67" spans="1:14" ht="30.9">
      <c r="A67" s="622" t="s">
        <v>353</v>
      </c>
      <c r="B67" s="624">
        <v>8.0000000000000002E-3</v>
      </c>
      <c r="C67" s="868" t="s">
        <v>354</v>
      </c>
      <c r="D67" s="869"/>
      <c r="E67" s="869"/>
      <c r="F67" s="869"/>
      <c r="G67" s="869"/>
      <c r="H67" s="869"/>
      <c r="I67" s="869"/>
      <c r="J67" s="869"/>
      <c r="K67" s="869"/>
      <c r="L67" s="869"/>
      <c r="M67" s="869"/>
      <c r="N67" s="870"/>
    </row>
    <row r="68" spans="1:14" ht="33.450000000000003">
      <c r="A68" s="622" t="s">
        <v>748</v>
      </c>
      <c r="B68" s="624">
        <v>0.1208</v>
      </c>
      <c r="C68" s="871"/>
      <c r="D68" s="872"/>
      <c r="E68" s="872"/>
      <c r="F68" s="872"/>
      <c r="G68" s="872"/>
      <c r="H68" s="872"/>
      <c r="I68" s="872"/>
      <c r="J68" s="872"/>
      <c r="K68" s="872"/>
      <c r="L68" s="872"/>
      <c r="M68" s="872"/>
      <c r="N68" s="873"/>
    </row>
    <row r="69" spans="1:14" ht="33.450000000000003">
      <c r="A69" s="622" t="s">
        <v>749</v>
      </c>
      <c r="B69" s="624">
        <v>7.4999999999999997E-3</v>
      </c>
      <c r="C69" s="874"/>
      <c r="D69" s="875"/>
      <c r="E69" s="875"/>
      <c r="F69" s="875"/>
      <c r="G69" s="875"/>
      <c r="H69" s="875"/>
      <c r="I69" s="875"/>
      <c r="J69" s="875"/>
      <c r="K69" s="875"/>
      <c r="L69" s="875"/>
      <c r="M69" s="875"/>
      <c r="N69" s="876"/>
    </row>
    <row r="70" spans="1:14" ht="33.450000000000003">
      <c r="A70" s="622" t="s">
        <v>750</v>
      </c>
      <c r="B70" s="625">
        <v>0.28000000000000003</v>
      </c>
      <c r="C70" s="851" t="s">
        <v>355</v>
      </c>
      <c r="D70" s="852"/>
      <c r="E70" s="852"/>
      <c r="F70" s="852"/>
      <c r="G70" s="852"/>
      <c r="H70" s="852"/>
      <c r="I70" s="852"/>
      <c r="J70" s="852"/>
      <c r="K70" s="852"/>
      <c r="L70" s="852"/>
      <c r="M70" s="852"/>
      <c r="N70" s="853"/>
    </row>
    <row r="71" spans="1:14" ht="31.3" thickBot="1">
      <c r="A71" s="626" t="s">
        <v>356</v>
      </c>
      <c r="B71" s="627">
        <v>0.05</v>
      </c>
      <c r="C71" s="856" t="s">
        <v>357</v>
      </c>
      <c r="D71" s="857"/>
      <c r="E71" s="857"/>
      <c r="F71" s="857"/>
      <c r="G71" s="857"/>
      <c r="H71" s="857"/>
      <c r="I71" s="857"/>
      <c r="J71" s="857"/>
      <c r="K71" s="857"/>
      <c r="L71" s="857"/>
      <c r="M71" s="857"/>
      <c r="N71" s="858"/>
    </row>
  </sheetData>
  <sheetProtection algorithmName="SHA-512" hashValue="fU3SQ/PFHEVE/NhDagwjDpxYwvoEa/dmm5coG7QmCapzjK81voB9Bndr5XfVms7SYG9PsrNeyNGhDJ9ZmAq8ww==" saltValue="VsuZOkfCc6FK1Ab0eLdD2Q==" spinCount="100000" sheet="1" objects="1" scenarios="1"/>
  <mergeCells count="24">
    <mergeCell ref="A1:F1"/>
    <mergeCell ref="A2:F2"/>
    <mergeCell ref="A3:F3"/>
    <mergeCell ref="A4:F4"/>
    <mergeCell ref="A5:F5"/>
    <mergeCell ref="A6:F6"/>
    <mergeCell ref="A10:D10"/>
    <mergeCell ref="A56:N56"/>
    <mergeCell ref="C57:N57"/>
    <mergeCell ref="C58:N58"/>
    <mergeCell ref="A12:D12"/>
    <mergeCell ref="D14:D19"/>
    <mergeCell ref="A40:B40"/>
    <mergeCell ref="A22:D22"/>
    <mergeCell ref="D29:D33"/>
    <mergeCell ref="D34:D38"/>
    <mergeCell ref="C59:N59"/>
    <mergeCell ref="C60:N60"/>
    <mergeCell ref="C71:N71"/>
    <mergeCell ref="C61:N62"/>
    <mergeCell ref="C63:N63"/>
    <mergeCell ref="C64:N66"/>
    <mergeCell ref="C67:N69"/>
    <mergeCell ref="C70:N70"/>
  </mergeCells>
  <hyperlinks>
    <hyperlink ref="A11" r:id="rId1" tooltip="CCI Resources" xr:uid="{00000000-0004-0000-0D00-000000000000}"/>
    <hyperlink ref="D34:D38" r:id="rId2" tooltip="EMFAC Database" display="https://www.arb.ca.gov/emfac/2014/" xr:uid="{00000000-0004-0000-0D00-000001000000}"/>
    <hyperlink ref="D14:D19" r:id="rId3" tooltip="Compost Emission Reduction Factor Methodology" display="https://www.arb.ca.gov/cc/waste/cerffinal.pdf" xr:uid="{00000000-0004-0000-0D00-000002000000}"/>
    <hyperlink ref="D24" r:id="rId4" xr:uid="{00000000-0004-0000-0D00-000003000000}"/>
    <hyperlink ref="D26" r:id="rId5" tooltip="Low Carbon Fuel Standard " xr:uid="{00000000-0004-0000-0D00-000004000000}"/>
  </hyperlinks>
  <pageMargins left="0.7" right="0.7" top="0.75" bottom="0.75" header="0.3" footer="0.3"/>
  <pageSetup scale="17" orientation="portrait" r:id="rId6"/>
  <headerFooter>
    <oddFooter>&amp;LDRAFT January XX, 2019&amp;CPage &amp;P of &amp;N&amp;REmission Reduction Factors Worksheet</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134"/>
  <sheetViews>
    <sheetView showGridLines="0" topLeftCell="A7" zoomScaleNormal="100" workbookViewId="0">
      <selection activeCell="N128" sqref="N128"/>
    </sheetView>
  </sheetViews>
  <sheetFormatPr defaultRowHeight="14.15"/>
  <cols>
    <col min="1" max="1" width="55" style="322" customWidth="1"/>
    <col min="2" max="2" width="27.69140625" style="322" customWidth="1"/>
    <col min="3" max="3" width="31" style="322" customWidth="1"/>
    <col min="4" max="4" width="75.84375" style="322" customWidth="1"/>
    <col min="5" max="16384" width="9.23046875" style="322"/>
  </cols>
  <sheetData>
    <row r="1" spans="1:4" ht="20.149999999999999">
      <c r="C1" s="368" t="s">
        <v>0</v>
      </c>
    </row>
    <row r="2" spans="1:4">
      <c r="C2" s="369"/>
    </row>
    <row r="3" spans="1:4" ht="20.149999999999999">
      <c r="C3" s="368" t="s">
        <v>138</v>
      </c>
    </row>
    <row r="4" spans="1:4" ht="20.149999999999999">
      <c r="C4" s="370" t="s">
        <v>2</v>
      </c>
    </row>
    <row r="5" spans="1:4">
      <c r="C5" s="369"/>
    </row>
    <row r="6" spans="1:4" ht="20.149999999999999">
      <c r="C6" s="368" t="s">
        <v>22</v>
      </c>
    </row>
    <row r="7" spans="1:4" ht="18">
      <c r="C7" s="349"/>
    </row>
    <row r="10" spans="1:4" ht="18">
      <c r="A10" s="268" t="s">
        <v>287</v>
      </c>
    </row>
    <row r="11" spans="1:4">
      <c r="A11" s="878" t="s">
        <v>288</v>
      </c>
      <c r="B11" s="878"/>
      <c r="C11" s="878"/>
      <c r="D11" s="878"/>
    </row>
    <row r="12" spans="1:4" ht="14.6" thickBot="1">
      <c r="A12" s="457" t="s">
        <v>289</v>
      </c>
      <c r="B12" s="458"/>
      <c r="C12" s="458"/>
      <c r="D12" s="458"/>
    </row>
    <row r="13" spans="1:4" ht="18" customHeight="1">
      <c r="A13" s="886" t="s">
        <v>358</v>
      </c>
      <c r="B13" s="887"/>
      <c r="C13" s="887"/>
      <c r="D13" s="888"/>
    </row>
    <row r="14" spans="1:4" ht="29.15" customHeight="1" thickBot="1">
      <c r="A14" s="459" t="s">
        <v>290</v>
      </c>
      <c r="B14" s="460" t="s">
        <v>291</v>
      </c>
      <c r="C14" s="461" t="s">
        <v>292</v>
      </c>
      <c r="D14" s="462" t="s">
        <v>293</v>
      </c>
    </row>
    <row r="15" spans="1:4">
      <c r="A15" s="463" t="s">
        <v>359</v>
      </c>
      <c r="B15" s="464">
        <v>4.9000000000000002E-2</v>
      </c>
      <c r="C15" s="465" t="s">
        <v>360</v>
      </c>
      <c r="D15" s="920" t="s">
        <v>361</v>
      </c>
    </row>
    <row r="16" spans="1:4">
      <c r="A16" s="466" t="s">
        <v>362</v>
      </c>
      <c r="B16" s="467">
        <v>1.7999999999999999E-2</v>
      </c>
      <c r="C16" s="468" t="s">
        <v>360</v>
      </c>
      <c r="D16" s="921"/>
    </row>
    <row r="17" spans="1:4" ht="35.6" customHeight="1" thickBot="1">
      <c r="A17" s="469" t="s">
        <v>363</v>
      </c>
      <c r="B17" s="470">
        <v>7.0000000000000001E-3</v>
      </c>
      <c r="C17" s="471" t="s">
        <v>360</v>
      </c>
      <c r="D17" s="921"/>
    </row>
    <row r="18" spans="1:4" ht="29.6" customHeight="1">
      <c r="A18" s="472" t="s">
        <v>364</v>
      </c>
      <c r="B18" s="473">
        <v>9.1999999999999998E-2</v>
      </c>
      <c r="C18" s="474" t="s">
        <v>365</v>
      </c>
      <c r="D18" s="921" t="s">
        <v>366</v>
      </c>
    </row>
    <row r="19" spans="1:4">
      <c r="A19" s="466" t="s">
        <v>367</v>
      </c>
      <c r="B19" s="475">
        <v>3.3000000000000002E-2</v>
      </c>
      <c r="C19" s="476" t="s">
        <v>365</v>
      </c>
      <c r="D19" s="921"/>
    </row>
    <row r="20" spans="1:4" ht="14.6" thickBot="1">
      <c r="A20" s="469" t="s">
        <v>368</v>
      </c>
      <c r="B20" s="470">
        <v>1.4E-2</v>
      </c>
      <c r="C20" s="477" t="s">
        <v>365</v>
      </c>
      <c r="D20" s="922"/>
    </row>
    <row r="21" spans="1:4">
      <c r="A21" s="478"/>
      <c r="B21" s="478"/>
      <c r="C21" s="478"/>
      <c r="D21" s="478"/>
    </row>
    <row r="22" spans="1:4" ht="14.6" thickBot="1">
      <c r="A22" s="478"/>
      <c r="B22" s="478"/>
      <c r="C22" s="478"/>
      <c r="D22" s="478"/>
    </row>
    <row r="23" spans="1:4" ht="18" customHeight="1">
      <c r="A23" s="930" t="s">
        <v>369</v>
      </c>
      <c r="B23" s="931"/>
      <c r="C23" s="931"/>
      <c r="D23" s="932"/>
    </row>
    <row r="24" spans="1:4" ht="30" customHeight="1" thickBot="1">
      <c r="A24" s="479" t="s">
        <v>370</v>
      </c>
      <c r="B24" s="480" t="s">
        <v>291</v>
      </c>
      <c r="C24" s="481" t="s">
        <v>292</v>
      </c>
      <c r="D24" s="482" t="s">
        <v>293</v>
      </c>
    </row>
    <row r="25" spans="1:4" ht="33" customHeight="1">
      <c r="A25" s="483" t="s">
        <v>371</v>
      </c>
      <c r="B25" s="484">
        <v>2.0400000000000001E-5</v>
      </c>
      <c r="C25" s="476" t="s">
        <v>372</v>
      </c>
      <c r="D25" s="936" t="s">
        <v>373</v>
      </c>
    </row>
    <row r="26" spans="1:4" ht="33" customHeight="1">
      <c r="A26" s="483" t="s">
        <v>374</v>
      </c>
      <c r="B26" s="484">
        <v>1.2799999999999999E-4</v>
      </c>
      <c r="C26" s="476" t="s">
        <v>372</v>
      </c>
      <c r="D26" s="937"/>
    </row>
    <row r="27" spans="1:4" ht="33" customHeight="1" thickBot="1">
      <c r="A27" s="483" t="s">
        <v>375</v>
      </c>
      <c r="B27" s="484">
        <v>3.2100000000000001E-5</v>
      </c>
      <c r="C27" s="476" t="s">
        <v>372</v>
      </c>
      <c r="D27" s="485" t="s">
        <v>376</v>
      </c>
    </row>
    <row r="28" spans="1:4" ht="14.6" thickBot="1">
      <c r="A28" s="486"/>
      <c r="B28" s="487"/>
      <c r="C28" s="488"/>
      <c r="D28" s="489"/>
    </row>
    <row r="29" spans="1:4" ht="18" customHeight="1">
      <c r="A29" s="930" t="s">
        <v>377</v>
      </c>
      <c r="B29" s="931"/>
      <c r="C29" s="931"/>
      <c r="D29" s="932"/>
    </row>
    <row r="30" spans="1:4" ht="32.15" customHeight="1">
      <c r="A30" s="479" t="s">
        <v>370</v>
      </c>
      <c r="B30" s="480" t="s">
        <v>291</v>
      </c>
      <c r="C30" s="481" t="s">
        <v>292</v>
      </c>
      <c r="D30" s="490" t="s">
        <v>293</v>
      </c>
    </row>
    <row r="31" spans="1:4" ht="33" customHeight="1">
      <c r="A31" s="483" t="s">
        <v>378</v>
      </c>
      <c r="B31" s="484">
        <v>8.1999999999999994E-6</v>
      </c>
      <c r="C31" s="491" t="s">
        <v>737</v>
      </c>
      <c r="D31" s="933" t="s">
        <v>379</v>
      </c>
    </row>
    <row r="32" spans="1:4" ht="33" customHeight="1">
      <c r="A32" s="483" t="s">
        <v>380</v>
      </c>
      <c r="B32" s="484">
        <v>1.2300000000000001E-4</v>
      </c>
      <c r="C32" s="491" t="s">
        <v>737</v>
      </c>
      <c r="D32" s="934"/>
    </row>
    <row r="33" spans="1:4" ht="33" customHeight="1">
      <c r="A33" s="483" t="s">
        <v>381</v>
      </c>
      <c r="B33" s="484">
        <v>7.5999999999999992E-6</v>
      </c>
      <c r="C33" s="491" t="s">
        <v>737</v>
      </c>
      <c r="D33" s="935"/>
    </row>
    <row r="34" spans="1:4" ht="33" customHeight="1" thickBot="1">
      <c r="A34" s="492" t="s">
        <v>382</v>
      </c>
      <c r="B34" s="493">
        <v>930</v>
      </c>
      <c r="C34" s="494" t="s">
        <v>383</v>
      </c>
      <c r="D34" s="495" t="s">
        <v>384</v>
      </c>
    </row>
    <row r="35" spans="1:4" ht="14.6" thickBot="1">
      <c r="A35" s="486"/>
      <c r="B35" s="487"/>
      <c r="C35" s="488"/>
      <c r="D35" s="489"/>
    </row>
    <row r="36" spans="1:4" ht="18" customHeight="1">
      <c r="A36" s="930" t="s">
        <v>385</v>
      </c>
      <c r="B36" s="931"/>
      <c r="C36" s="931"/>
      <c r="D36" s="932"/>
    </row>
    <row r="37" spans="1:4" ht="18" customHeight="1">
      <c r="A37" s="479" t="s">
        <v>370</v>
      </c>
      <c r="B37" s="480" t="s">
        <v>291</v>
      </c>
      <c r="C37" s="481" t="s">
        <v>292</v>
      </c>
      <c r="D37" s="490" t="s">
        <v>293</v>
      </c>
    </row>
    <row r="38" spans="1:4" ht="33" customHeight="1">
      <c r="A38" s="483" t="s">
        <v>386</v>
      </c>
      <c r="B38" s="496">
        <v>2.1700000000000001E-2</v>
      </c>
      <c r="C38" s="491" t="s">
        <v>387</v>
      </c>
      <c r="D38" s="889" t="s">
        <v>388</v>
      </c>
    </row>
    <row r="39" spans="1:4" ht="33" customHeight="1">
      <c r="A39" s="483" t="s">
        <v>389</v>
      </c>
      <c r="B39" s="496">
        <v>0.1653</v>
      </c>
      <c r="C39" s="491" t="s">
        <v>387</v>
      </c>
      <c r="D39" s="890"/>
    </row>
    <row r="40" spans="1:4" ht="33" customHeight="1">
      <c r="A40" s="483" t="s">
        <v>390</v>
      </c>
      <c r="B40" s="496">
        <v>5.7999999999999996E-3</v>
      </c>
      <c r="C40" s="491" t="s">
        <v>387</v>
      </c>
      <c r="D40" s="890"/>
    </row>
    <row r="41" spans="1:4" ht="33" customHeight="1">
      <c r="A41" s="497" t="s">
        <v>391</v>
      </c>
      <c r="B41" s="496">
        <v>6.3E-3</v>
      </c>
      <c r="C41" s="491" t="s">
        <v>387</v>
      </c>
      <c r="D41" s="923"/>
    </row>
    <row r="42" spans="1:4">
      <c r="A42" s="486"/>
      <c r="B42" s="487"/>
      <c r="C42" s="488"/>
      <c r="D42" s="489"/>
    </row>
    <row r="43" spans="1:4" ht="14.6" thickBot="1">
      <c r="A43" s="478"/>
      <c r="B43" s="478"/>
      <c r="C43" s="478"/>
      <c r="D43" s="478"/>
    </row>
    <row r="44" spans="1:4" ht="18" customHeight="1">
      <c r="A44" s="894" t="s">
        <v>392</v>
      </c>
      <c r="B44" s="895"/>
      <c r="C44" s="895"/>
      <c r="D44" s="896"/>
    </row>
    <row r="45" spans="1:4" ht="18" customHeight="1">
      <c r="A45" s="498"/>
      <c r="B45" s="499" t="s">
        <v>291</v>
      </c>
      <c r="C45" s="500" t="s">
        <v>292</v>
      </c>
      <c r="D45" s="501" t="s">
        <v>293</v>
      </c>
    </row>
    <row r="46" spans="1:4" ht="18" customHeight="1">
      <c r="A46" s="502" t="s">
        <v>393</v>
      </c>
      <c r="B46" s="467">
        <v>1.647994835181528E-2</v>
      </c>
      <c r="C46" s="491" t="s">
        <v>394</v>
      </c>
      <c r="D46" s="889" t="s">
        <v>395</v>
      </c>
    </row>
    <row r="47" spans="1:4" ht="18" customHeight="1">
      <c r="A47" s="502" t="s">
        <v>396</v>
      </c>
      <c r="B47" s="467">
        <v>0.29889488075345588</v>
      </c>
      <c r="C47" s="491" t="s">
        <v>394</v>
      </c>
      <c r="D47" s="890"/>
    </row>
    <row r="48" spans="1:4" ht="18" customHeight="1">
      <c r="A48" s="502" t="s">
        <v>397</v>
      </c>
      <c r="B48" s="467">
        <v>8.521950478505241E-3</v>
      </c>
      <c r="C48" s="491" t="s">
        <v>394</v>
      </c>
      <c r="D48" s="890"/>
    </row>
    <row r="49" spans="1:4" ht="18" customHeight="1" thickBot="1">
      <c r="A49" s="503" t="s">
        <v>398</v>
      </c>
      <c r="B49" s="504">
        <v>1.1487923439161476E-3</v>
      </c>
      <c r="C49" s="494" t="s">
        <v>394</v>
      </c>
      <c r="D49" s="891"/>
    </row>
    <row r="50" spans="1:4" ht="18" customHeight="1" thickBot="1">
      <c r="A50" s="505"/>
      <c r="B50" s="506"/>
      <c r="C50" s="507"/>
      <c r="D50" s="489"/>
    </row>
    <row r="51" spans="1:4" ht="18" hidden="1" customHeight="1">
      <c r="A51" s="917" t="s">
        <v>399</v>
      </c>
      <c r="B51" s="918"/>
      <c r="C51" s="918"/>
      <c r="D51" s="919"/>
    </row>
    <row r="52" spans="1:4" ht="18" hidden="1" customHeight="1">
      <c r="A52" s="924" t="s">
        <v>400</v>
      </c>
      <c r="B52" s="925"/>
      <c r="C52" s="925"/>
      <c r="D52" s="926"/>
    </row>
    <row r="53" spans="1:4" ht="18" hidden="1" customHeight="1">
      <c r="A53" s="508" t="s">
        <v>401</v>
      </c>
      <c r="B53" s="509">
        <v>0</v>
      </c>
      <c r="C53" s="510" t="s">
        <v>402</v>
      </c>
      <c r="D53" s="927" t="s">
        <v>403</v>
      </c>
    </row>
    <row r="54" spans="1:4" ht="18" hidden="1" customHeight="1">
      <c r="A54" s="511" t="s">
        <v>404</v>
      </c>
      <c r="B54" s="509">
        <v>0</v>
      </c>
      <c r="C54" s="510" t="s">
        <v>402</v>
      </c>
      <c r="D54" s="928"/>
    </row>
    <row r="55" spans="1:4" ht="18" hidden="1" customHeight="1">
      <c r="A55" s="512" t="s">
        <v>405</v>
      </c>
      <c r="B55" s="513">
        <v>0</v>
      </c>
      <c r="C55" s="514" t="s">
        <v>402</v>
      </c>
      <c r="D55" s="929"/>
    </row>
    <row r="56" spans="1:4" ht="18" hidden="1" customHeight="1">
      <c r="A56" s="515" t="s">
        <v>406</v>
      </c>
      <c r="B56" s="516">
        <v>0</v>
      </c>
      <c r="C56" s="517" t="s">
        <v>402</v>
      </c>
      <c r="D56" s="518" t="s">
        <v>407</v>
      </c>
    </row>
    <row r="57" spans="1:4" ht="18" hidden="1" customHeight="1">
      <c r="A57" s="924" t="s">
        <v>408</v>
      </c>
      <c r="B57" s="925"/>
      <c r="C57" s="925"/>
      <c r="D57" s="926"/>
    </row>
    <row r="58" spans="1:4" ht="18" hidden="1" customHeight="1">
      <c r="A58" s="519" t="s">
        <v>409</v>
      </c>
      <c r="B58" s="520">
        <v>0.75</v>
      </c>
      <c r="C58" s="521" t="s">
        <v>410</v>
      </c>
      <c r="D58" s="927" t="s">
        <v>403</v>
      </c>
    </row>
    <row r="59" spans="1:4" ht="18" hidden="1" customHeight="1">
      <c r="A59" s="522" t="s">
        <v>411</v>
      </c>
      <c r="B59" s="523">
        <f>B53*B58</f>
        <v>0</v>
      </c>
      <c r="C59" s="524" t="s">
        <v>402</v>
      </c>
      <c r="D59" s="928"/>
    </row>
    <row r="60" spans="1:4" ht="18" hidden="1" customHeight="1">
      <c r="A60" s="511" t="s">
        <v>412</v>
      </c>
      <c r="B60" s="523">
        <f>B54*B58</f>
        <v>0</v>
      </c>
      <c r="C60" s="524" t="s">
        <v>402</v>
      </c>
      <c r="D60" s="928"/>
    </row>
    <row r="61" spans="1:4" ht="18" hidden="1" customHeight="1">
      <c r="A61" s="512" t="s">
        <v>413</v>
      </c>
      <c r="B61" s="513">
        <v>0</v>
      </c>
      <c r="C61" s="514" t="s">
        <v>402</v>
      </c>
      <c r="D61" s="929"/>
    </row>
    <row r="62" spans="1:4" ht="18" hidden="1" customHeight="1" thickBot="1">
      <c r="A62" s="525" t="s">
        <v>414</v>
      </c>
      <c r="B62" s="526">
        <v>0</v>
      </c>
      <c r="C62" s="527" t="s">
        <v>402</v>
      </c>
      <c r="D62" s="528" t="s">
        <v>407</v>
      </c>
    </row>
    <row r="63" spans="1:4" ht="18" customHeight="1" thickBot="1">
      <c r="A63" s="910" t="s">
        <v>415</v>
      </c>
      <c r="B63" s="911"/>
      <c r="C63" s="911"/>
      <c r="D63" s="913"/>
    </row>
    <row r="64" spans="1:4" ht="18" customHeight="1">
      <c r="A64" s="529" t="s">
        <v>416</v>
      </c>
      <c r="B64" s="530">
        <v>0.56000000000000005</v>
      </c>
      <c r="C64" s="531" t="s">
        <v>410</v>
      </c>
      <c r="D64" s="914" t="s">
        <v>417</v>
      </c>
    </row>
    <row r="65" spans="1:4" ht="28.3">
      <c r="A65" s="532" t="s">
        <v>418</v>
      </c>
      <c r="B65" s="533">
        <v>0.65859999999999996</v>
      </c>
      <c r="C65" s="524" t="s">
        <v>419</v>
      </c>
      <c r="D65" s="915"/>
    </row>
    <row r="66" spans="1:4" ht="18" customHeight="1">
      <c r="A66" s="532" t="s">
        <v>420</v>
      </c>
      <c r="B66" s="534">
        <v>4.6500000000000004</v>
      </c>
      <c r="C66" s="524" t="s">
        <v>421</v>
      </c>
      <c r="D66" s="915"/>
    </row>
    <row r="67" spans="1:4">
      <c r="A67" s="532" t="s">
        <v>422</v>
      </c>
      <c r="B67" s="534">
        <v>0.57999999999999996</v>
      </c>
      <c r="C67" s="524" t="s">
        <v>423</v>
      </c>
      <c r="D67" s="915"/>
    </row>
    <row r="68" spans="1:4" ht="14.6" thickBot="1">
      <c r="A68" s="535" t="s">
        <v>424</v>
      </c>
      <c r="B68" s="536">
        <v>10</v>
      </c>
      <c r="C68" s="527" t="s">
        <v>425</v>
      </c>
      <c r="D68" s="916"/>
    </row>
    <row r="69" spans="1:4" ht="18" customHeight="1" thickBot="1">
      <c r="A69" s="537"/>
      <c r="B69" s="538"/>
      <c r="C69" s="488"/>
      <c r="D69" s="539"/>
    </row>
    <row r="70" spans="1:4">
      <c r="A70" s="894" t="s">
        <v>301</v>
      </c>
      <c r="B70" s="895"/>
      <c r="C70" s="895"/>
      <c r="D70" s="896"/>
    </row>
    <row r="71" spans="1:4" ht="14.6" thickBot="1">
      <c r="A71" s="540"/>
      <c r="B71" s="541" t="s">
        <v>302</v>
      </c>
      <c r="C71" s="542" t="s">
        <v>292</v>
      </c>
      <c r="D71" s="543" t="s">
        <v>303</v>
      </c>
    </row>
    <row r="72" spans="1:4">
      <c r="A72" s="544" t="s">
        <v>426</v>
      </c>
      <c r="B72" s="545">
        <v>8.5000000000000006E-3</v>
      </c>
      <c r="C72" s="546" t="s">
        <v>314</v>
      </c>
      <c r="D72" s="906" t="s">
        <v>315</v>
      </c>
    </row>
    <row r="73" spans="1:4">
      <c r="A73" s="483" t="s">
        <v>427</v>
      </c>
      <c r="B73" s="547">
        <v>5.6500000000000002E-2</v>
      </c>
      <c r="C73" s="476" t="s">
        <v>314</v>
      </c>
      <c r="D73" s="907"/>
    </row>
    <row r="74" spans="1:4" ht="14.6" thickBot="1">
      <c r="A74" s="492" t="s">
        <v>428</v>
      </c>
      <c r="B74" s="548">
        <v>3.6299999999999999E-2</v>
      </c>
      <c r="C74" s="477" t="s">
        <v>314</v>
      </c>
      <c r="D74" s="907"/>
    </row>
    <row r="75" spans="1:4">
      <c r="A75" s="544" t="s">
        <v>429</v>
      </c>
      <c r="B75" s="545">
        <v>6.7999999999999996E-3</v>
      </c>
      <c r="C75" s="546" t="s">
        <v>314</v>
      </c>
      <c r="D75" s="907"/>
    </row>
    <row r="76" spans="1:4">
      <c r="A76" s="483" t="s">
        <v>430</v>
      </c>
      <c r="B76" s="547">
        <v>4.5199999999999997E-2</v>
      </c>
      <c r="C76" s="476" t="s">
        <v>314</v>
      </c>
      <c r="D76" s="907"/>
    </row>
    <row r="77" spans="1:4" ht="14.6" thickBot="1">
      <c r="A77" s="492" t="s">
        <v>431</v>
      </c>
      <c r="B77" s="548">
        <v>1.9599999999999999E-2</v>
      </c>
      <c r="C77" s="477" t="s">
        <v>314</v>
      </c>
      <c r="D77" s="907"/>
    </row>
    <row r="78" spans="1:4">
      <c r="A78" s="544" t="s">
        <v>432</v>
      </c>
      <c r="B78" s="545">
        <v>4.1000000000000003E-3</v>
      </c>
      <c r="C78" s="546" t="s">
        <v>314</v>
      </c>
      <c r="D78" s="907"/>
    </row>
    <row r="79" spans="1:4">
      <c r="A79" s="483" t="s">
        <v>433</v>
      </c>
      <c r="B79" s="547">
        <v>2.7099999999999999E-2</v>
      </c>
      <c r="C79" s="476" t="s">
        <v>314</v>
      </c>
      <c r="D79" s="907"/>
    </row>
    <row r="80" spans="1:4" ht="14.6" thickBot="1">
      <c r="A80" s="492" t="s">
        <v>434</v>
      </c>
      <c r="B80" s="548">
        <v>1.9099999999999999E-2</v>
      </c>
      <c r="C80" s="477" t="s">
        <v>314</v>
      </c>
      <c r="D80" s="907"/>
    </row>
    <row r="81" spans="1:4">
      <c r="A81" s="544" t="s">
        <v>435</v>
      </c>
      <c r="B81" s="545">
        <v>0</v>
      </c>
      <c r="C81" s="546" t="s">
        <v>314</v>
      </c>
      <c r="D81" s="907"/>
    </row>
    <row r="82" spans="1:4">
      <c r="A82" s="483" t="s">
        <v>436</v>
      </c>
      <c r="B82" s="547">
        <v>0</v>
      </c>
      <c r="C82" s="476" t="s">
        <v>314</v>
      </c>
      <c r="D82" s="907"/>
    </row>
    <row r="83" spans="1:4" ht="14.6" thickBot="1">
      <c r="A83" s="492" t="s">
        <v>437</v>
      </c>
      <c r="B83" s="548">
        <v>1.84E-2</v>
      </c>
      <c r="C83" s="477" t="s">
        <v>314</v>
      </c>
      <c r="D83" s="907"/>
    </row>
    <row r="84" spans="1:4">
      <c r="A84" s="544" t="s">
        <v>438</v>
      </c>
      <c r="B84" s="545">
        <v>0</v>
      </c>
      <c r="C84" s="546" t="s">
        <v>314</v>
      </c>
      <c r="D84" s="907"/>
    </row>
    <row r="85" spans="1:4">
      <c r="A85" s="483" t="s">
        <v>439</v>
      </c>
      <c r="B85" s="547">
        <v>0</v>
      </c>
      <c r="C85" s="476" t="s">
        <v>314</v>
      </c>
      <c r="D85" s="907"/>
    </row>
    <row r="86" spans="1:4" ht="14.6" thickBot="1">
      <c r="A86" s="492" t="s">
        <v>440</v>
      </c>
      <c r="B86" s="548">
        <v>1.84E-2</v>
      </c>
      <c r="C86" s="477" t="s">
        <v>314</v>
      </c>
      <c r="D86" s="907"/>
    </row>
    <row r="87" spans="1:4" ht="16.5" customHeight="1">
      <c r="A87" s="544" t="s">
        <v>441</v>
      </c>
      <c r="B87" s="545">
        <v>3.6799999999999999E-2</v>
      </c>
      <c r="C87" s="546" t="s">
        <v>314</v>
      </c>
      <c r="D87" s="908" t="s">
        <v>321</v>
      </c>
    </row>
    <row r="88" spans="1:4">
      <c r="A88" s="483" t="s">
        <v>442</v>
      </c>
      <c r="B88" s="547">
        <v>0.85360000000000003</v>
      </c>
      <c r="C88" s="476" t="s">
        <v>314</v>
      </c>
      <c r="D88" s="908"/>
    </row>
    <row r="89" spans="1:4">
      <c r="A89" s="483" t="s">
        <v>443</v>
      </c>
      <c r="B89" s="547">
        <v>6.1600000000000002E-2</v>
      </c>
      <c r="C89" s="476" t="s">
        <v>314</v>
      </c>
      <c r="D89" s="908"/>
    </row>
    <row r="90" spans="1:4" ht="14.6" thickBot="1">
      <c r="A90" s="492" t="s">
        <v>444</v>
      </c>
      <c r="B90" s="548">
        <v>2.8E-3</v>
      </c>
      <c r="C90" s="477" t="s">
        <v>314</v>
      </c>
      <c r="D90" s="908"/>
    </row>
    <row r="91" spans="1:4">
      <c r="A91" s="544" t="s">
        <v>445</v>
      </c>
      <c r="B91" s="545">
        <v>2.9499999999999998E-2</v>
      </c>
      <c r="C91" s="546" t="s">
        <v>314</v>
      </c>
      <c r="D91" s="908"/>
    </row>
    <row r="92" spans="1:4">
      <c r="A92" s="483" t="s">
        <v>446</v>
      </c>
      <c r="B92" s="547">
        <v>0.68289999999999995</v>
      </c>
      <c r="C92" s="476" t="s">
        <v>314</v>
      </c>
      <c r="D92" s="908"/>
    </row>
    <row r="93" spans="1:4">
      <c r="A93" s="483" t="s">
        <v>447</v>
      </c>
      <c r="B93" s="547">
        <v>3.3099999999999997E-2</v>
      </c>
      <c r="C93" s="476" t="s">
        <v>314</v>
      </c>
      <c r="D93" s="908"/>
    </row>
    <row r="94" spans="1:4" ht="14.6" thickBot="1">
      <c r="A94" s="492" t="s">
        <v>448</v>
      </c>
      <c r="B94" s="548">
        <v>2.3E-3</v>
      </c>
      <c r="C94" s="477" t="s">
        <v>314</v>
      </c>
      <c r="D94" s="908"/>
    </row>
    <row r="95" spans="1:4">
      <c r="A95" s="549" t="s">
        <v>449</v>
      </c>
      <c r="B95" s="550">
        <v>0</v>
      </c>
      <c r="C95" s="546" t="s">
        <v>314</v>
      </c>
      <c r="D95" s="908"/>
    </row>
    <row r="96" spans="1:4">
      <c r="A96" s="483" t="s">
        <v>450</v>
      </c>
      <c r="B96" s="547">
        <v>0</v>
      </c>
      <c r="C96" s="476" t="s">
        <v>314</v>
      </c>
      <c r="D96" s="908"/>
    </row>
    <row r="97" spans="1:4">
      <c r="A97" s="483" t="s">
        <v>451</v>
      </c>
      <c r="B97" s="547">
        <v>3.09E-2</v>
      </c>
      <c r="C97" s="476" t="s">
        <v>314</v>
      </c>
      <c r="D97" s="908"/>
    </row>
    <row r="98" spans="1:4" ht="14.6" thickBot="1">
      <c r="A98" s="551" t="s">
        <v>452</v>
      </c>
      <c r="B98" s="552">
        <v>0</v>
      </c>
      <c r="C98" s="477" t="s">
        <v>314</v>
      </c>
      <c r="D98" s="908"/>
    </row>
    <row r="99" spans="1:4">
      <c r="A99" s="544" t="s">
        <v>453</v>
      </c>
      <c r="B99" s="545">
        <v>7.6600000000000001E-2</v>
      </c>
      <c r="C99" s="546" t="s">
        <v>314</v>
      </c>
      <c r="D99" s="908"/>
    </row>
    <row r="100" spans="1:4">
      <c r="A100" s="483" t="s">
        <v>454</v>
      </c>
      <c r="B100" s="553">
        <v>1.4040999999999999</v>
      </c>
      <c r="C100" s="476" t="s">
        <v>314</v>
      </c>
      <c r="D100" s="908"/>
    </row>
    <row r="101" spans="1:4" ht="16.3" customHeight="1">
      <c r="A101" s="483" t="s">
        <v>455</v>
      </c>
      <c r="B101" s="553">
        <v>0.1404</v>
      </c>
      <c r="C101" s="476" t="s">
        <v>314</v>
      </c>
      <c r="D101" s="908"/>
    </row>
    <row r="102" spans="1:4">
      <c r="A102" s="483" t="s">
        <v>456</v>
      </c>
      <c r="B102" s="553">
        <v>4.0399999999999998E-2</v>
      </c>
      <c r="C102" s="476" t="s">
        <v>314</v>
      </c>
      <c r="D102" s="908"/>
    </row>
    <row r="103" spans="1:4" ht="14.6" thickBot="1">
      <c r="A103" s="492" t="s">
        <v>457</v>
      </c>
      <c r="B103" s="554">
        <v>5.1000000000000004E-3</v>
      </c>
      <c r="C103" s="477" t="s">
        <v>314</v>
      </c>
      <c r="D103" s="908"/>
    </row>
    <row r="104" spans="1:4">
      <c r="A104" s="544" t="s">
        <v>458</v>
      </c>
      <c r="B104" s="545">
        <v>0</v>
      </c>
      <c r="C104" s="546" t="s">
        <v>314</v>
      </c>
      <c r="D104" s="908"/>
    </row>
    <row r="105" spans="1:4">
      <c r="A105" s="483" t="s">
        <v>459</v>
      </c>
      <c r="B105" s="553">
        <v>0</v>
      </c>
      <c r="C105" s="476" t="s">
        <v>314</v>
      </c>
      <c r="D105" s="908"/>
    </row>
    <row r="106" spans="1:4">
      <c r="A106" s="483" t="s">
        <v>460</v>
      </c>
      <c r="B106" s="553">
        <v>2.2200000000000001E-2</v>
      </c>
      <c r="C106" s="476" t="s">
        <v>314</v>
      </c>
      <c r="D106" s="908"/>
    </row>
    <row r="107" spans="1:4" ht="14.6" thickBot="1">
      <c r="A107" s="492" t="s">
        <v>461</v>
      </c>
      <c r="B107" s="554">
        <v>0</v>
      </c>
      <c r="C107" s="477" t="s">
        <v>314</v>
      </c>
      <c r="D107" s="909"/>
    </row>
    <row r="108" spans="1:4" ht="14.6" thickBot="1"/>
    <row r="109" spans="1:4" ht="14.6" thickBot="1">
      <c r="A109" s="910" t="s">
        <v>462</v>
      </c>
      <c r="B109" s="911"/>
      <c r="C109" s="911"/>
      <c r="D109" s="913"/>
    </row>
    <row r="110" spans="1:4">
      <c r="A110" s="529" t="s">
        <v>463</v>
      </c>
      <c r="B110" s="555">
        <v>3.84</v>
      </c>
      <c r="C110" s="531" t="s">
        <v>464</v>
      </c>
      <c r="D110" s="914" t="s">
        <v>465</v>
      </c>
    </row>
    <row r="111" spans="1:4">
      <c r="A111" s="529" t="s">
        <v>466</v>
      </c>
      <c r="B111" s="556">
        <v>3.52</v>
      </c>
      <c r="C111" s="524" t="s">
        <v>464</v>
      </c>
      <c r="D111" s="915"/>
    </row>
    <row r="112" spans="1:4">
      <c r="A112" s="557" t="s">
        <v>467</v>
      </c>
      <c r="B112" s="556">
        <v>0.73</v>
      </c>
      <c r="C112" s="524" t="s">
        <v>468</v>
      </c>
      <c r="D112" s="915"/>
    </row>
    <row r="113" spans="1:4" ht="14.6" thickBot="1">
      <c r="A113" s="535" t="s">
        <v>469</v>
      </c>
      <c r="B113" s="558">
        <v>0.1318</v>
      </c>
      <c r="C113" s="527" t="s">
        <v>470</v>
      </c>
      <c r="D113" s="916"/>
    </row>
    <row r="114" spans="1:4" ht="14.6" thickBot="1"/>
    <row r="115" spans="1:4" ht="14.6" thickBot="1">
      <c r="A115" s="910" t="s">
        <v>471</v>
      </c>
      <c r="B115" s="911"/>
      <c r="C115" s="911"/>
      <c r="D115" s="912"/>
    </row>
    <row r="116" spans="1:4" ht="15" customHeight="1">
      <c r="A116" s="529" t="s">
        <v>472</v>
      </c>
      <c r="B116" s="530">
        <v>0.72</v>
      </c>
      <c r="C116" s="531" t="s">
        <v>410</v>
      </c>
      <c r="D116" s="559" t="s">
        <v>473</v>
      </c>
    </row>
    <row r="117" spans="1:4" ht="14.6" thickBot="1">
      <c r="A117" s="535" t="s">
        <v>474</v>
      </c>
      <c r="B117" s="560">
        <v>0.7</v>
      </c>
      <c r="C117" s="527" t="s">
        <v>410</v>
      </c>
      <c r="D117" s="561" t="s">
        <v>475</v>
      </c>
    </row>
    <row r="118" spans="1:4" ht="14.6" thickBot="1"/>
    <row r="119" spans="1:4">
      <c r="A119" s="894" t="s">
        <v>476</v>
      </c>
      <c r="B119" s="895"/>
      <c r="C119" s="895"/>
      <c r="D119" s="896"/>
    </row>
    <row r="120" spans="1:4" ht="14.6" thickBot="1">
      <c r="A120" s="540" t="s">
        <v>477</v>
      </c>
      <c r="B120" s="541" t="s">
        <v>478</v>
      </c>
      <c r="C120" s="542" t="s">
        <v>292</v>
      </c>
      <c r="D120" s="543" t="s">
        <v>303</v>
      </c>
    </row>
    <row r="121" spans="1:4">
      <c r="A121" s="562" t="s">
        <v>479</v>
      </c>
      <c r="B121" s="563">
        <v>3.52</v>
      </c>
      <c r="C121" s="564" t="s">
        <v>464</v>
      </c>
      <c r="D121" s="903" t="s">
        <v>480</v>
      </c>
    </row>
    <row r="122" spans="1:4">
      <c r="A122" s="565" t="s">
        <v>481</v>
      </c>
      <c r="B122" s="566">
        <v>3.84</v>
      </c>
      <c r="C122" s="567" t="s">
        <v>464</v>
      </c>
      <c r="D122" s="904"/>
    </row>
    <row r="123" spans="1:4">
      <c r="A123" s="565" t="s">
        <v>472</v>
      </c>
      <c r="B123" s="566">
        <v>16.2</v>
      </c>
      <c r="C123" s="567" t="s">
        <v>482</v>
      </c>
      <c r="D123" s="904"/>
    </row>
    <row r="124" spans="1:4" ht="14.6" thickBot="1">
      <c r="A124" s="565" t="s">
        <v>483</v>
      </c>
      <c r="B124" s="568">
        <v>0.19089999999999999</v>
      </c>
      <c r="C124" s="567" t="s">
        <v>484</v>
      </c>
      <c r="D124" s="904"/>
    </row>
    <row r="125" spans="1:4">
      <c r="A125" s="544" t="s">
        <v>485</v>
      </c>
      <c r="B125" s="569">
        <f>'GHG ERFs'!B29/'GHG ERFs'!B26*'GHG ERFs'!B24*'Co-Ben ERFs'!B121</f>
        <v>4062.588966621347</v>
      </c>
      <c r="C125" s="570" t="s">
        <v>486</v>
      </c>
      <c r="D125" s="904"/>
    </row>
    <row r="126" spans="1:4">
      <c r="A126" s="483" t="s">
        <v>487</v>
      </c>
      <c r="B126" s="571">
        <f>'GHG ERFs'!B30/'GHG ERFs'!B26*'GHG ERFs'!B24*'Co-Ben ERFs'!B121</f>
        <v>3252.477445143053</v>
      </c>
      <c r="C126" s="572" t="s">
        <v>486</v>
      </c>
      <c r="D126" s="904"/>
    </row>
    <row r="127" spans="1:4">
      <c r="A127" s="483" t="s">
        <v>488</v>
      </c>
      <c r="B127" s="571">
        <f>'GHG ERFs'!B31/'GHG ERFs'!B26*'GHG ERFs'!B24*'Co-Ben ERFs'!B121</f>
        <v>2402.2613928985061</v>
      </c>
      <c r="C127" s="572" t="s">
        <v>486</v>
      </c>
      <c r="D127" s="904"/>
    </row>
    <row r="128" spans="1:4">
      <c r="A128" s="483" t="s">
        <v>489</v>
      </c>
      <c r="B128" s="571">
        <f>'GHG ERFs'!B32/'GHG ERFs'!B27*'GHG ERFs'!B24*'Co-Ben ERFs'!B124</f>
        <v>2085.7948939259254</v>
      </c>
      <c r="C128" s="572" t="s">
        <v>486</v>
      </c>
      <c r="D128" s="904"/>
    </row>
    <row r="129" spans="1:4">
      <c r="A129" s="483" t="s">
        <v>490</v>
      </c>
      <c r="B129" s="571">
        <f>'GHG ERFs'!B33/'GHG ERFs'!B28*'GHG ERFs'!B24*'Co-Ben ERFs'!B123</f>
        <v>7222.2943732640442</v>
      </c>
      <c r="C129" s="572" t="s">
        <v>486</v>
      </c>
      <c r="D129" s="904"/>
    </row>
    <row r="130" spans="1:4">
      <c r="A130" s="483" t="s">
        <v>491</v>
      </c>
      <c r="B130" s="571">
        <f>'GHG ERFs'!B34/'GHG ERFs'!B25*'GHG ERFs'!B24*'Co-Ben ERFs'!B122</f>
        <v>5666.9167063359564</v>
      </c>
      <c r="C130" s="572" t="s">
        <v>486</v>
      </c>
      <c r="D130" s="904"/>
    </row>
    <row r="131" spans="1:4">
      <c r="A131" s="483" t="s">
        <v>492</v>
      </c>
      <c r="B131" s="571">
        <f>'GHG ERFs'!B35/'GHG ERFs'!B25*'GHG ERFs'!B24*'Co-Ben ERFs'!B122</f>
        <v>4532.7872272535797</v>
      </c>
      <c r="C131" s="572" t="s">
        <v>486</v>
      </c>
      <c r="D131" s="904"/>
    </row>
    <row r="132" spans="1:4">
      <c r="A132" s="483" t="s">
        <v>493</v>
      </c>
      <c r="B132" s="571">
        <f>'GHG ERFs'!B36/'GHG ERFs'!B27*'GHG ERFs'!B24*'Co-Ben ERFs'!B124</f>
        <v>2100.640409185185</v>
      </c>
      <c r="C132" s="572" t="s">
        <v>486</v>
      </c>
      <c r="D132" s="904"/>
    </row>
    <row r="133" spans="1:4">
      <c r="A133" s="483" t="s">
        <v>494</v>
      </c>
      <c r="B133" s="571">
        <f>'GHG ERFs'!B37/'GHG ERFs'!B25*'GHG ERFs'!B24*'Co-Ben ERFs'!B122</f>
        <v>7838.1777485265602</v>
      </c>
      <c r="C133" s="572" t="s">
        <v>486</v>
      </c>
      <c r="D133" s="904"/>
    </row>
    <row r="134" spans="1:4" ht="14.6" thickBot="1">
      <c r="A134" s="492" t="s">
        <v>495</v>
      </c>
      <c r="B134" s="573">
        <f>'GHG ERFs'!B38/'GHG ERFs'!B27*'GHG ERFs'!B24*'Co-Ben ERFs'!B124</f>
        <v>2909.7209908148147</v>
      </c>
      <c r="C134" s="574" t="s">
        <v>486</v>
      </c>
      <c r="D134" s="905"/>
    </row>
  </sheetData>
  <sheetProtection algorithmName="SHA-512" hashValue="QgHxce8IbvGkLkewq3od/AoyGl8EhpEg0WXBRM6w9DGueFNI4yRZj6H6YKWx7vBjA5ybqlXUYKzjUz5T0aoQlQ==" saltValue="5zpZZ3T/2CX/vasHao+amA==" spinCount="100000" sheet="1" objects="1" scenarios="1"/>
  <mergeCells count="27">
    <mergeCell ref="A11:D11"/>
    <mergeCell ref="A13:D13"/>
    <mergeCell ref="A23:D23"/>
    <mergeCell ref="A29:D29"/>
    <mergeCell ref="A36:D36"/>
    <mergeCell ref="D31:D33"/>
    <mergeCell ref="D25:D26"/>
    <mergeCell ref="A51:D51"/>
    <mergeCell ref="D15:D17"/>
    <mergeCell ref="D18:D20"/>
    <mergeCell ref="D38:D41"/>
    <mergeCell ref="A119:D119"/>
    <mergeCell ref="A70:D70"/>
    <mergeCell ref="A63:D63"/>
    <mergeCell ref="A52:D52"/>
    <mergeCell ref="D64:D68"/>
    <mergeCell ref="D46:D49"/>
    <mergeCell ref="D53:D55"/>
    <mergeCell ref="D58:D61"/>
    <mergeCell ref="A57:D57"/>
    <mergeCell ref="A44:D44"/>
    <mergeCell ref="D121:D134"/>
    <mergeCell ref="D72:D86"/>
    <mergeCell ref="D87:D107"/>
    <mergeCell ref="A115:D115"/>
    <mergeCell ref="A109:D109"/>
    <mergeCell ref="D110:D113"/>
  </mergeCells>
  <hyperlinks>
    <hyperlink ref="A12" r:id="rId1" tooltip="CCI Resources" xr:uid="{00000000-0004-0000-0E00-000000000000}"/>
    <hyperlink ref="D53" r:id="rId2" xr:uid="{00000000-0004-0000-0E00-000001000000}"/>
    <hyperlink ref="D58" r:id="rId3" xr:uid="{00000000-0004-0000-0E00-000002000000}"/>
    <hyperlink ref="D64:D68" r:id="rId4" tooltip="Co-benefit Assessment Methodology for Soil Health and Conservation " display="https://www.arb.ca.gov/cc/capandtrade/auctionproceeds/final_soil_am.pdf" xr:uid="{00000000-0004-0000-0E00-000003000000}"/>
    <hyperlink ref="D110:D113" r:id="rId5" tooltip="Co-benefit Assessment Methodology for Energy and Fuel Cost Savings" display="https://www.arb.ca.gov/cc/capandtrade/auctionproceeds/final_energyfuelcost_am.pdf" xr:uid="{00000000-0004-0000-0E00-000004000000}"/>
    <hyperlink ref="D27" r:id="rId6" location="0" tooltip="Grid Electricity Factors" xr:uid="{00000000-0004-0000-0E00-000005000000}"/>
    <hyperlink ref="D15:D17" r:id="rId7" tooltip="Method for Estimating Greenhouse Gas Emission Reductions from Diversion of Organic Waste from Landfills to Compost Facilitie" display="California Air Resources Board, Method for Estimating Greenhouse Gas Emission Reductions from Diversion of Organic Waste from Landfills to Compost Facilities (May 2017) " xr:uid="{00000000-0004-0000-0E00-000006000000}"/>
    <hyperlink ref="D18:D20" r:id="rId8" tooltip="EPA AP-42, Compilation of Air Emission Factors, 2.4, Municipal Solid Waste Landfills" display="https://www3.epa.gov/ttnchie1/ap42/ch02/final/c02s04.pdf" xr:uid="{00000000-0004-0000-0E00-000007000000}"/>
    <hyperlink ref="D31:D33" r:id="rId9" tooltip="Natural gas emission factors for criteria pollutants - US EPA - AP-42, col. 1, CH 1.4: Natural Gas Combustion" display="https://www3.epa.gov/ttnchie1/ap42/ch01/final/c01s04.pdf" xr:uid="{00000000-0004-0000-0E00-000008000000}"/>
    <hyperlink ref="D34" r:id="rId10" xr:uid="{00000000-0004-0000-0E00-000009000000}"/>
    <hyperlink ref="D38:D41" r:id="rId11" tooltip="OFFROAD2017 (v1.0.1) Emission Inventory" display="http://www.arb.ca.gov/orion" xr:uid="{00000000-0004-0000-0E00-00000A000000}"/>
    <hyperlink ref="D46:D49" r:id="rId12" display="The Climate Change and Economic Impacts of Food Waste in the United States" xr:uid="{00000000-0004-0000-0E00-00000B000000}"/>
    <hyperlink ref="D116" r:id="rId13" xr:uid="{00000000-0004-0000-0E00-00000C000000}"/>
    <hyperlink ref="D117" r:id="rId14" xr:uid="{00000000-0004-0000-0E00-00000D000000}"/>
    <hyperlink ref="D121:D134" r:id="rId15" tooltip="CARB's Co-benefit Assessment Methodology for Energy and Fuel Cost Savings" display="https://www.arb.ca.gov/cc/capandtrade/auctionproceeds/final_energyfuelcost_am.pdf" xr:uid="{00000000-0004-0000-0E00-00000E000000}"/>
  </hyperlinks>
  <pageMargins left="0.7" right="0.7" top="0.75" bottom="0.75" header="0.3" footer="0.3"/>
  <pageSetup scale="35" orientation="portrait" r:id="rId16"/>
  <headerFooter>
    <oddFooter>&amp;LDRAFT January XX, 2019&amp;CPage &amp;P of &amp;N&amp;REmission Reduction Factors Worksheet</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46"/>
  <sheetViews>
    <sheetView showGridLines="0" zoomScaleNormal="100" workbookViewId="0">
      <selection activeCell="P34" sqref="P34"/>
    </sheetView>
  </sheetViews>
  <sheetFormatPr defaultRowHeight="14.6"/>
  <cols>
    <col min="1" max="2" width="20.69140625" customWidth="1"/>
    <col min="3" max="3" width="25.69140625" customWidth="1"/>
    <col min="4" max="4" width="23.84375" customWidth="1"/>
    <col min="6" max="9" width="9.15234375" customWidth="1"/>
  </cols>
  <sheetData>
    <row r="1" spans="1:6" ht="20.149999999999999" customHeight="1">
      <c r="A1" s="1" t="s">
        <v>496</v>
      </c>
      <c r="B1" s="1"/>
    </row>
    <row r="2" spans="1:6" ht="18" customHeight="1">
      <c r="A2" s="1"/>
      <c r="B2" s="1"/>
    </row>
    <row r="3" spans="1:6" ht="18" customHeight="1">
      <c r="A3" t="s">
        <v>497</v>
      </c>
    </row>
    <row r="4" spans="1:6" s="11" customFormat="1" ht="33" customHeight="1">
      <c r="A4" s="940" t="s">
        <v>498</v>
      </c>
      <c r="B4" s="940"/>
      <c r="C4" s="940"/>
      <c r="D4" s="940"/>
      <c r="E4" s="940"/>
      <c r="F4" s="940"/>
    </row>
    <row r="5" spans="1:6" s="14" customFormat="1" ht="18" customHeight="1">
      <c r="A5" s="57" t="s">
        <v>499</v>
      </c>
      <c r="B5" s="12"/>
      <c r="C5" s="13"/>
      <c r="D5" s="13"/>
      <c r="E5" s="13"/>
      <c r="F5" s="13"/>
    </row>
    <row r="6" spans="1:6" ht="18" customHeight="1">
      <c r="A6" t="s">
        <v>500</v>
      </c>
    </row>
    <row r="7" spans="1:6" ht="18" customHeight="1" thickBot="1"/>
    <row r="8" spans="1:6" ht="33" customHeight="1">
      <c r="A8" s="941" t="s">
        <v>501</v>
      </c>
      <c r="B8" s="942"/>
      <c r="C8" s="60" t="s">
        <v>502</v>
      </c>
    </row>
    <row r="9" spans="1:6" ht="18" customHeight="1">
      <c r="A9" s="938" t="s">
        <v>294</v>
      </c>
      <c r="B9" s="939"/>
      <c r="C9" s="52">
        <f>ROUND(C31-C24,2)</f>
        <v>0.32</v>
      </c>
    </row>
    <row r="10" spans="1:6" ht="18" customHeight="1">
      <c r="A10" s="938" t="s">
        <v>296</v>
      </c>
      <c r="B10" s="939"/>
      <c r="C10" s="52">
        <f>ROUND(C32-C24,2)</f>
        <v>0.14000000000000001</v>
      </c>
    </row>
    <row r="11" spans="1:6" ht="18" customHeight="1">
      <c r="A11" s="938" t="s">
        <v>503</v>
      </c>
      <c r="B11" s="939"/>
      <c r="C11" s="52">
        <f>ROUND(C31-(0.49*C22)-(0.48*C23),2)</f>
        <v>0.36</v>
      </c>
    </row>
    <row r="12" spans="1:6" ht="18" customHeight="1">
      <c r="A12" s="938" t="s">
        <v>504</v>
      </c>
      <c r="B12" s="939"/>
      <c r="C12" s="52">
        <f>ROUND(C32-(0.49*C22)-(0.48*C23),2)</f>
        <v>0.18</v>
      </c>
    </row>
    <row r="13" spans="1:6" ht="18" customHeight="1">
      <c r="A13" s="945" t="s">
        <v>299</v>
      </c>
      <c r="B13" s="946"/>
      <c r="C13" s="52">
        <f>ROUND(C31,2)</f>
        <v>0.39</v>
      </c>
    </row>
    <row r="14" spans="1:6" ht="18" customHeight="1" thickBot="1">
      <c r="A14" s="947" t="s">
        <v>300</v>
      </c>
      <c r="B14" s="948"/>
      <c r="C14" s="53">
        <f>ROUND(C32,2)</f>
        <v>0.21</v>
      </c>
    </row>
    <row r="15" spans="1:6" ht="15" customHeight="1"/>
    <row r="16" spans="1:6" ht="15" customHeight="1"/>
    <row r="17" spans="1:3" ht="18" customHeight="1" thickBot="1">
      <c r="A17" s="10" t="s">
        <v>505</v>
      </c>
      <c r="B17" s="10"/>
      <c r="C17" s="5"/>
    </row>
    <row r="18" spans="1:3" ht="15" customHeight="1">
      <c r="A18" s="949" t="s">
        <v>506</v>
      </c>
      <c r="B18" s="950"/>
      <c r="C18" s="951"/>
    </row>
    <row r="19" spans="1:3" ht="33" customHeight="1">
      <c r="A19" s="952" t="s">
        <v>507</v>
      </c>
      <c r="B19" s="953"/>
      <c r="C19" s="15" t="s">
        <v>508</v>
      </c>
    </row>
    <row r="20" spans="1:3" ht="18" customHeight="1">
      <c r="A20" s="943" t="s">
        <v>509</v>
      </c>
      <c r="B20" s="944"/>
      <c r="C20" s="16">
        <v>0</v>
      </c>
    </row>
    <row r="21" spans="1:3" ht="18" customHeight="1">
      <c r="A21" s="943" t="s">
        <v>510</v>
      </c>
      <c r="B21" s="944"/>
      <c r="C21" s="16">
        <v>0</v>
      </c>
    </row>
    <row r="22" spans="1:3" ht="18" customHeight="1">
      <c r="A22" s="943" t="s">
        <v>511</v>
      </c>
      <c r="B22" s="944"/>
      <c r="C22" s="16">
        <v>4.9000000000000002E-2</v>
      </c>
    </row>
    <row r="23" spans="1:3" ht="18" customHeight="1">
      <c r="A23" s="943" t="s">
        <v>512</v>
      </c>
      <c r="B23" s="944"/>
      <c r="C23" s="16">
        <v>2.1000000000000001E-2</v>
      </c>
    </row>
    <row r="24" spans="1:3" ht="18" customHeight="1">
      <c r="A24" s="954" t="s">
        <v>513</v>
      </c>
      <c r="B24" s="955"/>
      <c r="C24" s="17">
        <f>SUM(C20:C23)</f>
        <v>7.0000000000000007E-2</v>
      </c>
    </row>
    <row r="25" spans="1:3" ht="18" customHeight="1">
      <c r="A25" s="956" t="s">
        <v>514</v>
      </c>
      <c r="B25" s="957"/>
      <c r="C25" s="958"/>
    </row>
    <row r="26" spans="1:3" ht="33" customHeight="1">
      <c r="A26" s="952" t="s">
        <v>515</v>
      </c>
      <c r="B26" s="953"/>
      <c r="C26" s="15" t="s">
        <v>516</v>
      </c>
    </row>
    <row r="27" spans="1:3" ht="18" customHeight="1">
      <c r="A27" s="943" t="s">
        <v>517</v>
      </c>
      <c r="B27" s="944"/>
      <c r="C27" s="16">
        <v>0.15</v>
      </c>
    </row>
    <row r="28" spans="1:3" ht="18" customHeight="1">
      <c r="A28" s="943" t="s">
        <v>518</v>
      </c>
      <c r="B28" s="944"/>
      <c r="C28" s="16">
        <v>0.15</v>
      </c>
    </row>
    <row r="29" spans="1:3" ht="18" customHeight="1">
      <c r="A29" s="943" t="s">
        <v>519</v>
      </c>
      <c r="B29" s="944"/>
      <c r="C29" s="18">
        <v>0</v>
      </c>
    </row>
    <row r="30" spans="1:3" ht="18" customHeight="1">
      <c r="A30" s="960" t="s">
        <v>513</v>
      </c>
      <c r="B30" s="961"/>
      <c r="C30" s="16">
        <f>SUM(C27:C29)</f>
        <v>0.3</v>
      </c>
    </row>
    <row r="31" spans="1:3" ht="18" customHeight="1">
      <c r="A31" s="962" t="s">
        <v>520</v>
      </c>
      <c r="B31" s="265" t="s">
        <v>521</v>
      </c>
      <c r="C31" s="16">
        <v>0.39</v>
      </c>
    </row>
    <row r="32" spans="1:3" ht="18" customHeight="1">
      <c r="A32" s="963"/>
      <c r="B32" s="19" t="s">
        <v>522</v>
      </c>
      <c r="C32" s="20">
        <v>0.21</v>
      </c>
    </row>
    <row r="33" spans="1:9" ht="18" customHeight="1">
      <c r="A33" s="952" t="s">
        <v>523</v>
      </c>
      <c r="B33" s="953"/>
      <c r="C33" s="964"/>
    </row>
    <row r="34" spans="1:9" ht="33" customHeight="1">
      <c r="A34" s="952" t="s">
        <v>524</v>
      </c>
      <c r="B34" s="953"/>
      <c r="C34" s="15" t="s">
        <v>516</v>
      </c>
    </row>
    <row r="35" spans="1:9" ht="18" customHeight="1">
      <c r="A35" s="965" t="s">
        <v>521</v>
      </c>
      <c r="B35" s="966"/>
      <c r="C35" s="21">
        <f>C31+C30-C24</f>
        <v>0.61999999999999988</v>
      </c>
    </row>
    <row r="36" spans="1:9" ht="18" customHeight="1" thickBot="1">
      <c r="A36" s="967" t="s">
        <v>522</v>
      </c>
      <c r="B36" s="968"/>
      <c r="C36" s="22">
        <f>C32+C30-C24</f>
        <v>0.44</v>
      </c>
    </row>
    <row r="37" spans="1:9" ht="33" customHeight="1">
      <c r="A37" s="969" t="s">
        <v>525</v>
      </c>
      <c r="B37" s="969"/>
      <c r="C37" s="969"/>
      <c r="D37" s="969"/>
      <c r="E37" s="969"/>
      <c r="F37" s="969"/>
    </row>
    <row r="38" spans="1:9" ht="15" customHeight="1">
      <c r="A38" s="57" t="s">
        <v>499</v>
      </c>
      <c r="B38" s="265"/>
      <c r="C38" s="23"/>
    </row>
    <row r="39" spans="1:9" ht="15" customHeight="1">
      <c r="A39" s="24"/>
      <c r="B39" s="24"/>
    </row>
    <row r="40" spans="1:9" ht="15" customHeight="1">
      <c r="A40" s="24"/>
      <c r="B40" s="24"/>
    </row>
    <row r="41" spans="1:9" s="26" customFormat="1" ht="33" customHeight="1">
      <c r="A41" s="970" t="s">
        <v>526</v>
      </c>
      <c r="B41" s="970"/>
      <c r="C41" s="970"/>
      <c r="D41" s="970"/>
      <c r="E41" s="970"/>
      <c r="F41" s="970"/>
      <c r="G41" s="25"/>
      <c r="H41" s="25"/>
      <c r="I41" s="25"/>
    </row>
    <row r="42" spans="1:9" s="26" customFormat="1" ht="33" customHeight="1">
      <c r="A42" s="959" t="s">
        <v>527</v>
      </c>
      <c r="B42" s="959"/>
      <c r="C42" s="959"/>
      <c r="D42" s="959"/>
      <c r="E42" s="959"/>
      <c r="F42" s="959"/>
    </row>
    <row r="43" spans="1:9" s="14" customFormat="1" ht="18" customHeight="1">
      <c r="A43" s="57" t="s">
        <v>528</v>
      </c>
    </row>
    <row r="44" spans="1:9" ht="18" customHeight="1">
      <c r="A44" t="s">
        <v>529</v>
      </c>
    </row>
    <row r="45" spans="1:9" s="14" customFormat="1" ht="18" customHeight="1">
      <c r="A45" s="57" t="s">
        <v>530</v>
      </c>
    </row>
    <row r="46" spans="1:9" s="28" customFormat="1" ht="33" customHeight="1">
      <c r="A46" s="959" t="s">
        <v>531</v>
      </c>
      <c r="B46" s="959"/>
      <c r="C46" s="959"/>
      <c r="D46" s="959"/>
      <c r="E46" s="959"/>
      <c r="F46" s="959"/>
      <c r="G46" s="27"/>
      <c r="H46" s="27"/>
      <c r="I46" s="27"/>
    </row>
  </sheetData>
  <sheetProtection algorithmName="SHA-512" hashValue="xm1e6XH9guboV+G8nPW9HqMTqAc/ICqnku1uDZiVDLSMG167pjP7Zb+i+v0+6PaNlBUtaA9TtcUWrAi4wu7B+Q==" saltValue="RQvYKCJCSulEMHtfjvlvVw==" spinCount="100000" sheet="1" objects="1" scenarios="1"/>
  <mergeCells count="30">
    <mergeCell ref="A46:F46"/>
    <mergeCell ref="A28:B28"/>
    <mergeCell ref="A29:B29"/>
    <mergeCell ref="A30:B30"/>
    <mergeCell ref="A31:A32"/>
    <mergeCell ref="A33:C33"/>
    <mergeCell ref="A34:B34"/>
    <mergeCell ref="A35:B35"/>
    <mergeCell ref="A36:B36"/>
    <mergeCell ref="A37:F37"/>
    <mergeCell ref="A41:F41"/>
    <mergeCell ref="A42:F42"/>
    <mergeCell ref="A27:B27"/>
    <mergeCell ref="A13:B13"/>
    <mergeCell ref="A14:B14"/>
    <mergeCell ref="A18:C18"/>
    <mergeCell ref="A19:B19"/>
    <mergeCell ref="A20:B20"/>
    <mergeCell ref="A21:B21"/>
    <mergeCell ref="A22:B22"/>
    <mergeCell ref="A23:B23"/>
    <mergeCell ref="A24:B24"/>
    <mergeCell ref="A25:C25"/>
    <mergeCell ref="A26:B26"/>
    <mergeCell ref="A12:B12"/>
    <mergeCell ref="A4:F4"/>
    <mergeCell ref="A8:B8"/>
    <mergeCell ref="A9:B9"/>
    <mergeCell ref="A10:B10"/>
    <mergeCell ref="A11:B11"/>
  </mergeCells>
  <hyperlinks>
    <hyperlink ref="A43" r:id="rId1" tooltip="San Joaquin Valley Air Pollution Control District, Greenwaste Compost Site Emissions Reductions from Solar‐powered Aeration and Biofilter Layer" xr:uid="{00000000-0004-0000-0F00-000000000000}"/>
    <hyperlink ref="A45" r:id="rId2" tooltip="Climate Action Reserve Organic Waste Digestion Project Protocol Version 2.1 (2014)" xr:uid="{00000000-0004-0000-0F00-000001000000}"/>
    <hyperlink ref="A5" r:id="rId3" tooltip="Method for Estimating Greenhouse Gas Emission Reductions from Composting of Commercial Organic Waste" xr:uid="{00000000-0004-0000-0F00-000002000000}"/>
    <hyperlink ref="A38" r:id="rId4" tooltip="Method for Estimating Greenhouse Gas Emission Reductions from Composting of Commercial Organic Waste" xr:uid="{00000000-0004-0000-0F00-000003000000}"/>
  </hyperlinks>
  <pageMargins left="0.7" right="0.7" top="0.75" bottom="0.75" header="0.3" footer="0.3"/>
  <pageSetup scale="72" orientation="portrait" r:id="rId5"/>
  <headerFooter>
    <oddFooter>&amp;CPage 6 of 11&amp;RCompost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F90A-B1DD-4782-A556-7D3905DE0DED}">
  <sheetPr>
    <tabColor rgb="FFD9E1F2"/>
  </sheetPr>
  <dimension ref="A2:U95"/>
  <sheetViews>
    <sheetView zoomScaleNormal="100" workbookViewId="0">
      <selection activeCell="Q43" sqref="P43:Q43"/>
    </sheetView>
  </sheetViews>
  <sheetFormatPr defaultRowHeight="14.6"/>
  <cols>
    <col min="1" max="1" width="22" style="215" customWidth="1"/>
    <col min="2" max="2" width="19.53515625" style="212" customWidth="1"/>
    <col min="3" max="3" width="21.3828125" style="212" customWidth="1"/>
    <col min="4" max="4" width="17.84375" style="212" bestFit="1" customWidth="1"/>
    <col min="5" max="5" width="11.53515625" style="212" bestFit="1" customWidth="1"/>
    <col min="6" max="7" width="16.15234375" style="212" customWidth="1"/>
    <col min="8" max="8" width="16" style="212" customWidth="1"/>
    <col min="9" max="9" width="11.84375" style="212" customWidth="1"/>
    <col min="10" max="10" width="13.765625" style="212" customWidth="1"/>
    <col min="11" max="11" width="14.07421875" style="212" customWidth="1"/>
    <col min="12" max="12" width="13.765625" style="212" customWidth="1"/>
    <col min="13" max="13" width="12.15234375" style="14" bestFit="1" customWidth="1"/>
    <col min="14" max="15" width="12.15234375" style="14" customWidth="1"/>
    <col min="16" max="16" width="14.53515625" style="14" customWidth="1"/>
  </cols>
  <sheetData>
    <row r="2" spans="1:21" ht="18">
      <c r="A2" s="412" t="s">
        <v>723</v>
      </c>
      <c r="B2" s="393"/>
      <c r="C2" s="393"/>
      <c r="D2" s="393"/>
      <c r="E2" s="393"/>
      <c r="F2" s="393"/>
      <c r="G2" s="393"/>
      <c r="H2" s="384"/>
      <c r="I2" s="384"/>
      <c r="J2" s="384"/>
      <c r="K2" s="384"/>
      <c r="L2" s="384"/>
      <c r="M2" s="384"/>
      <c r="N2" s="384"/>
      <c r="O2" s="384"/>
      <c r="P2" s="384"/>
      <c r="Q2" s="384"/>
      <c r="R2" s="384"/>
      <c r="S2" s="384"/>
      <c r="T2" s="384"/>
      <c r="U2" s="384"/>
    </row>
    <row r="3" spans="1:21" ht="62.15" customHeight="1">
      <c r="A3" s="438" t="s">
        <v>119</v>
      </c>
      <c r="B3" s="438" t="s">
        <v>121</v>
      </c>
      <c r="C3" s="438" t="s">
        <v>127</v>
      </c>
      <c r="D3" s="438" t="s">
        <v>725</v>
      </c>
      <c r="E3" s="438" t="s">
        <v>724</v>
      </c>
      <c r="F3" s="438" t="s">
        <v>128</v>
      </c>
      <c r="G3" s="438" t="s">
        <v>726</v>
      </c>
      <c r="H3" s="439" t="s">
        <v>727</v>
      </c>
      <c r="I3" s="439" t="s">
        <v>728</v>
      </c>
      <c r="J3" s="439" t="s">
        <v>729</v>
      </c>
      <c r="K3" s="439" t="s">
        <v>731</v>
      </c>
      <c r="L3" s="439" t="s">
        <v>732</v>
      </c>
      <c r="M3" s="439" t="s">
        <v>734</v>
      </c>
      <c r="N3" s="439" t="s">
        <v>734</v>
      </c>
      <c r="O3" s="439" t="s">
        <v>735</v>
      </c>
      <c r="P3" s="439" t="s">
        <v>733</v>
      </c>
      <c r="Q3" s="439"/>
      <c r="R3" s="439"/>
      <c r="S3" s="439"/>
      <c r="T3" s="439"/>
    </row>
    <row r="4" spans="1:21">
      <c r="A4" s="218">
        <f>'Lawn Management'!$B$18</f>
        <v>0</v>
      </c>
      <c r="B4" s="219">
        <f>'Lawn Management'!$B$19</f>
        <v>0</v>
      </c>
      <c r="C4" s="219">
        <f>'Lawn Management'!C23</f>
        <v>0</v>
      </c>
      <c r="D4" s="219">
        <f>'Lawn Management'!D23</f>
        <v>0</v>
      </c>
      <c r="E4" s="219">
        <f>'Lawn Management'!E23</f>
        <v>0</v>
      </c>
      <c r="F4" s="219">
        <f>'Lawn Management'!F23</f>
        <v>0</v>
      </c>
      <c r="G4" s="219">
        <f>IF(E4="ac",D4,D4/43.56)</f>
        <v>0</v>
      </c>
      <c r="H4" s="219">
        <f>IF(F4="In-house",0.75,1)</f>
        <v>1</v>
      </c>
      <c r="I4" s="219">
        <f>IF(A4="Yes",1,0)</f>
        <v>0</v>
      </c>
      <c r="J4" s="219">
        <f>IF(B4="Conventional",1,0)</f>
        <v>0</v>
      </c>
      <c r="K4" s="440" t="e">
        <f>VLOOKUP(C4,$A$36:$C$93,2,FALSE)</f>
        <v>#N/A</v>
      </c>
      <c r="L4" s="441" t="e">
        <f>VLOOKUP(C4,$A$36:$C$93,3,FALSE)</f>
        <v>#N/A</v>
      </c>
      <c r="M4" s="442" t="e">
        <f>G4*H4*$F$31*K4*43.56*298*(1/2204)*10</f>
        <v>#N/A</v>
      </c>
      <c r="N4" s="442">
        <f>+(G4*H4*$F$31*$E$31*43.56*(1/2204))*10</f>
        <v>0</v>
      </c>
      <c r="O4" s="442" t="e">
        <f>SUM(M4:N4)*I4*J4</f>
        <v>#N/A</v>
      </c>
      <c r="P4" s="443" t="e">
        <f>G4*H4*$F$31*L4*43.56*10*I4*J4</f>
        <v>#N/A</v>
      </c>
      <c r="Q4" s="443"/>
      <c r="R4" s="51"/>
      <c r="S4" s="51"/>
      <c r="T4" s="51"/>
    </row>
    <row r="5" spans="1:21">
      <c r="A5" s="218">
        <f>'Lawn Management'!$B$18</f>
        <v>0</v>
      </c>
      <c r="B5" s="219">
        <f>'Lawn Management'!$B$19</f>
        <v>0</v>
      </c>
      <c r="C5" s="219">
        <f>'Lawn Management'!C24</f>
        <v>0</v>
      </c>
      <c r="D5" s="219">
        <f>'Lawn Management'!D24</f>
        <v>0</v>
      </c>
      <c r="E5" s="219">
        <f>'Lawn Management'!E24</f>
        <v>0</v>
      </c>
      <c r="F5" s="219">
        <f>'Lawn Management'!F24</f>
        <v>0</v>
      </c>
      <c r="G5" s="219">
        <f t="shared" ref="G5:G10" si="0">IF(E5="ac",D5,D5/43.56)</f>
        <v>0</v>
      </c>
      <c r="H5" s="219">
        <f t="shared" ref="H5:H10" si="1">IF(F5="In-house",0.75,1)</f>
        <v>1</v>
      </c>
      <c r="I5" s="219">
        <f t="shared" ref="I5:I10" si="2">IF(A5="Yes",1,0)</f>
        <v>0</v>
      </c>
      <c r="J5" s="219">
        <f t="shared" ref="J5:J10" si="3">IF(B5="Conventional",1,0)</f>
        <v>0</v>
      </c>
      <c r="K5" s="440" t="e">
        <f t="shared" ref="K5:K10" si="4">VLOOKUP(C5,$A$36:$C$93,2,FALSE)</f>
        <v>#N/A</v>
      </c>
      <c r="L5" s="441" t="e">
        <f t="shared" ref="L5:L10" si="5">VLOOKUP(C5,$A$36:$C$93,3,FALSE)</f>
        <v>#N/A</v>
      </c>
      <c r="M5" s="442" t="e">
        <f t="shared" ref="M5:M10" si="6">G5*H5*$F$31*K5*43.56*298*(1/2204)*10</f>
        <v>#N/A</v>
      </c>
      <c r="N5" s="442">
        <f t="shared" ref="N5:N10" si="7">+(G5*H5*$F$31*$E$31*43.56*(1/2204))*10</f>
        <v>0</v>
      </c>
      <c r="O5" s="442" t="e">
        <f t="shared" ref="O5:O10" si="8">SUM(M5:N5)*I5*J5</f>
        <v>#N/A</v>
      </c>
      <c r="P5" s="443" t="e">
        <f t="shared" ref="P5:P10" si="9">G5*H5*$F$31*L5*43.56*10*I5*J5</f>
        <v>#N/A</v>
      </c>
      <c r="Q5" s="443"/>
      <c r="R5" s="51"/>
      <c r="S5" s="51"/>
      <c r="T5" s="51"/>
    </row>
    <row r="6" spans="1:21">
      <c r="A6" s="218">
        <f>'Lawn Management'!$B$18</f>
        <v>0</v>
      </c>
      <c r="B6" s="219">
        <f>'Lawn Management'!$B$19</f>
        <v>0</v>
      </c>
      <c r="C6" s="219">
        <f>'Lawn Management'!C25</f>
        <v>0</v>
      </c>
      <c r="D6" s="219">
        <f>'Lawn Management'!D25</f>
        <v>0</v>
      </c>
      <c r="E6" s="219">
        <f>'Lawn Management'!E25</f>
        <v>0</v>
      </c>
      <c r="F6" s="219">
        <f>'Lawn Management'!F25</f>
        <v>0</v>
      </c>
      <c r="G6" s="219">
        <f t="shared" si="0"/>
        <v>0</v>
      </c>
      <c r="H6" s="219">
        <f t="shared" si="1"/>
        <v>1</v>
      </c>
      <c r="I6" s="219">
        <f t="shared" si="2"/>
        <v>0</v>
      </c>
      <c r="J6" s="219">
        <f t="shared" si="3"/>
        <v>0</v>
      </c>
      <c r="K6" s="440" t="e">
        <f t="shared" si="4"/>
        <v>#N/A</v>
      </c>
      <c r="L6" s="441" t="e">
        <f t="shared" si="5"/>
        <v>#N/A</v>
      </c>
      <c r="M6" s="442" t="e">
        <f t="shared" si="6"/>
        <v>#N/A</v>
      </c>
      <c r="N6" s="442">
        <f t="shared" si="7"/>
        <v>0</v>
      </c>
      <c r="O6" s="442" t="e">
        <f t="shared" si="8"/>
        <v>#N/A</v>
      </c>
      <c r="P6" s="443" t="e">
        <f t="shared" si="9"/>
        <v>#N/A</v>
      </c>
      <c r="Q6" s="443"/>
      <c r="R6" s="51"/>
      <c r="S6" s="51"/>
      <c r="T6" s="51"/>
    </row>
    <row r="7" spans="1:21">
      <c r="A7" s="218">
        <f>'Lawn Management'!$B$18</f>
        <v>0</v>
      </c>
      <c r="B7" s="219">
        <f>'Lawn Management'!$B$19</f>
        <v>0</v>
      </c>
      <c r="C7" s="219">
        <f>'Lawn Management'!C26</f>
        <v>0</v>
      </c>
      <c r="D7" s="219">
        <f>'Lawn Management'!D26</f>
        <v>0</v>
      </c>
      <c r="E7" s="219">
        <f>'Lawn Management'!E26</f>
        <v>0</v>
      </c>
      <c r="F7" s="219">
        <f>'Lawn Management'!F26</f>
        <v>0</v>
      </c>
      <c r="G7" s="219">
        <f t="shared" si="0"/>
        <v>0</v>
      </c>
      <c r="H7" s="219">
        <f t="shared" si="1"/>
        <v>1</v>
      </c>
      <c r="I7" s="219">
        <f t="shared" si="2"/>
        <v>0</v>
      </c>
      <c r="J7" s="219">
        <f t="shared" si="3"/>
        <v>0</v>
      </c>
      <c r="K7" s="440" t="e">
        <f t="shared" si="4"/>
        <v>#N/A</v>
      </c>
      <c r="L7" s="441" t="e">
        <f t="shared" si="5"/>
        <v>#N/A</v>
      </c>
      <c r="M7" s="442" t="e">
        <f t="shared" si="6"/>
        <v>#N/A</v>
      </c>
      <c r="N7" s="442">
        <f t="shared" si="7"/>
        <v>0</v>
      </c>
      <c r="O7" s="442" t="e">
        <f t="shared" si="8"/>
        <v>#N/A</v>
      </c>
      <c r="P7" s="443" t="e">
        <f t="shared" si="9"/>
        <v>#N/A</v>
      </c>
      <c r="Q7" s="443"/>
      <c r="R7" s="51"/>
      <c r="S7" s="51"/>
      <c r="T7" s="51"/>
    </row>
    <row r="8" spans="1:21">
      <c r="A8" s="218">
        <f>'Lawn Management'!$B$18</f>
        <v>0</v>
      </c>
      <c r="B8" s="219">
        <f>'Lawn Management'!$B$19</f>
        <v>0</v>
      </c>
      <c r="C8" s="219">
        <f>'Lawn Management'!C27</f>
        <v>0</v>
      </c>
      <c r="D8" s="219">
        <f>'Lawn Management'!D27</f>
        <v>0</v>
      </c>
      <c r="E8" s="219">
        <f>'Lawn Management'!E27</f>
        <v>0</v>
      </c>
      <c r="F8" s="219">
        <f>'Lawn Management'!F27</f>
        <v>0</v>
      </c>
      <c r="G8" s="219">
        <f t="shared" si="0"/>
        <v>0</v>
      </c>
      <c r="H8" s="219">
        <f t="shared" si="1"/>
        <v>1</v>
      </c>
      <c r="I8" s="219">
        <f t="shared" si="2"/>
        <v>0</v>
      </c>
      <c r="J8" s="219">
        <f t="shared" si="3"/>
        <v>0</v>
      </c>
      <c r="K8" s="440" t="e">
        <f t="shared" si="4"/>
        <v>#N/A</v>
      </c>
      <c r="L8" s="441" t="e">
        <f t="shared" si="5"/>
        <v>#N/A</v>
      </c>
      <c r="M8" s="442" t="e">
        <f t="shared" si="6"/>
        <v>#N/A</v>
      </c>
      <c r="N8" s="442">
        <f t="shared" si="7"/>
        <v>0</v>
      </c>
      <c r="O8" s="442" t="e">
        <f t="shared" si="8"/>
        <v>#N/A</v>
      </c>
      <c r="P8" s="443" t="e">
        <f t="shared" si="9"/>
        <v>#N/A</v>
      </c>
      <c r="Q8" s="443"/>
      <c r="R8" s="51"/>
      <c r="S8" s="51"/>
      <c r="T8" s="51"/>
    </row>
    <row r="9" spans="1:21">
      <c r="A9" s="218">
        <f>'Lawn Management'!$B$18</f>
        <v>0</v>
      </c>
      <c r="B9" s="219">
        <f>'Lawn Management'!$B$19</f>
        <v>0</v>
      </c>
      <c r="C9" s="219">
        <f>'Lawn Management'!C28</f>
        <v>0</v>
      </c>
      <c r="D9" s="219">
        <f>'Lawn Management'!D28</f>
        <v>0</v>
      </c>
      <c r="E9" s="219">
        <f>'Lawn Management'!E28</f>
        <v>0</v>
      </c>
      <c r="F9" s="219">
        <f>'Lawn Management'!F28</f>
        <v>0</v>
      </c>
      <c r="G9" s="219">
        <f t="shared" si="0"/>
        <v>0</v>
      </c>
      <c r="H9" s="219">
        <f t="shared" si="1"/>
        <v>1</v>
      </c>
      <c r="I9" s="219">
        <f t="shared" si="2"/>
        <v>0</v>
      </c>
      <c r="J9" s="219">
        <f t="shared" si="3"/>
        <v>0</v>
      </c>
      <c r="K9" s="440" t="e">
        <f t="shared" si="4"/>
        <v>#N/A</v>
      </c>
      <c r="L9" s="441" t="e">
        <f t="shared" si="5"/>
        <v>#N/A</v>
      </c>
      <c r="M9" s="442" t="e">
        <f t="shared" si="6"/>
        <v>#N/A</v>
      </c>
      <c r="N9" s="442">
        <f t="shared" si="7"/>
        <v>0</v>
      </c>
      <c r="O9" s="442" t="e">
        <f t="shared" si="8"/>
        <v>#N/A</v>
      </c>
      <c r="P9" s="443" t="e">
        <f t="shared" si="9"/>
        <v>#N/A</v>
      </c>
      <c r="Q9" s="443"/>
      <c r="R9" s="51"/>
      <c r="S9" s="51"/>
      <c r="T9" s="51"/>
    </row>
    <row r="10" spans="1:21">
      <c r="A10" s="218">
        <f>'Lawn Management'!$B$18</f>
        <v>0</v>
      </c>
      <c r="B10" s="219">
        <f>'Lawn Management'!$B$19</f>
        <v>0</v>
      </c>
      <c r="C10" s="219">
        <f>'Lawn Management'!C29</f>
        <v>0</v>
      </c>
      <c r="D10" s="219">
        <f>'Lawn Management'!D29</f>
        <v>0</v>
      </c>
      <c r="E10" s="219">
        <f>'Lawn Management'!E29</f>
        <v>0</v>
      </c>
      <c r="F10" s="219">
        <f>'Lawn Management'!F29</f>
        <v>0</v>
      </c>
      <c r="G10" s="219">
        <f t="shared" si="0"/>
        <v>0</v>
      </c>
      <c r="H10" s="219">
        <f t="shared" si="1"/>
        <v>1</v>
      </c>
      <c r="I10" s="219">
        <f t="shared" si="2"/>
        <v>0</v>
      </c>
      <c r="J10" s="219">
        <f t="shared" si="3"/>
        <v>0</v>
      </c>
      <c r="K10" s="440" t="e">
        <f t="shared" si="4"/>
        <v>#N/A</v>
      </c>
      <c r="L10" s="441" t="e">
        <f t="shared" si="5"/>
        <v>#N/A</v>
      </c>
      <c r="M10" s="442" t="e">
        <f t="shared" si="6"/>
        <v>#N/A</v>
      </c>
      <c r="N10" s="442">
        <f t="shared" si="7"/>
        <v>0</v>
      </c>
      <c r="O10" s="442" t="e">
        <f t="shared" si="8"/>
        <v>#N/A</v>
      </c>
      <c r="P10" s="443" t="e">
        <f t="shared" si="9"/>
        <v>#N/A</v>
      </c>
      <c r="Q10" s="443"/>
      <c r="R10" s="51"/>
      <c r="S10" s="51"/>
      <c r="T10" s="51"/>
    </row>
    <row r="11" spans="1:21">
      <c r="L11" s="14"/>
      <c r="P11"/>
    </row>
    <row r="12" spans="1:21">
      <c r="F12" s="212" t="s">
        <v>241</v>
      </c>
      <c r="I12" s="252"/>
    </row>
    <row r="13" spans="1:21" ht="43.75">
      <c r="A13" s="216" t="s">
        <v>242</v>
      </c>
      <c r="B13" s="217" t="s">
        <v>243</v>
      </c>
      <c r="C13" s="217" t="s">
        <v>244</v>
      </c>
      <c r="D13" s="217" t="s">
        <v>245</v>
      </c>
      <c r="E13" s="217" t="s">
        <v>246</v>
      </c>
      <c r="F13" s="216" t="s">
        <v>247</v>
      </c>
      <c r="G13" s="216" t="s">
        <v>248</v>
      </c>
      <c r="H13" s="217" t="s">
        <v>249</v>
      </c>
      <c r="I13" s="217" t="s">
        <v>250</v>
      </c>
      <c r="J13" s="217" t="s">
        <v>251</v>
      </c>
      <c r="K13" s="251"/>
      <c r="L13"/>
      <c r="M13"/>
      <c r="N13"/>
      <c r="O13"/>
      <c r="P13"/>
    </row>
    <row r="14" spans="1:21">
      <c r="A14" s="216" t="s">
        <v>252</v>
      </c>
      <c r="B14" s="219">
        <v>35</v>
      </c>
      <c r="C14" s="220">
        <v>2460.8000000000002</v>
      </c>
      <c r="D14" s="221">
        <f>C14/2.20462262/454</f>
        <v>2.4585905397181387</v>
      </c>
      <c r="E14" s="221">
        <f>D14*(B14/100)</f>
        <v>0.86050668890134852</v>
      </c>
      <c r="F14" s="219">
        <v>3</v>
      </c>
      <c r="G14" s="219">
        <f>F14*43560/1000</f>
        <v>130.68</v>
      </c>
      <c r="H14" s="221">
        <f t="shared" ref="H14:H30" si="10">E14*F14</f>
        <v>2.5815200667040457</v>
      </c>
      <c r="I14" s="363">
        <f>H14/1000000</f>
        <v>2.5815200667040457E-6</v>
      </c>
      <c r="J14" s="363">
        <f>H14/1000000*43560/1000</f>
        <v>1.1245101410562823E-4</v>
      </c>
      <c r="K14"/>
      <c r="L14"/>
      <c r="M14"/>
      <c r="N14"/>
      <c r="O14"/>
      <c r="P14"/>
    </row>
    <row r="15" spans="1:21">
      <c r="A15" s="218"/>
      <c r="B15" s="219">
        <v>33.5</v>
      </c>
      <c r="C15" s="220">
        <v>2280</v>
      </c>
      <c r="D15" s="221">
        <f>C15/2.20462262/454</f>
        <v>2.2779528732759089</v>
      </c>
      <c r="E15" s="221">
        <f t="shared" ref="E15:E30" si="11">D15*(B15/100)</f>
        <v>0.7631142125474295</v>
      </c>
      <c r="F15" s="219">
        <v>3</v>
      </c>
      <c r="G15" s="219">
        <f t="shared" ref="G15:G30" si="12">F15*43560/1000</f>
        <v>130.68</v>
      </c>
      <c r="H15" s="221">
        <f t="shared" si="10"/>
        <v>2.2893426376422887</v>
      </c>
      <c r="I15" s="363">
        <f t="shared" ref="I15:I30" si="13">H15/1000000</f>
        <v>2.2893426376422888E-6</v>
      </c>
      <c r="J15" s="363">
        <f t="shared" ref="J15:J30" si="14">H15/1000000*43560/1000</f>
        <v>9.972376529569809E-5</v>
      </c>
      <c r="K15"/>
      <c r="L15"/>
      <c r="M15"/>
      <c r="N15"/>
      <c r="O15"/>
      <c r="P15"/>
    </row>
    <row r="16" spans="1:21">
      <c r="A16" s="218"/>
      <c r="B16" s="219">
        <v>33.5</v>
      </c>
      <c r="C16" s="220">
        <v>1000</v>
      </c>
      <c r="D16" s="221">
        <f t="shared" ref="D16:D30" si="15">C16/2.20462262/454</f>
        <v>0.99910213740171439</v>
      </c>
      <c r="E16" s="221">
        <f t="shared" si="11"/>
        <v>0.33469921602957436</v>
      </c>
      <c r="F16" s="219">
        <v>3</v>
      </c>
      <c r="G16" s="219">
        <f t="shared" si="12"/>
        <v>130.68</v>
      </c>
      <c r="H16" s="221">
        <f t="shared" si="10"/>
        <v>1.0040976480887231</v>
      </c>
      <c r="I16" s="363">
        <f t="shared" si="13"/>
        <v>1.0040976480887231E-6</v>
      </c>
      <c r="J16" s="363">
        <f t="shared" si="14"/>
        <v>4.3738493550744782E-5</v>
      </c>
      <c r="K16"/>
      <c r="L16"/>
      <c r="M16"/>
      <c r="N16"/>
      <c r="O16"/>
      <c r="P16"/>
    </row>
    <row r="17" spans="1:16">
      <c r="A17" s="218"/>
      <c r="B17" s="219">
        <v>33.5</v>
      </c>
      <c r="C17" s="220">
        <v>2381.4</v>
      </c>
      <c r="D17" s="221">
        <f t="shared" si="15"/>
        <v>2.3792618300084429</v>
      </c>
      <c r="E17" s="221">
        <f t="shared" si="11"/>
        <v>0.79705271305282843</v>
      </c>
      <c r="F17" s="219">
        <v>3</v>
      </c>
      <c r="G17" s="219">
        <f t="shared" si="12"/>
        <v>130.68</v>
      </c>
      <c r="H17" s="221">
        <f t="shared" si="10"/>
        <v>2.3911581391584855</v>
      </c>
      <c r="I17" s="363">
        <f t="shared" si="13"/>
        <v>2.3911581391584853E-6</v>
      </c>
      <c r="J17" s="363">
        <f t="shared" si="14"/>
        <v>1.0415884854174363E-4</v>
      </c>
      <c r="K17"/>
      <c r="L17"/>
      <c r="M17"/>
      <c r="N17"/>
      <c r="O17"/>
      <c r="P17"/>
    </row>
    <row r="18" spans="1:16">
      <c r="A18" s="218"/>
      <c r="B18" s="219">
        <v>33.5</v>
      </c>
      <c r="C18" s="220">
        <v>2189.8000000000002</v>
      </c>
      <c r="D18" s="221">
        <f t="shared" si="15"/>
        <v>2.1878338604822742</v>
      </c>
      <c r="E18" s="221">
        <f t="shared" si="11"/>
        <v>0.73292434326156186</v>
      </c>
      <c r="F18" s="219">
        <v>3</v>
      </c>
      <c r="G18" s="219">
        <f t="shared" si="12"/>
        <v>130.68</v>
      </c>
      <c r="H18" s="221">
        <f t="shared" si="10"/>
        <v>2.1987730297846855</v>
      </c>
      <c r="I18" s="363">
        <f t="shared" si="13"/>
        <v>2.1987730297846853E-6</v>
      </c>
      <c r="J18" s="363">
        <f t="shared" si="14"/>
        <v>9.5778553177420879E-5</v>
      </c>
      <c r="K18"/>
      <c r="L18"/>
      <c r="M18"/>
      <c r="N18"/>
      <c r="O18"/>
      <c r="P18"/>
    </row>
    <row r="19" spans="1:16">
      <c r="A19" s="218"/>
      <c r="B19" s="219">
        <v>33.5</v>
      </c>
      <c r="C19" s="220">
        <v>2253.1999999999998</v>
      </c>
      <c r="D19" s="221">
        <f t="shared" si="15"/>
        <v>2.2511769359935427</v>
      </c>
      <c r="E19" s="221">
        <f t="shared" si="11"/>
        <v>0.75414427355783686</v>
      </c>
      <c r="F19" s="219">
        <v>3</v>
      </c>
      <c r="G19" s="219">
        <f t="shared" si="12"/>
        <v>130.68</v>
      </c>
      <c r="H19" s="221">
        <f t="shared" si="10"/>
        <v>2.2624328206735105</v>
      </c>
      <c r="I19" s="363">
        <f t="shared" si="13"/>
        <v>2.2624328206735104E-6</v>
      </c>
      <c r="J19" s="363">
        <f t="shared" si="14"/>
        <v>9.8551573668538114E-5</v>
      </c>
      <c r="K19"/>
      <c r="L19"/>
      <c r="M19"/>
      <c r="N19"/>
      <c r="O19"/>
      <c r="P19"/>
    </row>
    <row r="20" spans="1:16" ht="29.15">
      <c r="A20" s="216" t="s">
        <v>253</v>
      </c>
      <c r="B20" s="219">
        <v>27</v>
      </c>
      <c r="C20" s="220">
        <v>2336.9</v>
      </c>
      <c r="D20" s="221">
        <f t="shared" si="15"/>
        <v>2.3348017848940663</v>
      </c>
      <c r="E20" s="221">
        <f t="shared" si="11"/>
        <v>0.63039648192139797</v>
      </c>
      <c r="F20" s="219">
        <v>3</v>
      </c>
      <c r="G20" s="219">
        <f t="shared" si="12"/>
        <v>130.68</v>
      </c>
      <c r="H20" s="221">
        <f t="shared" si="10"/>
        <v>1.8911894457641938</v>
      </c>
      <c r="I20" s="363">
        <f t="shared" si="13"/>
        <v>1.8911894457641937E-6</v>
      </c>
      <c r="J20" s="363">
        <f t="shared" si="14"/>
        <v>8.2380212257488272E-5</v>
      </c>
      <c r="K20"/>
      <c r="L20"/>
      <c r="M20"/>
      <c r="N20"/>
      <c r="O20"/>
      <c r="P20"/>
    </row>
    <row r="21" spans="1:16">
      <c r="A21" s="218"/>
      <c r="B21" s="219">
        <v>27</v>
      </c>
      <c r="C21" s="220">
        <v>2639.2</v>
      </c>
      <c r="D21" s="221">
        <f t="shared" si="15"/>
        <v>2.6368303610306048</v>
      </c>
      <c r="E21" s="221">
        <f t="shared" si="11"/>
        <v>0.71194419747826332</v>
      </c>
      <c r="F21" s="219">
        <v>3</v>
      </c>
      <c r="G21" s="219">
        <f t="shared" si="12"/>
        <v>130.68</v>
      </c>
      <c r="H21" s="221">
        <f t="shared" si="10"/>
        <v>2.1358325924347898</v>
      </c>
      <c r="I21" s="363">
        <f t="shared" si="13"/>
        <v>2.1358325924347896E-6</v>
      </c>
      <c r="J21" s="363">
        <f t="shared" si="14"/>
        <v>9.3036867726459447E-5</v>
      </c>
      <c r="K21"/>
      <c r="L21"/>
      <c r="M21"/>
      <c r="N21"/>
      <c r="O21"/>
      <c r="P21"/>
    </row>
    <row r="22" spans="1:16">
      <c r="A22" s="218"/>
      <c r="B22" s="219">
        <v>27</v>
      </c>
      <c r="C22" s="220">
        <v>2601.1</v>
      </c>
      <c r="D22" s="221">
        <f t="shared" si="15"/>
        <v>2.5987645695955992</v>
      </c>
      <c r="E22" s="221">
        <f t="shared" si="11"/>
        <v>0.70166643379081184</v>
      </c>
      <c r="F22" s="219">
        <v>3</v>
      </c>
      <c r="G22" s="219">
        <f t="shared" si="12"/>
        <v>130.68</v>
      </c>
      <c r="H22" s="221">
        <f t="shared" si="10"/>
        <v>2.1049993013724357</v>
      </c>
      <c r="I22" s="363">
        <f t="shared" si="13"/>
        <v>2.1049993013724358E-6</v>
      </c>
      <c r="J22" s="363">
        <f t="shared" si="14"/>
        <v>9.1693769567783296E-5</v>
      </c>
      <c r="K22"/>
      <c r="L22"/>
      <c r="M22"/>
      <c r="N22"/>
      <c r="O22"/>
      <c r="P22"/>
    </row>
    <row r="23" spans="1:16">
      <c r="A23" s="218"/>
      <c r="B23" s="219">
        <v>26.5</v>
      </c>
      <c r="C23" s="220">
        <v>1982.7</v>
      </c>
      <c r="D23" s="221">
        <f t="shared" si="15"/>
        <v>1.9809198078263792</v>
      </c>
      <c r="E23" s="221">
        <f t="shared" si="11"/>
        <v>0.52494374907399055</v>
      </c>
      <c r="F23" s="219">
        <v>3</v>
      </c>
      <c r="G23" s="219">
        <f t="shared" si="12"/>
        <v>130.68</v>
      </c>
      <c r="H23" s="221">
        <f t="shared" si="10"/>
        <v>1.5748312472219717</v>
      </c>
      <c r="I23" s="363">
        <f t="shared" si="13"/>
        <v>1.5748312472219717E-6</v>
      </c>
      <c r="J23" s="363">
        <f t="shared" si="14"/>
        <v>6.8599649128989085E-5</v>
      </c>
      <c r="K23"/>
      <c r="L23"/>
      <c r="M23"/>
      <c r="N23"/>
      <c r="O23"/>
      <c r="P23"/>
    </row>
    <row r="24" spans="1:16">
      <c r="A24" s="218"/>
      <c r="B24" s="219">
        <v>26.5</v>
      </c>
      <c r="C24" s="220">
        <v>1820</v>
      </c>
      <c r="D24" s="221">
        <f t="shared" si="15"/>
        <v>1.8183658900711202</v>
      </c>
      <c r="E24" s="221">
        <f t="shared" si="11"/>
        <v>0.48186696086884684</v>
      </c>
      <c r="F24" s="219">
        <v>3</v>
      </c>
      <c r="G24" s="219">
        <f t="shared" si="12"/>
        <v>130.68</v>
      </c>
      <c r="H24" s="221">
        <f t="shared" si="10"/>
        <v>1.4456008826065405</v>
      </c>
      <c r="I24" s="363">
        <f t="shared" si="13"/>
        <v>1.4456008826065406E-6</v>
      </c>
      <c r="J24" s="363">
        <f t="shared" si="14"/>
        <v>6.2970374446340906E-5</v>
      </c>
      <c r="K24"/>
      <c r="L24"/>
      <c r="M24"/>
      <c r="N24"/>
      <c r="O24"/>
      <c r="P24"/>
    </row>
    <row r="25" spans="1:16">
      <c r="A25" s="218"/>
      <c r="B25" s="219">
        <v>26.5</v>
      </c>
      <c r="C25" s="220">
        <v>800</v>
      </c>
      <c r="D25" s="221">
        <f t="shared" si="15"/>
        <v>0.79928170992137149</v>
      </c>
      <c r="E25" s="221">
        <f t="shared" si="11"/>
        <v>0.21180965312916344</v>
      </c>
      <c r="F25" s="219">
        <v>3</v>
      </c>
      <c r="G25" s="219">
        <f t="shared" si="12"/>
        <v>130.68</v>
      </c>
      <c r="H25" s="221">
        <f t="shared" si="10"/>
        <v>0.63542895938749033</v>
      </c>
      <c r="I25" s="363">
        <f t="shared" si="13"/>
        <v>6.3542895938749036E-7</v>
      </c>
      <c r="J25" s="363">
        <f t="shared" si="14"/>
        <v>2.767928547091908E-5</v>
      </c>
      <c r="K25"/>
      <c r="L25"/>
      <c r="M25"/>
      <c r="N25"/>
      <c r="O25"/>
      <c r="P25"/>
    </row>
    <row r="26" spans="1:16">
      <c r="A26" s="218"/>
      <c r="B26" s="219">
        <v>27.9</v>
      </c>
      <c r="C26" s="220">
        <v>1900</v>
      </c>
      <c r="D26" s="221">
        <f t="shared" si="15"/>
        <v>1.8982940610632575</v>
      </c>
      <c r="E26" s="221">
        <f t="shared" si="11"/>
        <v>0.52962404303664878</v>
      </c>
      <c r="F26" s="219">
        <v>3</v>
      </c>
      <c r="G26" s="219">
        <f t="shared" si="12"/>
        <v>130.68</v>
      </c>
      <c r="H26" s="221">
        <f t="shared" si="10"/>
        <v>1.5888721291099464</v>
      </c>
      <c r="I26" s="363">
        <f t="shared" si="13"/>
        <v>1.5888721291099463E-6</v>
      </c>
      <c r="J26" s="363">
        <f t="shared" si="14"/>
        <v>6.9211269944029259E-5</v>
      </c>
      <c r="K26"/>
      <c r="L26"/>
      <c r="M26"/>
      <c r="N26"/>
      <c r="O26"/>
      <c r="P26"/>
    </row>
    <row r="27" spans="1:16">
      <c r="A27" s="216" t="s">
        <v>254</v>
      </c>
      <c r="B27" s="219">
        <v>46</v>
      </c>
      <c r="C27" s="220">
        <v>1848</v>
      </c>
      <c r="D27" s="221">
        <f t="shared" si="15"/>
        <v>1.8463407499183682</v>
      </c>
      <c r="E27" s="221">
        <f t="shared" si="11"/>
        <v>0.84931674496244935</v>
      </c>
      <c r="F27" s="219">
        <v>3</v>
      </c>
      <c r="G27" s="219">
        <f t="shared" si="12"/>
        <v>130.68</v>
      </c>
      <c r="H27" s="221">
        <f t="shared" si="10"/>
        <v>2.547950234887348</v>
      </c>
      <c r="I27" s="363">
        <f t="shared" si="13"/>
        <v>2.547950234887348E-6</v>
      </c>
      <c r="J27" s="363">
        <f t="shared" si="14"/>
        <v>1.1098871223169288E-4</v>
      </c>
      <c r="K27"/>
      <c r="L27"/>
      <c r="M27"/>
      <c r="N27"/>
      <c r="O27"/>
      <c r="P27"/>
    </row>
    <row r="28" spans="1:16">
      <c r="A28" s="218"/>
      <c r="B28" s="219">
        <v>46</v>
      </c>
      <c r="C28" s="220">
        <v>610</v>
      </c>
      <c r="D28" s="221">
        <f t="shared" si="15"/>
        <v>0.60945230381504578</v>
      </c>
      <c r="E28" s="221">
        <f t="shared" si="11"/>
        <v>0.28034805975492105</v>
      </c>
      <c r="F28" s="219">
        <v>3</v>
      </c>
      <c r="G28" s="219">
        <f t="shared" si="12"/>
        <v>130.68</v>
      </c>
      <c r="H28" s="221">
        <f t="shared" si="10"/>
        <v>0.84104417926476316</v>
      </c>
      <c r="I28" s="363">
        <f t="shared" si="13"/>
        <v>8.4104417926476316E-7</v>
      </c>
      <c r="J28" s="363">
        <f t="shared" si="14"/>
        <v>3.6635884448773081E-5</v>
      </c>
      <c r="K28"/>
      <c r="L28"/>
      <c r="M28"/>
      <c r="N28"/>
      <c r="O28"/>
      <c r="P28"/>
    </row>
    <row r="29" spans="1:16">
      <c r="A29" s="218"/>
      <c r="B29" s="219">
        <v>46</v>
      </c>
      <c r="C29" s="220">
        <v>420</v>
      </c>
      <c r="D29" s="221">
        <f t="shared" si="15"/>
        <v>0.41962289770872008</v>
      </c>
      <c r="E29" s="221">
        <f t="shared" si="11"/>
        <v>0.19302653294601124</v>
      </c>
      <c r="F29" s="219">
        <v>3</v>
      </c>
      <c r="G29" s="219">
        <f t="shared" si="12"/>
        <v>130.68</v>
      </c>
      <c r="H29" s="221">
        <f t="shared" si="10"/>
        <v>0.57907959883803373</v>
      </c>
      <c r="I29" s="363">
        <f t="shared" si="13"/>
        <v>5.7907959883803374E-7</v>
      </c>
      <c r="J29" s="363">
        <f t="shared" si="14"/>
        <v>2.5224707325384751E-5</v>
      </c>
      <c r="K29"/>
      <c r="L29"/>
      <c r="M29"/>
      <c r="N29"/>
      <c r="O29"/>
      <c r="P29"/>
    </row>
    <row r="30" spans="1:16">
      <c r="A30" s="218"/>
      <c r="B30" s="219">
        <v>46</v>
      </c>
      <c r="C30" s="220">
        <v>785.4</v>
      </c>
      <c r="D30" s="221">
        <f t="shared" si="15"/>
        <v>0.78469481871530655</v>
      </c>
      <c r="E30" s="221">
        <f t="shared" si="11"/>
        <v>0.36095961660904102</v>
      </c>
      <c r="F30" s="219">
        <v>3</v>
      </c>
      <c r="G30" s="219">
        <f t="shared" si="12"/>
        <v>130.68</v>
      </c>
      <c r="H30" s="221">
        <f t="shared" si="10"/>
        <v>1.0828788498271231</v>
      </c>
      <c r="I30" s="363">
        <f t="shared" si="13"/>
        <v>1.0828788498271231E-6</v>
      </c>
      <c r="J30" s="363">
        <f t="shared" si="14"/>
        <v>4.7170202698469484E-5</v>
      </c>
      <c r="K30"/>
      <c r="L30"/>
      <c r="M30"/>
      <c r="N30"/>
      <c r="O30"/>
      <c r="P30"/>
    </row>
    <row r="31" spans="1:16">
      <c r="A31" s="222" t="s">
        <v>255</v>
      </c>
      <c r="B31" s="223">
        <f t="shared" ref="B31:J31" si="16">AVERAGE(B14:B30)</f>
        <v>33.817647058823525</v>
      </c>
      <c r="C31" s="223">
        <f t="shared" si="16"/>
        <v>1782.8529411764705</v>
      </c>
      <c r="D31" s="371">
        <f t="shared" si="16"/>
        <v>1.7812521842023448</v>
      </c>
      <c r="E31" s="371">
        <f t="shared" si="16"/>
        <v>0.57166728946600731</v>
      </c>
      <c r="F31" s="224">
        <f t="shared" si="16"/>
        <v>3</v>
      </c>
      <c r="G31" s="224">
        <f t="shared" si="16"/>
        <v>130.68000000000004</v>
      </c>
      <c r="H31" s="223">
        <f t="shared" si="16"/>
        <v>1.7150018683980224</v>
      </c>
      <c r="I31" s="224">
        <f t="shared" si="16"/>
        <v>1.7150018683980221E-6</v>
      </c>
      <c r="J31" s="224">
        <f t="shared" si="16"/>
        <v>7.470548138741784E-5</v>
      </c>
      <c r="K31"/>
      <c r="L31"/>
      <c r="M31"/>
      <c r="N31"/>
      <c r="O31"/>
      <c r="P31"/>
    </row>
    <row r="32" spans="1:16">
      <c r="J32" s="225"/>
    </row>
    <row r="33" spans="1:20">
      <c r="A33" s="212"/>
    </row>
    <row r="34" spans="1:20">
      <c r="A34" s="971" t="s">
        <v>709</v>
      </c>
      <c r="B34" s="972"/>
      <c r="C34" s="972"/>
      <c r="D34" s="972"/>
      <c r="E34" s="972"/>
      <c r="F34" s="972"/>
      <c r="G34" s="972"/>
      <c r="H34" s="972"/>
      <c r="I34" s="972"/>
      <c r="J34" s="972"/>
      <c r="K34" s="972"/>
      <c r="L34" s="972"/>
      <c r="M34" s="972"/>
      <c r="N34" s="972"/>
      <c r="O34" s="972"/>
      <c r="P34" s="972"/>
      <c r="Q34" s="972"/>
      <c r="R34" s="972"/>
      <c r="S34" s="972"/>
      <c r="T34" s="972"/>
    </row>
    <row r="35" spans="1:20">
      <c r="A35" s="235" t="s">
        <v>127</v>
      </c>
      <c r="B35" s="235" t="s">
        <v>256</v>
      </c>
      <c r="C35" s="235" t="s">
        <v>257</v>
      </c>
    </row>
    <row r="36" spans="1:20">
      <c r="A36" s="229" t="s">
        <v>149</v>
      </c>
      <c r="B36" s="231">
        <v>3.6852999999999997E-2</v>
      </c>
      <c r="C36" s="231">
        <v>2.4985E-2</v>
      </c>
    </row>
    <row r="37" spans="1:20">
      <c r="A37" s="229" t="s">
        <v>151</v>
      </c>
      <c r="B37" s="231">
        <v>3.9229E-2</v>
      </c>
      <c r="C37" s="231">
        <v>2.6091E-2</v>
      </c>
    </row>
    <row r="38" spans="1:20">
      <c r="A38" s="229" t="s">
        <v>153</v>
      </c>
      <c r="B38" s="231">
        <v>3.9172999999999999E-2</v>
      </c>
      <c r="C38" s="231">
        <v>2.6075000000000001E-2</v>
      </c>
    </row>
    <row r="39" spans="1:20">
      <c r="A39" s="229" t="s">
        <v>154</v>
      </c>
      <c r="B39" s="231">
        <v>9.4763E-2</v>
      </c>
      <c r="C39" s="231">
        <v>5.4796999999999998E-2</v>
      </c>
    </row>
    <row r="40" spans="1:20">
      <c r="A40" s="229" t="s">
        <v>155</v>
      </c>
      <c r="B40" s="231">
        <v>3.3903000000000003E-2</v>
      </c>
      <c r="C40" s="231">
        <v>2.2268E-2</v>
      </c>
    </row>
    <row r="41" spans="1:20">
      <c r="A41" s="229" t="s">
        <v>156</v>
      </c>
      <c r="B41" s="231">
        <v>4.3984000000000002E-2</v>
      </c>
      <c r="C41" s="231">
        <v>2.0715999999999998E-2</v>
      </c>
    </row>
    <row r="42" spans="1:20">
      <c r="A42" s="229" t="s">
        <v>157</v>
      </c>
      <c r="B42" s="231">
        <v>3.3660000000000002E-2</v>
      </c>
      <c r="C42" s="231">
        <v>2.2808999999999999E-2</v>
      </c>
    </row>
    <row r="43" spans="1:20">
      <c r="A43" s="229" t="s">
        <v>158</v>
      </c>
      <c r="B43" s="231">
        <v>0.12611800000000001</v>
      </c>
      <c r="C43" s="231">
        <v>4.4748999999999997E-2</v>
      </c>
    </row>
    <row r="44" spans="1:20">
      <c r="A44" s="229" t="s">
        <v>159</v>
      </c>
      <c r="B44" s="231">
        <v>5.1996000000000001E-2</v>
      </c>
      <c r="C44" s="231">
        <v>3.0452E-2</v>
      </c>
    </row>
    <row r="45" spans="1:20">
      <c r="A45" s="229" t="s">
        <v>160</v>
      </c>
      <c r="B45" s="231">
        <v>1.3566999999999999E-2</v>
      </c>
      <c r="C45" s="231">
        <v>1.0947999999999999E-2</v>
      </c>
    </row>
    <row r="46" spans="1:20">
      <c r="A46" s="229" t="s">
        <v>161</v>
      </c>
      <c r="B46" s="231">
        <v>3.7336000000000001E-2</v>
      </c>
      <c r="C46" s="231">
        <v>2.4417999999999999E-2</v>
      </c>
    </row>
    <row r="47" spans="1:20">
      <c r="A47" s="229" t="s">
        <v>162</v>
      </c>
      <c r="B47" s="231">
        <v>9.5433000000000004E-2</v>
      </c>
      <c r="C47" s="231">
        <v>4.2665000000000002E-2</v>
      </c>
    </row>
    <row r="48" spans="1:20">
      <c r="A48" s="229" t="s">
        <v>163</v>
      </c>
      <c r="B48" s="231">
        <v>2.7740999999999998E-2</v>
      </c>
      <c r="C48" s="231">
        <v>1.9862000000000001E-2</v>
      </c>
    </row>
    <row r="49" spans="1:3">
      <c r="A49" s="229" t="s">
        <v>164</v>
      </c>
      <c r="B49" s="231">
        <v>5.0730000000000003E-3</v>
      </c>
      <c r="C49" s="231">
        <v>5.1269999999999996E-3</v>
      </c>
    </row>
    <row r="50" spans="1:3">
      <c r="A50" s="229" t="s">
        <v>165</v>
      </c>
      <c r="B50" s="231">
        <v>5.3550000000000004E-3</v>
      </c>
      <c r="C50" s="231">
        <v>5.1079999999999997E-3</v>
      </c>
    </row>
    <row r="51" spans="1:3">
      <c r="A51" s="229" t="s">
        <v>166</v>
      </c>
      <c r="B51" s="231">
        <v>1.1675E-2</v>
      </c>
      <c r="C51" s="231">
        <v>9.2429999999999995E-3</v>
      </c>
    </row>
    <row r="52" spans="1:3">
      <c r="A52" s="229" t="s">
        <v>167</v>
      </c>
      <c r="B52" s="231">
        <v>6.8711999999999995E-2</v>
      </c>
      <c r="C52" s="231">
        <v>3.8935999999999998E-2</v>
      </c>
    </row>
    <row r="53" spans="1:3">
      <c r="A53" s="229" t="s">
        <v>168</v>
      </c>
      <c r="B53" s="231">
        <v>1.4576E-2</v>
      </c>
      <c r="C53" s="231">
        <v>9.6270000000000001E-3</v>
      </c>
    </row>
    <row r="54" spans="1:3">
      <c r="A54" s="229" t="s">
        <v>169</v>
      </c>
      <c r="B54" s="231">
        <v>1.5807999999999999E-2</v>
      </c>
      <c r="C54" s="231">
        <v>1.2017E-2</v>
      </c>
    </row>
    <row r="55" spans="1:3">
      <c r="A55" s="229" t="s">
        <v>170</v>
      </c>
      <c r="B55" s="231">
        <v>1.3736E-2</v>
      </c>
      <c r="C55" s="231">
        <v>1.0474000000000001E-2</v>
      </c>
    </row>
    <row r="56" spans="1:3">
      <c r="A56" s="229" t="s">
        <v>171</v>
      </c>
      <c r="B56" s="231">
        <v>3.4500999999999997E-2</v>
      </c>
      <c r="C56" s="231">
        <v>2.6182E-2</v>
      </c>
    </row>
    <row r="57" spans="1:3">
      <c r="A57" s="229" t="s">
        <v>172</v>
      </c>
      <c r="B57" s="231">
        <v>8.0370999999999998E-2</v>
      </c>
      <c r="C57" s="231">
        <v>5.1547000000000003E-2</v>
      </c>
    </row>
    <row r="58" spans="1:3">
      <c r="A58" s="229" t="s">
        <v>173</v>
      </c>
      <c r="B58" s="231">
        <v>9.9416000000000004E-2</v>
      </c>
      <c r="C58" s="231">
        <v>4.7196000000000002E-2</v>
      </c>
    </row>
    <row r="59" spans="1:3">
      <c r="A59" s="229" t="s">
        <v>174</v>
      </c>
      <c r="B59" s="231">
        <v>1.4312E-2</v>
      </c>
      <c r="C59" s="231">
        <v>1.1074000000000001E-2</v>
      </c>
    </row>
    <row r="60" spans="1:3">
      <c r="A60" s="229" t="s">
        <v>175</v>
      </c>
      <c r="B60" s="231">
        <v>3.0523999999999999E-2</v>
      </c>
      <c r="C60" s="231">
        <v>1.2959E-2</v>
      </c>
    </row>
    <row r="61" spans="1:3">
      <c r="A61" s="229" t="s">
        <v>176</v>
      </c>
      <c r="B61" s="231">
        <v>3.1077E-2</v>
      </c>
      <c r="C61" s="231">
        <v>2.0067999999999999E-2</v>
      </c>
    </row>
    <row r="62" spans="1:3">
      <c r="A62" s="229" t="s">
        <v>177</v>
      </c>
      <c r="B62" s="231">
        <v>4.4692999999999997E-2</v>
      </c>
      <c r="C62" s="231">
        <v>3.2263E-2</v>
      </c>
    </row>
    <row r="63" spans="1:3">
      <c r="A63" s="229" t="s">
        <v>178</v>
      </c>
      <c r="B63" s="231">
        <v>8.0726999999999993E-2</v>
      </c>
      <c r="C63" s="231">
        <v>4.9930000000000002E-2</v>
      </c>
    </row>
    <row r="64" spans="1:3">
      <c r="A64" s="229" t="s">
        <v>179</v>
      </c>
      <c r="B64" s="231">
        <v>9.3427999999999997E-2</v>
      </c>
      <c r="C64" s="231">
        <v>4.1931999999999997E-2</v>
      </c>
    </row>
    <row r="65" spans="1:3">
      <c r="A65" s="229" t="s">
        <v>180</v>
      </c>
      <c r="B65" s="231">
        <v>2.9253000000000001E-2</v>
      </c>
      <c r="C65" s="231">
        <v>2.1246000000000001E-2</v>
      </c>
    </row>
    <row r="66" spans="1:3">
      <c r="A66" s="229" t="s">
        <v>181</v>
      </c>
      <c r="B66" s="231">
        <v>3.2806000000000002E-2</v>
      </c>
      <c r="C66" s="231">
        <v>2.1642999999999999E-2</v>
      </c>
    </row>
    <row r="67" spans="1:3">
      <c r="A67" s="229" t="s">
        <v>182</v>
      </c>
      <c r="B67" s="231">
        <v>3.5525000000000001E-2</v>
      </c>
      <c r="C67" s="231">
        <v>2.2589999999999999E-2</v>
      </c>
    </row>
    <row r="68" spans="1:3">
      <c r="A68" s="229" t="s">
        <v>183</v>
      </c>
      <c r="B68" s="231">
        <v>5.9239999999999996E-3</v>
      </c>
      <c r="C68" s="231">
        <v>5.6620000000000004E-3</v>
      </c>
    </row>
    <row r="69" spans="1:3">
      <c r="A69" s="229" t="s">
        <v>135</v>
      </c>
      <c r="B69" s="231">
        <v>3.7699000000000003E-2</v>
      </c>
      <c r="C69" s="231">
        <v>2.5226999999999999E-2</v>
      </c>
    </row>
    <row r="70" spans="1:3">
      <c r="A70" s="229" t="s">
        <v>184</v>
      </c>
      <c r="B70" s="231">
        <v>3.0627000000000001E-2</v>
      </c>
      <c r="C70" s="231">
        <v>2.3231000000000002E-2</v>
      </c>
    </row>
    <row r="71" spans="1:3">
      <c r="A71" s="229" t="s">
        <v>185</v>
      </c>
      <c r="B71" s="231">
        <v>7.1170000000000001E-3</v>
      </c>
      <c r="C71" s="231">
        <v>6.3369999999999998E-3</v>
      </c>
    </row>
    <row r="72" spans="1:3">
      <c r="A72" s="229" t="s">
        <v>186</v>
      </c>
      <c r="B72" s="231">
        <v>3.5652000000000003E-2</v>
      </c>
      <c r="C72" s="231">
        <v>2.3337E-2</v>
      </c>
    </row>
    <row r="73" spans="1:3">
      <c r="A73" s="229" t="s">
        <v>187</v>
      </c>
      <c r="B73" s="231">
        <v>8.5038000000000002E-2</v>
      </c>
      <c r="C73" s="231">
        <v>4.9061E-2</v>
      </c>
    </row>
    <row r="74" spans="1:3">
      <c r="A74" s="229" t="s">
        <v>188</v>
      </c>
      <c r="B74" s="231">
        <v>3.0755999999999999E-2</v>
      </c>
      <c r="C74" s="231">
        <v>2.0763E-2</v>
      </c>
    </row>
    <row r="75" spans="1:3">
      <c r="A75" s="229" t="s">
        <v>189</v>
      </c>
      <c r="B75" s="231">
        <v>4.9639000000000003E-2</v>
      </c>
      <c r="C75" s="231">
        <v>3.5383999999999999E-2</v>
      </c>
    </row>
    <row r="76" spans="1:3">
      <c r="A76" s="229" t="s">
        <v>190</v>
      </c>
      <c r="B76" s="231">
        <v>6.4397999999999997E-2</v>
      </c>
      <c r="C76" s="231">
        <v>3.9335000000000002E-2</v>
      </c>
    </row>
    <row r="77" spans="1:3">
      <c r="A77" s="229" t="s">
        <v>191</v>
      </c>
      <c r="B77" s="231">
        <v>3.2894E-2</v>
      </c>
      <c r="C77" s="231">
        <v>2.3895E-2</v>
      </c>
    </row>
    <row r="78" spans="1:3">
      <c r="A78" s="229" t="s">
        <v>192</v>
      </c>
      <c r="B78" s="231">
        <v>7.5159000000000004E-2</v>
      </c>
      <c r="C78" s="231">
        <v>5.1337000000000001E-2</v>
      </c>
    </row>
    <row r="79" spans="1:3">
      <c r="A79" s="229" t="s">
        <v>193</v>
      </c>
      <c r="B79" s="231">
        <v>5.2618999999999999E-2</v>
      </c>
      <c r="C79" s="231">
        <v>3.6644000000000003E-2</v>
      </c>
    </row>
    <row r="80" spans="1:3">
      <c r="A80" s="229" t="s">
        <v>194</v>
      </c>
      <c r="B80" s="231">
        <v>5.2241999999999997E-2</v>
      </c>
      <c r="C80" s="231">
        <v>2.7761000000000001E-2</v>
      </c>
    </row>
    <row r="81" spans="1:3">
      <c r="A81" s="229" t="s">
        <v>195</v>
      </c>
      <c r="B81" s="231">
        <v>3.4876999999999998E-2</v>
      </c>
      <c r="C81" s="231">
        <v>2.461E-2</v>
      </c>
    </row>
    <row r="82" spans="1:3">
      <c r="A82" s="229" t="s">
        <v>196</v>
      </c>
      <c r="B82" s="231">
        <v>2.1706E-2</v>
      </c>
      <c r="C82" s="231">
        <v>1.4021E-2</v>
      </c>
    </row>
    <row r="83" spans="1:3">
      <c r="A83" s="229" t="s">
        <v>197</v>
      </c>
      <c r="B83" s="231">
        <v>5.1879000000000002E-2</v>
      </c>
      <c r="C83" s="231">
        <v>3.2752999999999997E-2</v>
      </c>
    </row>
    <row r="84" spans="1:3">
      <c r="A84" s="229" t="s">
        <v>198</v>
      </c>
      <c r="B84" s="231">
        <v>8.5138000000000005E-2</v>
      </c>
      <c r="C84" s="231">
        <v>4.8039999999999999E-2</v>
      </c>
    </row>
    <row r="85" spans="1:3">
      <c r="A85" s="229" t="s">
        <v>199</v>
      </c>
      <c r="B85" s="231">
        <v>1.4241E-2</v>
      </c>
      <c r="C85" s="231">
        <v>1.0607999999999999E-2</v>
      </c>
    </row>
    <row r="86" spans="1:3">
      <c r="A86" s="229" t="s">
        <v>200</v>
      </c>
      <c r="B86" s="231">
        <v>2.9862E-2</v>
      </c>
      <c r="C86" s="231">
        <v>1.7923999999999999E-2</v>
      </c>
    </row>
    <row r="87" spans="1:3">
      <c r="A87" s="229" t="s">
        <v>201</v>
      </c>
      <c r="B87" s="231">
        <v>5.3026999999999998E-2</v>
      </c>
      <c r="C87" s="231">
        <v>3.3821999999999998E-2</v>
      </c>
    </row>
    <row r="88" spans="1:3">
      <c r="A88" s="229" t="s">
        <v>202</v>
      </c>
      <c r="B88" s="231">
        <v>5.9930999999999998E-2</v>
      </c>
      <c r="C88" s="231">
        <v>3.5852000000000002E-2</v>
      </c>
    </row>
    <row r="89" spans="1:3">
      <c r="A89" s="229" t="s">
        <v>203</v>
      </c>
      <c r="B89" s="231">
        <v>1.1146E-2</v>
      </c>
      <c r="C89" s="231">
        <v>9.2219999999999993E-3</v>
      </c>
    </row>
    <row r="90" spans="1:3">
      <c r="A90" s="229" t="s">
        <v>204</v>
      </c>
      <c r="B90" s="231">
        <v>7.1009000000000003E-2</v>
      </c>
      <c r="C90" s="231">
        <v>4.3993999999999998E-2</v>
      </c>
    </row>
    <row r="91" spans="1:3">
      <c r="A91" s="230" t="s">
        <v>205</v>
      </c>
      <c r="B91" s="232">
        <v>2.2273000000000001E-2</v>
      </c>
      <c r="C91" s="232">
        <v>1.6115000000000001E-2</v>
      </c>
    </row>
    <row r="92" spans="1:3">
      <c r="A92" s="230" t="s">
        <v>206</v>
      </c>
      <c r="B92" s="232">
        <v>4.1572999999999999E-2</v>
      </c>
      <c r="C92" s="232">
        <v>2.6074E-2</v>
      </c>
    </row>
    <row r="93" spans="1:3">
      <c r="A93" s="229" t="s">
        <v>207</v>
      </c>
      <c r="B93" s="231">
        <v>5.0219E-2</v>
      </c>
      <c r="C93" s="231">
        <v>3.1628999999999997E-2</v>
      </c>
    </row>
    <row r="94" spans="1:3">
      <c r="A94" s="229"/>
      <c r="B94" s="231">
        <v>0</v>
      </c>
      <c r="C94" s="231">
        <v>0</v>
      </c>
    </row>
    <row r="95" spans="1:3">
      <c r="A95" s="233" t="s">
        <v>258</v>
      </c>
      <c r="B95" s="234">
        <f>AVERAGE(B36:B94)</f>
        <v>4.2745237288135604E-2</v>
      </c>
      <c r="C95" s="234">
        <f>AVERAGE(C36:C94)</f>
        <v>2.5976864406779661E-2</v>
      </c>
    </row>
  </sheetData>
  <sheetProtection algorithmName="SHA-512" hashValue="41lTunU2mf2D1Og7dh7jqyBLnMwcPsaCxbbhSKJ+hXHRTwcTuc9fmi31ab/NQ7HMWjtXml0InYgZLphMhy46Jw==" saltValue="y10nMrZRnuN8/62aTSyypw==" spinCount="100000" sheet="1" objects="1" scenarios="1"/>
  <autoFilter ref="A35:C35" xr:uid="{412767DC-FB73-422D-8ACB-826EEA0955E3}">
    <sortState xmlns:xlrd2="http://schemas.microsoft.com/office/spreadsheetml/2017/richdata2" ref="A36:C95">
      <sortCondition ref="A35"/>
    </sortState>
  </autoFilter>
  <mergeCells count="1">
    <mergeCell ref="A34:T3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12189-EBCC-4C53-9631-CE012AF88486}">
  <sheetPr>
    <tabColor rgb="FFD9E1F2"/>
  </sheetPr>
  <dimension ref="A1:W38"/>
  <sheetViews>
    <sheetView zoomScale="90" zoomScaleNormal="90" workbookViewId="0">
      <selection activeCell="K35" sqref="K35"/>
    </sheetView>
  </sheetViews>
  <sheetFormatPr defaultColWidth="9.15234375" defaultRowHeight="14.15"/>
  <cols>
    <col min="1" max="1" width="31.15234375" style="393" customWidth="1"/>
    <col min="2" max="2" width="24.15234375" style="393" customWidth="1"/>
    <col min="3" max="3" width="20.765625" style="393" customWidth="1"/>
    <col min="4" max="4" width="28.765625" style="393" customWidth="1"/>
    <col min="5" max="5" width="24.15234375" style="393" bestFit="1" customWidth="1"/>
    <col min="6" max="6" width="14.15234375" style="393" customWidth="1"/>
    <col min="7" max="7" width="11.69140625" style="393" customWidth="1"/>
    <col min="8" max="8" width="11.4609375" style="384" customWidth="1"/>
    <col min="9" max="9" width="14.53515625" style="384" customWidth="1"/>
    <col min="10" max="10" width="19.15234375" style="384" customWidth="1"/>
    <col min="11" max="11" width="20.3828125" style="384" customWidth="1"/>
    <col min="12" max="12" width="18.15234375" style="384" customWidth="1"/>
    <col min="13" max="13" width="18.84375" style="384" customWidth="1"/>
    <col min="14" max="14" width="16" style="384" bestFit="1" customWidth="1"/>
    <col min="15" max="15" width="16.4609375" style="384" customWidth="1"/>
    <col min="16" max="16" width="11.3046875" style="384" customWidth="1"/>
    <col min="17" max="18" width="10.765625" style="384" customWidth="1"/>
    <col min="19" max="19" width="15.53515625" style="384" customWidth="1"/>
    <col min="20" max="20" width="9.15234375" style="384"/>
    <col min="21" max="21" width="11.61328125" style="384" customWidth="1"/>
    <col min="22" max="22" width="9.15234375" style="384"/>
    <col min="23" max="23" width="10.53515625" style="384" customWidth="1"/>
    <col min="24" max="16384" width="9.15234375" style="384"/>
  </cols>
  <sheetData>
    <row r="1" spans="1:21">
      <c r="A1" s="382" t="s">
        <v>209</v>
      </c>
      <c r="B1" s="383"/>
      <c r="C1" s="383"/>
      <c r="D1" s="383"/>
      <c r="E1" s="383"/>
      <c r="F1" s="383"/>
      <c r="G1" s="383"/>
      <c r="H1" s="383"/>
      <c r="I1" s="383"/>
    </row>
    <row r="2" spans="1:21">
      <c r="A2" s="385" t="s">
        <v>210</v>
      </c>
      <c r="B2" s="386" t="s">
        <v>211</v>
      </c>
      <c r="C2" s="387" t="s">
        <v>212</v>
      </c>
      <c r="D2" s="384"/>
      <c r="E2" s="383"/>
      <c r="F2" s="388"/>
      <c r="G2" s="382"/>
      <c r="H2" s="382"/>
      <c r="I2" s="383"/>
    </row>
    <row r="3" spans="1:21">
      <c r="A3" s="389" t="s">
        <v>213</v>
      </c>
      <c r="B3" s="390">
        <v>19</v>
      </c>
      <c r="C3" s="391">
        <v>25</v>
      </c>
      <c r="D3" s="384"/>
      <c r="E3" s="383"/>
      <c r="F3" s="383"/>
      <c r="G3" s="383"/>
      <c r="H3" s="383"/>
      <c r="I3" s="383"/>
    </row>
    <row r="4" spans="1:21" ht="19.5" customHeight="1">
      <c r="A4" s="389" t="s">
        <v>214</v>
      </c>
      <c r="B4" s="674">
        <v>84</v>
      </c>
      <c r="C4" s="391">
        <v>40</v>
      </c>
      <c r="D4" s="384"/>
      <c r="E4" s="383"/>
      <c r="F4" s="383"/>
      <c r="G4" s="383"/>
      <c r="H4" s="383"/>
      <c r="I4" s="383"/>
    </row>
    <row r="5" spans="1:21">
      <c r="A5" s="675" t="s">
        <v>215</v>
      </c>
      <c r="B5" s="675">
        <v>83</v>
      </c>
      <c r="C5" s="392">
        <v>25</v>
      </c>
      <c r="D5" s="384"/>
      <c r="E5" s="383"/>
      <c r="F5" s="383"/>
      <c r="G5" s="383"/>
      <c r="H5" s="383"/>
      <c r="I5" s="383"/>
    </row>
    <row r="6" spans="1:21">
      <c r="A6" s="675" t="s">
        <v>216</v>
      </c>
      <c r="B6" s="676">
        <v>83</v>
      </c>
      <c r="C6" s="392">
        <v>40</v>
      </c>
      <c r="D6" s="384"/>
      <c r="E6" s="384"/>
      <c r="F6" s="384"/>
      <c r="G6" s="384"/>
    </row>
    <row r="7" spans="1:21" s="383" customFormat="1">
      <c r="A7" s="384"/>
      <c r="B7" s="383" t="s">
        <v>649</v>
      </c>
      <c r="C7" s="383" t="s">
        <v>650</v>
      </c>
    </row>
    <row r="8" spans="1:21">
      <c r="K8" s="394"/>
      <c r="S8" s="394"/>
    </row>
    <row r="9" spans="1:21">
      <c r="A9" s="395" t="s">
        <v>217</v>
      </c>
      <c r="G9" s="384"/>
      <c r="J9" s="394"/>
      <c r="K9" s="394"/>
      <c r="R9" s="394"/>
    </row>
    <row r="10" spans="1:21" ht="15.45">
      <c r="A10" s="384"/>
      <c r="B10" s="973" t="s">
        <v>218</v>
      </c>
      <c r="C10" s="973"/>
      <c r="D10" s="973"/>
      <c r="E10" s="973"/>
      <c r="F10" s="973"/>
      <c r="G10" s="973"/>
      <c r="H10" s="973" t="s">
        <v>219</v>
      </c>
      <c r="I10" s="973"/>
      <c r="J10" s="973"/>
      <c r="K10" s="973"/>
      <c r="N10" s="396"/>
      <c r="O10" s="396"/>
      <c r="Q10" s="396"/>
      <c r="R10" s="396"/>
      <c r="T10" s="396"/>
      <c r="U10" s="396"/>
    </row>
    <row r="11" spans="1:21" ht="28.3">
      <c r="A11" s="397" t="s">
        <v>220</v>
      </c>
      <c r="B11" s="398" t="s">
        <v>221</v>
      </c>
      <c r="C11" s="398" t="s">
        <v>222</v>
      </c>
      <c r="D11" s="398" t="s">
        <v>223</v>
      </c>
      <c r="E11" s="398" t="s">
        <v>713</v>
      </c>
      <c r="F11" s="398" t="s">
        <v>224</v>
      </c>
      <c r="G11" s="398" t="s">
        <v>225</v>
      </c>
      <c r="H11" s="399" t="s">
        <v>226</v>
      </c>
      <c r="I11" s="399" t="s">
        <v>227</v>
      </c>
      <c r="J11" s="399" t="s">
        <v>228</v>
      </c>
      <c r="K11" s="399" t="s">
        <v>229</v>
      </c>
    </row>
    <row r="12" spans="1:21">
      <c r="A12" s="400" t="s">
        <v>230</v>
      </c>
      <c r="B12" s="401">
        <v>21.012935429499997</v>
      </c>
      <c r="C12" s="402">
        <v>1135.25</v>
      </c>
      <c r="D12" s="402">
        <v>11.125994167749997</v>
      </c>
      <c r="E12" s="402">
        <v>6.8555593750000032E-2</v>
      </c>
      <c r="F12" s="402">
        <v>2428.6675000000018</v>
      </c>
      <c r="G12" s="402">
        <v>0.35000000000000009</v>
      </c>
      <c r="H12" s="402">
        <v>0.61062415749999999</v>
      </c>
      <c r="I12" s="402">
        <v>2.0876374995000009</v>
      </c>
      <c r="J12" s="402">
        <v>0.89259333450000011</v>
      </c>
      <c r="K12" s="402">
        <v>5.046999999999997</v>
      </c>
    </row>
    <row r="13" spans="1:21">
      <c r="A13" s="403" t="s">
        <v>231</v>
      </c>
      <c r="B13" s="404">
        <v>65.04883892499997</v>
      </c>
      <c r="C13" s="405">
        <v>4880.7499999999982</v>
      </c>
      <c r="D13" s="405">
        <v>26.297331383749988</v>
      </c>
      <c r="E13" s="405">
        <v>0.34255593750000013</v>
      </c>
      <c r="F13" s="406">
        <v>11518.500000000005</v>
      </c>
      <c r="G13" s="406">
        <v>1.7500000000000007</v>
      </c>
      <c r="H13" s="406">
        <v>3.7734374999999991</v>
      </c>
      <c r="I13" s="406">
        <v>10.062907102500006</v>
      </c>
      <c r="J13" s="406">
        <v>4.3289831024999978</v>
      </c>
      <c r="K13" s="406">
        <v>25.234999999999989</v>
      </c>
    </row>
    <row r="14" spans="1:21">
      <c r="A14" s="400" t="s">
        <v>232</v>
      </c>
      <c r="B14" s="407">
        <v>21.881518753499996</v>
      </c>
      <c r="C14" s="408">
        <v>868.41554545454574</v>
      </c>
      <c r="D14" s="408">
        <v>9.6796338639318211</v>
      </c>
      <c r="E14" s="408">
        <v>1.9089515255681819</v>
      </c>
      <c r="F14" s="408">
        <v>2428.6675000000018</v>
      </c>
      <c r="G14" s="408">
        <v>0.35000000000000009</v>
      </c>
      <c r="H14" s="408">
        <v>1.8279087845454549</v>
      </c>
      <c r="I14" s="408">
        <v>5.5388681816363636</v>
      </c>
      <c r="J14" s="408">
        <v>3.0062157580000006</v>
      </c>
      <c r="K14" s="408">
        <v>9.8623636363636358</v>
      </c>
    </row>
    <row r="15" spans="1:21">
      <c r="A15" s="403" t="s">
        <v>233</v>
      </c>
      <c r="B15" s="404">
        <v>98.494183343181803</v>
      </c>
      <c r="C15" s="405">
        <v>4589.5436363636372</v>
      </c>
      <c r="D15" s="405">
        <v>40.39835855920456</v>
      </c>
      <c r="E15" s="405">
        <v>9.5446970738636381</v>
      </c>
      <c r="F15" s="406">
        <v>11518.500000000005</v>
      </c>
      <c r="G15" s="406">
        <v>1.7500000000000007</v>
      </c>
      <c r="H15" s="406">
        <v>9.4014772727272753</v>
      </c>
      <c r="I15" s="406">
        <v>27.55787531</v>
      </c>
      <c r="J15" s="406">
        <v>14.982357491818183</v>
      </c>
      <c r="K15" s="406">
        <v>49.311818181818182</v>
      </c>
    </row>
    <row r="16" spans="1:21">
      <c r="A16" s="400" t="s">
        <v>234</v>
      </c>
      <c r="B16" s="407">
        <v>68.437599999999989</v>
      </c>
      <c r="C16" s="408">
        <v>1514.4347272727268</v>
      </c>
      <c r="D16" s="408">
        <v>7.6790232272727277</v>
      </c>
      <c r="E16" s="408">
        <v>2.5991000000000004</v>
      </c>
      <c r="F16" s="408">
        <v>2428.6675000000018</v>
      </c>
      <c r="G16" s="408">
        <v>0.35000000000000009</v>
      </c>
      <c r="H16" s="408">
        <v>2.5235000000000007</v>
      </c>
      <c r="I16" s="408">
        <v>7.5109999999999983</v>
      </c>
      <c r="J16" s="408">
        <v>4.2139999999999986</v>
      </c>
      <c r="K16" s="408">
        <v>12.613999999999999</v>
      </c>
    </row>
    <row r="17" spans="1:23">
      <c r="A17" s="403" t="s">
        <v>235</v>
      </c>
      <c r="B17" s="404">
        <v>342.18799999999993</v>
      </c>
      <c r="C17" s="405">
        <v>7572.1736363636346</v>
      </c>
      <c r="D17" s="405">
        <v>38.395116136363633</v>
      </c>
      <c r="E17" s="405">
        <v>12.995500000000003</v>
      </c>
      <c r="F17" s="406">
        <v>11518.500000000005</v>
      </c>
      <c r="G17" s="406">
        <v>1.7500000000000007</v>
      </c>
      <c r="H17" s="406">
        <v>12.617500000000003</v>
      </c>
      <c r="I17" s="406">
        <v>37.554999999999993</v>
      </c>
      <c r="J17" s="406">
        <v>21.069999999999993</v>
      </c>
      <c r="K17" s="406">
        <v>63.069999999999993</v>
      </c>
    </row>
    <row r="18" spans="1:23">
      <c r="A18" s="400" t="s">
        <v>236</v>
      </c>
      <c r="B18" s="409">
        <v>92.871800000000007</v>
      </c>
      <c r="C18" s="410">
        <v>1766.6949999999999</v>
      </c>
      <c r="D18" s="410">
        <v>7.4208365000000009</v>
      </c>
      <c r="E18" s="410">
        <v>2.5991</v>
      </c>
      <c r="F18" s="408">
        <v>2429.14</v>
      </c>
      <c r="G18" s="408">
        <v>0.35000000000000003</v>
      </c>
      <c r="H18" s="408">
        <v>2.5234999999999999</v>
      </c>
      <c r="I18" s="408">
        <v>7.5109999999999992</v>
      </c>
      <c r="J18" s="408">
        <v>4.2139999999999995</v>
      </c>
      <c r="K18" s="408">
        <v>12.614000000000001</v>
      </c>
    </row>
    <row r="19" spans="1:23">
      <c r="A19" s="403" t="s">
        <v>237</v>
      </c>
      <c r="B19" s="404">
        <v>464.35900000000004</v>
      </c>
      <c r="C19" s="405">
        <v>8833.4750000000004</v>
      </c>
      <c r="D19" s="405">
        <v>37.104182500000014</v>
      </c>
      <c r="E19" s="405">
        <v>12.995500000000003</v>
      </c>
      <c r="F19" s="406">
        <v>11518.499999999998</v>
      </c>
      <c r="G19" s="406">
        <v>1.7499999999999998</v>
      </c>
      <c r="H19" s="406">
        <v>12.6175</v>
      </c>
      <c r="I19" s="406">
        <v>37.555000000000007</v>
      </c>
      <c r="J19" s="406">
        <v>21.070000000000004</v>
      </c>
      <c r="K19" s="406">
        <v>63.07</v>
      </c>
    </row>
    <row r="20" spans="1:23">
      <c r="A20" s="400" t="s">
        <v>771</v>
      </c>
      <c r="B20" s="409">
        <v>21.012935429499997</v>
      </c>
      <c r="C20" s="410">
        <v>1135.25</v>
      </c>
      <c r="D20" s="410">
        <v>11.125994167749997</v>
      </c>
      <c r="E20" s="410">
        <v>6.8555593750000032E-2</v>
      </c>
      <c r="F20" s="408">
        <v>2428.6675000000018</v>
      </c>
      <c r="G20" s="408">
        <v>0.35000000000000009</v>
      </c>
      <c r="H20" s="408">
        <v>0.61062415749999999</v>
      </c>
      <c r="I20" s="408">
        <v>2.0876374995000009</v>
      </c>
      <c r="J20" s="408">
        <v>0.89259333450000011</v>
      </c>
      <c r="K20" s="408">
        <v>5.046999999999997</v>
      </c>
    </row>
    <row r="21" spans="1:23">
      <c r="A21" s="673" t="s">
        <v>772</v>
      </c>
      <c r="B21" s="404">
        <v>65.04883892499997</v>
      </c>
      <c r="C21" s="405">
        <v>4880.7499999999982</v>
      </c>
      <c r="D21" s="405">
        <v>26.297331383749988</v>
      </c>
      <c r="E21" s="405">
        <v>0.34255593750000013</v>
      </c>
      <c r="F21" s="406">
        <v>11518.500000000005</v>
      </c>
      <c r="G21" s="406">
        <v>1.7500000000000007</v>
      </c>
      <c r="H21" s="406">
        <v>3.7734374999999991</v>
      </c>
      <c r="I21" s="406">
        <v>10.062907102500006</v>
      </c>
      <c r="J21" s="406">
        <v>4.3289831024999978</v>
      </c>
      <c r="K21" s="406">
        <v>25.234999999999989</v>
      </c>
    </row>
    <row r="22" spans="1:23">
      <c r="A22" s="393">
        <v>1</v>
      </c>
      <c r="B22" s="393">
        <v>2</v>
      </c>
      <c r="C22" s="393">
        <v>3</v>
      </c>
      <c r="D22" s="393">
        <v>4</v>
      </c>
      <c r="E22" s="393">
        <v>5</v>
      </c>
      <c r="F22" s="384">
        <v>6</v>
      </c>
      <c r="G22" s="384">
        <v>7</v>
      </c>
      <c r="H22" s="384">
        <v>8</v>
      </c>
      <c r="I22" s="384">
        <v>9</v>
      </c>
      <c r="J22" s="384">
        <v>10</v>
      </c>
      <c r="K22" s="384">
        <v>11</v>
      </c>
    </row>
    <row r="23" spans="1:23">
      <c r="A23" s="393" t="s">
        <v>238</v>
      </c>
    </row>
    <row r="24" spans="1:23">
      <c r="A24" s="393" t="s">
        <v>773</v>
      </c>
      <c r="C24" s="384"/>
      <c r="D24" s="384"/>
      <c r="E24" s="384"/>
      <c r="F24" s="384"/>
      <c r="G24" s="384"/>
    </row>
    <row r="25" spans="1:23">
      <c r="B25" s="384"/>
      <c r="C25" s="384"/>
      <c r="D25" s="384"/>
      <c r="E25" s="384"/>
      <c r="F25" s="384"/>
      <c r="G25" s="384"/>
    </row>
    <row r="26" spans="1:23">
      <c r="A26" s="395" t="s">
        <v>239</v>
      </c>
      <c r="C26" s="384"/>
      <c r="D26" s="384"/>
      <c r="E26" s="384"/>
      <c r="F26" s="384"/>
      <c r="G26" s="384"/>
    </row>
    <row r="27" spans="1:23">
      <c r="A27" s="411" t="s">
        <v>240</v>
      </c>
      <c r="B27" s="411">
        <v>0.36</v>
      </c>
      <c r="C27" s="384"/>
      <c r="D27" s="384"/>
      <c r="E27" s="384"/>
      <c r="F27" s="384"/>
      <c r="G27" s="384"/>
    </row>
    <row r="28" spans="1:23">
      <c r="B28" s="384"/>
      <c r="C28" s="384"/>
      <c r="D28" s="384"/>
      <c r="E28" s="384"/>
      <c r="F28" s="384"/>
      <c r="G28" s="384"/>
    </row>
    <row r="29" spans="1:23">
      <c r="B29" s="384"/>
      <c r="C29" s="384"/>
      <c r="D29" s="384"/>
      <c r="E29" s="384"/>
      <c r="F29" s="384"/>
      <c r="G29" s="384"/>
    </row>
    <row r="30" spans="1:23" ht="18.45" thickBot="1">
      <c r="A30" s="412" t="s">
        <v>722</v>
      </c>
    </row>
    <row r="31" spans="1:23" ht="14.6" thickBot="1">
      <c r="A31" s="413" t="s">
        <v>129</v>
      </c>
      <c r="B31" s="414" t="s">
        <v>130</v>
      </c>
      <c r="C31" s="415" t="s">
        <v>131</v>
      </c>
      <c r="D31" s="444" t="s">
        <v>122</v>
      </c>
      <c r="E31" s="444" t="s">
        <v>776</v>
      </c>
      <c r="F31" s="413"/>
      <c r="G31" s="415"/>
      <c r="H31" s="682" t="s">
        <v>710</v>
      </c>
      <c r="I31" s="683" t="s">
        <v>721</v>
      </c>
      <c r="J31" s="683" t="s">
        <v>736</v>
      </c>
      <c r="K31" s="684" t="s">
        <v>777</v>
      </c>
      <c r="L31" s="416" t="s">
        <v>711</v>
      </c>
      <c r="M31" s="417" t="s">
        <v>714</v>
      </c>
      <c r="N31" s="417" t="s">
        <v>715</v>
      </c>
      <c r="O31" s="417" t="s">
        <v>716</v>
      </c>
      <c r="P31" s="417" t="s">
        <v>717</v>
      </c>
      <c r="Q31" s="417" t="s">
        <v>718</v>
      </c>
      <c r="R31" s="418" t="s">
        <v>719</v>
      </c>
      <c r="S31" s="419" t="s">
        <v>720</v>
      </c>
      <c r="T31" s="677" t="s">
        <v>132</v>
      </c>
      <c r="U31" s="417" t="s">
        <v>686</v>
      </c>
      <c r="V31" s="417" t="s">
        <v>712</v>
      </c>
      <c r="W31" s="418" t="s">
        <v>133</v>
      </c>
    </row>
    <row r="32" spans="1:23">
      <c r="A32" s="420">
        <f>'Lawn Management'!G23</f>
        <v>0</v>
      </c>
      <c r="B32" s="421">
        <f>'Lawn Management'!H23</f>
        <v>0</v>
      </c>
      <c r="C32" s="421">
        <f>'Lawn Management'!J23</f>
        <v>0</v>
      </c>
      <c r="D32" s="421">
        <f>'Lawn Management'!$B$20</f>
        <v>0</v>
      </c>
      <c r="E32" s="422">
        <f>'Lawn Management'!I23</f>
        <v>0</v>
      </c>
      <c r="F32" s="445" t="str">
        <f t="shared" ref="F32:G38" si="0">B32&amp;" | "&amp;A32</f>
        <v>0 | 0</v>
      </c>
      <c r="G32" s="422" t="str">
        <f t="shared" si="0"/>
        <v>0 | 0</v>
      </c>
      <c r="H32" s="678" t="e">
        <f>VLOOKUP(F32,$A$3:$B$6,2,FALSE)</f>
        <v>#N/A</v>
      </c>
      <c r="I32" s="679" t="e">
        <f>VLOOKUP(F32,$A$3:$C$6,3,FALSE)</f>
        <v>#N/A</v>
      </c>
      <c r="J32" s="680">
        <f t="shared" ref="J32:J38" si="1">IF(D32="Yes",1,0)</f>
        <v>0</v>
      </c>
      <c r="K32" s="681">
        <f>IF(E32="Gasoline",1,0)</f>
        <v>0</v>
      </c>
      <c r="L32" s="666" t="e">
        <f>VLOOKUP(G32,$A$12:$K$21,6,FALSE)</f>
        <v>#N/A</v>
      </c>
      <c r="M32" s="423" t="e">
        <f>VLOOKUP(G32,$A$12:$K$21,4,FALSE)</f>
        <v>#N/A</v>
      </c>
      <c r="N32" s="423" t="e">
        <f>VLOOKUP(G32,$A$12:$K$21,5,FALSE)</f>
        <v>#N/A</v>
      </c>
      <c r="O32" s="423" t="e">
        <f>VLOOKUP(G32,$A$12:$K$21,2,FALSE)</f>
        <v>#N/A</v>
      </c>
      <c r="P32" s="423" t="e">
        <f>VLOOKUP(G32,$A$12:$K$21,8,FALSE)</f>
        <v>#N/A</v>
      </c>
      <c r="Q32" s="423" t="e">
        <f>VLOOKUP(G32,$A$12:$K$21,9,FALSE)</f>
        <v>#N/A</v>
      </c>
      <c r="R32" s="423" t="e">
        <f>VLOOKUP(G32,$A$12:$K$21,10,FALSE)</f>
        <v>#N/A</v>
      </c>
      <c r="S32" s="449" t="e">
        <f>VLOOKUP(G32,$A$12:$K$21,11,FALSE)</f>
        <v>#N/A</v>
      </c>
      <c r="T32" s="453" t="e">
        <f>L32*H32*(1/454)*(1/2204)*$B$27*10*J32*K32</f>
        <v>#N/A</v>
      </c>
      <c r="U32" s="423" t="e">
        <f>(O32*H32+P32*I32+((Q32+R32)*365)+S32*H32)*(1/454)*$B$27*10*J32*K32</f>
        <v>#N/A</v>
      </c>
      <c r="V32" s="423" t="e">
        <f>N32*H32*(1/454)*$B$27*10*J32*K32</f>
        <v>#N/A</v>
      </c>
      <c r="W32" s="424" t="e">
        <f>M32*H32*(1/454)*$B$27*10*J32*K32</f>
        <v>#N/A</v>
      </c>
    </row>
    <row r="33" spans="1:23">
      <c r="A33" s="425">
        <f>'Lawn Management'!F24</f>
        <v>0</v>
      </c>
      <c r="B33" s="392">
        <f>'Lawn Management'!H24</f>
        <v>0</v>
      </c>
      <c r="C33" s="392">
        <f>'Lawn Management'!J24</f>
        <v>0</v>
      </c>
      <c r="D33" s="392">
        <f>'Lawn Management'!$B$20</f>
        <v>0</v>
      </c>
      <c r="E33" s="426">
        <f>'Lawn Management'!I24</f>
        <v>0</v>
      </c>
      <c r="F33" s="446" t="str">
        <f t="shared" si="0"/>
        <v>0 | 0</v>
      </c>
      <c r="G33" s="426" t="str">
        <f t="shared" si="0"/>
        <v>0 | 0</v>
      </c>
      <c r="H33" s="425" t="e">
        <f t="shared" ref="H33:H38" si="2">VLOOKUP(F33,$A$3:$B$6,2,FALSE)</f>
        <v>#N/A</v>
      </c>
      <c r="I33" s="392" t="e">
        <f t="shared" ref="I33:I38" si="3">VLOOKUP(F33,$A$3:$C$6,3,FALSE)</f>
        <v>#N/A</v>
      </c>
      <c r="J33" s="670">
        <f t="shared" si="1"/>
        <v>0</v>
      </c>
      <c r="K33" s="426">
        <f t="shared" ref="K33:K38" si="4">IF(E33="Gasoline",1,0)</f>
        <v>0</v>
      </c>
      <c r="L33" s="667" t="e">
        <f t="shared" ref="L33:L38" si="5">VLOOKUP(G33,$A$12:$K$21,6,FALSE)</f>
        <v>#N/A</v>
      </c>
      <c r="M33" s="427" t="e">
        <f t="shared" ref="M33:M38" si="6">VLOOKUP(G33,$A$12:$K$21,4,FALSE)</f>
        <v>#N/A</v>
      </c>
      <c r="N33" s="427" t="e">
        <f t="shared" ref="N33:N38" si="7">VLOOKUP(G33,$A$12:$K$21,5,FALSE)</f>
        <v>#N/A</v>
      </c>
      <c r="O33" s="427" t="e">
        <f t="shared" ref="O33:O38" si="8">VLOOKUP(G33,$A$12:$K$21,2,FALSE)</f>
        <v>#N/A</v>
      </c>
      <c r="P33" s="427" t="e">
        <f t="shared" ref="P33:P38" si="9">VLOOKUP(G33,$A$12:$K$21,8,FALSE)</f>
        <v>#N/A</v>
      </c>
      <c r="Q33" s="427" t="e">
        <f t="shared" ref="Q33:Q38" si="10">VLOOKUP(G33,$A$12:$K$21,9,FALSE)</f>
        <v>#N/A</v>
      </c>
      <c r="R33" s="427" t="e">
        <f t="shared" ref="R33:R38" si="11">VLOOKUP(G33,$A$12:$K$21,10,FALSE)</f>
        <v>#N/A</v>
      </c>
      <c r="S33" s="450" t="e">
        <f t="shared" ref="S33:S38" si="12">VLOOKUP(G33,$A$12:$K$21,11,FALSE)</f>
        <v>#N/A</v>
      </c>
      <c r="T33" s="456" t="e">
        <f t="shared" ref="T33:T38" si="13">L33*H33*(1/454)*(1/2204)*$B$27*10*J33*K33</f>
        <v>#N/A</v>
      </c>
      <c r="U33" s="427" t="e">
        <f t="shared" ref="U33:U38" si="14">(O33*H33+P33*I33+((Q33+R33)*365)+S33*H33)*(1/454)*$B$27*10*J33*K33</f>
        <v>#N/A</v>
      </c>
      <c r="V33" s="427" t="e">
        <f t="shared" ref="V33:V38" si="15">N33*H33*(1/454)*$B$27*10*J33*K33</f>
        <v>#N/A</v>
      </c>
      <c r="W33" s="428" t="e">
        <f t="shared" ref="W33:W38" si="16">M33*H33*(1/454)*$B$27*10*J33*K33</f>
        <v>#N/A</v>
      </c>
    </row>
    <row r="34" spans="1:23">
      <c r="A34" s="429">
        <f>'Lawn Management'!F25</f>
        <v>0</v>
      </c>
      <c r="B34" s="391">
        <f>'Lawn Management'!H25</f>
        <v>0</v>
      </c>
      <c r="C34" s="391">
        <f>'Lawn Management'!J25</f>
        <v>0</v>
      </c>
      <c r="D34" s="391">
        <f>'Lawn Management'!$B$20</f>
        <v>0</v>
      </c>
      <c r="E34" s="430">
        <f>'Lawn Management'!I25</f>
        <v>0</v>
      </c>
      <c r="F34" s="447" t="str">
        <f t="shared" si="0"/>
        <v>0 | 0</v>
      </c>
      <c r="G34" s="430" t="str">
        <f t="shared" si="0"/>
        <v>0 | 0</v>
      </c>
      <c r="H34" s="429" t="e">
        <f t="shared" si="2"/>
        <v>#N/A</v>
      </c>
      <c r="I34" s="391" t="e">
        <f t="shared" si="3"/>
        <v>#N/A</v>
      </c>
      <c r="J34" s="671">
        <f t="shared" si="1"/>
        <v>0</v>
      </c>
      <c r="K34" s="430">
        <f t="shared" si="4"/>
        <v>0</v>
      </c>
      <c r="L34" s="668" t="e">
        <f t="shared" si="5"/>
        <v>#N/A</v>
      </c>
      <c r="M34" s="431" t="e">
        <f t="shared" si="6"/>
        <v>#N/A</v>
      </c>
      <c r="N34" s="431" t="e">
        <f t="shared" si="7"/>
        <v>#N/A</v>
      </c>
      <c r="O34" s="431" t="e">
        <f t="shared" si="8"/>
        <v>#N/A</v>
      </c>
      <c r="P34" s="431" t="e">
        <f t="shared" si="9"/>
        <v>#N/A</v>
      </c>
      <c r="Q34" s="431" t="e">
        <f t="shared" si="10"/>
        <v>#N/A</v>
      </c>
      <c r="R34" s="431" t="e">
        <f t="shared" si="11"/>
        <v>#N/A</v>
      </c>
      <c r="S34" s="451" t="e">
        <f t="shared" si="12"/>
        <v>#N/A</v>
      </c>
      <c r="T34" s="454" t="e">
        <f t="shared" si="13"/>
        <v>#N/A</v>
      </c>
      <c r="U34" s="431" t="e">
        <f t="shared" si="14"/>
        <v>#N/A</v>
      </c>
      <c r="V34" s="431" t="e">
        <f t="shared" si="15"/>
        <v>#N/A</v>
      </c>
      <c r="W34" s="432" t="e">
        <f t="shared" si="16"/>
        <v>#N/A</v>
      </c>
    </row>
    <row r="35" spans="1:23">
      <c r="A35" s="425">
        <f>'Lawn Management'!F26</f>
        <v>0</v>
      </c>
      <c r="B35" s="392">
        <f>'Lawn Management'!H26</f>
        <v>0</v>
      </c>
      <c r="C35" s="392">
        <f>'Lawn Management'!J26</f>
        <v>0</v>
      </c>
      <c r="D35" s="392">
        <f>'Lawn Management'!$B$20</f>
        <v>0</v>
      </c>
      <c r="E35" s="426">
        <f>'Lawn Management'!I26</f>
        <v>0</v>
      </c>
      <c r="F35" s="446" t="str">
        <f t="shared" si="0"/>
        <v>0 | 0</v>
      </c>
      <c r="G35" s="426" t="str">
        <f t="shared" si="0"/>
        <v>0 | 0</v>
      </c>
      <c r="H35" s="425" t="e">
        <f t="shared" si="2"/>
        <v>#N/A</v>
      </c>
      <c r="I35" s="392" t="e">
        <f t="shared" si="3"/>
        <v>#N/A</v>
      </c>
      <c r="J35" s="670">
        <f t="shared" si="1"/>
        <v>0</v>
      </c>
      <c r="K35" s="426">
        <f t="shared" si="4"/>
        <v>0</v>
      </c>
      <c r="L35" s="667" t="e">
        <f t="shared" si="5"/>
        <v>#N/A</v>
      </c>
      <c r="M35" s="427" t="e">
        <f t="shared" si="6"/>
        <v>#N/A</v>
      </c>
      <c r="N35" s="427" t="e">
        <f t="shared" si="7"/>
        <v>#N/A</v>
      </c>
      <c r="O35" s="427" t="e">
        <f t="shared" si="8"/>
        <v>#N/A</v>
      </c>
      <c r="P35" s="427" t="e">
        <f t="shared" si="9"/>
        <v>#N/A</v>
      </c>
      <c r="Q35" s="427" t="e">
        <f t="shared" si="10"/>
        <v>#N/A</v>
      </c>
      <c r="R35" s="427" t="e">
        <f t="shared" si="11"/>
        <v>#N/A</v>
      </c>
      <c r="S35" s="450" t="e">
        <f t="shared" si="12"/>
        <v>#N/A</v>
      </c>
      <c r="T35" s="456" t="e">
        <f t="shared" si="13"/>
        <v>#N/A</v>
      </c>
      <c r="U35" s="427" t="e">
        <f t="shared" si="14"/>
        <v>#N/A</v>
      </c>
      <c r="V35" s="427" t="e">
        <f t="shared" si="15"/>
        <v>#N/A</v>
      </c>
      <c r="W35" s="428" t="e">
        <f t="shared" si="16"/>
        <v>#N/A</v>
      </c>
    </row>
    <row r="36" spans="1:23">
      <c r="A36" s="429">
        <f>'Lawn Management'!F27</f>
        <v>0</v>
      </c>
      <c r="B36" s="391">
        <f>'Lawn Management'!H27</f>
        <v>0</v>
      </c>
      <c r="C36" s="391">
        <f>'Lawn Management'!J27</f>
        <v>0</v>
      </c>
      <c r="D36" s="391">
        <f>'Lawn Management'!$B$20</f>
        <v>0</v>
      </c>
      <c r="E36" s="430">
        <f>'Lawn Management'!I27</f>
        <v>0</v>
      </c>
      <c r="F36" s="447" t="str">
        <f t="shared" si="0"/>
        <v>0 | 0</v>
      </c>
      <c r="G36" s="430" t="str">
        <f t="shared" si="0"/>
        <v>0 | 0</v>
      </c>
      <c r="H36" s="429" t="e">
        <f t="shared" si="2"/>
        <v>#N/A</v>
      </c>
      <c r="I36" s="391" t="e">
        <f t="shared" si="3"/>
        <v>#N/A</v>
      </c>
      <c r="J36" s="671">
        <f t="shared" si="1"/>
        <v>0</v>
      </c>
      <c r="K36" s="430">
        <f t="shared" si="4"/>
        <v>0</v>
      </c>
      <c r="L36" s="668" t="e">
        <f t="shared" si="5"/>
        <v>#N/A</v>
      </c>
      <c r="M36" s="431" t="e">
        <f t="shared" si="6"/>
        <v>#N/A</v>
      </c>
      <c r="N36" s="431" t="e">
        <f t="shared" si="7"/>
        <v>#N/A</v>
      </c>
      <c r="O36" s="431" t="e">
        <f t="shared" si="8"/>
        <v>#N/A</v>
      </c>
      <c r="P36" s="431" t="e">
        <f t="shared" si="9"/>
        <v>#N/A</v>
      </c>
      <c r="Q36" s="431" t="e">
        <f t="shared" si="10"/>
        <v>#N/A</v>
      </c>
      <c r="R36" s="431" t="e">
        <f t="shared" si="11"/>
        <v>#N/A</v>
      </c>
      <c r="S36" s="451" t="e">
        <f t="shared" si="12"/>
        <v>#N/A</v>
      </c>
      <c r="T36" s="454" t="e">
        <f t="shared" si="13"/>
        <v>#N/A</v>
      </c>
      <c r="U36" s="431" t="e">
        <f t="shared" si="14"/>
        <v>#N/A</v>
      </c>
      <c r="V36" s="431" t="e">
        <f t="shared" si="15"/>
        <v>#N/A</v>
      </c>
      <c r="W36" s="432" t="e">
        <f t="shared" si="16"/>
        <v>#N/A</v>
      </c>
    </row>
    <row r="37" spans="1:23">
      <c r="A37" s="425">
        <f>'Lawn Management'!F28</f>
        <v>0</v>
      </c>
      <c r="B37" s="392">
        <f>'Lawn Management'!H28</f>
        <v>0</v>
      </c>
      <c r="C37" s="392">
        <f>'Lawn Management'!J28</f>
        <v>0</v>
      </c>
      <c r="D37" s="392">
        <f>'Lawn Management'!$B$20</f>
        <v>0</v>
      </c>
      <c r="E37" s="426">
        <f>'Lawn Management'!I28</f>
        <v>0</v>
      </c>
      <c r="F37" s="446" t="str">
        <f t="shared" si="0"/>
        <v>0 | 0</v>
      </c>
      <c r="G37" s="426" t="str">
        <f t="shared" si="0"/>
        <v>0 | 0</v>
      </c>
      <c r="H37" s="425" t="e">
        <f t="shared" si="2"/>
        <v>#N/A</v>
      </c>
      <c r="I37" s="392" t="e">
        <f t="shared" si="3"/>
        <v>#N/A</v>
      </c>
      <c r="J37" s="670">
        <f t="shared" si="1"/>
        <v>0</v>
      </c>
      <c r="K37" s="426">
        <f t="shared" si="4"/>
        <v>0</v>
      </c>
      <c r="L37" s="667" t="e">
        <f t="shared" si="5"/>
        <v>#N/A</v>
      </c>
      <c r="M37" s="427" t="e">
        <f t="shared" si="6"/>
        <v>#N/A</v>
      </c>
      <c r="N37" s="427" t="e">
        <f t="shared" si="7"/>
        <v>#N/A</v>
      </c>
      <c r="O37" s="427" t="e">
        <f t="shared" si="8"/>
        <v>#N/A</v>
      </c>
      <c r="P37" s="427" t="e">
        <f t="shared" si="9"/>
        <v>#N/A</v>
      </c>
      <c r="Q37" s="427" t="e">
        <f t="shared" si="10"/>
        <v>#N/A</v>
      </c>
      <c r="R37" s="427" t="e">
        <f t="shared" si="11"/>
        <v>#N/A</v>
      </c>
      <c r="S37" s="450" t="e">
        <f t="shared" si="12"/>
        <v>#N/A</v>
      </c>
      <c r="T37" s="456" t="e">
        <f t="shared" si="13"/>
        <v>#N/A</v>
      </c>
      <c r="U37" s="427" t="e">
        <f t="shared" si="14"/>
        <v>#N/A</v>
      </c>
      <c r="V37" s="427" t="e">
        <f t="shared" si="15"/>
        <v>#N/A</v>
      </c>
      <c r="W37" s="428" t="e">
        <f t="shared" si="16"/>
        <v>#N/A</v>
      </c>
    </row>
    <row r="38" spans="1:23" ht="14.6" thickBot="1">
      <c r="A38" s="433">
        <f>'Lawn Management'!F29</f>
        <v>0</v>
      </c>
      <c r="B38" s="434">
        <f>'Lawn Management'!H29</f>
        <v>0</v>
      </c>
      <c r="C38" s="434">
        <f>'Lawn Management'!J29</f>
        <v>0</v>
      </c>
      <c r="D38" s="434">
        <f>'Lawn Management'!$B$20</f>
        <v>0</v>
      </c>
      <c r="E38" s="435">
        <f>'Lawn Management'!I29</f>
        <v>0</v>
      </c>
      <c r="F38" s="448" t="str">
        <f t="shared" si="0"/>
        <v>0 | 0</v>
      </c>
      <c r="G38" s="435" t="str">
        <f t="shared" si="0"/>
        <v>0 | 0</v>
      </c>
      <c r="H38" s="433" t="e">
        <f t="shared" si="2"/>
        <v>#N/A</v>
      </c>
      <c r="I38" s="434" t="e">
        <f t="shared" si="3"/>
        <v>#N/A</v>
      </c>
      <c r="J38" s="672">
        <f t="shared" si="1"/>
        <v>0</v>
      </c>
      <c r="K38" s="435">
        <f t="shared" si="4"/>
        <v>0</v>
      </c>
      <c r="L38" s="669" t="e">
        <f t="shared" si="5"/>
        <v>#N/A</v>
      </c>
      <c r="M38" s="436" t="e">
        <f t="shared" si="6"/>
        <v>#N/A</v>
      </c>
      <c r="N38" s="436" t="e">
        <f t="shared" si="7"/>
        <v>#N/A</v>
      </c>
      <c r="O38" s="436" t="e">
        <f t="shared" si="8"/>
        <v>#N/A</v>
      </c>
      <c r="P38" s="436" t="e">
        <f t="shared" si="9"/>
        <v>#N/A</v>
      </c>
      <c r="Q38" s="436" t="e">
        <f t="shared" si="10"/>
        <v>#N/A</v>
      </c>
      <c r="R38" s="436" t="e">
        <f t="shared" si="11"/>
        <v>#N/A</v>
      </c>
      <c r="S38" s="452" t="e">
        <f t="shared" si="12"/>
        <v>#N/A</v>
      </c>
      <c r="T38" s="455" t="e">
        <f t="shared" si="13"/>
        <v>#N/A</v>
      </c>
      <c r="U38" s="436" t="e">
        <f t="shared" si="14"/>
        <v>#N/A</v>
      </c>
      <c r="V38" s="436" t="e">
        <f t="shared" si="15"/>
        <v>#N/A</v>
      </c>
      <c r="W38" s="437" t="e">
        <f t="shared" si="16"/>
        <v>#N/A</v>
      </c>
    </row>
  </sheetData>
  <sheetProtection algorithmName="SHA-512" hashValue="8hVMxeiU+jBqmjl6Xc+n5ttJViPv40KizfbQ2XQsZnpKSfTqjVH2musTKMJnOfHxIHYzD9Qy1xspOovQKYmN6A==" saltValue="Wy17G0LWpcWdxElsWW3wIA==" spinCount="100000" sheet="1" objects="1" scenarios="1"/>
  <mergeCells count="2">
    <mergeCell ref="H10:K10"/>
    <mergeCell ref="B10:G10"/>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5"/>
  <sheetViews>
    <sheetView workbookViewId="0">
      <selection activeCell="M40" sqref="M40"/>
    </sheetView>
  </sheetViews>
  <sheetFormatPr defaultRowHeight="14.6"/>
  <cols>
    <col min="2" max="2" width="24.84375" bestFit="1" customWidth="1"/>
    <col min="3" max="3" width="24.84375" customWidth="1"/>
    <col min="4" max="4" width="22.15234375" customWidth="1"/>
    <col min="5" max="5" width="23.84375" customWidth="1"/>
    <col min="6" max="6" width="16" customWidth="1"/>
    <col min="7" max="7" width="16.53515625" customWidth="1"/>
    <col min="8" max="8" width="17.3046875" customWidth="1"/>
    <col min="9" max="9" width="11.84375" customWidth="1"/>
    <col min="10" max="10" width="12.53515625" customWidth="1"/>
    <col min="11" max="12" width="13.3828125" customWidth="1"/>
    <col min="13" max="13" width="12.3828125" customWidth="1"/>
    <col min="14" max="14" width="12.69140625" customWidth="1"/>
    <col min="15" max="15" width="9.84375" bestFit="1" customWidth="1"/>
    <col min="18" max="18" width="14.84375" customWidth="1"/>
    <col min="19" max="20" width="9.15234375" customWidth="1"/>
  </cols>
  <sheetData>
    <row r="1" spans="1:18">
      <c r="B1" s="2"/>
      <c r="C1" s="2"/>
      <c r="D1" s="2"/>
      <c r="E1" s="2"/>
      <c r="F1" s="2"/>
      <c r="G1" s="2"/>
      <c r="H1" s="2"/>
      <c r="I1" s="2"/>
    </row>
    <row r="2" spans="1:18" ht="15" thickBot="1">
      <c r="B2" s="2"/>
      <c r="C2" s="2"/>
      <c r="D2" s="2"/>
      <c r="E2" s="2"/>
      <c r="F2" s="2"/>
      <c r="G2" s="2"/>
      <c r="H2" s="2"/>
      <c r="I2" s="2"/>
    </row>
    <row r="3" spans="1:18" ht="36" customHeight="1" thickBot="1">
      <c r="B3" s="3" t="s">
        <v>532</v>
      </c>
      <c r="C3" s="3"/>
      <c r="D3" s="4"/>
      <c r="E3" s="4"/>
      <c r="F3" s="2"/>
      <c r="G3" s="974" t="s">
        <v>546</v>
      </c>
      <c r="H3" s="975"/>
      <c r="I3" s="975"/>
      <c r="J3" s="975"/>
      <c r="K3" s="975"/>
      <c r="L3" s="976"/>
      <c r="M3" s="977" t="s">
        <v>533</v>
      </c>
      <c r="N3" s="978"/>
      <c r="O3" s="979"/>
    </row>
    <row r="4" spans="1:18" ht="44.15" thickBot="1">
      <c r="B4" s="35" t="s">
        <v>84</v>
      </c>
      <c r="C4" s="62" t="s">
        <v>547</v>
      </c>
      <c r="D4" s="61" t="s">
        <v>534</v>
      </c>
      <c r="E4" s="61" t="s">
        <v>535</v>
      </c>
      <c r="F4" s="63" t="s">
        <v>87</v>
      </c>
      <c r="G4" s="64" t="s">
        <v>536</v>
      </c>
      <c r="H4" s="65" t="s">
        <v>537</v>
      </c>
      <c r="I4" s="66" t="s">
        <v>538</v>
      </c>
      <c r="J4" s="64" t="s">
        <v>539</v>
      </c>
      <c r="K4" s="65" t="s">
        <v>540</v>
      </c>
      <c r="L4" s="66" t="s">
        <v>541</v>
      </c>
      <c r="M4" s="64" t="s">
        <v>542</v>
      </c>
      <c r="N4" s="65" t="s">
        <v>543</v>
      </c>
      <c r="O4" s="66" t="s">
        <v>544</v>
      </c>
      <c r="Q4" s="9"/>
      <c r="R4" s="9"/>
    </row>
    <row r="5" spans="1:18">
      <c r="B5" s="58">
        <f>Compost!C13</f>
        <v>0</v>
      </c>
      <c r="C5" s="69">
        <f>B5/'GHG ERFs'!$A$49/'GHG ERFs'!$A$50</f>
        <v>0</v>
      </c>
      <c r="D5" s="59">
        <f>Compost!D13</f>
        <v>0</v>
      </c>
      <c r="E5" s="86">
        <f>1-D5</f>
        <v>1</v>
      </c>
      <c r="F5" s="71">
        <f>C5*D5*'GHG ERFs'!$B$14+'Community Compost Calcs'!C5*'Community Compost Calcs'!E5*'GHG ERFs'!$B$15</f>
        <v>0</v>
      </c>
      <c r="G5" s="88">
        <f>((B5*E5))*'Co-Ben ERFs'!$B$15</f>
        <v>0</v>
      </c>
      <c r="H5" s="73">
        <f>((B5*E5))*'Co-Ben ERFs'!$B$16</f>
        <v>0</v>
      </c>
      <c r="I5" s="74">
        <f>((B5*E5))*'Co-Ben ERFs'!$B$17</f>
        <v>0</v>
      </c>
      <c r="J5" s="76">
        <f>((B5*D5))*'Co-Ben ERFs'!$B$18</f>
        <v>0</v>
      </c>
      <c r="K5" s="73">
        <f>((B5*D5))*'Co-Ben ERFs'!$B$19</f>
        <v>0</v>
      </c>
      <c r="L5" s="81">
        <f>((B5*D5))*'Co-Ben ERFs'!$B$20</f>
        <v>0</v>
      </c>
      <c r="M5" s="78">
        <f t="shared" ref="M5:O9" si="0">(G5+J5)</f>
        <v>0</v>
      </c>
      <c r="N5" s="79">
        <f t="shared" si="0"/>
        <v>0</v>
      </c>
      <c r="O5" s="80">
        <f t="shared" si="0"/>
        <v>0</v>
      </c>
      <c r="Q5" s="7"/>
      <c r="R5" s="7"/>
    </row>
    <row r="6" spans="1:18">
      <c r="B6" s="70">
        <f>Compost!C14</f>
        <v>0</v>
      </c>
      <c r="C6" s="6">
        <f>B6/'GHG ERFs'!$A$49/'GHG ERFs'!$A$50</f>
        <v>0</v>
      </c>
      <c r="D6" s="67">
        <f>Compost!D14</f>
        <v>0</v>
      </c>
      <c r="E6" s="87">
        <f>1-D6</f>
        <v>1</v>
      </c>
      <c r="F6" s="72">
        <f>C6*D6*'GHG ERFs'!$B$14+'Community Compost Calcs'!C6*'Community Compost Calcs'!E6*'GHG ERFs'!$B$15</f>
        <v>0</v>
      </c>
      <c r="G6" s="89">
        <f>((B6*E6))*'Co-Ben ERFs'!$B$15</f>
        <v>0</v>
      </c>
      <c r="H6" s="68">
        <f>((B6*E6))*'Co-Ben ERFs'!$B$16</f>
        <v>0</v>
      </c>
      <c r="I6" s="75">
        <f>((B6*E6))*'Co-Ben ERFs'!$B$17</f>
        <v>0</v>
      </c>
      <c r="J6" s="77">
        <f>((B6*D6))*'Co-Ben ERFs'!$B$18</f>
        <v>0</v>
      </c>
      <c r="K6" s="68">
        <f>((B6*D6))*'Co-Ben ERFs'!$B$19</f>
        <v>0</v>
      </c>
      <c r="L6" s="82">
        <f>((B6*D6))*'Co-Ben ERFs'!$B$20</f>
        <v>0</v>
      </c>
      <c r="M6" s="54">
        <f t="shared" si="0"/>
        <v>0</v>
      </c>
      <c r="N6" s="55">
        <f t="shared" si="0"/>
        <v>0</v>
      </c>
      <c r="O6" s="56">
        <f t="shared" si="0"/>
        <v>0</v>
      </c>
    </row>
    <row r="7" spans="1:18">
      <c r="B7" s="70">
        <f>Compost!C15</f>
        <v>0</v>
      </c>
      <c r="C7" s="6">
        <f>B7/'GHG ERFs'!$A$49/'GHG ERFs'!$A$50</f>
        <v>0</v>
      </c>
      <c r="D7" s="67">
        <f>Compost!D15</f>
        <v>0</v>
      </c>
      <c r="E7" s="87">
        <f>1-D7</f>
        <v>1</v>
      </c>
      <c r="F7" s="72">
        <f>C7*D7*'GHG ERFs'!$B$14+'Community Compost Calcs'!C7*'Community Compost Calcs'!E7*'GHG ERFs'!$B$15</f>
        <v>0</v>
      </c>
      <c r="G7" s="89">
        <f>((B7*E7))*'Co-Ben ERFs'!$B$15</f>
        <v>0</v>
      </c>
      <c r="H7" s="68">
        <f>((B7*E7))*'Co-Ben ERFs'!$B$16</f>
        <v>0</v>
      </c>
      <c r="I7" s="75">
        <f>((B7*E7))*'Co-Ben ERFs'!$B$17</f>
        <v>0</v>
      </c>
      <c r="J7" s="77">
        <f>((B7*D7))*'Co-Ben ERFs'!$B$18</f>
        <v>0</v>
      </c>
      <c r="K7" s="68">
        <f>((B7*D7))*'Co-Ben ERFs'!$B$19</f>
        <v>0</v>
      </c>
      <c r="L7" s="82">
        <f>((B7*D7))*'Co-Ben ERFs'!$B$20</f>
        <v>0</v>
      </c>
      <c r="M7" s="54">
        <f t="shared" si="0"/>
        <v>0</v>
      </c>
      <c r="N7" s="55">
        <f t="shared" si="0"/>
        <v>0</v>
      </c>
      <c r="O7" s="56">
        <f t="shared" si="0"/>
        <v>0</v>
      </c>
    </row>
    <row r="8" spans="1:18">
      <c r="B8" s="70">
        <f>Compost!C16</f>
        <v>0</v>
      </c>
      <c r="C8" s="6">
        <f>B8/'GHG ERFs'!$A$49/'GHG ERFs'!$A$50</f>
        <v>0</v>
      </c>
      <c r="D8" s="67">
        <f>Compost!D16</f>
        <v>0</v>
      </c>
      <c r="E8" s="87">
        <f>1-D8</f>
        <v>1</v>
      </c>
      <c r="F8" s="72">
        <f>C8*D8*'GHG ERFs'!$B$14+'Community Compost Calcs'!C8*'Community Compost Calcs'!E8*'GHG ERFs'!$B$15</f>
        <v>0</v>
      </c>
      <c r="G8" s="89">
        <f>((B8*E8))*'Co-Ben ERFs'!$B$15</f>
        <v>0</v>
      </c>
      <c r="H8" s="68">
        <f>((B8*E8))*'Co-Ben ERFs'!$B$16</f>
        <v>0</v>
      </c>
      <c r="I8" s="75">
        <f>((B8*E8))*'Co-Ben ERFs'!$B$17</f>
        <v>0</v>
      </c>
      <c r="J8" s="77">
        <f>((B8*D8))*'Co-Ben ERFs'!$B$18</f>
        <v>0</v>
      </c>
      <c r="K8" s="68">
        <f>((B8*D8))*'Co-Ben ERFs'!$B$19</f>
        <v>0</v>
      </c>
      <c r="L8" s="82">
        <f>((B8*D8))*'Co-Ben ERFs'!$B$20</f>
        <v>0</v>
      </c>
      <c r="M8" s="54">
        <f t="shared" si="0"/>
        <v>0</v>
      </c>
      <c r="N8" s="55">
        <f t="shared" si="0"/>
        <v>0</v>
      </c>
      <c r="O8" s="56">
        <f t="shared" si="0"/>
        <v>0</v>
      </c>
    </row>
    <row r="9" spans="1:18" ht="15" thickBot="1">
      <c r="B9" s="70">
        <f>Compost!C17</f>
        <v>0</v>
      </c>
      <c r="C9" s="6">
        <f>B9/'GHG ERFs'!$A$49/'GHG ERFs'!$A$50</f>
        <v>0</v>
      </c>
      <c r="D9" s="67">
        <f>Compost!D17</f>
        <v>0</v>
      </c>
      <c r="E9" s="87">
        <f>1-D9</f>
        <v>1</v>
      </c>
      <c r="F9" s="72">
        <f>C9*D9*'GHG ERFs'!$B$14+'Community Compost Calcs'!C9*'Community Compost Calcs'!E9*'GHG ERFs'!$B$15</f>
        <v>0</v>
      </c>
      <c r="G9" s="89">
        <f>((B9*E9))*'Co-Ben ERFs'!$B$15</f>
        <v>0</v>
      </c>
      <c r="H9" s="68">
        <f>((B9*E9))*'Co-Ben ERFs'!$B$16</f>
        <v>0</v>
      </c>
      <c r="I9" s="75">
        <f>((B9*E9))*'Co-Ben ERFs'!$B$17</f>
        <v>0</v>
      </c>
      <c r="J9" s="77">
        <f>((B9*D9))*'Co-Ben ERFs'!$B$18</f>
        <v>0</v>
      </c>
      <c r="K9" s="68">
        <f>((B9*D9))*'Co-Ben ERFs'!$B$19</f>
        <v>0</v>
      </c>
      <c r="L9" s="82">
        <f>((B9*D9))*'Co-Ben ERFs'!$B$20</f>
        <v>0</v>
      </c>
      <c r="M9" s="54">
        <f t="shared" si="0"/>
        <v>0</v>
      </c>
      <c r="N9" s="55">
        <f t="shared" si="0"/>
        <v>0</v>
      </c>
      <c r="O9" s="56">
        <f t="shared" si="0"/>
        <v>0</v>
      </c>
    </row>
    <row r="10" spans="1:18" ht="15" thickBot="1">
      <c r="A10" t="s">
        <v>513</v>
      </c>
      <c r="B10" s="83">
        <f t="shared" ref="B10:O10" si="1">SUM(B5:B9)</f>
        <v>0</v>
      </c>
      <c r="C10" s="84">
        <f>SUM(C5:C9)</f>
        <v>0</v>
      </c>
      <c r="D10" s="84">
        <f t="shared" si="1"/>
        <v>0</v>
      </c>
      <c r="E10" s="84">
        <f t="shared" si="1"/>
        <v>5</v>
      </c>
      <c r="F10" s="90">
        <f t="shared" si="1"/>
        <v>0</v>
      </c>
      <c r="G10" s="84">
        <f t="shared" si="1"/>
        <v>0</v>
      </c>
      <c r="H10" s="84">
        <f t="shared" si="1"/>
        <v>0</v>
      </c>
      <c r="I10" s="84">
        <f t="shared" si="1"/>
        <v>0</v>
      </c>
      <c r="J10" s="84">
        <f t="shared" si="1"/>
        <v>0</v>
      </c>
      <c r="K10" s="84">
        <f t="shared" si="1"/>
        <v>0</v>
      </c>
      <c r="L10" s="84">
        <f t="shared" si="1"/>
        <v>0</v>
      </c>
      <c r="M10" s="84">
        <f t="shared" si="1"/>
        <v>0</v>
      </c>
      <c r="N10" s="84">
        <f t="shared" si="1"/>
        <v>0</v>
      </c>
      <c r="O10" s="85">
        <f t="shared" si="1"/>
        <v>0</v>
      </c>
    </row>
    <row r="11" spans="1:18">
      <c r="B11" s="2"/>
      <c r="C11" s="2"/>
      <c r="D11" s="2"/>
      <c r="E11" s="2"/>
      <c r="F11" s="2"/>
      <c r="G11" s="2"/>
      <c r="H11" s="2"/>
      <c r="I11" s="2"/>
    </row>
    <row r="12" spans="1:18">
      <c r="B12" s="2"/>
      <c r="C12" s="2"/>
      <c r="D12" s="2"/>
      <c r="E12" s="2"/>
      <c r="F12" s="2"/>
      <c r="G12" s="2"/>
      <c r="H12" s="2"/>
      <c r="I12" s="2"/>
    </row>
    <row r="13" spans="1:18">
      <c r="B13" s="2"/>
      <c r="C13" s="2"/>
      <c r="D13" s="2"/>
      <c r="E13" s="2"/>
      <c r="F13" s="2"/>
      <c r="G13" s="2"/>
      <c r="H13" s="2"/>
      <c r="I13" s="2"/>
    </row>
    <row r="14" spans="1:18">
      <c r="B14" s="2"/>
      <c r="C14" s="2"/>
      <c r="D14" s="2"/>
      <c r="E14" s="2"/>
      <c r="F14" s="2"/>
      <c r="G14" s="2"/>
      <c r="H14" s="2"/>
      <c r="I14" s="2"/>
    </row>
    <row r="15" spans="1:18">
      <c r="B15" s="2"/>
      <c r="C15" s="2"/>
      <c r="D15" s="2"/>
      <c r="E15" s="2"/>
      <c r="F15" s="2"/>
      <c r="G15" s="2"/>
      <c r="H15" s="2"/>
      <c r="I15" s="2"/>
    </row>
  </sheetData>
  <sheetProtection algorithmName="SHA-512" hashValue="9xpzjIR5xxDJFtqG1gul9JvmAhm6ceuN/sfiISOJVxPMW4XxyjvfwIcZoiiG7HPO2q2WXt5athl3+q385RmLzw==" saltValue="kkWkk69dk4PN4RjSbp6Mqw==" spinCount="100000" sheet="1" objects="1" scenarios="1"/>
  <mergeCells count="2">
    <mergeCell ref="G3:L3"/>
    <mergeCell ref="M3:O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34"/>
  <sheetViews>
    <sheetView zoomScaleNormal="100" workbookViewId="0">
      <selection activeCell="P42" sqref="P42"/>
    </sheetView>
  </sheetViews>
  <sheetFormatPr defaultRowHeight="14.6"/>
  <cols>
    <col min="1" max="1" width="48" customWidth="1"/>
    <col min="2" max="2" width="14.3828125" bestFit="1" customWidth="1"/>
    <col min="3" max="3" width="16.69140625" customWidth="1"/>
    <col min="4" max="4" width="12" customWidth="1"/>
    <col min="5" max="5" width="12.84375" customWidth="1"/>
    <col min="6" max="6" width="15.69140625" customWidth="1"/>
    <col min="7" max="7" width="15.53515625" customWidth="1"/>
    <col min="10" max="10" width="12.3046875" customWidth="1"/>
    <col min="11" max="11" width="9.15234375" customWidth="1"/>
    <col min="14" max="14" width="17.3828125" customWidth="1"/>
    <col min="15" max="15" width="13.53515625" customWidth="1"/>
    <col min="16" max="16" width="13.15234375" customWidth="1"/>
    <col min="17" max="17" width="12.53515625" hidden="1" customWidth="1"/>
    <col min="18" max="18" width="12.53515625" bestFit="1" customWidth="1"/>
    <col min="19" max="19" width="12.53515625" customWidth="1"/>
    <col min="20" max="21" width="12.53515625" bestFit="1" customWidth="1"/>
  </cols>
  <sheetData>
    <row r="1" spans="1:10" ht="15" thickBot="1"/>
    <row r="2" spans="1:10" ht="15.9">
      <c r="A2" s="988" t="s">
        <v>548</v>
      </c>
      <c r="B2" s="989"/>
      <c r="C2" s="989"/>
      <c r="D2" s="989"/>
      <c r="E2" s="989"/>
      <c r="F2" s="989"/>
      <c r="G2" s="989"/>
      <c r="H2" s="989"/>
      <c r="I2" s="989"/>
      <c r="J2" s="990"/>
    </row>
    <row r="3" spans="1:10" ht="15" thickBot="1">
      <c r="A3" s="34"/>
      <c r="B3" s="36" t="s">
        <v>292</v>
      </c>
      <c r="C3" s="36" t="s">
        <v>549</v>
      </c>
      <c r="D3" s="36" t="s">
        <v>550</v>
      </c>
      <c r="E3" s="36" t="s">
        <v>551</v>
      </c>
      <c r="F3" s="36" t="s">
        <v>552</v>
      </c>
      <c r="G3" s="1007" t="s">
        <v>303</v>
      </c>
      <c r="H3" s="1008"/>
      <c r="I3" s="1008"/>
      <c r="J3" s="1009"/>
    </row>
    <row r="4" spans="1:10">
      <c r="A4" s="45" t="s">
        <v>553</v>
      </c>
      <c r="B4" s="39" t="s">
        <v>554</v>
      </c>
      <c r="C4" s="41">
        <v>5.1999999999999998E-2</v>
      </c>
      <c r="D4" s="41">
        <v>3.5999999999999997E-2</v>
      </c>
      <c r="E4" s="41">
        <v>1.0999999999999999E-2</v>
      </c>
      <c r="F4" s="41">
        <v>0</v>
      </c>
      <c r="G4" s="982" t="s">
        <v>473</v>
      </c>
      <c r="H4" s="982"/>
      <c r="I4" s="982"/>
      <c r="J4" s="983"/>
    </row>
    <row r="5" spans="1:10">
      <c r="A5" s="43" t="s">
        <v>555</v>
      </c>
      <c r="B5" s="29" t="s">
        <v>554</v>
      </c>
      <c r="C5" s="51">
        <v>5.1999999999999998E-2</v>
      </c>
      <c r="D5" s="51">
        <v>3.5999999999999997E-2</v>
      </c>
      <c r="E5" s="51">
        <v>1.0999999999999999E-2</v>
      </c>
      <c r="F5" s="51">
        <v>0</v>
      </c>
      <c r="G5" s="984" t="s">
        <v>473</v>
      </c>
      <c r="H5" s="984"/>
      <c r="I5" s="984"/>
      <c r="J5" s="985"/>
    </row>
    <row r="6" spans="1:10">
      <c r="A6" s="43" t="s">
        <v>556</v>
      </c>
      <c r="B6" s="29" t="s">
        <v>554</v>
      </c>
      <c r="C6" s="51">
        <v>0.13800000000000001</v>
      </c>
      <c r="D6" s="51">
        <v>4.3999999999999997E-2</v>
      </c>
      <c r="E6" s="51">
        <v>1.9E-2</v>
      </c>
      <c r="F6" s="51">
        <v>0</v>
      </c>
      <c r="G6" s="984" t="s">
        <v>473</v>
      </c>
      <c r="H6" s="984"/>
      <c r="I6" s="984"/>
      <c r="J6" s="985"/>
    </row>
    <row r="7" spans="1:10">
      <c r="A7" s="43" t="s">
        <v>557</v>
      </c>
      <c r="B7" s="29" t="s">
        <v>554</v>
      </c>
      <c r="C7" s="51">
        <v>0.13800000000000001</v>
      </c>
      <c r="D7" s="51">
        <v>4.3999999999999997E-2</v>
      </c>
      <c r="E7" s="51">
        <v>1.9E-2</v>
      </c>
      <c r="F7" s="51">
        <v>0</v>
      </c>
      <c r="G7" s="984" t="s">
        <v>558</v>
      </c>
      <c r="H7" s="984"/>
      <c r="I7" s="984"/>
      <c r="J7" s="985"/>
    </row>
    <row r="8" spans="1:10">
      <c r="A8" s="43" t="s">
        <v>559</v>
      </c>
      <c r="B8" s="29" t="s">
        <v>554</v>
      </c>
      <c r="C8" s="32">
        <v>6.0000000000000001E-3</v>
      </c>
      <c r="D8" s="32">
        <v>8.5000000000000006E-2</v>
      </c>
      <c r="E8" s="32">
        <v>8.0000000000000002E-3</v>
      </c>
      <c r="F8" s="32">
        <v>0</v>
      </c>
      <c r="G8" s="984" t="s">
        <v>560</v>
      </c>
      <c r="H8" s="984"/>
      <c r="I8" s="984"/>
      <c r="J8" s="985"/>
    </row>
    <row r="9" spans="1:10">
      <c r="A9" s="43" t="s">
        <v>559</v>
      </c>
      <c r="B9" s="29" t="s">
        <v>561</v>
      </c>
      <c r="C9" s="42">
        <f>C8*1020/1000000</f>
        <v>6.1199999999999999E-6</v>
      </c>
      <c r="D9" s="42">
        <f>D8*1020/1000000</f>
        <v>8.6700000000000007E-5</v>
      </c>
      <c r="E9" s="42">
        <f>E8*1020/1000000</f>
        <v>8.1599999999999998E-6</v>
      </c>
      <c r="F9" s="32">
        <f>F8*1020/1000000</f>
        <v>0</v>
      </c>
      <c r="G9" s="984" t="s">
        <v>473</v>
      </c>
      <c r="H9" s="984"/>
      <c r="I9" s="984"/>
      <c r="J9" s="985"/>
    </row>
    <row r="10" spans="1:10">
      <c r="A10" s="43" t="s">
        <v>562</v>
      </c>
      <c r="B10" s="29" t="s">
        <v>554</v>
      </c>
      <c r="C10" s="51">
        <v>2E-3</v>
      </c>
      <c r="D10" s="51">
        <v>7.0000000000000007E-2</v>
      </c>
      <c r="E10" s="51">
        <v>8.0000000000000002E-3</v>
      </c>
      <c r="F10" s="51">
        <v>0</v>
      </c>
      <c r="G10" s="984" t="s">
        <v>473</v>
      </c>
      <c r="H10" s="984"/>
      <c r="I10" s="984"/>
      <c r="J10" s="985"/>
    </row>
    <row r="11" spans="1:10" ht="15" thickBot="1">
      <c r="A11" s="44" t="s">
        <v>563</v>
      </c>
      <c r="B11" s="34" t="s">
        <v>554</v>
      </c>
      <c r="C11" s="36">
        <v>8.0000000000000002E-3</v>
      </c>
      <c r="D11" s="36">
        <v>2.5999999999999999E-3</v>
      </c>
      <c r="E11" s="36">
        <v>1.2999999999999999E-3</v>
      </c>
      <c r="F11" s="36">
        <v>0</v>
      </c>
      <c r="G11" s="986" t="s">
        <v>564</v>
      </c>
      <c r="H11" s="986"/>
      <c r="I11" s="986"/>
      <c r="J11" s="987"/>
    </row>
    <row r="12" spans="1:10" ht="15" thickBot="1"/>
    <row r="13" spans="1:10" ht="15.9">
      <c r="A13" s="988" t="s">
        <v>565</v>
      </c>
      <c r="B13" s="989"/>
      <c r="C13" s="989"/>
      <c r="D13" s="989"/>
      <c r="E13" s="989"/>
      <c r="F13" s="989"/>
      <c r="G13" s="989"/>
      <c r="H13" s="989"/>
      <c r="I13" s="990"/>
    </row>
    <row r="14" spans="1:10" ht="30.75" customHeight="1" thickBot="1">
      <c r="A14" s="34"/>
      <c r="B14" s="8" t="s">
        <v>566</v>
      </c>
      <c r="C14" s="8" t="s">
        <v>567</v>
      </c>
      <c r="D14" s="8" t="s">
        <v>568</v>
      </c>
      <c r="E14" s="8" t="s">
        <v>569</v>
      </c>
      <c r="F14" s="8" t="s">
        <v>570</v>
      </c>
      <c r="G14" s="980" t="s">
        <v>303</v>
      </c>
      <c r="H14" s="980"/>
      <c r="I14" s="981"/>
    </row>
    <row r="15" spans="1:10">
      <c r="A15" s="47" t="s">
        <v>481</v>
      </c>
      <c r="B15" s="41">
        <f>'Co-Ben ERFs'!B99</f>
        <v>7.6600000000000001E-2</v>
      </c>
      <c r="C15" s="41">
        <f>'Co-Ben ERFs'!B100</f>
        <v>1.4040999999999999</v>
      </c>
      <c r="D15" s="41">
        <f>'Co-Ben ERFs'!B102</f>
        <v>4.0399999999999998E-2</v>
      </c>
      <c r="E15" s="41">
        <f>'Co-Ben ERFs'!B103</f>
        <v>5.1000000000000004E-3</v>
      </c>
      <c r="F15" s="48">
        <v>6.1</v>
      </c>
      <c r="G15" s="991" t="s">
        <v>571</v>
      </c>
      <c r="H15" s="992"/>
      <c r="I15" s="993"/>
    </row>
    <row r="16" spans="1:10">
      <c r="A16" s="31" t="s">
        <v>572</v>
      </c>
      <c r="B16" s="51">
        <f>'Co-Ben ERFs'!B99</f>
        <v>7.6600000000000001E-2</v>
      </c>
      <c r="C16" s="51">
        <f>'Co-Ben ERFs'!B100</f>
        <v>1.4040999999999999</v>
      </c>
      <c r="D16" s="51">
        <f>'Co-Ben ERFs'!B102</f>
        <v>4.0399999999999998E-2</v>
      </c>
      <c r="E16" s="51">
        <v>0</v>
      </c>
      <c r="F16" s="51">
        <v>6.1</v>
      </c>
      <c r="G16" s="994"/>
      <c r="H16" s="995"/>
      <c r="I16" s="996"/>
    </row>
    <row r="17" spans="1:17">
      <c r="A17" s="31" t="s">
        <v>573</v>
      </c>
      <c r="B17" s="51">
        <f>'Co-Ben ERFs'!B99</f>
        <v>7.6600000000000001E-2</v>
      </c>
      <c r="C17" s="51">
        <f>'Co-Ben ERFs'!B101</f>
        <v>0.1404</v>
      </c>
      <c r="D17" s="51">
        <f>'Co-Ben ERFs'!B102</f>
        <v>4.0399999999999998E-2</v>
      </c>
      <c r="E17" s="51">
        <v>0</v>
      </c>
      <c r="F17" s="51">
        <v>6.1</v>
      </c>
      <c r="G17" s="994"/>
      <c r="H17" s="995"/>
      <c r="I17" s="996"/>
    </row>
    <row r="18" spans="1:17">
      <c r="A18" s="31" t="s">
        <v>474</v>
      </c>
      <c r="B18" s="51">
        <f>'Co-Ben ERFs'!B99</f>
        <v>7.6600000000000001E-2</v>
      </c>
      <c r="C18" s="51">
        <f>'Co-Ben ERFs'!B100</f>
        <v>1.4040999999999999</v>
      </c>
      <c r="D18" s="51">
        <f>'Co-Ben ERFs'!B102</f>
        <v>4.0399999999999998E-2</v>
      </c>
      <c r="E18" s="51">
        <v>0</v>
      </c>
      <c r="F18" s="51">
        <v>6.1</v>
      </c>
      <c r="G18" s="994"/>
      <c r="H18" s="995"/>
      <c r="I18" s="996"/>
    </row>
    <row r="19" spans="1:17" ht="15" thickBot="1">
      <c r="A19" s="46" t="s">
        <v>472</v>
      </c>
      <c r="B19" s="36">
        <v>0</v>
      </c>
      <c r="C19" s="36">
        <v>0</v>
      </c>
      <c r="D19" s="36">
        <v>0</v>
      </c>
      <c r="E19" s="36">
        <v>0</v>
      </c>
      <c r="F19" s="36">
        <v>6.1</v>
      </c>
      <c r="G19" s="997"/>
      <c r="H19" s="998"/>
      <c r="I19" s="999"/>
    </row>
    <row r="20" spans="1:17" ht="15" thickBot="1"/>
    <row r="21" spans="1:17" ht="15.9">
      <c r="A21" s="988" t="s">
        <v>574</v>
      </c>
      <c r="B21" s="989"/>
      <c r="C21" s="989"/>
      <c r="D21" s="989"/>
      <c r="E21" s="989"/>
      <c r="F21" s="989"/>
      <c r="G21" s="989"/>
      <c r="H21" s="989"/>
      <c r="I21" s="989"/>
      <c r="J21" s="990"/>
    </row>
    <row r="22" spans="1:17">
      <c r="A22" s="37"/>
      <c r="B22" s="38" t="s">
        <v>575</v>
      </c>
      <c r="C22" s="38"/>
      <c r="D22" s="38" t="s">
        <v>576</v>
      </c>
      <c r="E22" s="38" t="s">
        <v>577</v>
      </c>
      <c r="F22" s="38" t="s">
        <v>578</v>
      </c>
      <c r="G22" s="38" t="s">
        <v>579</v>
      </c>
      <c r="H22" s="1000" t="s">
        <v>303</v>
      </c>
      <c r="I22" s="1000"/>
      <c r="J22" s="1001"/>
    </row>
    <row r="23" spans="1:17">
      <c r="A23" s="31" t="s">
        <v>580</v>
      </c>
      <c r="B23" s="51">
        <v>0.13900000000000001</v>
      </c>
      <c r="C23" s="51" t="s">
        <v>581</v>
      </c>
      <c r="D23" s="51">
        <f>'Co-Ben ERFs'!B38</f>
        <v>2.1700000000000001E-2</v>
      </c>
      <c r="E23" s="51">
        <f>'Co-Ben ERFs'!B39</f>
        <v>0.1653</v>
      </c>
      <c r="F23" s="51">
        <f>'Co-Ben ERFs'!B40</f>
        <v>5.7999999999999996E-3</v>
      </c>
      <c r="G23" s="51">
        <f>'Co-Ben ERFs'!B41</f>
        <v>6.3E-3</v>
      </c>
      <c r="H23" s="1015" t="s">
        <v>582</v>
      </c>
      <c r="I23" s="1016"/>
      <c r="J23" s="1017"/>
    </row>
    <row r="24" spans="1:17" ht="15" thickBot="1">
      <c r="A24" s="34" t="s">
        <v>583</v>
      </c>
      <c r="B24" s="36">
        <v>0.125</v>
      </c>
      <c r="C24" s="36" t="s">
        <v>581</v>
      </c>
      <c r="D24" s="36"/>
      <c r="E24" s="36">
        <v>7.7600000000000002E-2</v>
      </c>
      <c r="F24" s="36">
        <v>8.3199999999999996E-2</v>
      </c>
      <c r="G24" s="36">
        <v>7.4000000000000003E-3</v>
      </c>
      <c r="H24" s="1007" t="s">
        <v>582</v>
      </c>
      <c r="I24" s="1008"/>
      <c r="J24" s="1009"/>
      <c r="Q24" s="30" t="s">
        <v>584</v>
      </c>
    </row>
    <row r="25" spans="1:17" ht="15" thickBot="1">
      <c r="A25" s="5"/>
      <c r="B25" s="5"/>
      <c r="C25" s="5"/>
      <c r="D25" s="5"/>
      <c r="E25" s="5"/>
      <c r="F25" s="5"/>
      <c r="G25" s="5"/>
      <c r="H25" s="5"/>
      <c r="I25" s="5"/>
      <c r="J25" s="5"/>
      <c r="Q25" s="30"/>
    </row>
    <row r="26" spans="1:17" ht="15.9">
      <c r="A26" s="1004" t="s">
        <v>585</v>
      </c>
      <c r="B26" s="1005"/>
      <c r="C26" s="1005"/>
      <c r="D26" s="1005"/>
      <c r="E26" s="1005"/>
      <c r="F26" s="1005"/>
      <c r="G26" s="1005"/>
      <c r="H26" s="1005"/>
      <c r="I26" s="1005"/>
      <c r="J26" s="1006"/>
      <c r="Q26" s="30"/>
    </row>
    <row r="27" spans="1:17" ht="15" thickBot="1">
      <c r="A27" s="34"/>
      <c r="B27" s="36" t="s">
        <v>575</v>
      </c>
      <c r="C27" s="36" t="s">
        <v>292</v>
      </c>
      <c r="D27" s="36" t="s">
        <v>586</v>
      </c>
      <c r="E27" s="36" t="s">
        <v>587</v>
      </c>
      <c r="F27" s="36" t="s">
        <v>545</v>
      </c>
      <c r="G27" s="36" t="s">
        <v>588</v>
      </c>
      <c r="H27" s="980" t="s">
        <v>303</v>
      </c>
      <c r="I27" s="980"/>
      <c r="J27" s="981"/>
      <c r="Q27" s="30"/>
    </row>
    <row r="28" spans="1:17">
      <c r="A28" s="39" t="s">
        <v>589</v>
      </c>
      <c r="B28" s="41">
        <v>1</v>
      </c>
      <c r="C28" s="41" t="s">
        <v>554</v>
      </c>
      <c r="D28" s="41">
        <f>C8</f>
        <v>6.0000000000000001E-3</v>
      </c>
      <c r="E28" s="41">
        <f>D8</f>
        <v>8.5000000000000006E-2</v>
      </c>
      <c r="F28" s="41">
        <f>E8</f>
        <v>8.0000000000000002E-3</v>
      </c>
      <c r="G28" s="41">
        <v>0</v>
      </c>
      <c r="H28" s="1018" t="s">
        <v>473</v>
      </c>
      <c r="I28" s="1018"/>
      <c r="J28" s="1019"/>
      <c r="Q28">
        <v>0.6</v>
      </c>
    </row>
    <row r="29" spans="1:17" ht="15" thickBot="1">
      <c r="A29" s="34" t="s">
        <v>590</v>
      </c>
      <c r="B29" s="36">
        <v>1.0200000000000001E-3</v>
      </c>
      <c r="C29" s="36" t="s">
        <v>561</v>
      </c>
      <c r="D29" s="36">
        <v>6.1199999999999999E-6</v>
      </c>
      <c r="E29" s="36">
        <v>8.6700000000000007E-5</v>
      </c>
      <c r="F29" s="36">
        <v>8.1599999999999998E-6</v>
      </c>
      <c r="G29" s="36">
        <v>0</v>
      </c>
      <c r="H29" s="980" t="s">
        <v>473</v>
      </c>
      <c r="I29" s="980"/>
      <c r="J29" s="981"/>
    </row>
    <row r="30" spans="1:17" ht="15" thickBot="1"/>
    <row r="31" spans="1:17" ht="16.3" thickBot="1">
      <c r="A31" s="1012" t="s">
        <v>591</v>
      </c>
      <c r="B31" s="1013"/>
      <c r="C31" s="1013"/>
      <c r="D31" s="1013"/>
      <c r="E31" s="1013"/>
      <c r="F31" s="1013"/>
      <c r="G31" s="1013"/>
      <c r="H31" s="1014"/>
    </row>
    <row r="32" spans="1:17">
      <c r="A32" s="39" t="s">
        <v>472</v>
      </c>
      <c r="B32" s="49">
        <v>0.72</v>
      </c>
      <c r="C32" s="1002" t="s">
        <v>473</v>
      </c>
      <c r="D32" s="1002"/>
      <c r="E32" s="1002"/>
      <c r="F32" s="1002"/>
      <c r="G32" s="1002"/>
      <c r="H32" s="1003"/>
    </row>
    <row r="33" spans="1:8">
      <c r="A33" s="29" t="s">
        <v>474</v>
      </c>
      <c r="B33" s="33">
        <v>0.7</v>
      </c>
      <c r="C33" s="1010" t="s">
        <v>475</v>
      </c>
      <c r="D33" s="1010"/>
      <c r="E33" s="1010"/>
      <c r="F33" s="1010"/>
      <c r="G33" s="1010"/>
      <c r="H33" s="1011"/>
    </row>
    <row r="34" spans="1:8" ht="15" thickBot="1">
      <c r="A34" s="40" t="s">
        <v>592</v>
      </c>
      <c r="B34" s="50">
        <v>1</v>
      </c>
      <c r="C34" s="980"/>
      <c r="D34" s="980"/>
      <c r="E34" s="980"/>
      <c r="F34" s="980"/>
      <c r="G34" s="980"/>
      <c r="H34" s="981"/>
    </row>
  </sheetData>
  <sheetProtection algorithmName="SHA-512" hashValue="Md02aXAKJW3k+lI12PD8f5G6kZfKhkw0azcGKov3xnfl/cAU7h8YIXDgEm9CoxlhCa2fcDzDNfWx2u2ZwWKruA==" saltValue="d3pWlW5HrJWlUvfsmzrCsQ==" spinCount="100000" sheet="1" objects="1" scenarios="1"/>
  <mergeCells count="25">
    <mergeCell ref="A2:J2"/>
    <mergeCell ref="G3:J3"/>
    <mergeCell ref="G14:I14"/>
    <mergeCell ref="C33:H33"/>
    <mergeCell ref="A31:H31"/>
    <mergeCell ref="H23:J23"/>
    <mergeCell ref="H28:J28"/>
    <mergeCell ref="H29:J29"/>
    <mergeCell ref="H27:J27"/>
    <mergeCell ref="C34:H34"/>
    <mergeCell ref="G4:J4"/>
    <mergeCell ref="G5:J5"/>
    <mergeCell ref="G6:J6"/>
    <mergeCell ref="G7:J7"/>
    <mergeCell ref="G8:J8"/>
    <mergeCell ref="G9:J9"/>
    <mergeCell ref="G10:J10"/>
    <mergeCell ref="G11:J11"/>
    <mergeCell ref="A13:I13"/>
    <mergeCell ref="G15:I19"/>
    <mergeCell ref="H22:J22"/>
    <mergeCell ref="A21:J21"/>
    <mergeCell ref="C32:H32"/>
    <mergeCell ref="A26:J26"/>
    <mergeCell ref="H24:J24"/>
  </mergeCells>
  <pageMargins left="0.7" right="0.7" top="0.75" bottom="0.75" header="0.3" footer="0.3"/>
  <pageSetup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1F2"/>
  </sheetPr>
  <dimension ref="A1:J65"/>
  <sheetViews>
    <sheetView zoomScale="70" zoomScaleNormal="70" workbookViewId="0">
      <selection activeCell="S28" sqref="S27:S28"/>
    </sheetView>
  </sheetViews>
  <sheetFormatPr defaultRowHeight="14.6"/>
  <cols>
    <col min="1" max="1" width="35" style="248" customWidth="1"/>
    <col min="2" max="2" width="26.15234375" customWidth="1"/>
    <col min="3" max="3" width="20.69140625" customWidth="1"/>
    <col min="4" max="4" width="13.3046875" customWidth="1"/>
    <col min="5" max="5" width="19.3828125" customWidth="1"/>
    <col min="6" max="6" width="27.3828125" customWidth="1"/>
    <col min="7" max="7" width="23.53515625" customWidth="1"/>
    <col min="10" max="10" width="40.53515625" customWidth="1"/>
  </cols>
  <sheetData>
    <row r="1" spans="1:10">
      <c r="A1" s="249"/>
      <c r="B1" s="250" t="s">
        <v>140</v>
      </c>
      <c r="C1" s="250" t="s">
        <v>141</v>
      </c>
      <c r="D1" s="250" t="s">
        <v>142</v>
      </c>
      <c r="E1" s="250" t="s">
        <v>123</v>
      </c>
      <c r="F1" s="250" t="s">
        <v>143</v>
      </c>
      <c r="G1" s="250" t="s">
        <v>127</v>
      </c>
      <c r="H1" s="250" t="s">
        <v>144</v>
      </c>
    </row>
    <row r="2" spans="1:10" ht="52" customHeight="1">
      <c r="A2" s="243"/>
      <c r="B2" s="240"/>
      <c r="C2" s="240" t="s">
        <v>120</v>
      </c>
      <c r="D2" s="240" t="s">
        <v>730</v>
      </c>
      <c r="E2" s="240"/>
      <c r="F2" s="240"/>
      <c r="G2" s="240"/>
      <c r="H2" s="240" t="s">
        <v>145</v>
      </c>
      <c r="I2" t="s">
        <v>479</v>
      </c>
    </row>
    <row r="3" spans="1:10">
      <c r="A3" s="243"/>
      <c r="B3" s="240" t="s">
        <v>78</v>
      </c>
      <c r="C3" s="240" t="s">
        <v>146</v>
      </c>
      <c r="D3" s="240" t="s">
        <v>147</v>
      </c>
      <c r="E3" s="240" t="s">
        <v>80</v>
      </c>
      <c r="F3" s="240" t="s">
        <v>148</v>
      </c>
      <c r="G3" s="241" t="s">
        <v>149</v>
      </c>
      <c r="H3" s="240" t="s">
        <v>136</v>
      </c>
      <c r="I3" s="240" t="s">
        <v>774</v>
      </c>
      <c r="J3" s="243"/>
    </row>
    <row r="4" spans="1:10">
      <c r="A4" s="244"/>
      <c r="B4" s="240" t="s">
        <v>79</v>
      </c>
      <c r="C4" s="240"/>
      <c r="D4" s="240"/>
      <c r="E4" s="240" t="s">
        <v>82</v>
      </c>
      <c r="F4" s="242" t="s">
        <v>150</v>
      </c>
      <c r="G4" s="241" t="s">
        <v>151</v>
      </c>
      <c r="H4" s="240"/>
    </row>
    <row r="5" spans="1:10">
      <c r="A5" s="244"/>
      <c r="B5" s="240"/>
      <c r="C5" s="240"/>
      <c r="D5" s="240"/>
      <c r="E5" s="240"/>
      <c r="F5" s="240" t="s">
        <v>152</v>
      </c>
      <c r="G5" s="241" t="s">
        <v>153</v>
      </c>
      <c r="H5" s="240"/>
    </row>
    <row r="6" spans="1:10">
      <c r="A6" s="243"/>
      <c r="B6" s="240"/>
      <c r="C6" s="240"/>
      <c r="D6" s="240"/>
      <c r="E6" s="240"/>
      <c r="F6" s="240" t="s">
        <v>137</v>
      </c>
      <c r="G6" s="241" t="s">
        <v>154</v>
      </c>
      <c r="H6" s="240"/>
    </row>
    <row r="7" spans="1:10">
      <c r="A7" s="244"/>
      <c r="B7" s="240"/>
      <c r="C7" s="240"/>
      <c r="D7" s="240"/>
      <c r="E7" s="240"/>
      <c r="F7" s="240" t="s">
        <v>770</v>
      </c>
      <c r="G7" s="241" t="s">
        <v>155</v>
      </c>
      <c r="H7" s="240"/>
    </row>
    <row r="8" spans="1:10">
      <c r="A8" s="245"/>
      <c r="B8" s="240"/>
      <c r="C8" s="240"/>
      <c r="D8" s="240"/>
      <c r="E8" s="240"/>
      <c r="F8" s="240"/>
      <c r="G8" s="241" t="s">
        <v>156</v>
      </c>
      <c r="H8" s="240"/>
    </row>
    <row r="9" spans="1:10">
      <c r="A9" s="245"/>
      <c r="B9" s="240"/>
      <c r="C9" s="240"/>
      <c r="D9" s="240"/>
      <c r="E9" s="240"/>
      <c r="F9" s="240"/>
      <c r="G9" s="241" t="s">
        <v>157</v>
      </c>
      <c r="H9" s="240"/>
    </row>
    <row r="10" spans="1:10">
      <c r="A10" s="245"/>
      <c r="B10" s="240"/>
      <c r="C10" s="240"/>
      <c r="D10" s="240"/>
      <c r="E10" s="240"/>
      <c r="F10" s="240"/>
      <c r="G10" s="241" t="s">
        <v>158</v>
      </c>
      <c r="H10" s="240"/>
    </row>
    <row r="11" spans="1:10" ht="44.25" customHeight="1">
      <c r="A11" s="246"/>
      <c r="B11" s="240"/>
      <c r="C11" s="240"/>
      <c r="D11" s="240"/>
      <c r="E11" s="240"/>
      <c r="F11" s="240"/>
      <c r="G11" s="241" t="s">
        <v>159</v>
      </c>
      <c r="H11" s="240"/>
    </row>
    <row r="12" spans="1:10">
      <c r="A12" s="247"/>
      <c r="B12" s="240"/>
      <c r="C12" s="240"/>
      <c r="D12" s="240"/>
      <c r="E12" s="240"/>
      <c r="F12" s="240"/>
      <c r="G12" s="241" t="s">
        <v>160</v>
      </c>
      <c r="H12" s="240"/>
    </row>
    <row r="13" spans="1:10">
      <c r="A13" s="247"/>
      <c r="B13" s="240"/>
      <c r="C13" s="240"/>
      <c r="D13" s="240"/>
      <c r="E13" s="240"/>
      <c r="F13" s="240"/>
      <c r="G13" s="241" t="s">
        <v>161</v>
      </c>
      <c r="H13" s="240"/>
    </row>
    <row r="14" spans="1:10">
      <c r="A14" s="247"/>
      <c r="B14" s="240"/>
      <c r="C14" s="240"/>
      <c r="D14" s="240"/>
      <c r="E14" s="240"/>
      <c r="F14" s="240"/>
      <c r="G14" s="241" t="s">
        <v>162</v>
      </c>
      <c r="H14" s="240"/>
    </row>
    <row r="15" spans="1:10">
      <c r="A15" s="247"/>
      <c r="B15" s="240"/>
      <c r="C15" s="240"/>
      <c r="D15" s="240"/>
      <c r="E15" s="240"/>
      <c r="F15" s="240"/>
      <c r="G15" s="241" t="s">
        <v>163</v>
      </c>
      <c r="H15" s="240"/>
    </row>
    <row r="16" spans="1:10">
      <c r="A16" s="247"/>
      <c r="B16" s="240"/>
      <c r="C16" s="240"/>
      <c r="D16" s="240"/>
      <c r="E16" s="240"/>
      <c r="F16" s="240"/>
      <c r="G16" s="241" t="s">
        <v>164</v>
      </c>
      <c r="H16" s="240"/>
    </row>
    <row r="17" spans="1:8">
      <c r="A17" s="247"/>
      <c r="B17" s="240"/>
      <c r="C17" s="240"/>
      <c r="D17" s="240"/>
      <c r="E17" s="240"/>
      <c r="F17" s="240"/>
      <c r="G17" s="241" t="s">
        <v>165</v>
      </c>
      <c r="H17" s="240"/>
    </row>
    <row r="18" spans="1:8">
      <c r="A18" s="247"/>
      <c r="B18" s="240"/>
      <c r="C18" s="240"/>
      <c r="D18" s="240"/>
      <c r="E18" s="240"/>
      <c r="F18" s="240"/>
      <c r="G18" s="241" t="s">
        <v>166</v>
      </c>
      <c r="H18" s="240"/>
    </row>
    <row r="19" spans="1:8">
      <c r="A19" s="247"/>
      <c r="B19" s="240"/>
      <c r="C19" s="240"/>
      <c r="D19" s="240"/>
      <c r="E19" s="240"/>
      <c r="F19" s="240"/>
      <c r="G19" s="241" t="s">
        <v>167</v>
      </c>
      <c r="H19" s="240"/>
    </row>
    <row r="20" spans="1:8">
      <c r="A20" s="247"/>
      <c r="B20" s="240"/>
      <c r="C20" s="240"/>
      <c r="D20" s="240"/>
      <c r="E20" s="240"/>
      <c r="F20" s="240"/>
      <c r="G20" s="241" t="s">
        <v>168</v>
      </c>
      <c r="H20" s="240"/>
    </row>
    <row r="21" spans="1:8">
      <c r="A21" s="247"/>
      <c r="B21" s="240"/>
      <c r="C21" s="240"/>
      <c r="D21" s="240"/>
      <c r="E21" s="240"/>
      <c r="F21" s="240"/>
      <c r="G21" s="241" t="s">
        <v>169</v>
      </c>
      <c r="H21" s="240"/>
    </row>
    <row r="22" spans="1:8">
      <c r="A22" s="247"/>
      <c r="B22" s="240"/>
      <c r="C22" s="240"/>
      <c r="D22" s="240"/>
      <c r="E22" s="240"/>
      <c r="F22" s="240"/>
      <c r="G22" s="241" t="s">
        <v>170</v>
      </c>
      <c r="H22" s="240"/>
    </row>
    <row r="23" spans="1:8">
      <c r="A23" s="247"/>
      <c r="B23" s="240"/>
      <c r="C23" s="240"/>
      <c r="D23" s="240"/>
      <c r="E23" s="240"/>
      <c r="F23" s="240"/>
      <c r="G23" s="241" t="s">
        <v>171</v>
      </c>
      <c r="H23" s="240"/>
    </row>
    <row r="24" spans="1:8">
      <c r="A24" s="247"/>
      <c r="B24" s="240"/>
      <c r="C24" s="240"/>
      <c r="D24" s="240"/>
      <c r="E24" s="240"/>
      <c r="F24" s="240"/>
      <c r="G24" s="241" t="s">
        <v>172</v>
      </c>
      <c r="H24" s="240"/>
    </row>
    <row r="25" spans="1:8">
      <c r="A25" s="247"/>
      <c r="B25" s="240"/>
      <c r="C25" s="240"/>
      <c r="D25" s="240"/>
      <c r="E25" s="240"/>
      <c r="F25" s="240"/>
      <c r="G25" s="241" t="s">
        <v>173</v>
      </c>
      <c r="H25" s="240"/>
    </row>
    <row r="26" spans="1:8">
      <c r="A26" s="247"/>
      <c r="B26" s="240"/>
      <c r="C26" s="240"/>
      <c r="D26" s="240"/>
      <c r="E26" s="240"/>
      <c r="F26" s="240"/>
      <c r="G26" s="241" t="s">
        <v>174</v>
      </c>
      <c r="H26" s="240"/>
    </row>
    <row r="27" spans="1:8">
      <c r="A27" s="247"/>
      <c r="B27" s="240"/>
      <c r="C27" s="240"/>
      <c r="D27" s="240"/>
      <c r="E27" s="240"/>
      <c r="F27" s="240"/>
      <c r="G27" s="241" t="s">
        <v>175</v>
      </c>
      <c r="H27" s="240"/>
    </row>
    <row r="28" spans="1:8">
      <c r="A28" s="247"/>
      <c r="B28" s="240"/>
      <c r="C28" s="240"/>
      <c r="D28" s="240"/>
      <c r="E28" s="240"/>
      <c r="F28" s="240"/>
      <c r="G28" s="241" t="s">
        <v>176</v>
      </c>
      <c r="H28" s="240"/>
    </row>
    <row r="29" spans="1:8">
      <c r="A29" s="247"/>
      <c r="B29" s="240"/>
      <c r="C29" s="240"/>
      <c r="D29" s="240"/>
      <c r="E29" s="240"/>
      <c r="F29" s="240"/>
      <c r="G29" s="241" t="s">
        <v>177</v>
      </c>
      <c r="H29" s="240"/>
    </row>
    <row r="30" spans="1:8">
      <c r="A30" s="247"/>
      <c r="B30" s="240"/>
      <c r="C30" s="240"/>
      <c r="D30" s="240"/>
      <c r="E30" s="240"/>
      <c r="F30" s="240"/>
      <c r="G30" s="241" t="s">
        <v>178</v>
      </c>
      <c r="H30" s="240"/>
    </row>
    <row r="31" spans="1:8">
      <c r="A31" s="247"/>
      <c r="B31" s="240"/>
      <c r="C31" s="240"/>
      <c r="D31" s="240"/>
      <c r="E31" s="240"/>
      <c r="F31" s="240"/>
      <c r="G31" s="241" t="s">
        <v>179</v>
      </c>
      <c r="H31" s="240"/>
    </row>
    <row r="32" spans="1:8">
      <c r="A32" s="247"/>
      <c r="B32" s="240"/>
      <c r="C32" s="240"/>
      <c r="D32" s="240"/>
      <c r="E32" s="240"/>
      <c r="F32" s="240"/>
      <c r="G32" s="241" t="s">
        <v>180</v>
      </c>
      <c r="H32" s="240"/>
    </row>
    <row r="33" spans="1:8">
      <c r="A33" s="247"/>
      <c r="B33" s="240"/>
      <c r="C33" s="240"/>
      <c r="D33" s="240"/>
      <c r="E33" s="240"/>
      <c r="F33" s="240"/>
      <c r="G33" s="241" t="s">
        <v>181</v>
      </c>
      <c r="H33" s="240"/>
    </row>
    <row r="34" spans="1:8">
      <c r="A34" s="247"/>
      <c r="B34" s="240"/>
      <c r="C34" s="240"/>
      <c r="D34" s="240"/>
      <c r="E34" s="240"/>
      <c r="F34" s="240"/>
      <c r="G34" s="241" t="s">
        <v>182</v>
      </c>
      <c r="H34" s="240"/>
    </row>
    <row r="35" spans="1:8">
      <c r="A35" s="247"/>
      <c r="B35" s="240"/>
      <c r="C35" s="240"/>
      <c r="D35" s="240"/>
      <c r="E35" s="240"/>
      <c r="F35" s="240"/>
      <c r="G35" s="241" t="s">
        <v>183</v>
      </c>
      <c r="H35" s="240"/>
    </row>
    <row r="36" spans="1:8">
      <c r="A36" s="247"/>
      <c r="B36" s="240"/>
      <c r="C36" s="240"/>
      <c r="D36" s="240"/>
      <c r="E36" s="240"/>
      <c r="F36" s="240"/>
      <c r="G36" s="241" t="s">
        <v>135</v>
      </c>
      <c r="H36" s="240"/>
    </row>
    <row r="37" spans="1:8">
      <c r="A37" s="247"/>
      <c r="B37" s="240"/>
      <c r="C37" s="240"/>
      <c r="D37" s="240"/>
      <c r="E37" s="240"/>
      <c r="F37" s="240"/>
      <c r="G37" s="241" t="s">
        <v>184</v>
      </c>
      <c r="H37" s="240"/>
    </row>
    <row r="38" spans="1:8">
      <c r="A38" s="247"/>
      <c r="B38" s="240"/>
      <c r="C38" s="240"/>
      <c r="D38" s="240"/>
      <c r="E38" s="240"/>
      <c r="F38" s="240"/>
      <c r="G38" s="241" t="s">
        <v>185</v>
      </c>
      <c r="H38" s="240"/>
    </row>
    <row r="39" spans="1:8">
      <c r="A39" s="247"/>
      <c r="B39" s="240"/>
      <c r="C39" s="240"/>
      <c r="D39" s="240"/>
      <c r="E39" s="240"/>
      <c r="F39" s="240"/>
      <c r="G39" s="241" t="s">
        <v>186</v>
      </c>
      <c r="H39" s="240"/>
    </row>
    <row r="40" spans="1:8">
      <c r="A40" s="247"/>
      <c r="B40" s="240"/>
      <c r="C40" s="240"/>
      <c r="D40" s="240"/>
      <c r="E40" s="240"/>
      <c r="F40" s="240"/>
      <c r="G40" s="241" t="s">
        <v>187</v>
      </c>
      <c r="H40" s="240"/>
    </row>
    <row r="41" spans="1:8">
      <c r="A41" s="247"/>
      <c r="B41" s="240"/>
      <c r="C41" s="240"/>
      <c r="D41" s="240"/>
      <c r="E41" s="240"/>
      <c r="F41" s="240"/>
      <c r="G41" s="241" t="s">
        <v>188</v>
      </c>
      <c r="H41" s="240"/>
    </row>
    <row r="42" spans="1:8">
      <c r="A42" s="247"/>
      <c r="B42" s="240"/>
      <c r="C42" s="240"/>
      <c r="D42" s="240"/>
      <c r="E42" s="240"/>
      <c r="F42" s="240"/>
      <c r="G42" s="241" t="s">
        <v>189</v>
      </c>
      <c r="H42" s="240"/>
    </row>
    <row r="43" spans="1:8">
      <c r="A43" s="247"/>
      <c r="B43" s="240"/>
      <c r="C43" s="240"/>
      <c r="D43" s="240"/>
      <c r="E43" s="240"/>
      <c r="F43" s="240"/>
      <c r="G43" s="241" t="s">
        <v>190</v>
      </c>
      <c r="H43" s="240"/>
    </row>
    <row r="44" spans="1:8">
      <c r="A44" s="247"/>
      <c r="B44" s="240"/>
      <c r="C44" s="240"/>
      <c r="D44" s="240"/>
      <c r="E44" s="240"/>
      <c r="F44" s="240"/>
      <c r="G44" s="241" t="s">
        <v>191</v>
      </c>
      <c r="H44" s="240"/>
    </row>
    <row r="45" spans="1:8">
      <c r="A45" s="247"/>
      <c r="B45" s="240"/>
      <c r="C45" s="240"/>
      <c r="D45" s="240"/>
      <c r="E45" s="240"/>
      <c r="F45" s="240"/>
      <c r="G45" s="241" t="s">
        <v>192</v>
      </c>
      <c r="H45" s="240"/>
    </row>
    <row r="46" spans="1:8">
      <c r="A46" s="247"/>
      <c r="B46" s="240"/>
      <c r="C46" s="240"/>
      <c r="D46" s="240"/>
      <c r="E46" s="240"/>
      <c r="F46" s="240"/>
      <c r="G46" s="241" t="s">
        <v>193</v>
      </c>
      <c r="H46" s="240"/>
    </row>
    <row r="47" spans="1:8">
      <c r="A47" s="247"/>
      <c r="B47" s="240"/>
      <c r="C47" s="240"/>
      <c r="D47" s="240"/>
      <c r="E47" s="240"/>
      <c r="F47" s="240"/>
      <c r="G47" s="241" t="s">
        <v>194</v>
      </c>
      <c r="H47" s="240"/>
    </row>
    <row r="48" spans="1:8">
      <c r="A48" s="247"/>
      <c r="B48" s="240"/>
      <c r="C48" s="240"/>
      <c r="D48" s="240"/>
      <c r="E48" s="240"/>
      <c r="F48" s="240"/>
      <c r="G48" s="241" t="s">
        <v>195</v>
      </c>
      <c r="H48" s="240"/>
    </row>
    <row r="49" spans="1:8">
      <c r="A49" s="247"/>
      <c r="B49" s="240"/>
      <c r="C49" s="240"/>
      <c r="D49" s="240"/>
      <c r="E49" s="240"/>
      <c r="F49" s="240"/>
      <c r="G49" s="241" t="s">
        <v>196</v>
      </c>
      <c r="H49" s="240"/>
    </row>
    <row r="50" spans="1:8">
      <c r="A50" s="247"/>
      <c r="B50" s="240"/>
      <c r="C50" s="240"/>
      <c r="D50" s="240"/>
      <c r="E50" s="240"/>
      <c r="F50" s="240"/>
      <c r="G50" s="241" t="s">
        <v>197</v>
      </c>
      <c r="H50" s="240"/>
    </row>
    <row r="51" spans="1:8">
      <c r="A51" s="247"/>
      <c r="B51" s="240"/>
      <c r="C51" s="240"/>
      <c r="D51" s="240"/>
      <c r="E51" s="240"/>
      <c r="F51" s="240"/>
      <c r="G51" s="241" t="s">
        <v>198</v>
      </c>
      <c r="H51" s="240"/>
    </row>
    <row r="52" spans="1:8">
      <c r="A52" s="247"/>
      <c r="B52" s="240"/>
      <c r="C52" s="240"/>
      <c r="D52" s="240"/>
      <c r="E52" s="240"/>
      <c r="F52" s="240"/>
      <c r="G52" s="241" t="s">
        <v>199</v>
      </c>
      <c r="H52" s="240"/>
    </row>
    <row r="53" spans="1:8">
      <c r="A53" s="247"/>
      <c r="B53" s="240"/>
      <c r="C53" s="240"/>
      <c r="D53" s="240"/>
      <c r="E53" s="240"/>
      <c r="F53" s="240"/>
      <c r="G53" s="241" t="s">
        <v>200</v>
      </c>
      <c r="H53" s="240"/>
    </row>
    <row r="54" spans="1:8">
      <c r="A54" s="247"/>
      <c r="B54" s="240"/>
      <c r="C54" s="240"/>
      <c r="D54" s="240"/>
      <c r="E54" s="240"/>
      <c r="F54" s="240"/>
      <c r="G54" s="241" t="s">
        <v>201</v>
      </c>
      <c r="H54" s="240"/>
    </row>
    <row r="55" spans="1:8">
      <c r="A55" s="247"/>
      <c r="B55" s="240"/>
      <c r="C55" s="240"/>
      <c r="D55" s="240"/>
      <c r="E55" s="240"/>
      <c r="F55" s="240"/>
      <c r="G55" s="241" t="s">
        <v>202</v>
      </c>
      <c r="H55" s="240"/>
    </row>
    <row r="56" spans="1:8">
      <c r="A56" s="247"/>
      <c r="B56" s="240"/>
      <c r="C56" s="240"/>
      <c r="D56" s="240"/>
      <c r="E56" s="240"/>
      <c r="F56" s="240"/>
      <c r="G56" s="241" t="s">
        <v>203</v>
      </c>
      <c r="H56" s="240"/>
    </row>
    <row r="57" spans="1:8">
      <c r="A57" s="247"/>
      <c r="B57" s="240"/>
      <c r="C57" s="240"/>
      <c r="D57" s="240"/>
      <c r="E57" s="240"/>
      <c r="F57" s="240"/>
      <c r="G57" s="241" t="s">
        <v>204</v>
      </c>
      <c r="H57" s="240"/>
    </row>
    <row r="58" spans="1:8">
      <c r="A58" s="247"/>
      <c r="B58" s="240"/>
      <c r="C58" s="240"/>
      <c r="D58" s="240"/>
      <c r="E58" s="240"/>
      <c r="F58" s="240"/>
      <c r="G58" s="241" t="s">
        <v>205</v>
      </c>
      <c r="H58" s="240"/>
    </row>
    <row r="59" spans="1:8">
      <c r="A59" s="247"/>
      <c r="B59" s="240"/>
      <c r="C59" s="240"/>
      <c r="D59" s="240"/>
      <c r="E59" s="240"/>
      <c r="F59" s="240"/>
      <c r="G59" s="241" t="s">
        <v>206</v>
      </c>
      <c r="H59" s="240"/>
    </row>
    <row r="60" spans="1:8">
      <c r="A60" s="247"/>
      <c r="B60" s="240"/>
      <c r="C60" s="240"/>
      <c r="D60" s="240"/>
      <c r="E60" s="240"/>
      <c r="F60" s="240"/>
      <c r="G60" s="241" t="s">
        <v>207</v>
      </c>
      <c r="H60" s="240"/>
    </row>
    <row r="61" spans="1:8">
      <c r="A61" s="247"/>
      <c r="B61" s="240"/>
      <c r="C61" s="240"/>
      <c r="D61" s="240"/>
      <c r="E61" s="240"/>
      <c r="F61" s="240"/>
      <c r="G61" s="240" t="s">
        <v>208</v>
      </c>
      <c r="H61" s="240"/>
    </row>
    <row r="62" spans="1:8">
      <c r="A62" s="247"/>
      <c r="B62" s="240"/>
      <c r="C62" s="240"/>
      <c r="D62" s="240"/>
      <c r="E62" s="240"/>
      <c r="F62" s="240"/>
      <c r="G62" s="240"/>
      <c r="H62" s="240"/>
    </row>
    <row r="63" spans="1:8">
      <c r="A63" s="247"/>
      <c r="B63" s="240"/>
      <c r="C63" s="240"/>
      <c r="D63" s="240"/>
      <c r="E63" s="240"/>
      <c r="F63" s="240"/>
      <c r="G63" s="240"/>
      <c r="H63" s="240"/>
    </row>
    <row r="64" spans="1:8">
      <c r="A64" s="247"/>
      <c r="B64" s="240"/>
      <c r="C64" s="240"/>
      <c r="D64" s="240"/>
      <c r="E64" s="240"/>
      <c r="F64" s="240"/>
      <c r="G64" s="240"/>
      <c r="H64" s="240"/>
    </row>
    <row r="65" spans="1:8">
      <c r="A65" s="247"/>
      <c r="B65" s="240"/>
      <c r="C65" s="240"/>
      <c r="D65" s="240"/>
      <c r="E65" s="240"/>
      <c r="F65" s="240"/>
      <c r="G65" s="240"/>
      <c r="H65" s="240"/>
    </row>
  </sheetData>
  <sheetProtection algorithmName="SHA-512" hashValue="y2oSP7tG9Et3jcVSRWCr/G6+bK+GYS3zlEIYG0HFvltLW8XsfcSJh8zZ1P562mDK3B011b0DOerXiwC+1FJ4Ww==" saltValue="Y7d6XX0D5SW5uR+BjicSMg=="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D7B6-4940-4FE4-BE24-1DC5888B833D}">
  <sheetPr>
    <tabColor theme="9" tint="0.79998168889431442"/>
  </sheetPr>
  <dimension ref="B1:P33"/>
  <sheetViews>
    <sheetView showGridLines="0" workbookViewId="0">
      <selection activeCell="K44" sqref="K44"/>
    </sheetView>
  </sheetViews>
  <sheetFormatPr defaultColWidth="9.15234375" defaultRowHeight="15.45"/>
  <cols>
    <col min="1" max="1" width="2.84375" style="116" customWidth="1"/>
    <col min="2" max="2" width="50.69140625" style="116" customWidth="1"/>
    <col min="3" max="3" width="51.3046875" style="116" customWidth="1"/>
    <col min="4" max="4" width="13.84375" style="116" customWidth="1"/>
    <col min="5" max="5" width="4.3046875" style="116" customWidth="1"/>
    <col min="6" max="16384" width="9.15234375" style="116"/>
  </cols>
  <sheetData>
    <row r="1" spans="2:16" ht="18">
      <c r="B1" s="266"/>
      <c r="C1" s="267" t="str">
        <f>'[16]Read Me'!B1</f>
        <v>California Air Resources Board</v>
      </c>
    </row>
    <row r="2" spans="2:16" ht="18">
      <c r="C2" s="268"/>
    </row>
    <row r="3" spans="2:16" ht="18">
      <c r="B3" s="266"/>
      <c r="C3" s="267" t="str">
        <f>'[16]Read Me'!B3</f>
        <v>Benefits Calculator Tool</v>
      </c>
    </row>
    <row r="4" spans="2:16" ht="18">
      <c r="B4" s="266"/>
      <c r="C4" s="321" t="str">
        <f>'Read Me'!B4</f>
        <v>Climate Positive Landscape</v>
      </c>
    </row>
    <row r="5" spans="2:16" ht="18">
      <c r="B5" s="266"/>
      <c r="C5" s="267"/>
    </row>
    <row r="6" spans="2:16" ht="18">
      <c r="B6" s="266"/>
      <c r="C6" s="267" t="str">
        <f>'[16]Read Me'!B6</f>
        <v xml:space="preserve">California Climate Investments </v>
      </c>
    </row>
    <row r="7" spans="2:16" ht="18">
      <c r="C7" s="268"/>
    </row>
    <row r="8" spans="2:16" ht="18">
      <c r="B8" s="723"/>
      <c r="C8" s="125"/>
      <c r="D8" s="723"/>
      <c r="E8" s="723"/>
      <c r="F8" s="723"/>
      <c r="G8" s="723"/>
      <c r="H8" s="723"/>
      <c r="I8" s="723"/>
      <c r="J8" s="723"/>
      <c r="K8" s="723"/>
      <c r="L8" s="723"/>
    </row>
    <row r="9" spans="2:16">
      <c r="B9" s="738" t="s">
        <v>23</v>
      </c>
      <c r="C9" s="723"/>
      <c r="D9" s="723"/>
      <c r="E9" s="723"/>
      <c r="F9" s="723"/>
      <c r="G9" s="723"/>
      <c r="H9" s="723"/>
      <c r="I9" s="723"/>
      <c r="J9" s="723"/>
      <c r="K9" s="723"/>
      <c r="L9" s="723"/>
      <c r="M9" s="723"/>
      <c r="N9" s="723"/>
      <c r="O9" s="723"/>
      <c r="P9" s="723"/>
    </row>
    <row r="10" spans="2:16" ht="17.25" customHeight="1">
      <c r="B10" s="739" t="s">
        <v>761</v>
      </c>
      <c r="C10" s="724"/>
      <c r="D10" s="724"/>
      <c r="E10" s="724"/>
      <c r="F10" s="725"/>
      <c r="G10" s="723"/>
      <c r="H10" s="723"/>
      <c r="I10" s="723"/>
      <c r="J10" s="723"/>
      <c r="K10" s="723"/>
      <c r="L10" s="723"/>
      <c r="M10" s="723"/>
      <c r="N10" s="723"/>
      <c r="O10" s="723"/>
      <c r="P10" s="723"/>
    </row>
    <row r="11" spans="2:16" ht="15" customHeight="1">
      <c r="B11" s="740" t="s">
        <v>786</v>
      </c>
      <c r="C11" s="726"/>
      <c r="D11" s="726"/>
      <c r="E11" s="726"/>
      <c r="F11" s="727"/>
      <c r="G11" s="723"/>
      <c r="H11" s="723"/>
      <c r="I11" s="723"/>
      <c r="J11" s="723"/>
      <c r="K11" s="723"/>
      <c r="L11" s="723"/>
      <c r="M11" s="723"/>
      <c r="N11" s="723"/>
      <c r="O11" s="723"/>
      <c r="P11" s="723"/>
    </row>
    <row r="12" spans="2:16">
      <c r="B12" s="723"/>
      <c r="C12" s="723"/>
      <c r="D12" s="723"/>
      <c r="E12" s="723"/>
      <c r="F12" s="723"/>
      <c r="G12" s="723"/>
      <c r="H12" s="723"/>
      <c r="I12" s="723"/>
      <c r="J12" s="723"/>
      <c r="K12" s="723"/>
      <c r="L12" s="723"/>
      <c r="M12" s="723"/>
      <c r="N12" s="723"/>
      <c r="O12" s="723"/>
      <c r="P12" s="723"/>
    </row>
    <row r="13" spans="2:16" ht="15" customHeight="1">
      <c r="B13" s="270" t="s">
        <v>651</v>
      </c>
      <c r="C13" s="723"/>
      <c r="D13" s="723"/>
      <c r="E13" s="723"/>
      <c r="F13" s="723"/>
      <c r="G13" s="723"/>
      <c r="H13" s="723"/>
      <c r="I13" s="723"/>
      <c r="J13" s="723"/>
      <c r="K13" s="723"/>
      <c r="L13" s="723"/>
      <c r="M13" s="723"/>
      <c r="N13" s="723"/>
      <c r="O13" s="723"/>
      <c r="P13" s="723"/>
    </row>
    <row r="14" spans="2:16" ht="15" customHeight="1">
      <c r="B14" s="271" t="s">
        <v>652</v>
      </c>
      <c r="C14" s="272"/>
      <c r="D14" s="272"/>
      <c r="E14" s="272"/>
      <c r="F14" s="272"/>
      <c r="G14" s="723"/>
      <c r="H14" s="723"/>
      <c r="I14" s="723"/>
      <c r="J14" s="723"/>
      <c r="K14" s="723"/>
      <c r="L14" s="723"/>
      <c r="M14" s="723"/>
      <c r="N14" s="723"/>
      <c r="O14" s="723"/>
      <c r="P14" s="723"/>
    </row>
    <row r="15" spans="2:16" ht="15" customHeight="1">
      <c r="B15" s="271" t="s">
        <v>653</v>
      </c>
      <c r="C15" s="272"/>
      <c r="D15" s="272"/>
      <c r="E15" s="272"/>
      <c r="F15" s="272"/>
      <c r="G15" s="723"/>
      <c r="H15" s="723"/>
      <c r="I15" s="723"/>
      <c r="J15" s="723"/>
      <c r="K15" s="723"/>
      <c r="L15" s="723"/>
      <c r="M15" s="723"/>
      <c r="N15" s="723"/>
      <c r="O15" s="723"/>
      <c r="P15" s="723"/>
    </row>
    <row r="16" spans="2:16" ht="15" customHeight="1">
      <c r="B16" s="271"/>
      <c r="C16" s="272"/>
      <c r="D16" s="272"/>
      <c r="E16" s="272"/>
      <c r="F16" s="272"/>
      <c r="G16" s="723"/>
      <c r="H16" s="723"/>
      <c r="I16" s="723"/>
      <c r="J16" s="723"/>
      <c r="K16" s="723"/>
      <c r="L16" s="723"/>
      <c r="M16" s="723"/>
      <c r="N16" s="723"/>
      <c r="O16" s="723"/>
      <c r="P16" s="723"/>
    </row>
    <row r="17" spans="2:16">
      <c r="B17" s="741" t="s">
        <v>685</v>
      </c>
      <c r="C17" s="742" t="s">
        <v>654</v>
      </c>
      <c r="D17" s="728" t="s">
        <v>631</v>
      </c>
      <c r="E17" s="723"/>
      <c r="F17" s="272"/>
      <c r="G17" s="723"/>
      <c r="H17" s="723"/>
      <c r="I17" s="723"/>
      <c r="J17" s="723"/>
      <c r="K17" s="723"/>
      <c r="L17" s="723"/>
      <c r="M17" s="723"/>
      <c r="N17" s="723"/>
      <c r="O17" s="723"/>
      <c r="P17" s="723"/>
    </row>
    <row r="18" spans="2:16">
      <c r="B18" s="723"/>
      <c r="C18" s="723"/>
      <c r="D18" s="723"/>
      <c r="E18" s="723"/>
      <c r="F18" s="723"/>
      <c r="G18" s="723"/>
      <c r="H18" s="723"/>
      <c r="I18" s="723"/>
      <c r="J18" s="723"/>
      <c r="K18" s="723"/>
      <c r="L18" s="723"/>
      <c r="M18" s="723"/>
      <c r="N18" s="723"/>
      <c r="O18" s="723"/>
      <c r="P18" s="723"/>
    </row>
    <row r="19" spans="2:16">
      <c r="B19" s="270" t="s">
        <v>655</v>
      </c>
      <c r="C19" s="723"/>
      <c r="D19" s="723"/>
      <c r="E19" s="723"/>
      <c r="F19" s="723"/>
      <c r="G19" s="723"/>
      <c r="H19" s="723"/>
      <c r="I19" s="723"/>
      <c r="J19" s="723"/>
      <c r="K19" s="723"/>
      <c r="L19" s="723"/>
      <c r="M19" s="723"/>
      <c r="N19" s="723"/>
      <c r="O19" s="723"/>
      <c r="P19" s="723"/>
    </row>
    <row r="20" spans="2:16" ht="15" customHeight="1">
      <c r="B20" s="271" t="s">
        <v>702</v>
      </c>
      <c r="C20" s="271"/>
      <c r="D20" s="271"/>
      <c r="E20" s="271"/>
      <c r="F20" s="271"/>
      <c r="G20" s="723"/>
      <c r="H20" s="723"/>
      <c r="I20" s="723"/>
      <c r="J20" s="723"/>
      <c r="K20" s="723"/>
      <c r="L20" s="723"/>
      <c r="M20" s="723"/>
      <c r="N20" s="723"/>
      <c r="O20" s="723"/>
      <c r="P20" s="723"/>
    </row>
    <row r="21" spans="2:16" ht="15.9" thickBot="1">
      <c r="B21" s="273" t="s">
        <v>656</v>
      </c>
      <c r="C21" s="273" t="s">
        <v>657</v>
      </c>
      <c r="D21" s="274" t="s">
        <v>658</v>
      </c>
      <c r="E21" s="271"/>
      <c r="F21" s="271"/>
      <c r="G21" s="723"/>
      <c r="H21" s="723"/>
      <c r="I21" s="723"/>
      <c r="J21" s="723"/>
      <c r="K21" s="723"/>
      <c r="L21" s="723"/>
      <c r="M21" s="723"/>
      <c r="N21" s="723"/>
      <c r="O21" s="723"/>
      <c r="P21" s="723"/>
    </row>
    <row r="22" spans="2:16">
      <c r="B22" s="275" t="s">
        <v>24</v>
      </c>
      <c r="C22" s="636"/>
      <c r="D22" s="729" t="str">
        <f>IF(ISBLANK(C22),"Required","")</f>
        <v>Required</v>
      </c>
      <c r="E22" s="723"/>
      <c r="F22" s="730" t="s">
        <v>10</v>
      </c>
      <c r="G22" s="101"/>
      <c r="H22" s="101"/>
      <c r="I22" s="101"/>
      <c r="J22" s="102"/>
      <c r="K22" s="723"/>
      <c r="L22" s="723"/>
      <c r="M22" s="723"/>
      <c r="N22" s="723"/>
      <c r="O22" s="723"/>
      <c r="P22" s="723"/>
    </row>
    <row r="23" spans="2:16">
      <c r="B23" s="276" t="s">
        <v>25</v>
      </c>
      <c r="C23" s="277" t="s">
        <v>687</v>
      </c>
      <c r="D23" s="731"/>
      <c r="E23" s="723"/>
      <c r="F23" s="635" t="s">
        <v>11</v>
      </c>
      <c r="G23" s="723" t="s">
        <v>12</v>
      </c>
      <c r="H23" s="723"/>
      <c r="I23" s="723"/>
      <c r="J23" s="104"/>
      <c r="K23" s="723"/>
      <c r="L23" s="723"/>
      <c r="M23" s="723"/>
      <c r="N23" s="723"/>
      <c r="O23" s="723"/>
      <c r="P23" s="723"/>
    </row>
    <row r="24" spans="2:16">
      <c r="B24" s="276" t="s">
        <v>26</v>
      </c>
      <c r="C24" s="637"/>
      <c r="D24" s="732" t="str">
        <f>IF(ISBLANK(C24),"Required","")</f>
        <v>Required</v>
      </c>
      <c r="E24" s="723"/>
      <c r="F24" s="105" t="s">
        <v>13</v>
      </c>
      <c r="G24" s="723" t="s">
        <v>14</v>
      </c>
      <c r="H24" s="723"/>
      <c r="I24" s="723"/>
      <c r="J24" s="104"/>
      <c r="K24" s="723"/>
      <c r="L24" s="723"/>
      <c r="M24" s="723"/>
      <c r="N24" s="723"/>
      <c r="O24" s="723"/>
      <c r="P24" s="723"/>
    </row>
    <row r="25" spans="2:16">
      <c r="B25" s="276" t="s">
        <v>27</v>
      </c>
      <c r="C25" s="637"/>
      <c r="D25" s="732" t="str">
        <f>IF(ISBLANK(C25),"Required","")</f>
        <v>Required</v>
      </c>
      <c r="E25" s="723"/>
      <c r="F25" s="106" t="s">
        <v>16</v>
      </c>
      <c r="G25" s="723" t="s">
        <v>17</v>
      </c>
      <c r="H25" s="723"/>
      <c r="I25" s="723"/>
      <c r="J25" s="104"/>
      <c r="K25" s="723"/>
      <c r="L25" s="723"/>
      <c r="M25" s="723"/>
      <c r="N25" s="723"/>
      <c r="O25" s="723"/>
      <c r="P25" s="723"/>
    </row>
    <row r="26" spans="2:16" ht="15.9" thickBot="1">
      <c r="B26" s="276" t="s">
        <v>28</v>
      </c>
      <c r="C26" s="638"/>
      <c r="D26" s="732" t="str">
        <f>IF(ISBLANK(C26),"Required","")</f>
        <v>Required</v>
      </c>
      <c r="E26" s="723"/>
      <c r="F26" s="108" t="s">
        <v>19</v>
      </c>
      <c r="G26" s="109" t="s">
        <v>20</v>
      </c>
      <c r="H26" s="109"/>
      <c r="I26" s="109"/>
      <c r="J26" s="110"/>
      <c r="K26" s="723"/>
      <c r="L26" s="723"/>
      <c r="M26" s="723"/>
      <c r="N26" s="723"/>
      <c r="O26" s="723"/>
      <c r="P26" s="723"/>
    </row>
    <row r="27" spans="2:16" ht="15.9" thickBot="1">
      <c r="B27" s="278" t="s">
        <v>29</v>
      </c>
      <c r="C27" s="640"/>
      <c r="D27" s="733" t="str">
        <f>IF(ISBLANK(C27),"Required","")</f>
        <v>Required</v>
      </c>
      <c r="E27" s="723"/>
      <c r="F27" s="734" t="s">
        <v>21</v>
      </c>
      <c r="G27" s="735"/>
      <c r="H27" s="735"/>
      <c r="I27" s="735"/>
      <c r="J27" s="735"/>
      <c r="K27" s="723"/>
      <c r="L27" s="723"/>
      <c r="M27" s="723"/>
      <c r="N27" s="723"/>
      <c r="O27" s="723"/>
      <c r="P27" s="723"/>
    </row>
    <row r="28" spans="2:16" ht="30" customHeight="1">
      <c r="B28" s="279" t="s">
        <v>703</v>
      </c>
      <c r="C28" s="639"/>
      <c r="D28" s="729" t="str">
        <f>IF(ISBLANK(C28),"Required","")</f>
        <v>Required</v>
      </c>
      <c r="E28" s="723"/>
      <c r="F28" s="735"/>
      <c r="G28" s="735"/>
      <c r="H28" s="735"/>
      <c r="I28" s="735"/>
      <c r="J28" s="735"/>
      <c r="K28" s="723"/>
      <c r="L28" s="723"/>
      <c r="M28" s="723"/>
      <c r="N28" s="723"/>
      <c r="O28" s="723"/>
      <c r="P28" s="723"/>
    </row>
    <row r="29" spans="2:16" ht="30" customHeight="1">
      <c r="B29" s="280" t="s">
        <v>659</v>
      </c>
      <c r="C29" s="281"/>
      <c r="D29" s="736" t="str">
        <f>IF(ISBLANK(C29),"Optional","")</f>
        <v>Optional</v>
      </c>
      <c r="E29" s="723"/>
      <c r="F29" s="723"/>
      <c r="G29" s="723"/>
      <c r="H29" s="723"/>
      <c r="I29" s="723"/>
      <c r="J29" s="723"/>
      <c r="K29" s="723"/>
      <c r="L29" s="723"/>
      <c r="M29" s="723"/>
      <c r="N29" s="723"/>
      <c r="O29" s="723"/>
      <c r="P29" s="723"/>
    </row>
    <row r="30" spans="2:16" ht="30" customHeight="1">
      <c r="B30" s="276" t="s">
        <v>660</v>
      </c>
      <c r="C30" s="281"/>
      <c r="D30" s="736" t="str">
        <f>IF(ISBLANK(C30),"Optional","")</f>
        <v>Optional</v>
      </c>
      <c r="E30" s="723"/>
      <c r="F30" s="723"/>
      <c r="G30" s="723"/>
      <c r="H30" s="723"/>
      <c r="I30" s="723"/>
      <c r="J30" s="723"/>
      <c r="K30" s="723"/>
      <c r="L30" s="723"/>
      <c r="M30" s="723"/>
      <c r="N30" s="723"/>
      <c r="O30" s="723"/>
      <c r="P30" s="723"/>
    </row>
    <row r="31" spans="2:16" ht="30" customHeight="1" thickBot="1">
      <c r="B31" s="282" t="s">
        <v>30</v>
      </c>
      <c r="C31" s="283">
        <f>SUM(C28:C30)</f>
        <v>0</v>
      </c>
      <c r="D31" s="737"/>
      <c r="E31" s="723"/>
      <c r="F31" s="723"/>
      <c r="G31" s="723"/>
      <c r="H31" s="723"/>
      <c r="I31" s="723"/>
      <c r="J31" s="723"/>
      <c r="K31" s="723"/>
      <c r="L31" s="723"/>
      <c r="M31" s="723"/>
      <c r="N31" s="723"/>
      <c r="O31" s="723"/>
      <c r="P31" s="723"/>
    </row>
    <row r="32" spans="2:16">
      <c r="D32" s="723"/>
      <c r="E32" s="723"/>
      <c r="F32" s="723"/>
      <c r="G32" s="723"/>
      <c r="H32" s="723"/>
      <c r="I32" s="723"/>
      <c r="J32" s="723"/>
      <c r="K32" s="723"/>
      <c r="L32" s="723"/>
      <c r="M32" s="723"/>
      <c r="N32" s="723"/>
      <c r="O32" s="723"/>
      <c r="P32" s="723"/>
    </row>
    <row r="33" spans="4:16">
      <c r="D33" s="723"/>
      <c r="E33" s="723"/>
      <c r="F33" s="723"/>
      <c r="G33" s="723"/>
      <c r="H33" s="723"/>
      <c r="I33" s="723"/>
      <c r="J33" s="723"/>
      <c r="K33" s="723"/>
      <c r="L33" s="723"/>
      <c r="M33" s="723"/>
      <c r="N33" s="723"/>
      <c r="O33" s="723"/>
      <c r="P33" s="723"/>
    </row>
  </sheetData>
  <sheetProtection algorithmName="SHA-512" hashValue="4W3Q4ockmrIFf5HLT2xiXDoaNewBPiydDhH7Vz+hIwjJtl8vVPg/X5gwNnwilOjQ97+jLGY/MT3208HPrm1gjw==" saltValue="KPRBiPA/jgoo9AWgS+0UTw==" spinCount="100000" sheet="1" objects="1" scenarios="1"/>
  <hyperlinks>
    <hyperlink ref="D17" r:id="rId1" xr:uid="{485C68B3-941E-4107-A1EC-3BF19841D2BE}"/>
    <hyperlink ref="B11" r:id="rId2" xr:uid="{A3B1C41D-3C10-4CBD-830A-4C8331C33149}"/>
  </hyperlinks>
  <pageMargins left="0.7" right="0.7" top="0.75" bottom="0.75" header="0.3" footer="0.3"/>
  <pageSetup orientation="portrait"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E4D6"/>
    <pageSetUpPr fitToPage="1"/>
  </sheetPr>
  <dimension ref="B1:M44"/>
  <sheetViews>
    <sheetView showGridLines="0" showRuler="0" zoomScaleNormal="100" workbookViewId="0">
      <selection activeCell="E37" sqref="E37"/>
    </sheetView>
  </sheetViews>
  <sheetFormatPr defaultColWidth="9.15234375" defaultRowHeight="14.15"/>
  <cols>
    <col min="1" max="1" width="4.15234375" style="117" customWidth="1"/>
    <col min="2" max="2" width="26.3046875" style="117" customWidth="1"/>
    <col min="3" max="3" width="27.84375" style="117" customWidth="1"/>
    <col min="4" max="4" width="28.53515625" style="117" customWidth="1"/>
    <col min="5" max="5" width="30.84375" style="117" customWidth="1"/>
    <col min="6" max="6" width="28.53515625" style="117" customWidth="1"/>
    <col min="7" max="7" width="27.3828125" style="117" customWidth="1"/>
    <col min="8" max="8" width="22.84375" style="117" customWidth="1"/>
    <col min="9" max="10" width="24.69140625" style="117" customWidth="1"/>
    <col min="11" max="11" width="21.69140625" style="117" hidden="1" customWidth="1"/>
    <col min="12" max="12" width="20.69140625" style="117" hidden="1" customWidth="1"/>
    <col min="13" max="13" width="23.69140625" style="117" hidden="1" customWidth="1"/>
    <col min="14" max="14" width="18.53515625" style="117" customWidth="1"/>
    <col min="15" max="16" width="9.15234375" style="117" customWidth="1"/>
    <col min="17" max="16384" width="9.15234375" style="117"/>
  </cols>
  <sheetData>
    <row r="1" spans="2:10" ht="20.149999999999999">
      <c r="F1" s="368" t="s">
        <v>0</v>
      </c>
      <c r="G1" s="118"/>
      <c r="H1" s="118"/>
      <c r="I1" s="119"/>
      <c r="J1" s="119"/>
    </row>
    <row r="2" spans="2:10">
      <c r="F2" s="369"/>
      <c r="G2" s="118"/>
      <c r="H2" s="118"/>
      <c r="I2" s="120"/>
      <c r="J2" s="120"/>
    </row>
    <row r="3" spans="2:10" ht="20.149999999999999">
      <c r="F3" s="368" t="s">
        <v>1</v>
      </c>
      <c r="G3" s="118"/>
      <c r="H3" s="118"/>
      <c r="I3" s="119"/>
      <c r="J3" s="119"/>
    </row>
    <row r="4" spans="2:10" ht="20.149999999999999">
      <c r="F4" s="370" t="str">
        <f>'Read Me'!B4</f>
        <v>Climate Positive Landscape</v>
      </c>
      <c r="G4" s="118"/>
      <c r="H4" s="118"/>
      <c r="I4" s="121"/>
      <c r="J4" s="121"/>
    </row>
    <row r="5" spans="2:10">
      <c r="F5" s="369"/>
      <c r="G5" s="118"/>
      <c r="H5" s="118"/>
      <c r="I5" s="120"/>
      <c r="J5" s="120"/>
    </row>
    <row r="6" spans="2:10" ht="20.149999999999999">
      <c r="F6" s="368" t="s">
        <v>22</v>
      </c>
      <c r="I6" s="119"/>
      <c r="J6" s="119"/>
    </row>
    <row r="7" spans="2:10">
      <c r="B7" s="122"/>
      <c r="C7" s="122"/>
      <c r="D7" s="122"/>
      <c r="E7" s="122"/>
      <c r="F7" s="122"/>
    </row>
    <row r="8" spans="2:10" ht="15.9" thickBot="1">
      <c r="B8" s="115" t="s">
        <v>23</v>
      </c>
      <c r="C8" s="115"/>
      <c r="D8" s="115"/>
      <c r="E8" s="115"/>
      <c r="F8" s="114"/>
      <c r="G8" s="114"/>
      <c r="H8" s="114"/>
    </row>
    <row r="9" spans="2:10" ht="15.45">
      <c r="B9" s="759" t="s">
        <v>763</v>
      </c>
      <c r="C9" s="760"/>
      <c r="D9" s="760"/>
      <c r="E9" s="760"/>
      <c r="F9" s="761"/>
      <c r="G9" s="658"/>
    </row>
    <row r="10" spans="2:10" ht="18.899999999999999" customHeight="1" thickBot="1">
      <c r="B10" s="762" t="s">
        <v>786</v>
      </c>
      <c r="C10" s="763"/>
      <c r="D10" s="763"/>
      <c r="E10" s="763"/>
      <c r="F10" s="764"/>
      <c r="G10" s="658"/>
    </row>
    <row r="11" spans="2:10" ht="15.45">
      <c r="B11" s="258"/>
      <c r="C11" s="124"/>
      <c r="D11" s="124"/>
      <c r="E11" s="124"/>
      <c r="F11" s="124"/>
      <c r="G11" s="124"/>
      <c r="H11" s="124"/>
    </row>
    <row r="12" spans="2:10" ht="54">
      <c r="B12" s="127" t="s">
        <v>83</v>
      </c>
      <c r="C12" s="127" t="s">
        <v>84</v>
      </c>
      <c r="D12" s="127" t="s">
        <v>85</v>
      </c>
      <c r="E12" s="127" t="s">
        <v>86</v>
      </c>
      <c r="F12" s="128" t="s">
        <v>87</v>
      </c>
      <c r="G12" s="126"/>
      <c r="H12" s="126"/>
      <c r="I12" s="126"/>
      <c r="J12" s="126"/>
    </row>
    <row r="13" spans="2:10">
      <c r="B13" s="129" t="s">
        <v>88</v>
      </c>
      <c r="C13" s="130"/>
      <c r="D13" s="131"/>
      <c r="E13" s="132" t="str">
        <f>IF(C13&gt;0,'Community Compost Calcs'!E5,"")</f>
        <v/>
      </c>
      <c r="F13" s="133">
        <f>'Community Compost Calcs'!F5</f>
        <v>0</v>
      </c>
      <c r="G13" s="134"/>
      <c r="H13" s="134"/>
    </row>
    <row r="14" spans="2:10">
      <c r="B14" s="129" t="s">
        <v>89</v>
      </c>
      <c r="C14" s="130"/>
      <c r="D14" s="131"/>
      <c r="E14" s="132" t="str">
        <f>IF(C14&gt;0,'Community Compost Calcs'!E6,"")</f>
        <v/>
      </c>
      <c r="F14" s="133">
        <f>'Community Compost Calcs'!F6</f>
        <v>0</v>
      </c>
      <c r="G14" s="135"/>
    </row>
    <row r="15" spans="2:10">
      <c r="B15" s="129" t="s">
        <v>90</v>
      </c>
      <c r="C15" s="130"/>
      <c r="D15" s="131"/>
      <c r="E15" s="132" t="str">
        <f>IF(C15&gt;0,'Community Compost Calcs'!E7,"")</f>
        <v/>
      </c>
      <c r="F15" s="133">
        <f>'Community Compost Calcs'!F7</f>
        <v>0</v>
      </c>
    </row>
    <row r="16" spans="2:10">
      <c r="B16" s="129" t="s">
        <v>91</v>
      </c>
      <c r="C16" s="130"/>
      <c r="D16" s="131"/>
      <c r="E16" s="132" t="str">
        <f>IF(C16&gt;0,'Community Compost Calcs'!E8,"")</f>
        <v/>
      </c>
      <c r="F16" s="133">
        <f>'Community Compost Calcs'!F8</f>
        <v>0</v>
      </c>
    </row>
    <row r="17" spans="2:7">
      <c r="B17" s="129" t="s">
        <v>92</v>
      </c>
      <c r="C17" s="130"/>
      <c r="D17" s="131"/>
      <c r="E17" s="132" t="str">
        <f>IF(C17&gt;0,'Community Compost Calcs'!E9,"")</f>
        <v/>
      </c>
      <c r="F17" s="133">
        <f>'Community Compost Calcs'!F9</f>
        <v>0</v>
      </c>
    </row>
    <row r="18" spans="2:7">
      <c r="E18" s="226" t="s">
        <v>93</v>
      </c>
      <c r="F18" s="227">
        <f>SUM(F13:F17)</f>
        <v>0</v>
      </c>
      <c r="G18" s="322"/>
    </row>
    <row r="44" spans="4:4">
      <c r="D44" s="664"/>
    </row>
  </sheetData>
  <sheetProtection algorithmName="SHA-512" hashValue="0pxOIn9C5jwoRJp6smFRUmerDy5zirgYBZf67LQr2StvByjifHR27/WAxratCCaTurZ0siauxeYo2L8ejx1Npg==" saltValue="vlKILHNSkLVCAH6/6lUbLg==" spinCount="100000" sheet="1" objects="1" scenarios="1"/>
  <mergeCells count="2">
    <mergeCell ref="B9:F9"/>
    <mergeCell ref="B10:F10"/>
  </mergeCells>
  <dataValidations count="1">
    <dataValidation type="decimal" allowBlank="1" showInputMessage="1" showErrorMessage="1" sqref="D13:D17" xr:uid="{00000000-0002-0000-0600-000000000000}">
      <formula1>0</formula1>
      <formula2>1</formula2>
    </dataValidation>
  </dataValidations>
  <hyperlinks>
    <hyperlink ref="B10" r:id="rId1" xr:uid="{BA00AE4C-4B23-4F04-8F4D-DED94F46F04F}"/>
  </hyperlinks>
  <pageMargins left="0" right="0.7" top="0" bottom="0.75" header="0.3" footer="0.3"/>
  <pageSetup scale="52" orientation="landscape" r:id="rId2"/>
  <headerFooter>
    <oddFooter>&amp;LDRAFT January XX, 2019&amp;CPage &amp;P of &amp;N&amp;RCompost Facility Worksheet</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CE4D6"/>
    <pageSetUpPr fitToPage="1"/>
  </sheetPr>
  <dimension ref="A1:L73"/>
  <sheetViews>
    <sheetView showGridLines="0" showRuler="0" zoomScaleNormal="100" zoomScaleSheetLayoutView="55" workbookViewId="0">
      <selection activeCell="I18" sqref="I18"/>
    </sheetView>
  </sheetViews>
  <sheetFormatPr defaultColWidth="9.15234375" defaultRowHeight="14.15"/>
  <cols>
    <col min="1" max="1" width="2.84375" style="137" customWidth="1"/>
    <col min="2" max="2" width="20" style="137" customWidth="1"/>
    <col min="3" max="3" width="30.69140625" style="137" customWidth="1"/>
    <col min="4" max="4" width="24.69140625" style="137" customWidth="1"/>
    <col min="5" max="7" width="29.69140625" style="137" customWidth="1"/>
    <col min="8" max="11" width="24.69140625" style="137" customWidth="1"/>
    <col min="12" max="12" width="16.69140625" style="137" customWidth="1"/>
    <col min="13" max="16384" width="9.15234375" style="137"/>
  </cols>
  <sheetData>
    <row r="1" spans="1:12" s="136" customFormat="1" ht="18.75" customHeight="1">
      <c r="B1" s="791" t="s">
        <v>0</v>
      </c>
      <c r="C1" s="792"/>
      <c r="D1" s="792"/>
      <c r="E1" s="792"/>
      <c r="F1" s="792"/>
      <c r="G1" s="792"/>
      <c r="H1" s="792"/>
      <c r="I1" s="792"/>
      <c r="J1" s="792"/>
      <c r="K1" s="793"/>
    </row>
    <row r="2" spans="1:12" s="136" customFormat="1" ht="18.75" customHeight="1">
      <c r="B2" s="794"/>
      <c r="C2" s="795"/>
      <c r="D2" s="795"/>
      <c r="E2" s="795"/>
      <c r="F2" s="795"/>
      <c r="G2" s="795"/>
      <c r="H2" s="795"/>
      <c r="I2" s="795"/>
      <c r="J2" s="795"/>
      <c r="K2" s="796"/>
    </row>
    <row r="3" spans="1:12" s="136" customFormat="1" ht="18.75" customHeight="1">
      <c r="B3" s="797" t="s">
        <v>1</v>
      </c>
      <c r="C3" s="798"/>
      <c r="D3" s="798"/>
      <c r="E3" s="798"/>
      <c r="F3" s="798"/>
      <c r="G3" s="798"/>
      <c r="H3" s="798"/>
      <c r="I3" s="798"/>
      <c r="J3" s="798"/>
      <c r="K3" s="799"/>
    </row>
    <row r="4" spans="1:12" s="136" customFormat="1" ht="18.75" customHeight="1">
      <c r="B4" s="800" t="str">
        <f>'Read Me'!B4</f>
        <v>Climate Positive Landscape</v>
      </c>
      <c r="C4" s="801"/>
      <c r="D4" s="801"/>
      <c r="E4" s="801"/>
      <c r="F4" s="801"/>
      <c r="G4" s="801"/>
      <c r="H4" s="801"/>
      <c r="I4" s="801"/>
      <c r="J4" s="801"/>
      <c r="K4" s="802"/>
    </row>
    <row r="5" spans="1:12" s="136" customFormat="1" ht="18.75" customHeight="1">
      <c r="B5" s="794"/>
      <c r="C5" s="795"/>
      <c r="D5" s="795"/>
      <c r="E5" s="795"/>
      <c r="F5" s="795"/>
      <c r="G5" s="795"/>
      <c r="H5" s="795"/>
      <c r="I5" s="795"/>
      <c r="J5" s="795"/>
      <c r="K5" s="796"/>
    </row>
    <row r="6" spans="1:12" s="136" customFormat="1" ht="18.75" customHeight="1">
      <c r="B6" s="797" t="s">
        <v>22</v>
      </c>
      <c r="C6" s="798"/>
      <c r="D6" s="798"/>
      <c r="E6" s="798"/>
      <c r="F6" s="798"/>
      <c r="G6" s="798"/>
      <c r="H6" s="798"/>
      <c r="I6" s="798"/>
      <c r="J6" s="798"/>
      <c r="K6" s="799"/>
    </row>
    <row r="7" spans="1:12" ht="18.75" customHeight="1">
      <c r="B7" s="138"/>
      <c r="C7" s="139"/>
      <c r="D7" s="139"/>
      <c r="E7" s="366"/>
      <c r="F7" s="366"/>
      <c r="G7" s="366"/>
      <c r="H7" s="366"/>
      <c r="I7" s="366"/>
      <c r="J7" s="366"/>
      <c r="K7" s="367"/>
      <c r="L7" s="140"/>
    </row>
    <row r="8" spans="1:12" ht="18.75" customHeight="1">
      <c r="B8" s="803"/>
      <c r="C8" s="804"/>
      <c r="D8" s="804"/>
      <c r="E8" s="804"/>
      <c r="F8" s="804"/>
      <c r="G8" s="804"/>
      <c r="H8" s="804"/>
      <c r="I8" s="804"/>
      <c r="J8" s="804"/>
      <c r="K8" s="805"/>
      <c r="L8" s="140"/>
    </row>
    <row r="9" spans="1:12" s="141" customFormat="1" ht="18.75" customHeight="1" thickBot="1">
      <c r="A9" s="259"/>
      <c r="B9" s="260" t="s">
        <v>23</v>
      </c>
      <c r="C9" s="261"/>
      <c r="D9" s="262"/>
      <c r="E9" s="262"/>
      <c r="F9" s="262"/>
      <c r="K9" s="142"/>
    </row>
    <row r="10" spans="1:12" s="117" customFormat="1" ht="15.45">
      <c r="B10" s="759" t="s">
        <v>764</v>
      </c>
      <c r="C10" s="760"/>
      <c r="D10" s="760"/>
      <c r="E10" s="760"/>
      <c r="F10" s="761"/>
      <c r="G10" s="123"/>
    </row>
    <row r="11" spans="1:12" s="117" customFormat="1" ht="15.9" thickBot="1">
      <c r="B11" s="784" t="s">
        <v>786</v>
      </c>
      <c r="C11" s="785"/>
      <c r="D11" s="785"/>
      <c r="E11" s="785"/>
      <c r="F11" s="786"/>
      <c r="G11" s="123"/>
    </row>
    <row r="12" spans="1:12" s="143" customFormat="1" ht="15.45">
      <c r="A12" s="263"/>
      <c r="B12" s="767" t="s">
        <v>756</v>
      </c>
      <c r="C12" s="768"/>
      <c r="D12" s="768"/>
      <c r="E12" s="768"/>
      <c r="F12" s="769"/>
      <c r="G12" s="144"/>
    </row>
    <row r="13" spans="1:12" s="143" customFormat="1" ht="15.9" thickBot="1">
      <c r="A13" s="263"/>
      <c r="B13" s="661" t="s">
        <v>762</v>
      </c>
      <c r="C13" s="644"/>
      <c r="D13" s="644"/>
      <c r="E13" s="644"/>
      <c r="F13" s="645"/>
      <c r="G13" s="144"/>
    </row>
    <row r="14" spans="1:12" ht="15.45">
      <c r="A14" s="264" t="s">
        <v>94</v>
      </c>
      <c r="B14" s="767" t="s">
        <v>757</v>
      </c>
      <c r="C14" s="768"/>
      <c r="D14" s="768"/>
      <c r="E14" s="768"/>
      <c r="F14" s="769"/>
      <c r="G14" s="145"/>
      <c r="H14" s="145"/>
      <c r="I14" s="141"/>
      <c r="J14" s="141"/>
      <c r="K14" s="142"/>
      <c r="L14" s="146"/>
    </row>
    <row r="15" spans="1:12" ht="15.9" thickBot="1">
      <c r="A15" s="264"/>
      <c r="B15" s="661" t="s">
        <v>631</v>
      </c>
      <c r="C15" s="644"/>
      <c r="D15" s="644"/>
      <c r="E15" s="644"/>
      <c r="F15" s="645"/>
      <c r="G15" s="145"/>
      <c r="H15" s="145"/>
      <c r="I15" s="141"/>
      <c r="J15" s="141"/>
      <c r="K15" s="142"/>
      <c r="L15" s="146"/>
    </row>
    <row r="16" spans="1:12" ht="15.45">
      <c r="A16" s="264"/>
      <c r="B16" s="781" t="s">
        <v>758</v>
      </c>
      <c r="C16" s="782"/>
      <c r="D16" s="782"/>
      <c r="E16" s="782"/>
      <c r="F16" s="783"/>
      <c r="G16" s="145"/>
      <c r="H16" s="145"/>
      <c r="I16" s="141"/>
      <c r="J16" s="141"/>
      <c r="K16" s="142"/>
      <c r="L16" s="146"/>
    </row>
    <row r="17" spans="1:12" ht="15.9" thickBot="1">
      <c r="A17" s="264"/>
      <c r="B17" s="662" t="s">
        <v>632</v>
      </c>
      <c r="C17" s="646"/>
      <c r="D17" s="646"/>
      <c r="E17" s="646"/>
      <c r="F17" s="647"/>
      <c r="G17" s="145"/>
      <c r="H17" s="145"/>
      <c r="I17" s="141"/>
      <c r="J17" s="141"/>
      <c r="K17" s="142"/>
      <c r="L17" s="146"/>
    </row>
    <row r="18" spans="1:12" ht="15.45">
      <c r="A18" s="264"/>
      <c r="B18" s="767" t="s">
        <v>759</v>
      </c>
      <c r="C18" s="768"/>
      <c r="D18" s="768"/>
      <c r="E18" s="768"/>
      <c r="F18" s="769"/>
      <c r="G18" s="145"/>
      <c r="H18" s="145"/>
      <c r="I18" s="141"/>
      <c r="J18" s="141"/>
      <c r="K18" s="142"/>
      <c r="L18" s="146"/>
    </row>
    <row r="19" spans="1:12" ht="15.9" thickBot="1">
      <c r="A19" s="264"/>
      <c r="B19" s="661" t="s">
        <v>633</v>
      </c>
      <c r="C19" s="644"/>
      <c r="D19" s="644"/>
      <c r="E19" s="644"/>
      <c r="F19" s="645"/>
      <c r="G19" s="145"/>
      <c r="H19" s="145"/>
      <c r="I19" s="141"/>
      <c r="J19" s="141"/>
      <c r="K19" s="142"/>
      <c r="L19" s="146"/>
    </row>
    <row r="20" spans="1:12" s="253" customFormat="1" ht="18.75" customHeight="1">
      <c r="B20" s="323"/>
      <c r="C20" s="324"/>
      <c r="D20" s="324"/>
      <c r="E20" s="324"/>
      <c r="F20" s="324"/>
      <c r="G20" s="254"/>
      <c r="H20" s="254"/>
      <c r="I20" s="255"/>
      <c r="J20" s="255"/>
      <c r="K20" s="256"/>
      <c r="L20" s="257"/>
    </row>
    <row r="21" spans="1:12" s="147" customFormat="1" ht="18.75" customHeight="1">
      <c r="B21" s="148" t="s">
        <v>95</v>
      </c>
      <c r="C21" s="149"/>
      <c r="D21" s="149"/>
      <c r="E21" s="150"/>
      <c r="F21" s="150"/>
      <c r="G21" s="150"/>
      <c r="H21" s="150"/>
      <c r="I21" s="151"/>
      <c r="J21" s="141"/>
      <c r="K21" s="152"/>
    </row>
    <row r="22" spans="1:12" s="147" customFormat="1" ht="18.75" customHeight="1">
      <c r="B22" s="806" t="s">
        <v>96</v>
      </c>
      <c r="C22" s="807"/>
      <c r="D22" s="807"/>
      <c r="E22" s="807"/>
      <c r="F22" s="807"/>
      <c r="G22" s="807"/>
      <c r="H22" s="807"/>
      <c r="I22" s="807"/>
      <c r="J22" s="807"/>
      <c r="K22" s="808"/>
    </row>
    <row r="23" spans="1:12" s="147" customFormat="1" ht="6" customHeight="1" thickBot="1">
      <c r="B23" s="153"/>
      <c r="C23" s="150"/>
      <c r="D23" s="150"/>
      <c r="E23" s="150"/>
      <c r="F23" s="150"/>
      <c r="G23" s="150"/>
      <c r="H23" s="150"/>
      <c r="I23" s="151"/>
      <c r="J23" s="141"/>
      <c r="K23" s="152"/>
    </row>
    <row r="24" spans="1:12" s="147" customFormat="1" ht="18.75" customHeight="1">
      <c r="B24" s="809" t="s">
        <v>37</v>
      </c>
      <c r="C24" s="810"/>
      <c r="D24" s="810"/>
      <c r="E24" s="810"/>
      <c r="F24" s="810"/>
      <c r="G24" s="810"/>
      <c r="H24" s="154"/>
      <c r="I24" s="150"/>
      <c r="J24" s="141"/>
      <c r="K24" s="155"/>
    </row>
    <row r="25" spans="1:12" s="147" customFormat="1" ht="18.75" customHeight="1">
      <c r="B25" s="811" t="s">
        <v>39</v>
      </c>
      <c r="C25" s="812"/>
      <c r="D25" s="812"/>
      <c r="E25" s="812"/>
      <c r="F25" s="812"/>
      <c r="G25" s="812"/>
      <c r="H25" s="156"/>
      <c r="I25" s="150"/>
      <c r="J25" s="141"/>
      <c r="K25" s="157"/>
    </row>
    <row r="26" spans="1:12" s="147" customFormat="1" ht="18.75" customHeight="1" thickBot="1">
      <c r="B26" s="789" t="s">
        <v>97</v>
      </c>
      <c r="C26" s="790"/>
      <c r="D26" s="790"/>
      <c r="E26" s="790"/>
      <c r="F26" s="790"/>
      <c r="G26" s="790"/>
      <c r="H26" s="158" t="str">
        <f>IF((H24-H25)*40=0,"0",(H24-H25)*40)</f>
        <v>0</v>
      </c>
      <c r="I26" s="150"/>
      <c r="J26" s="141"/>
      <c r="K26" s="157"/>
    </row>
    <row r="27" spans="1:12" ht="18.75" customHeight="1">
      <c r="B27" s="138"/>
      <c r="C27" s="139"/>
      <c r="D27" s="150"/>
      <c r="E27" s="145"/>
      <c r="F27" s="150"/>
      <c r="G27" s="145"/>
      <c r="H27" s="145"/>
      <c r="I27" s="141"/>
      <c r="J27" s="141"/>
      <c r="K27" s="142"/>
      <c r="L27" s="146"/>
    </row>
    <row r="28" spans="1:12" s="147" customFormat="1" ht="18.75" customHeight="1">
      <c r="B28" s="148" t="s">
        <v>98</v>
      </c>
      <c r="C28" s="149"/>
      <c r="D28" s="149"/>
      <c r="E28" s="150"/>
      <c r="F28" s="150"/>
      <c r="G28" s="150"/>
      <c r="H28" s="150"/>
      <c r="I28" s="150"/>
      <c r="J28" s="150"/>
      <c r="K28" s="159"/>
    </row>
    <row r="29" spans="1:12" s="147" customFormat="1" ht="18.75" customHeight="1">
      <c r="B29" s="774" t="s">
        <v>99</v>
      </c>
      <c r="C29" s="775"/>
      <c r="D29" s="775"/>
      <c r="E29" s="775"/>
      <c r="F29" s="775"/>
      <c r="G29" s="775"/>
      <c r="H29" s="775"/>
      <c r="I29" s="775"/>
      <c r="J29" s="775"/>
      <c r="K29" s="776"/>
    </row>
    <row r="30" spans="1:12" s="147" customFormat="1" ht="6" customHeight="1" thickBot="1">
      <c r="B30" s="153"/>
      <c r="C30" s="150"/>
      <c r="D30" s="150"/>
      <c r="E30" s="150"/>
      <c r="F30" s="150"/>
      <c r="G30" s="150"/>
      <c r="H30" s="150"/>
      <c r="I30" s="150"/>
      <c r="J30" s="150"/>
      <c r="K30" s="159"/>
    </row>
    <row r="31" spans="1:12" s="147" customFormat="1" ht="100" customHeight="1">
      <c r="B31" s="160" t="s">
        <v>41</v>
      </c>
      <c r="C31" s="161" t="s">
        <v>43</v>
      </c>
      <c r="D31" s="161" t="s">
        <v>45</v>
      </c>
      <c r="E31" s="161" t="s">
        <v>100</v>
      </c>
      <c r="F31" s="161" t="s">
        <v>101</v>
      </c>
      <c r="G31" s="161" t="s">
        <v>102</v>
      </c>
      <c r="H31" s="161" t="s">
        <v>103</v>
      </c>
      <c r="I31" s="161" t="s">
        <v>104</v>
      </c>
      <c r="J31" s="161" t="s">
        <v>105</v>
      </c>
      <c r="K31" s="162" t="s">
        <v>106</v>
      </c>
    </row>
    <row r="32" spans="1:12" s="147" customFormat="1" ht="21" customHeight="1">
      <c r="B32" s="163"/>
      <c r="C32" s="164"/>
      <c r="D32" s="165"/>
      <c r="E32" s="166"/>
      <c r="F32" s="166"/>
      <c r="G32" s="166"/>
      <c r="H32" s="166"/>
      <c r="I32" s="166"/>
      <c r="J32" s="166"/>
      <c r="K32" s="167"/>
    </row>
    <row r="33" spans="2:12" s="147" customFormat="1" ht="21" customHeight="1">
      <c r="B33" s="163"/>
      <c r="C33" s="164"/>
      <c r="D33" s="165"/>
      <c r="E33" s="166"/>
      <c r="F33" s="166"/>
      <c r="G33" s="166"/>
      <c r="H33" s="166"/>
      <c r="I33" s="166"/>
      <c r="J33" s="166"/>
      <c r="K33" s="167"/>
    </row>
    <row r="34" spans="2:12" s="147" customFormat="1" ht="21" customHeight="1">
      <c r="B34" s="163"/>
      <c r="C34" s="164"/>
      <c r="D34" s="165"/>
      <c r="E34" s="166"/>
      <c r="F34" s="166"/>
      <c r="G34" s="166"/>
      <c r="H34" s="166"/>
      <c r="I34" s="166"/>
      <c r="J34" s="166"/>
      <c r="K34" s="167"/>
    </row>
    <row r="35" spans="2:12" s="147" customFormat="1" ht="21" customHeight="1">
      <c r="B35" s="163"/>
      <c r="C35" s="168"/>
      <c r="D35" s="165"/>
      <c r="E35" s="166"/>
      <c r="F35" s="166"/>
      <c r="G35" s="166"/>
      <c r="H35" s="166"/>
      <c r="I35" s="166"/>
      <c r="J35" s="166"/>
      <c r="K35" s="167"/>
    </row>
    <row r="36" spans="2:12" s="147" customFormat="1" ht="21" customHeight="1">
      <c r="B36" s="163"/>
      <c r="C36" s="168"/>
      <c r="D36" s="165"/>
      <c r="E36" s="166"/>
      <c r="F36" s="166"/>
      <c r="G36" s="166"/>
      <c r="H36" s="166"/>
      <c r="I36" s="166"/>
      <c r="J36" s="166"/>
      <c r="K36" s="167"/>
    </row>
    <row r="37" spans="2:12" s="147" customFormat="1" ht="21" customHeight="1">
      <c r="B37" s="163"/>
      <c r="C37" s="168"/>
      <c r="D37" s="165"/>
      <c r="E37" s="166"/>
      <c r="F37" s="166"/>
      <c r="G37" s="166"/>
      <c r="H37" s="166"/>
      <c r="I37" s="166"/>
      <c r="J37" s="166"/>
      <c r="K37" s="167"/>
    </row>
    <row r="38" spans="2:12" s="147" customFormat="1" ht="21" customHeight="1">
      <c r="B38" s="163"/>
      <c r="C38" s="168"/>
      <c r="D38" s="165"/>
      <c r="E38" s="166"/>
      <c r="F38" s="166"/>
      <c r="G38" s="166"/>
      <c r="H38" s="166"/>
      <c r="I38" s="166"/>
      <c r="J38" s="166"/>
      <c r="K38" s="167"/>
    </row>
    <row r="39" spans="2:12" s="147" customFormat="1" ht="21" customHeight="1">
      <c r="B39" s="163"/>
      <c r="C39" s="168"/>
      <c r="D39" s="165"/>
      <c r="E39" s="166"/>
      <c r="F39" s="166"/>
      <c r="G39" s="166"/>
      <c r="H39" s="166"/>
      <c r="I39" s="166"/>
      <c r="J39" s="166"/>
      <c r="K39" s="167"/>
    </row>
    <row r="40" spans="2:12" s="147" customFormat="1" ht="21" customHeight="1">
      <c r="B40" s="163"/>
      <c r="C40" s="168"/>
      <c r="D40" s="165"/>
      <c r="E40" s="166"/>
      <c r="F40" s="166"/>
      <c r="G40" s="166"/>
      <c r="H40" s="166"/>
      <c r="I40" s="166"/>
      <c r="J40" s="166"/>
      <c r="K40" s="167"/>
    </row>
    <row r="41" spans="2:12" s="147" customFormat="1" ht="21" customHeight="1">
      <c r="B41" s="163"/>
      <c r="C41" s="168"/>
      <c r="D41" s="165"/>
      <c r="E41" s="166"/>
      <c r="F41" s="166"/>
      <c r="G41" s="166"/>
      <c r="H41" s="166"/>
      <c r="I41" s="166"/>
      <c r="J41" s="166"/>
      <c r="K41" s="167"/>
    </row>
    <row r="42" spans="2:12" s="147" customFormat="1" ht="21" customHeight="1">
      <c r="B42" s="163"/>
      <c r="C42" s="168"/>
      <c r="D42" s="165"/>
      <c r="E42" s="166"/>
      <c r="F42" s="166"/>
      <c r="G42" s="166"/>
      <c r="H42" s="166"/>
      <c r="I42" s="166"/>
      <c r="J42" s="166"/>
      <c r="K42" s="167"/>
    </row>
    <row r="43" spans="2:12" s="147" customFormat="1" ht="21" customHeight="1">
      <c r="B43" s="163"/>
      <c r="C43" s="168"/>
      <c r="D43" s="165"/>
      <c r="E43" s="166"/>
      <c r="F43" s="166"/>
      <c r="G43" s="166"/>
      <c r="H43" s="166"/>
      <c r="I43" s="166"/>
      <c r="J43" s="166"/>
      <c r="K43" s="167"/>
    </row>
    <row r="44" spans="2:12" s="147" customFormat="1" ht="21" customHeight="1">
      <c r="B44" s="163"/>
      <c r="C44" s="168"/>
      <c r="D44" s="165"/>
      <c r="E44" s="166"/>
      <c r="F44" s="166"/>
      <c r="G44" s="166"/>
      <c r="H44" s="166"/>
      <c r="I44" s="166"/>
      <c r="J44" s="166"/>
      <c r="K44" s="167"/>
      <c r="L44" s="150"/>
    </row>
    <row r="45" spans="2:12" s="147" customFormat="1" ht="21" customHeight="1">
      <c r="B45" s="163"/>
      <c r="C45" s="168"/>
      <c r="D45" s="165"/>
      <c r="E45" s="166"/>
      <c r="F45" s="166"/>
      <c r="G45" s="166"/>
      <c r="H45" s="166"/>
      <c r="I45" s="166"/>
      <c r="J45" s="166"/>
      <c r="K45" s="167"/>
      <c r="L45" s="150"/>
    </row>
    <row r="46" spans="2:12" s="147" customFormat="1" ht="21" customHeight="1">
      <c r="B46" s="163"/>
      <c r="C46" s="168"/>
      <c r="D46" s="165"/>
      <c r="E46" s="166"/>
      <c r="F46" s="166"/>
      <c r="G46" s="166"/>
      <c r="H46" s="166"/>
      <c r="I46" s="166"/>
      <c r="J46" s="166"/>
      <c r="K46" s="167"/>
      <c r="L46" s="150"/>
    </row>
    <row r="47" spans="2:12" s="147" customFormat="1" ht="21" customHeight="1">
      <c r="B47" s="163"/>
      <c r="C47" s="168"/>
      <c r="D47" s="165"/>
      <c r="E47" s="166"/>
      <c r="F47" s="166"/>
      <c r="G47" s="166"/>
      <c r="H47" s="166"/>
      <c r="I47" s="166"/>
      <c r="J47" s="166"/>
      <c r="K47" s="167"/>
      <c r="L47" s="150"/>
    </row>
    <row r="48" spans="2:12" s="147" customFormat="1" ht="21" customHeight="1">
      <c r="B48" s="163"/>
      <c r="C48" s="168"/>
      <c r="D48" s="165"/>
      <c r="E48" s="166"/>
      <c r="F48" s="166"/>
      <c r="G48" s="166"/>
      <c r="H48" s="166"/>
      <c r="I48" s="166"/>
      <c r="J48" s="166"/>
      <c r="K48" s="167"/>
      <c r="L48" s="150"/>
    </row>
    <row r="49" spans="2:12" s="147" customFormat="1" ht="21" customHeight="1">
      <c r="B49" s="163"/>
      <c r="C49" s="168"/>
      <c r="D49" s="165"/>
      <c r="E49" s="166"/>
      <c r="F49" s="166"/>
      <c r="G49" s="166"/>
      <c r="H49" s="166"/>
      <c r="I49" s="166"/>
      <c r="J49" s="166"/>
      <c r="K49" s="167"/>
      <c r="L49" s="150"/>
    </row>
    <row r="50" spans="2:12" s="147" customFormat="1" ht="21" customHeight="1">
      <c r="B50" s="163"/>
      <c r="C50" s="168"/>
      <c r="D50" s="165"/>
      <c r="E50" s="166"/>
      <c r="F50" s="166"/>
      <c r="G50" s="166"/>
      <c r="H50" s="166"/>
      <c r="I50" s="166"/>
      <c r="J50" s="166"/>
      <c r="K50" s="167"/>
      <c r="L50" s="150"/>
    </row>
    <row r="51" spans="2:12" s="147" customFormat="1" ht="21" customHeight="1">
      <c r="B51" s="163"/>
      <c r="C51" s="168"/>
      <c r="D51" s="165"/>
      <c r="E51" s="166"/>
      <c r="F51" s="166"/>
      <c r="G51" s="166"/>
      <c r="H51" s="166"/>
      <c r="I51" s="166"/>
      <c r="J51" s="166"/>
      <c r="K51" s="167"/>
      <c r="L51" s="150"/>
    </row>
    <row r="52" spans="2:12" s="147" customFormat="1" ht="21" customHeight="1">
      <c r="B52" s="163"/>
      <c r="C52" s="168"/>
      <c r="D52" s="165"/>
      <c r="E52" s="166"/>
      <c r="F52" s="166"/>
      <c r="G52" s="166"/>
      <c r="H52" s="166"/>
      <c r="I52" s="166"/>
      <c r="J52" s="166"/>
      <c r="K52" s="167"/>
      <c r="L52" s="150"/>
    </row>
    <row r="53" spans="2:12" s="147" customFormat="1" ht="21" customHeight="1">
      <c r="B53" s="163"/>
      <c r="C53" s="168"/>
      <c r="D53" s="165"/>
      <c r="E53" s="166"/>
      <c r="F53" s="166"/>
      <c r="G53" s="166"/>
      <c r="H53" s="166"/>
      <c r="I53" s="166"/>
      <c r="J53" s="166"/>
      <c r="K53" s="167"/>
      <c r="L53" s="150"/>
    </row>
    <row r="54" spans="2:12" s="147" customFormat="1" ht="21" customHeight="1">
      <c r="B54" s="163"/>
      <c r="C54" s="168"/>
      <c r="D54" s="165"/>
      <c r="E54" s="166"/>
      <c r="F54" s="166"/>
      <c r="G54" s="166"/>
      <c r="H54" s="166"/>
      <c r="I54" s="166"/>
      <c r="J54" s="166"/>
      <c r="K54" s="167"/>
      <c r="L54" s="150"/>
    </row>
    <row r="55" spans="2:12" s="147" customFormat="1" ht="21" customHeight="1">
      <c r="B55" s="163"/>
      <c r="C55" s="168"/>
      <c r="D55" s="165"/>
      <c r="E55" s="166"/>
      <c r="F55" s="166"/>
      <c r="G55" s="166"/>
      <c r="H55" s="166"/>
      <c r="I55" s="166"/>
      <c r="J55" s="166"/>
      <c r="K55" s="167"/>
      <c r="L55" s="150"/>
    </row>
    <row r="56" spans="2:12" s="147" customFormat="1" ht="21" customHeight="1">
      <c r="B56" s="163"/>
      <c r="C56" s="168"/>
      <c r="D56" s="165"/>
      <c r="E56" s="166"/>
      <c r="F56" s="166"/>
      <c r="G56" s="166"/>
      <c r="H56" s="166"/>
      <c r="I56" s="166"/>
      <c r="J56" s="166"/>
      <c r="K56" s="167"/>
      <c r="L56" s="150"/>
    </row>
    <row r="57" spans="2:12" s="147" customFormat="1" ht="21" customHeight="1">
      <c r="B57" s="163"/>
      <c r="C57" s="168"/>
      <c r="D57" s="165"/>
      <c r="E57" s="166"/>
      <c r="F57" s="166"/>
      <c r="G57" s="166"/>
      <c r="H57" s="166"/>
      <c r="I57" s="166"/>
      <c r="J57" s="166"/>
      <c r="K57" s="167"/>
      <c r="L57" s="150"/>
    </row>
    <row r="58" spans="2:12" s="147" customFormat="1" ht="21" customHeight="1">
      <c r="B58" s="163"/>
      <c r="C58" s="168"/>
      <c r="D58" s="165"/>
      <c r="E58" s="166"/>
      <c r="F58" s="166"/>
      <c r="G58" s="166"/>
      <c r="H58" s="166"/>
      <c r="I58" s="166"/>
      <c r="J58" s="166"/>
      <c r="K58" s="167"/>
      <c r="L58" s="150"/>
    </row>
    <row r="59" spans="2:12" s="147" customFormat="1" ht="21" customHeight="1">
      <c r="B59" s="163"/>
      <c r="C59" s="168"/>
      <c r="D59" s="165"/>
      <c r="E59" s="166"/>
      <c r="F59" s="166"/>
      <c r="G59" s="166"/>
      <c r="H59" s="166"/>
      <c r="I59" s="166"/>
      <c r="J59" s="166"/>
      <c r="K59" s="167"/>
      <c r="L59" s="150"/>
    </row>
    <row r="60" spans="2:12" s="147" customFormat="1" ht="21" customHeight="1">
      <c r="B60" s="163"/>
      <c r="C60" s="168"/>
      <c r="D60" s="165"/>
      <c r="E60" s="166"/>
      <c r="F60" s="166"/>
      <c r="G60" s="166"/>
      <c r="H60" s="166"/>
      <c r="I60" s="166"/>
      <c r="J60" s="166"/>
      <c r="K60" s="167"/>
      <c r="L60" s="150"/>
    </row>
    <row r="61" spans="2:12" s="147" customFormat="1" ht="21" customHeight="1">
      <c r="B61" s="163"/>
      <c r="C61" s="168"/>
      <c r="D61" s="165"/>
      <c r="E61" s="166"/>
      <c r="F61" s="166"/>
      <c r="G61" s="166"/>
      <c r="H61" s="166"/>
      <c r="I61" s="166"/>
      <c r="J61" s="166"/>
      <c r="K61" s="167"/>
      <c r="L61" s="150"/>
    </row>
    <row r="62" spans="2:12" s="147" customFormat="1" ht="21" customHeight="1" thickBot="1">
      <c r="B62" s="777" t="s">
        <v>107</v>
      </c>
      <c r="C62" s="778"/>
      <c r="D62" s="169">
        <f>SUM(D32:D61)</f>
        <v>0</v>
      </c>
      <c r="E62" s="170">
        <f t="shared" ref="E62:K62" si="0">SUM(E32:E61)</f>
        <v>0</v>
      </c>
      <c r="F62" s="170">
        <f t="shared" si="0"/>
        <v>0</v>
      </c>
      <c r="G62" s="170">
        <f t="shared" si="0"/>
        <v>0</v>
      </c>
      <c r="H62" s="170">
        <f t="shared" si="0"/>
        <v>0</v>
      </c>
      <c r="I62" s="170">
        <f t="shared" si="0"/>
        <v>0</v>
      </c>
      <c r="J62" s="170">
        <f t="shared" si="0"/>
        <v>0</v>
      </c>
      <c r="K62" s="171">
        <f t="shared" si="0"/>
        <v>0</v>
      </c>
      <c r="L62" s="172"/>
    </row>
    <row r="63" spans="2:12" s="178" customFormat="1" ht="14.6" thickBot="1">
      <c r="B63" s="173"/>
      <c r="C63" s="174"/>
      <c r="D63" s="174"/>
      <c r="E63" s="175"/>
      <c r="F63" s="175"/>
      <c r="G63" s="175"/>
      <c r="H63" s="175"/>
      <c r="I63" s="175"/>
      <c r="J63" s="175"/>
      <c r="K63" s="176"/>
      <c r="L63" s="177"/>
    </row>
    <row r="64" spans="2:12" ht="21" customHeight="1">
      <c r="B64" s="138"/>
      <c r="C64" s="139"/>
      <c r="D64" s="139"/>
      <c r="E64" s="139"/>
      <c r="F64" s="139"/>
      <c r="G64" s="779" t="s">
        <v>108</v>
      </c>
      <c r="H64" s="780"/>
      <c r="I64" s="780"/>
      <c r="J64" s="780"/>
      <c r="K64" s="179">
        <f>(($E$62*(1-'GHG ERFs'!B57)^('GHG ERFs'!B58-'GHG ERFs'!B59))/'GHG ERFs'!A41)</f>
        <v>0</v>
      </c>
    </row>
    <row r="65" spans="2:11" ht="21" customHeight="1">
      <c r="B65" s="138"/>
      <c r="C65" s="139"/>
      <c r="D65" s="139"/>
      <c r="E65" s="139"/>
      <c r="F65" s="139"/>
      <c r="G65" s="770" t="s">
        <v>109</v>
      </c>
      <c r="H65" s="771"/>
      <c r="I65" s="771"/>
      <c r="J65" s="771"/>
      <c r="K65" s="180">
        <f>(($F$62*'GHG ERFs'!B62)+($G$62*'GHG ERFs'!A51*'GHG ERFs'!B63))*(1-'GHG ERFs'!B57)^('GHG ERFs'!B58-'GHG ERFs'!B59)</f>
        <v>0</v>
      </c>
    </row>
    <row r="66" spans="2:11" ht="21" customHeight="1">
      <c r="B66" s="138"/>
      <c r="C66" s="139"/>
      <c r="D66" s="139"/>
      <c r="E66" s="139"/>
      <c r="F66" s="139"/>
      <c r="G66" s="770" t="s">
        <v>110</v>
      </c>
      <c r="H66" s="771"/>
      <c r="I66" s="771"/>
      <c r="J66" s="771"/>
      <c r="K66" s="180">
        <f>($K$64+$K$65)*'GHG ERFs'!B71</f>
        <v>0</v>
      </c>
    </row>
    <row r="67" spans="2:11" ht="21" customHeight="1">
      <c r="B67" s="138"/>
      <c r="C67" s="139"/>
      <c r="D67" s="139"/>
      <c r="E67" s="139"/>
      <c r="F67" s="139"/>
      <c r="G67" s="765" t="s">
        <v>111</v>
      </c>
      <c r="H67" s="766"/>
      <c r="I67" s="766"/>
      <c r="J67" s="766"/>
      <c r="K67" s="180">
        <f>($I$62*((1-'GHG ERFs'!B57)^('GHG ERFs'!B58-'GHG ERFs'!B59))+(($F$62*'GHG ERFs'!B66+$G$62*'GHG ERFs'!B69)*((1-'GHG ERFs'!B57)^('GHG ERFs'!B58-'GHG ERFs'!B59))))</f>
        <v>0</v>
      </c>
    </row>
    <row r="68" spans="2:11" ht="21" customHeight="1">
      <c r="B68" s="138"/>
      <c r="C68" s="139"/>
      <c r="D68" s="139"/>
      <c r="E68" s="139"/>
      <c r="F68" s="139"/>
      <c r="G68" s="765" t="s">
        <v>112</v>
      </c>
      <c r="H68" s="766"/>
      <c r="I68" s="766"/>
      <c r="J68" s="766"/>
      <c r="K68" s="180">
        <f>($H$62*(1-'GHG ERFs'!B57)^('GHG ERFs'!B58-'GHG ERFs'!B59))+(($F$62*'GHG ERFs'!B65+$G$62*'GHG ERFs'!B68)*(1-'GHG ERFs'!B57)^('GHG ERFs'!B58-'GHG ERFs'!B59))</f>
        <v>0</v>
      </c>
    </row>
    <row r="69" spans="2:11" ht="21" customHeight="1">
      <c r="B69" s="138"/>
      <c r="C69" s="139"/>
      <c r="D69" s="139"/>
      <c r="E69" s="139"/>
      <c r="F69" s="139"/>
      <c r="G69" s="765" t="s">
        <v>113</v>
      </c>
      <c r="H69" s="766"/>
      <c r="I69" s="766"/>
      <c r="J69" s="766"/>
      <c r="K69" s="180">
        <f>($F$62*'GHG ERFs'!B64+$G$62*'GHG ERFs'!B67)*(1-'GHG ERFs'!B57)^('GHG ERFs'!B58-'GHG ERFs'!B59)</f>
        <v>0</v>
      </c>
    </row>
    <row r="70" spans="2:11" ht="21.75" customHeight="1">
      <c r="B70" s="138"/>
      <c r="C70" s="139"/>
      <c r="D70" s="139"/>
      <c r="E70" s="139"/>
      <c r="F70" s="139"/>
      <c r="G70" s="770" t="s">
        <v>114</v>
      </c>
      <c r="H70" s="771"/>
      <c r="I70" s="771"/>
      <c r="J70" s="771"/>
      <c r="K70" s="181">
        <f>$H$26*(1-'GHG ERFs'!B57)^('GHG ERFs'!B58-'GHG ERFs'!B59)</f>
        <v>0</v>
      </c>
    </row>
    <row r="71" spans="2:11" ht="21" customHeight="1">
      <c r="B71" s="138"/>
      <c r="C71" s="139"/>
      <c r="D71" s="139"/>
      <c r="E71" s="139"/>
      <c r="F71" s="139"/>
      <c r="G71" s="772" t="s">
        <v>115</v>
      </c>
      <c r="H71" s="773"/>
      <c r="I71" s="773"/>
      <c r="J71" s="773"/>
      <c r="K71" s="182">
        <f>$F$62*(1-'GHG ERFs'!B57)^('GHG ERFs'!B58-'GHG ERFs'!B59)</f>
        <v>0</v>
      </c>
    </row>
    <row r="72" spans="2:11" ht="22.5" customHeight="1" thickBot="1">
      <c r="B72" s="138"/>
      <c r="C72" s="139"/>
      <c r="D72" s="139"/>
      <c r="E72" s="139"/>
      <c r="F72" s="139"/>
      <c r="G72" s="787" t="s">
        <v>116</v>
      </c>
      <c r="H72" s="788"/>
      <c r="I72" s="788"/>
      <c r="J72" s="788"/>
      <c r="K72" s="183">
        <f>$G$62*'GHG ERFs'!A51*(1-'GHG ERFs'!B57)^('GHG ERFs'!B58-'GHG ERFs'!B59)</f>
        <v>0</v>
      </c>
    </row>
    <row r="73" spans="2:11" ht="20.25" customHeight="1">
      <c r="B73" s="184"/>
      <c r="C73" s="185"/>
      <c r="D73" s="185"/>
      <c r="E73" s="185"/>
      <c r="F73" s="185"/>
    </row>
  </sheetData>
  <sheetProtection algorithmName="SHA-512" hashValue="1qFtKHvSU9+Tu/jfWRls0kezort9buH4LOWUxZBWZDvau0OoHaj/aPn0JsKcaJWars43rRPgkmhOGXrQ3EF/wQ==" saltValue="OSU/8YfXO/FP95RuDsAFNw==" spinCount="100000" sheet="1" objects="1" scenarios="1"/>
  <mergeCells count="28">
    <mergeCell ref="B10:F10"/>
    <mergeCell ref="B11:F11"/>
    <mergeCell ref="G72:J72"/>
    <mergeCell ref="B26:G26"/>
    <mergeCell ref="B1:K1"/>
    <mergeCell ref="B2:K2"/>
    <mergeCell ref="B3:K3"/>
    <mergeCell ref="B4:K4"/>
    <mergeCell ref="B5:K5"/>
    <mergeCell ref="B6:K6"/>
    <mergeCell ref="B8:K8"/>
    <mergeCell ref="B12:F12"/>
    <mergeCell ref="B22:K22"/>
    <mergeCell ref="B24:G24"/>
    <mergeCell ref="B25:G25"/>
    <mergeCell ref="G67:J67"/>
    <mergeCell ref="G68:J68"/>
    <mergeCell ref="G69:J69"/>
    <mergeCell ref="B14:F14"/>
    <mergeCell ref="G70:J70"/>
    <mergeCell ref="G71:J71"/>
    <mergeCell ref="B29:K29"/>
    <mergeCell ref="B62:C62"/>
    <mergeCell ref="G64:J64"/>
    <mergeCell ref="G65:J65"/>
    <mergeCell ref="G66:J66"/>
    <mergeCell ref="B16:F16"/>
    <mergeCell ref="B18:F18"/>
  </mergeCells>
  <hyperlinks>
    <hyperlink ref="B11" r:id="rId1" xr:uid="{38AD6F3C-9F49-494D-91EB-72D083AF7BD6}"/>
    <hyperlink ref="B19" r:id="rId2" xr:uid="{17387632-8C2B-4E8C-B63D-D71A3A18E868}"/>
    <hyperlink ref="B13" r:id="rId3" xr:uid="{8D5F26E9-46DF-48D5-9C11-3C5F0B4B0FD2}"/>
    <hyperlink ref="B15" r:id="rId4" xr:uid="{CA6EC52E-BA22-40AB-9A3D-3FE57B317E39}"/>
    <hyperlink ref="B17" r:id="rId5" xr:uid="{95968184-120D-4D13-A6F4-88ABD72EF793}"/>
  </hyperlinks>
  <pageMargins left="0" right="0.7" top="0" bottom="0.75" header="0.3" footer="0.3"/>
  <pageSetup scale="41" orientation="landscape" r:id="rId6"/>
  <headerFooter>
    <oddFooter>&amp;L&amp;12DRAFT January XX, 2019&amp;CPage &amp;P of &amp;N&amp;R&amp;A</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11149-1B9E-43F9-904D-81BCEAB1055D}">
  <sheetPr>
    <tabColor rgb="FFFCE4D6"/>
  </sheetPr>
  <dimension ref="A1:R53"/>
  <sheetViews>
    <sheetView showGridLines="0" zoomScaleNormal="100" workbookViewId="0">
      <selection activeCell="J19" sqref="J19"/>
    </sheetView>
  </sheetViews>
  <sheetFormatPr defaultColWidth="9.15234375" defaultRowHeight="15.45"/>
  <cols>
    <col min="1" max="1" width="42.53515625" style="325" customWidth="1"/>
    <col min="2" max="2" width="25.3046875" style="325" customWidth="1"/>
    <col min="3" max="3" width="27.23046875" style="325" customWidth="1"/>
    <col min="4" max="4" width="11.3828125" style="325" customWidth="1"/>
    <col min="5" max="5" width="10.53515625" style="325" customWidth="1"/>
    <col min="6" max="6" width="17.53515625" style="325" customWidth="1"/>
    <col min="7" max="7" width="17.69140625" style="325" customWidth="1"/>
    <col min="8" max="8" width="27.3828125" style="325" customWidth="1"/>
    <col min="9" max="9" width="17" style="325" customWidth="1"/>
    <col min="10" max="10" width="19.15234375" style="325" customWidth="1"/>
    <col min="11" max="11" width="13.69140625" style="325" customWidth="1"/>
    <col min="12" max="12" width="10.53515625" style="325" customWidth="1"/>
    <col min="13" max="13" width="10.61328125" style="325" customWidth="1"/>
    <col min="14" max="14" width="9.921875" style="325" customWidth="1"/>
    <col min="15" max="15" width="18.15234375" style="325" hidden="1" customWidth="1"/>
    <col min="16" max="16" width="13.69140625" style="325" customWidth="1"/>
    <col min="17" max="17" width="10.765625" style="325" customWidth="1"/>
    <col min="18" max="29" width="9.15234375" style="325"/>
    <col min="30" max="30" width="21.69140625" style="325" customWidth="1"/>
    <col min="31" max="16384" width="9.15234375" style="325"/>
  </cols>
  <sheetData>
    <row r="1" spans="1:14" ht="20.149999999999999">
      <c r="D1" s="368" t="s">
        <v>0</v>
      </c>
    </row>
    <row r="2" spans="1:14">
      <c r="D2" s="369"/>
    </row>
    <row r="3" spans="1:14" ht="20.149999999999999">
      <c r="D3" s="368" t="s">
        <v>1</v>
      </c>
    </row>
    <row r="4" spans="1:14" ht="20.149999999999999">
      <c r="D4" s="370" t="str">
        <f>'Read Me'!B4</f>
        <v>Climate Positive Landscape</v>
      </c>
    </row>
    <row r="5" spans="1:14">
      <c r="D5" s="369"/>
    </row>
    <row r="6" spans="1:14" ht="20.149999999999999">
      <c r="D6" s="368" t="s">
        <v>22</v>
      </c>
    </row>
    <row r="9" spans="1:14" ht="18.45" thickBot="1">
      <c r="A9" s="813" t="s">
        <v>23</v>
      </c>
      <c r="B9" s="814"/>
      <c r="C9" s="814"/>
      <c r="D9" s="659"/>
      <c r="E9" s="383"/>
      <c r="F9" s="659"/>
      <c r="G9" s="659"/>
      <c r="H9" s="660"/>
      <c r="I9" s="214"/>
      <c r="J9" s="228"/>
      <c r="K9" s="228"/>
      <c r="L9" s="228"/>
      <c r="M9" s="228"/>
      <c r="N9" s="228"/>
    </row>
    <row r="10" spans="1:14" ht="15.45" customHeight="1">
      <c r="A10" s="825" t="s">
        <v>765</v>
      </c>
      <c r="B10" s="826"/>
      <c r="C10" s="826"/>
      <c r="D10" s="826"/>
      <c r="E10" s="826"/>
      <c r="F10" s="826"/>
      <c r="G10" s="826"/>
      <c r="H10" s="827"/>
      <c r="I10" s="214"/>
      <c r="J10" s="228"/>
      <c r="K10" s="228"/>
      <c r="L10" s="228"/>
      <c r="M10" s="228"/>
      <c r="N10" s="228"/>
    </row>
    <row r="11" spans="1:14" ht="19.75" customHeight="1" thickBot="1">
      <c r="A11" s="657" t="s">
        <v>786</v>
      </c>
      <c r="B11" s="656"/>
      <c r="C11" s="656"/>
      <c r="D11" s="656"/>
      <c r="E11" s="656"/>
      <c r="F11" s="644"/>
      <c r="G11" s="644"/>
      <c r="H11" s="650"/>
      <c r="I11" s="214"/>
      <c r="J11" s="228"/>
      <c r="K11" s="228"/>
      <c r="L11" s="228"/>
      <c r="M11" s="228"/>
      <c r="N11" s="228"/>
    </row>
    <row r="12" spans="1:14" ht="15.45" customHeight="1">
      <c r="A12" s="822" t="s">
        <v>753</v>
      </c>
      <c r="B12" s="823"/>
      <c r="C12" s="823"/>
      <c r="D12" s="823"/>
      <c r="E12" s="823"/>
      <c r="F12" s="823"/>
      <c r="G12" s="823"/>
      <c r="H12" s="824"/>
      <c r="I12" s="214"/>
      <c r="J12" s="228"/>
      <c r="K12" s="228"/>
      <c r="L12" s="228"/>
      <c r="M12" s="228"/>
      <c r="N12" s="228"/>
    </row>
    <row r="13" spans="1:14" ht="15.9" thickBot="1">
      <c r="A13" s="661" t="s">
        <v>754</v>
      </c>
      <c r="B13" s="643"/>
      <c r="C13" s="643"/>
      <c r="D13" s="644"/>
      <c r="E13" s="644"/>
      <c r="F13" s="644"/>
      <c r="G13" s="644"/>
      <c r="H13" s="650"/>
      <c r="I13" s="214"/>
      <c r="J13" s="228"/>
      <c r="K13" s="228"/>
      <c r="L13" s="228"/>
      <c r="M13" s="228"/>
      <c r="N13" s="228"/>
    </row>
    <row r="14" spans="1:14">
      <c r="A14" s="654" t="s">
        <v>760</v>
      </c>
      <c r="B14" s="655"/>
      <c r="C14" s="655"/>
      <c r="D14" s="651"/>
      <c r="E14" s="652"/>
      <c r="F14" s="641"/>
      <c r="G14" s="641"/>
      <c r="H14" s="653"/>
      <c r="I14" s="326"/>
      <c r="J14" s="326"/>
      <c r="K14" s="326"/>
      <c r="L14" s="326"/>
      <c r="M14" s="326"/>
      <c r="N14" s="326"/>
    </row>
    <row r="15" spans="1:14" ht="15.9" thickBot="1">
      <c r="A15" s="663" t="s">
        <v>755</v>
      </c>
      <c r="B15" s="643"/>
      <c r="C15" s="643"/>
      <c r="D15" s="642"/>
      <c r="E15" s="648"/>
      <c r="F15" s="644"/>
      <c r="G15" s="644"/>
      <c r="H15" s="649"/>
      <c r="I15" s="326"/>
      <c r="J15" s="326"/>
      <c r="K15" s="326"/>
      <c r="L15" s="326"/>
      <c r="M15" s="326"/>
      <c r="N15" s="326"/>
    </row>
    <row r="16" spans="1:14" ht="18.649999999999999" customHeight="1" thickBot="1">
      <c r="B16" s="326"/>
      <c r="C16" s="326"/>
      <c r="D16" s="326"/>
      <c r="F16" s="326"/>
      <c r="H16" s="326"/>
      <c r="I16" s="327"/>
      <c r="J16" s="326"/>
      <c r="K16" s="326"/>
      <c r="L16" s="326"/>
      <c r="M16" s="326"/>
      <c r="N16" s="326"/>
    </row>
    <row r="17" spans="1:18" ht="18">
      <c r="A17" s="685" t="s">
        <v>117</v>
      </c>
      <c r="B17" s="686" t="s">
        <v>118</v>
      </c>
      <c r="F17" s="326"/>
      <c r="H17" s="326"/>
      <c r="I17" s="326"/>
    </row>
    <row r="18" spans="1:18" ht="36.75" customHeight="1">
      <c r="A18" s="687" t="s">
        <v>766</v>
      </c>
      <c r="B18" s="754"/>
      <c r="E18" s="326"/>
      <c r="F18" s="326"/>
      <c r="H18" s="326"/>
      <c r="I18" s="326"/>
    </row>
    <row r="19" spans="1:18" ht="29.5" customHeight="1">
      <c r="A19" s="688" t="s">
        <v>121</v>
      </c>
      <c r="B19" s="754"/>
      <c r="E19" s="326"/>
      <c r="F19" s="326"/>
      <c r="H19" s="326"/>
      <c r="I19" s="326"/>
    </row>
    <row r="20" spans="1:18" ht="35.25" customHeight="1" thickBot="1">
      <c r="A20" s="689" t="s">
        <v>775</v>
      </c>
      <c r="B20" s="755"/>
      <c r="E20" s="326"/>
      <c r="F20" s="326"/>
      <c r="H20" s="326"/>
      <c r="I20" s="326"/>
    </row>
    <row r="21" spans="1:18" s="327" customFormat="1" ht="37.5" customHeight="1" thickBot="1">
      <c r="A21" s="360"/>
      <c r="B21" s="360"/>
      <c r="C21" s="361"/>
      <c r="D21" s="360"/>
      <c r="E21" s="360"/>
      <c r="F21" s="362"/>
      <c r="G21" s="360"/>
      <c r="H21" s="362"/>
      <c r="I21" s="362"/>
      <c r="K21" s="718" t="s">
        <v>751</v>
      </c>
      <c r="L21" s="719"/>
      <c r="M21" s="720"/>
      <c r="N21" s="720"/>
      <c r="O21" s="717"/>
      <c r="P21" s="721" t="s">
        <v>124</v>
      </c>
      <c r="Q21" s="722"/>
    </row>
    <row r="22" spans="1:18" s="327" customFormat="1" ht="45.9" customHeight="1">
      <c r="A22" s="706" t="s">
        <v>125</v>
      </c>
      <c r="B22" s="707" t="s">
        <v>126</v>
      </c>
      <c r="C22" s="707" t="s">
        <v>127</v>
      </c>
      <c r="D22" s="829" t="s">
        <v>769</v>
      </c>
      <c r="E22" s="829"/>
      <c r="F22" s="708" t="s">
        <v>128</v>
      </c>
      <c r="G22" s="709" t="s">
        <v>129</v>
      </c>
      <c r="H22" s="709" t="s">
        <v>130</v>
      </c>
      <c r="I22" s="709" t="s">
        <v>778</v>
      </c>
      <c r="J22" s="710" t="s">
        <v>131</v>
      </c>
      <c r="K22" s="711" t="s">
        <v>779</v>
      </c>
      <c r="L22" s="712" t="s">
        <v>780</v>
      </c>
      <c r="M22" s="712" t="s">
        <v>781</v>
      </c>
      <c r="N22" s="713" t="s">
        <v>782</v>
      </c>
      <c r="O22" s="714" t="s">
        <v>134</v>
      </c>
      <c r="P22" s="715" t="s">
        <v>752</v>
      </c>
      <c r="Q22" s="716" t="s">
        <v>782</v>
      </c>
    </row>
    <row r="23" spans="1:18" s="329" customFormat="1" ht="14.15">
      <c r="A23" s="743"/>
      <c r="B23" s="744"/>
      <c r="C23" s="744"/>
      <c r="D23" s="745"/>
      <c r="E23" s="746"/>
      <c r="F23" s="747"/>
      <c r="G23" s="744"/>
      <c r="H23" s="744"/>
      <c r="I23" s="748"/>
      <c r="J23" s="745"/>
      <c r="K23" s="690" t="str">
        <f>IFERROR('Lawn Mower data'!T32,"")</f>
        <v/>
      </c>
      <c r="L23" s="381" t="str">
        <f>IFERROR('Lawn Mower data'!U32,"")</f>
        <v/>
      </c>
      <c r="M23" s="381" t="str">
        <f>IFERROR('Lawn Mower data'!V32,"")</f>
        <v/>
      </c>
      <c r="N23" s="695" t="str">
        <f>IFERROR('Lawn Mower data'!W32,"")</f>
        <v/>
      </c>
      <c r="O23" s="699">
        <f>IF($B$20="No",0,1)*IF(ISBLANK(E23),0,1)*IF(ISERROR(VLOOKUP($J23&amp;" | "&amp;$H23,'Lawn Mower data'!$A$12:$K$19,7)),"0",(VLOOKUP($J23&amp;" | "&amp;$H23,'Lawn Mower data'!$A$12:$K$19,7)))*IF(ISERROR(VLOOKUP($H23&amp;" | "&amp;$G23,'Lawn Mower data'!$A$3:$C$6,2)),"0",(VLOOKUP($H23&amp;" | "&amp;$G23,'Lawn Mower data'!$A$3:$B$6,2)))*'Lawn Mower data'!$B$27/454*10</f>
        <v>0</v>
      </c>
      <c r="P23" s="690" t="str">
        <f>IFERROR('Fertilizer data'!O4,"")</f>
        <v/>
      </c>
      <c r="Q23" s="691" t="str">
        <f>IFERROR('Fertilizer data'!P4,"")</f>
        <v/>
      </c>
      <c r="R23" s="328"/>
    </row>
    <row r="24" spans="1:18" s="329" customFormat="1" ht="14.15">
      <c r="A24" s="743"/>
      <c r="B24" s="744"/>
      <c r="C24" s="744"/>
      <c r="D24" s="745"/>
      <c r="E24" s="746"/>
      <c r="F24" s="744"/>
      <c r="G24" s="744"/>
      <c r="H24" s="744"/>
      <c r="I24" s="748"/>
      <c r="J24" s="745"/>
      <c r="K24" s="690" t="str">
        <f>IFERROR('Lawn Mower data'!T33,"")</f>
        <v/>
      </c>
      <c r="L24" s="381" t="str">
        <f>IFERROR('Lawn Mower data'!U33,"")</f>
        <v/>
      </c>
      <c r="M24" s="381" t="str">
        <f>IFERROR('Lawn Mower data'!V33,"")</f>
        <v/>
      </c>
      <c r="N24" s="695" t="str">
        <f>IFERROR('Lawn Mower data'!W33,"")</f>
        <v/>
      </c>
      <c r="O24" s="699">
        <f>IF($B$20="No",0,1)*IF(ISBLANK(E24),0,1)*IF(ISERROR(VLOOKUP($J24&amp;" | "&amp;$H24,'Lawn Mower data'!$A$12:$K$19,7)),"0",(VLOOKUP($J24&amp;" | "&amp;$H24,'Lawn Mower data'!$A$12:$K$19,7)))*IF(ISERROR(VLOOKUP($H24&amp;" | "&amp;$G24,'Lawn Mower data'!$A$3:$C$6,2)),"0",(VLOOKUP($H24&amp;" | "&amp;$G24,'Lawn Mower data'!$A$3:$B$6,2)))*'Lawn Mower data'!$B$27/454*10</f>
        <v>0</v>
      </c>
      <c r="P24" s="690" t="str">
        <f>IFERROR('Fertilizer data'!O5,"")</f>
        <v/>
      </c>
      <c r="Q24" s="691" t="str">
        <f>IFERROR('Fertilizer data'!P5,"")</f>
        <v/>
      </c>
    </row>
    <row r="25" spans="1:18" s="329" customFormat="1" ht="14.15">
      <c r="A25" s="743"/>
      <c r="B25" s="744"/>
      <c r="C25" s="744"/>
      <c r="D25" s="745"/>
      <c r="E25" s="746"/>
      <c r="F25" s="744"/>
      <c r="G25" s="744"/>
      <c r="H25" s="744"/>
      <c r="I25" s="748"/>
      <c r="J25" s="745"/>
      <c r="K25" s="690" t="str">
        <f>IFERROR('Lawn Mower data'!T34,"")</f>
        <v/>
      </c>
      <c r="L25" s="381" t="str">
        <f>IFERROR('Lawn Mower data'!U34,"")</f>
        <v/>
      </c>
      <c r="M25" s="381" t="str">
        <f>IFERROR('Lawn Mower data'!V34,"")</f>
        <v/>
      </c>
      <c r="N25" s="695" t="str">
        <f>IFERROR('Lawn Mower data'!W34,"")</f>
        <v/>
      </c>
      <c r="O25" s="699">
        <f>IF($B$20="No",0,1)*IF(ISBLANK(E25),0,1)*IF(ISERROR(VLOOKUP($J25&amp;" | "&amp;$H25,'Lawn Mower data'!$A$12:$K$19,7)),"0",(VLOOKUP($J25&amp;" | "&amp;$H25,'Lawn Mower data'!$A$12:$K$19,7)))*IF(ISERROR(VLOOKUP($H25&amp;" | "&amp;$G25,'Lawn Mower data'!$A$3:$C$6,2)),"0",(VLOOKUP($H25&amp;" | "&amp;$G25,'Lawn Mower data'!$A$3:$B$6,2)))*'Lawn Mower data'!$B$27/454*10</f>
        <v>0</v>
      </c>
      <c r="P25" s="690" t="str">
        <f>IFERROR('Fertilizer data'!O6,"")</f>
        <v/>
      </c>
      <c r="Q25" s="691" t="str">
        <f>IFERROR('Fertilizer data'!P6,"")</f>
        <v/>
      </c>
    </row>
    <row r="26" spans="1:18" s="329" customFormat="1" ht="14.15">
      <c r="A26" s="743"/>
      <c r="B26" s="744"/>
      <c r="C26" s="744"/>
      <c r="D26" s="745"/>
      <c r="E26" s="746"/>
      <c r="F26" s="744"/>
      <c r="G26" s="744"/>
      <c r="H26" s="744"/>
      <c r="I26" s="748"/>
      <c r="J26" s="745"/>
      <c r="K26" s="690" t="str">
        <f>IFERROR('Lawn Mower data'!T35,"")</f>
        <v/>
      </c>
      <c r="L26" s="381" t="str">
        <f>IFERROR('Lawn Mower data'!U35,"")</f>
        <v/>
      </c>
      <c r="M26" s="381" t="str">
        <f>IFERROR('Lawn Mower data'!V35,"")</f>
        <v/>
      </c>
      <c r="N26" s="695" t="str">
        <f>IFERROR('Lawn Mower data'!W35,"")</f>
        <v/>
      </c>
      <c r="O26" s="699">
        <f>IF($B$20="No",0,1)*IF(ISBLANK(E26),0,1)*IF(ISERROR(VLOOKUP($J26&amp;" | "&amp;$H26,'Lawn Mower data'!$A$12:$K$19,7)),"0",(VLOOKUP($J26&amp;" | "&amp;$H26,'Lawn Mower data'!$A$12:$K$19,7)))*IF(ISERROR(VLOOKUP($H26&amp;" | "&amp;$G26,'Lawn Mower data'!$A$3:$C$6,2)),"0",(VLOOKUP($H26&amp;" | "&amp;$G26,'Lawn Mower data'!$A$3:$B$6,2)))*'Lawn Mower data'!$B$27/454*10</f>
        <v>0</v>
      </c>
      <c r="P26" s="690" t="str">
        <f>IFERROR('Fertilizer data'!O7,"")</f>
        <v/>
      </c>
      <c r="Q26" s="691" t="str">
        <f>IFERROR('Fertilizer data'!P7,"")</f>
        <v/>
      </c>
    </row>
    <row r="27" spans="1:18" s="329" customFormat="1" ht="14.15">
      <c r="A27" s="743"/>
      <c r="B27" s="744"/>
      <c r="C27" s="744"/>
      <c r="D27" s="745"/>
      <c r="E27" s="746"/>
      <c r="F27" s="744"/>
      <c r="G27" s="744"/>
      <c r="H27" s="744"/>
      <c r="I27" s="748"/>
      <c r="J27" s="745"/>
      <c r="K27" s="690" t="str">
        <f>IFERROR('Lawn Mower data'!T36,"")</f>
        <v/>
      </c>
      <c r="L27" s="381" t="str">
        <f>IFERROR('Lawn Mower data'!U36,"")</f>
        <v/>
      </c>
      <c r="M27" s="381" t="str">
        <f>IFERROR('Lawn Mower data'!V36,"")</f>
        <v/>
      </c>
      <c r="N27" s="695" t="str">
        <f>IFERROR('Lawn Mower data'!W36,"")</f>
        <v/>
      </c>
      <c r="O27" s="699">
        <f>IF($B$20="No",0,1)*IF(ISBLANK(E27),0,1)*IF(ISERROR(VLOOKUP($J27&amp;" | "&amp;$H27,'Lawn Mower data'!$A$12:$K$19,7)),"0",(VLOOKUP($J27&amp;" | "&amp;$H27,'Lawn Mower data'!$A$12:$K$19,7)))*IF(ISERROR(VLOOKUP($H27&amp;" | "&amp;$G27,'Lawn Mower data'!$A$3:$C$6,2)),"0",(VLOOKUP($H27&amp;" | "&amp;$G27,'Lawn Mower data'!$A$3:$B$6,2)))*'Lawn Mower data'!$B$27/454*10</f>
        <v>0</v>
      </c>
      <c r="P27" s="690" t="str">
        <f>IFERROR('Fertilizer data'!O8,"")</f>
        <v/>
      </c>
      <c r="Q27" s="691" t="str">
        <f>IFERROR('Fertilizer data'!P8,"")</f>
        <v/>
      </c>
    </row>
    <row r="28" spans="1:18" s="329" customFormat="1" ht="14.15">
      <c r="A28" s="743"/>
      <c r="B28" s="744"/>
      <c r="C28" s="744"/>
      <c r="D28" s="745"/>
      <c r="E28" s="746"/>
      <c r="F28" s="744"/>
      <c r="G28" s="744"/>
      <c r="H28" s="744"/>
      <c r="I28" s="748"/>
      <c r="J28" s="745"/>
      <c r="K28" s="690" t="str">
        <f>IFERROR('Lawn Mower data'!T37,"")</f>
        <v/>
      </c>
      <c r="L28" s="381" t="str">
        <f>IFERROR('Lawn Mower data'!U37,"")</f>
        <v/>
      </c>
      <c r="M28" s="381" t="str">
        <f>IFERROR('Lawn Mower data'!V37,"")</f>
        <v/>
      </c>
      <c r="N28" s="695" t="str">
        <f>IFERROR('Lawn Mower data'!W37,"")</f>
        <v/>
      </c>
      <c r="O28" s="699">
        <f>IF($B$20="No",0,1)*IF(ISBLANK(E28),0,1)*IF(ISERROR(VLOOKUP($J28&amp;" | "&amp;$H28,'Lawn Mower data'!$A$12:$K$19,7)),"0",(VLOOKUP($J28&amp;" | "&amp;$H28,'Lawn Mower data'!$A$12:$K$19,7)))*IF(ISERROR(VLOOKUP($H28&amp;" | "&amp;$G28,'Lawn Mower data'!$A$3:$C$6,2)),"0",(VLOOKUP($H28&amp;" | "&amp;$G28,'Lawn Mower data'!$A$3:$B$6,2)))*'Lawn Mower data'!$B$27/454*10</f>
        <v>0</v>
      </c>
      <c r="P28" s="690" t="str">
        <f>IFERROR('Fertilizer data'!O9,"")</f>
        <v/>
      </c>
      <c r="Q28" s="691" t="str">
        <f>IFERROR('Fertilizer data'!P9,"")</f>
        <v/>
      </c>
    </row>
    <row r="29" spans="1:18" s="329" customFormat="1" ht="14.6" thickBot="1">
      <c r="A29" s="749"/>
      <c r="B29" s="750"/>
      <c r="C29" s="750"/>
      <c r="D29" s="751"/>
      <c r="E29" s="752"/>
      <c r="F29" s="750"/>
      <c r="G29" s="750"/>
      <c r="H29" s="750"/>
      <c r="I29" s="753"/>
      <c r="J29" s="751"/>
      <c r="K29" s="696" t="str">
        <f>IFERROR('Lawn Mower data'!T38,"")</f>
        <v/>
      </c>
      <c r="L29" s="697" t="str">
        <f>IFERROR('Lawn Mower data'!U38,"")</f>
        <v/>
      </c>
      <c r="M29" s="697" t="str">
        <f>IFERROR('Lawn Mower data'!V38,"")</f>
        <v/>
      </c>
      <c r="N29" s="698" t="str">
        <f>IFERROR('Lawn Mower data'!W38,"")</f>
        <v/>
      </c>
      <c r="O29" s="699">
        <f>IF($B$20="No",0,1)*IF(ISBLANK(E29),0,1)*IF(ISERROR(VLOOKUP($J29&amp;" | "&amp;$H29,'Lawn Mower data'!$A$12:$K$19,7)),"0",(VLOOKUP($J29&amp;" | "&amp;$H29,'Lawn Mower data'!$A$12:$K$19,7)))*IF(ISERROR(VLOOKUP($H29&amp;" | "&amp;$G29,'Lawn Mower data'!$A$3:$C$6,2)),"0",(VLOOKUP($H29&amp;" | "&amp;$G29,'Lawn Mower data'!$A$3:$B$6,2)))*'Lawn Mower data'!$B$27/454*10</f>
        <v>0</v>
      </c>
      <c r="P29" s="696" t="str">
        <f>IFERROR('Fertilizer data'!O10,"")</f>
        <v/>
      </c>
      <c r="Q29" s="702" t="str">
        <f>IFERROR('Fertilizer data'!P10,"")</f>
        <v/>
      </c>
    </row>
    <row r="30" spans="1:18" s="329" customFormat="1" ht="18.45" thickBot="1">
      <c r="A30" s="703" t="s">
        <v>93</v>
      </c>
      <c r="B30" s="704"/>
      <c r="C30" s="704"/>
      <c r="D30" s="704"/>
      <c r="E30" s="704"/>
      <c r="F30" s="704"/>
      <c r="G30" s="704"/>
      <c r="H30" s="704"/>
      <c r="I30" s="704"/>
      <c r="J30" s="705"/>
      <c r="K30" s="693">
        <f t="shared" ref="K30:Q30" si="0">SUM(K23:K29)</f>
        <v>0</v>
      </c>
      <c r="L30" s="694">
        <f>SUM(L23:L29)</f>
        <v>0</v>
      </c>
      <c r="M30" s="694">
        <f t="shared" si="0"/>
        <v>0</v>
      </c>
      <c r="N30" s="694">
        <f t="shared" si="0"/>
        <v>0</v>
      </c>
      <c r="O30" s="692">
        <f>SUM(O23:O29)</f>
        <v>0</v>
      </c>
      <c r="P30" s="700">
        <f t="shared" si="0"/>
        <v>0</v>
      </c>
      <c r="Q30" s="701">
        <f t="shared" si="0"/>
        <v>0</v>
      </c>
    </row>
    <row r="31" spans="1:18" s="329" customFormat="1" ht="18">
      <c r="A31" s="330"/>
      <c r="B31" s="330"/>
      <c r="C31" s="330"/>
      <c r="D31" s="330"/>
      <c r="E31" s="330"/>
      <c r="F31" s="330"/>
      <c r="G31" s="330"/>
      <c r="H31" s="330"/>
      <c r="I31" s="330"/>
      <c r="J31" s="331"/>
      <c r="K31" s="331"/>
      <c r="L31" s="331"/>
      <c r="M31" s="331"/>
      <c r="N31" s="331"/>
      <c r="O31" s="331"/>
      <c r="P31" s="331"/>
    </row>
    <row r="32" spans="1:18" s="329" customFormat="1" ht="18">
      <c r="A32" s="332"/>
      <c r="B32" s="332"/>
      <c r="C32" s="333"/>
      <c r="D32" s="333"/>
      <c r="E32" s="334"/>
      <c r="F32" s="334"/>
      <c r="G32" s="334"/>
      <c r="H32" s="334"/>
      <c r="I32" s="335"/>
      <c r="J32" s="335"/>
      <c r="K32" s="336"/>
      <c r="L32" s="228"/>
      <c r="M32" s="325"/>
      <c r="N32" s="335"/>
      <c r="O32" s="335"/>
    </row>
    <row r="33" spans="1:16" s="329" customFormat="1" ht="18">
      <c r="A33" s="330"/>
      <c r="B33" s="330"/>
      <c r="C33" s="337"/>
      <c r="D33" s="337"/>
      <c r="E33" s="213"/>
      <c r="F33" s="338"/>
      <c r="G33" s="213"/>
      <c r="H33" s="213"/>
      <c r="I33" s="213"/>
      <c r="J33" s="331"/>
      <c r="K33" s="339"/>
      <c r="L33" s="228"/>
      <c r="M33" s="325"/>
      <c r="N33" s="335"/>
      <c r="O33" s="335"/>
      <c r="P33" s="335"/>
    </row>
    <row r="34" spans="1:16" s="329" customFormat="1" ht="18">
      <c r="A34" s="815"/>
      <c r="B34" s="816"/>
      <c r="C34" s="816"/>
      <c r="D34" s="337"/>
      <c r="E34" s="213"/>
      <c r="F34" s="340"/>
      <c r="G34" s="213"/>
      <c r="H34" s="213"/>
      <c r="I34" s="213"/>
      <c r="J34" s="331"/>
      <c r="K34" s="228"/>
      <c r="L34" s="228"/>
      <c r="M34" s="325"/>
      <c r="N34" s="335"/>
      <c r="O34" s="335"/>
      <c r="P34" s="335"/>
    </row>
    <row r="35" spans="1:16" ht="44.15" customHeight="1">
      <c r="A35" s="817"/>
      <c r="B35" s="818"/>
      <c r="C35" s="818"/>
      <c r="D35" s="228"/>
      <c r="E35" s="228"/>
      <c r="F35" s="228"/>
      <c r="G35" s="228"/>
      <c r="H35" s="228"/>
      <c r="I35" s="228"/>
      <c r="J35" s="228"/>
      <c r="K35" s="228"/>
      <c r="L35" s="228"/>
    </row>
    <row r="36" spans="1:16">
      <c r="A36" s="228"/>
      <c r="B36" s="228"/>
      <c r="C36" s="228"/>
      <c r="D36" s="228"/>
      <c r="E36" s="228"/>
      <c r="F36" s="228"/>
      <c r="G36" s="228"/>
      <c r="H36" s="228"/>
      <c r="I36" s="228"/>
      <c r="J36" s="228"/>
      <c r="K36" s="336"/>
      <c r="L36" s="228"/>
    </row>
    <row r="37" spans="1:16" ht="29.25" customHeight="1">
      <c r="A37" s="228"/>
      <c r="B37" s="228"/>
      <c r="C37" s="228"/>
      <c r="D37" s="228"/>
      <c r="E37" s="228"/>
      <c r="F37" s="228"/>
      <c r="G37" s="228"/>
      <c r="H37" s="228"/>
      <c r="I37" s="228"/>
      <c r="J37" s="228"/>
      <c r="K37" s="228"/>
      <c r="L37" s="228"/>
    </row>
    <row r="38" spans="1:16" ht="18">
      <c r="A38" s="819"/>
      <c r="B38" s="819"/>
      <c r="C38" s="819"/>
      <c r="D38" s="819"/>
      <c r="E38" s="819"/>
      <c r="F38" s="819"/>
      <c r="G38" s="819"/>
      <c r="H38" s="819"/>
      <c r="I38" s="819"/>
      <c r="J38" s="228"/>
      <c r="K38" s="228"/>
      <c r="L38" s="228"/>
    </row>
    <row r="39" spans="1:16" ht="18">
      <c r="A39" s="820"/>
      <c r="B39" s="820"/>
      <c r="C39" s="820"/>
      <c r="D39" s="821"/>
      <c r="E39" s="821"/>
      <c r="F39" s="341"/>
      <c r="G39" s="341"/>
      <c r="H39" s="341"/>
      <c r="I39" s="342"/>
      <c r="J39" s="228"/>
      <c r="K39" s="228"/>
      <c r="L39" s="228"/>
    </row>
    <row r="40" spans="1:16" ht="18">
      <c r="A40" s="820"/>
      <c r="B40" s="820"/>
      <c r="C40" s="820"/>
      <c r="D40" s="821"/>
      <c r="E40" s="821"/>
      <c r="F40" s="341"/>
      <c r="G40" s="341"/>
      <c r="H40" s="341"/>
      <c r="I40" s="341"/>
      <c r="J40" s="228"/>
      <c r="K40" s="336"/>
      <c r="L40" s="228"/>
    </row>
    <row r="41" spans="1:16" ht="30.65" customHeight="1">
      <c r="A41" s="828"/>
      <c r="B41" s="828"/>
      <c r="C41" s="828"/>
      <c r="D41" s="343"/>
      <c r="E41" s="344"/>
      <c r="F41" s="343"/>
      <c r="G41" s="343"/>
      <c r="H41" s="343"/>
      <c r="I41" s="343"/>
      <c r="J41" s="228"/>
      <c r="K41" s="228"/>
      <c r="L41" s="228"/>
    </row>
    <row r="42" spans="1:16" ht="37" customHeight="1">
      <c r="A42" s="828"/>
      <c r="B42" s="828"/>
      <c r="C42" s="828"/>
      <c r="D42" s="343"/>
      <c r="E42" s="344"/>
      <c r="F42" s="343"/>
      <c r="G42" s="343"/>
      <c r="H42" s="343"/>
      <c r="I42" s="343"/>
      <c r="J42" s="228"/>
      <c r="K42" s="228"/>
      <c r="L42" s="228"/>
    </row>
    <row r="43" spans="1:16" ht="34" customHeight="1">
      <c r="A43" s="828"/>
      <c r="B43" s="828"/>
      <c r="C43" s="828"/>
      <c r="D43" s="343"/>
      <c r="E43" s="344"/>
      <c r="F43" s="344"/>
      <c r="G43" s="344"/>
      <c r="H43" s="344"/>
      <c r="I43" s="344"/>
      <c r="J43" s="228"/>
      <c r="K43" s="228"/>
      <c r="L43" s="228"/>
    </row>
    <row r="44" spans="1:16" ht="30.65" customHeight="1">
      <c r="A44" s="828"/>
      <c r="B44" s="828"/>
      <c r="C44" s="828"/>
      <c r="D44" s="343"/>
      <c r="E44" s="344"/>
      <c r="F44" s="343"/>
      <c r="G44" s="343"/>
      <c r="H44" s="343"/>
      <c r="I44" s="343"/>
      <c r="J44" s="228"/>
      <c r="K44" s="228"/>
      <c r="L44" s="228"/>
    </row>
    <row r="45" spans="1:16" ht="18">
      <c r="A45" s="830"/>
      <c r="B45" s="830"/>
      <c r="C45" s="816"/>
      <c r="D45" s="831"/>
      <c r="E45" s="831"/>
      <c r="F45" s="345"/>
      <c r="G45" s="345"/>
      <c r="H45" s="345"/>
      <c r="I45" s="345"/>
      <c r="J45" s="228"/>
      <c r="K45" s="228"/>
      <c r="L45" s="228"/>
    </row>
    <row r="46" spans="1:16">
      <c r="K46" s="228"/>
      <c r="L46" s="228"/>
    </row>
    <row r="47" spans="1:16">
      <c r="K47" s="228"/>
      <c r="L47" s="228"/>
    </row>
    <row r="48" spans="1:16">
      <c r="K48" s="336"/>
      <c r="L48" s="336"/>
    </row>
    <row r="49" spans="11:12">
      <c r="K49" s="228"/>
      <c r="L49" s="228"/>
    </row>
    <row r="50" spans="11:12">
      <c r="K50" s="336"/>
      <c r="L50" s="336"/>
    </row>
    <row r="53" spans="11:12">
      <c r="K53" s="346"/>
      <c r="L53" s="346"/>
    </row>
  </sheetData>
  <sheetProtection algorithmName="SHA-512" hashValue="YeFER/O2pdZNLycpPUScSeBwS7zURRoYSGdOVwRE6Jjo6h3+7Gq1H9crdPg3LRC8ArXilYKJJUoQN8Tkz7yWAg==" saltValue="K6WHJcRB4sxfmyGAFrffwQ==" spinCount="100000" sheet="1" objects="1" scenarios="1"/>
  <mergeCells count="16">
    <mergeCell ref="A41:C41"/>
    <mergeCell ref="D22:E22"/>
    <mergeCell ref="A38:E38"/>
    <mergeCell ref="A45:C45"/>
    <mergeCell ref="D45:E45"/>
    <mergeCell ref="A42:C42"/>
    <mergeCell ref="A43:C43"/>
    <mergeCell ref="A44:C44"/>
    <mergeCell ref="A9:C9"/>
    <mergeCell ref="A34:C34"/>
    <mergeCell ref="A35:C35"/>
    <mergeCell ref="F38:I38"/>
    <mergeCell ref="A39:C40"/>
    <mergeCell ref="D39:E40"/>
    <mergeCell ref="A12:H12"/>
    <mergeCell ref="A10:H10"/>
  </mergeCells>
  <phoneticPr fontId="65" type="noConversion"/>
  <conditionalFormatting sqref="H24:J29">
    <cfRule type="expression" priority="18">
      <formula>$B$20="No"</formula>
    </cfRule>
  </conditionalFormatting>
  <conditionalFormatting sqref="G30:J30 H23:J29">
    <cfRule type="expression" dxfId="37" priority="19">
      <formula>$B$20="No"</formula>
    </cfRule>
  </conditionalFormatting>
  <conditionalFormatting sqref="G24:G29">
    <cfRule type="expression" priority="12">
      <formula>$B$20="No"</formula>
    </cfRule>
  </conditionalFormatting>
  <conditionalFormatting sqref="G23:G29">
    <cfRule type="expression" dxfId="36" priority="13">
      <formula>$B$20="No"</formula>
    </cfRule>
  </conditionalFormatting>
  <conditionalFormatting sqref="A41:I44">
    <cfRule type="expression" dxfId="35" priority="11">
      <formula>#REF! = "No"</formula>
    </cfRule>
  </conditionalFormatting>
  <conditionalFormatting sqref="F23:F29">
    <cfRule type="expression" dxfId="34" priority="6">
      <formula>$B$19= "Organic"</formula>
    </cfRule>
    <cfRule type="expression" dxfId="33" priority="8">
      <formula>$B$18= "No"</formula>
    </cfRule>
  </conditionalFormatting>
  <conditionalFormatting sqref="P23:Q30">
    <cfRule type="expression" dxfId="32" priority="4">
      <formula>OR($B$18="No",$B$19="Organic")</formula>
    </cfRule>
  </conditionalFormatting>
  <conditionalFormatting sqref="K23:O30">
    <cfRule type="expression" dxfId="31" priority="3">
      <formula>$B$20="No"</formula>
    </cfRule>
  </conditionalFormatting>
  <conditionalFormatting sqref="F30">
    <cfRule type="expression" dxfId="30" priority="1">
      <formula>OR($B$18="No",$B$19="Organic")</formula>
    </cfRule>
  </conditionalFormatting>
  <dataValidations count="1">
    <dataValidation allowBlank="1" showInputMessage="1" showErrorMessage="1" sqref="K22:Q29" xr:uid="{E45F085D-90FD-4152-B63C-474D7CD92F98}"/>
  </dataValidations>
  <hyperlinks>
    <hyperlink ref="A12:C12" r:id="rId1" display="https://www.mapdevelopers.com/area_finder.php" xr:uid="{8CF4AAA4-C3F7-4959-ABFE-218C614C68A8}"/>
    <hyperlink ref="A14:C14" r:id="rId2" display="https://www.google.com/maps" xr:uid="{B288DD64-CE0F-4BC8-A412-F30F8CAA556E}"/>
    <hyperlink ref="A11" r:id="rId3" xr:uid="{C24A9352-82B5-450B-999F-2331DBCD27F4}"/>
    <hyperlink ref="A15" r:id="rId4" xr:uid="{2D494417-37F6-4C62-B92B-9B6BFD448115}"/>
    <hyperlink ref="A13" r:id="rId5" xr:uid="{B433320D-7FCF-4517-82A1-06FB76D40188}"/>
  </hyperlinks>
  <pageMargins left="0.7" right="0.7" top="0.75" bottom="0.75" header="0.3" footer="0.3"/>
  <pageSetup orientation="portrait" r:id="rId6"/>
  <drawing r:id="rId7"/>
  <extLst>
    <ext xmlns:x14="http://schemas.microsoft.com/office/spreadsheetml/2009/9/main" uri="{CCE6A557-97BC-4b89-ADB6-D9C93CAAB3DF}">
      <x14:dataValidations xmlns:xm="http://schemas.microsoft.com/office/excel/2006/main" count="9">
        <x14:dataValidation type="list" allowBlank="1" showInputMessage="1" showErrorMessage="1" xr:uid="{F31F4AF7-6348-4EE1-8D85-8385967AD222}">
          <x14:formula1>
            <xm:f>List!$C$2:$C$3</xm:f>
          </x14:formula1>
          <xm:sqref>B18 B20</xm:sqref>
        </x14:dataValidation>
        <x14:dataValidation type="list" showInputMessage="1" showErrorMessage="1" xr:uid="{6220E68C-91E6-4C95-8E07-23EC039525B4}">
          <x14:formula1>
            <xm:f>List!$G$2:$G$60</xm:f>
          </x14:formula1>
          <xm:sqref>C23:C29</xm:sqref>
        </x14:dataValidation>
        <x14:dataValidation type="list" allowBlank="1" showInputMessage="1" showErrorMessage="1" xr:uid="{1CF9F98B-73BE-47A8-8133-CEBD1ED2260E}">
          <x14:formula1>
            <xm:f>List!$H$2:$H$3</xm:f>
          </x14:formula1>
          <xm:sqref>E23:E29</xm:sqref>
        </x14:dataValidation>
        <x14:dataValidation type="list" allowBlank="1" showInputMessage="1" showErrorMessage="1" xr:uid="{AC192420-B2DB-4E6C-88DE-507A9C9ACBA6}">
          <x14:formula1>
            <xm:f>List!$B$2:$B$4</xm:f>
          </x14:formula1>
          <xm:sqref>F23:G29</xm:sqref>
        </x14:dataValidation>
        <x14:dataValidation type="list" allowBlank="1" showInputMessage="1" showErrorMessage="1" xr:uid="{18660EDB-EDC3-4ECD-9737-3F63340C53A3}">
          <x14:formula1>
            <xm:f>List!$F$3:$F$7</xm:f>
          </x14:formula1>
          <xm:sqref>J23:J29</xm:sqref>
        </x14:dataValidation>
        <x14:dataValidation type="list" showInputMessage="1" showErrorMessage="1" xr:uid="{0F619B21-AE26-4C8D-BD67-B4DC44FC9069}">
          <x14:formula1>
            <xm:f>List!$E$2:$E$4</xm:f>
          </x14:formula1>
          <xm:sqref>H23:H29</xm:sqref>
        </x14:dataValidation>
        <x14:dataValidation type="list" allowBlank="1" showInputMessage="1" showErrorMessage="1" xr:uid="{BDD6F030-2635-4A79-A729-E302A5B761D2}">
          <x14:formula1>
            <xm:f>List!$J$2:$J$3</xm:f>
          </x14:formula1>
          <xm:sqref>A41:C44</xm:sqref>
        </x14:dataValidation>
        <x14:dataValidation type="list" allowBlank="1" showInputMessage="1" showErrorMessage="1" xr:uid="{E3EFC7D6-EEDD-4EFA-87C7-F1077B660C53}">
          <x14:formula1>
            <xm:f>List!$D$2:$D$3</xm:f>
          </x14:formula1>
          <xm:sqref>B19</xm:sqref>
        </x14:dataValidation>
        <x14:dataValidation type="list" showInputMessage="1" showErrorMessage="1" xr:uid="{85CE1604-22F9-4CC4-960F-9B840C0F3628}">
          <x14:formula1>
            <xm:f>List!$I$2:$I$3</xm:f>
          </x14:formula1>
          <xm:sqref>I23:I29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E44-703C-476C-8283-BE0FA311D7CD}">
  <sheetPr>
    <tabColor theme="6" tint="0.59999389629810485"/>
    <pageSetUpPr fitToPage="1"/>
  </sheetPr>
  <dimension ref="B1:R61"/>
  <sheetViews>
    <sheetView showGridLines="0" zoomScaleNormal="100" workbookViewId="0">
      <selection activeCell="C17" sqref="C17"/>
    </sheetView>
  </sheetViews>
  <sheetFormatPr defaultColWidth="9.15234375" defaultRowHeight="15.45"/>
  <cols>
    <col min="1" max="1" width="2.84375" style="116" customWidth="1"/>
    <col min="2" max="2" width="75.69140625" style="116" customWidth="1"/>
    <col min="3" max="3" width="35.69140625" style="116" customWidth="1"/>
    <col min="4" max="16384" width="9.15234375" style="116"/>
  </cols>
  <sheetData>
    <row r="1" spans="2:18" ht="18">
      <c r="B1" s="267" t="str">
        <f>'[16]Read Me'!B1</f>
        <v>California Air Resources Board</v>
      </c>
      <c r="C1" s="267"/>
    </row>
    <row r="2" spans="2:18" ht="18">
      <c r="B2" s="267"/>
      <c r="C2" s="267"/>
    </row>
    <row r="3" spans="2:18" ht="18">
      <c r="B3" s="267" t="str">
        <f>'[16]Read Me'!B3</f>
        <v>Benefits Calculator Tool</v>
      </c>
      <c r="C3" s="267"/>
    </row>
    <row r="4" spans="2:18" ht="18">
      <c r="B4" s="321" t="str">
        <f>'Read Me'!B4</f>
        <v>Climate Positive Landscape</v>
      </c>
      <c r="C4" s="269"/>
    </row>
    <row r="5" spans="2:18" ht="18">
      <c r="B5" s="267"/>
      <c r="C5" s="267"/>
    </row>
    <row r="6" spans="2:18" ht="18">
      <c r="B6" s="267" t="str">
        <f>'[16]Read Me'!B6</f>
        <v xml:space="preserve">California Climate Investments </v>
      </c>
      <c r="C6" s="267"/>
    </row>
    <row r="8" spans="2:18" ht="15.9" thickBot="1"/>
    <row r="9" spans="2:18" ht="15.9" thickBot="1">
      <c r="B9" s="284" t="s">
        <v>260</v>
      </c>
      <c r="C9" s="285" t="str">
        <f>IF('Project Info'!C22="","",'Project Info'!C22)</f>
        <v/>
      </c>
    </row>
    <row r="11" spans="2:18" ht="18.75" customHeight="1">
      <c r="B11" s="286" t="s">
        <v>259</v>
      </c>
      <c r="C11" s="287" t="s">
        <v>661</v>
      </c>
    </row>
    <row r="12" spans="2:18" ht="15.75" customHeight="1">
      <c r="B12" s="288" t="s">
        <v>704</v>
      </c>
      <c r="C12" s="289">
        <f>'Project Info'!C28</f>
        <v>0</v>
      </c>
    </row>
    <row r="13" spans="2:18" ht="15.75" customHeight="1">
      <c r="B13" s="288" t="s">
        <v>662</v>
      </c>
      <c r="C13" s="289">
        <f>'Project Info'!C29</f>
        <v>0</v>
      </c>
    </row>
    <row r="14" spans="2:18" ht="15.75" customHeight="1">
      <c r="B14" s="288" t="s">
        <v>663</v>
      </c>
      <c r="C14" s="289">
        <f>'Project Info'!C30</f>
        <v>0</v>
      </c>
    </row>
    <row r="15" spans="2:18" ht="15.75" customHeight="1">
      <c r="B15" s="290" t="s">
        <v>664</v>
      </c>
      <c r="C15" s="289">
        <f>'Project Info'!C31</f>
        <v>0</v>
      </c>
    </row>
    <row r="16" spans="2:18" ht="15" customHeight="1">
      <c r="B16" s="291"/>
      <c r="C16" s="291"/>
      <c r="D16" s="187"/>
      <c r="E16" s="187"/>
      <c r="F16" s="187"/>
      <c r="G16" s="187"/>
      <c r="H16" s="187"/>
      <c r="I16" s="187"/>
      <c r="J16" s="187"/>
      <c r="K16" s="187"/>
      <c r="L16" s="187"/>
      <c r="M16" s="187"/>
      <c r="N16" s="187"/>
      <c r="O16" s="187"/>
      <c r="P16" s="292"/>
      <c r="Q16" s="292"/>
      <c r="R16" s="187"/>
    </row>
    <row r="17" spans="2:3" ht="18.75" customHeight="1">
      <c r="B17" s="286" t="s">
        <v>665</v>
      </c>
      <c r="C17" s="287" t="s">
        <v>661</v>
      </c>
    </row>
    <row r="18" spans="2:3" s="294" customFormat="1" ht="15.75" customHeight="1">
      <c r="B18" s="293" t="s">
        <v>705</v>
      </c>
      <c r="C18" s="365">
        <f>IFERROR(C20*(C12/C15),0)</f>
        <v>0</v>
      </c>
    </row>
    <row r="19" spans="2:3" s="294" customFormat="1" ht="15.75" customHeight="1">
      <c r="B19" s="293" t="s">
        <v>666</v>
      </c>
      <c r="C19" s="365">
        <f>IFERROR(C20*(C13/C15),0)</f>
        <v>0</v>
      </c>
    </row>
    <row r="20" spans="2:3" s="294" customFormat="1" ht="15.75" customHeight="1" thickBot="1">
      <c r="B20" s="295" t="s">
        <v>667</v>
      </c>
      <c r="C20" s="347">
        <f>SUM(Compost!F18,'Tree Planting'!K64,'Tree Planting'!K65,'Tree Planting'!K66,'Lawn Management'!K30,'Lawn Management'!P30)</f>
        <v>0</v>
      </c>
    </row>
    <row r="21" spans="2:3" s="294" customFormat="1" ht="31.5" customHeight="1" thickBot="1">
      <c r="B21" s="296" t="s">
        <v>706</v>
      </c>
      <c r="C21" s="348">
        <f>IFERROR(C20/C12,0)</f>
        <v>0</v>
      </c>
    </row>
    <row r="22" spans="2:3" s="294" customFormat="1" ht="31.5" customHeight="1" thickBot="1">
      <c r="B22" s="297" t="s">
        <v>668</v>
      </c>
      <c r="C22" s="348">
        <f>IFERROR(C20/C15,0)</f>
        <v>0</v>
      </c>
    </row>
    <row r="23" spans="2:3" ht="15" customHeight="1">
      <c r="B23" s="186"/>
      <c r="C23" s="186"/>
    </row>
    <row r="24" spans="2:3" ht="15" customHeight="1">
      <c r="B24" s="186"/>
      <c r="C24" s="186"/>
    </row>
    <row r="25" spans="2:3" ht="15" customHeight="1">
      <c r="B25" s="186"/>
      <c r="C25" s="186"/>
    </row>
    <row r="26" spans="2:3" ht="15" customHeight="1">
      <c r="B26" s="186"/>
      <c r="C26" s="186"/>
    </row>
    <row r="27" spans="2:3" ht="15" customHeight="1">
      <c r="B27" s="186"/>
      <c r="C27" s="186"/>
    </row>
    <row r="28" spans="2:3" ht="15" customHeight="1">
      <c r="B28" s="186"/>
      <c r="C28" s="186"/>
    </row>
    <row r="29" spans="2:3" ht="15" customHeight="1">
      <c r="B29" s="298"/>
      <c r="C29" s="298"/>
    </row>
    <row r="30" spans="2:3" ht="15" customHeight="1">
      <c r="B30" s="299"/>
      <c r="C30" s="299"/>
    </row>
    <row r="31" spans="2:3" ht="15" customHeight="1">
      <c r="B31" s="186"/>
      <c r="C31" s="186"/>
    </row>
    <row r="32" spans="2:3" ht="15" customHeight="1">
      <c r="B32" s="186"/>
      <c r="C32" s="186"/>
    </row>
    <row r="33" spans="2:3" ht="15" customHeight="1">
      <c r="B33" s="186"/>
      <c r="C33" s="186"/>
    </row>
    <row r="34" spans="2:3" ht="15" customHeight="1">
      <c r="B34" s="186"/>
      <c r="C34" s="186"/>
    </row>
    <row r="35" spans="2:3" ht="15" customHeight="1">
      <c r="B35" s="186"/>
      <c r="C35" s="186"/>
    </row>
    <row r="36" spans="2:3" ht="15" customHeight="1">
      <c r="B36" s="186"/>
      <c r="C36" s="186"/>
    </row>
    <row r="37" spans="2:3" ht="15" customHeight="1">
      <c r="B37" s="186"/>
      <c r="C37" s="186"/>
    </row>
    <row r="38" spans="2:3" ht="15" customHeight="1">
      <c r="B38" s="186"/>
      <c r="C38" s="186"/>
    </row>
    <row r="39" spans="2:3" ht="15" customHeight="1">
      <c r="B39" s="187"/>
      <c r="C39" s="187"/>
    </row>
    <row r="40" spans="2:3" ht="15" customHeight="1">
      <c r="B40" s="187"/>
      <c r="C40" s="187"/>
    </row>
    <row r="41" spans="2:3" ht="15" customHeight="1">
      <c r="B41" s="188"/>
      <c r="C41" s="188"/>
    </row>
    <row r="42" spans="2:3" ht="15" customHeight="1"/>
    <row r="43" spans="2:3" ht="15" customHeight="1"/>
    <row r="44" spans="2:3" ht="15" customHeight="1"/>
    <row r="45" spans="2:3" ht="15" customHeight="1"/>
    <row r="46" spans="2:3" ht="15" customHeight="1"/>
    <row r="47" spans="2:3" ht="15" customHeight="1"/>
    <row r="48" spans="2:3" ht="15" customHeight="1"/>
    <row r="49" s="116" customFormat="1" ht="15" customHeight="1"/>
    <row r="50" s="116" customFormat="1" ht="15" customHeight="1"/>
    <row r="51" s="116" customFormat="1" ht="15" customHeight="1"/>
    <row r="52" s="116" customFormat="1" ht="15" customHeight="1"/>
    <row r="53" s="116" customFormat="1" ht="15" customHeight="1"/>
    <row r="54" s="116" customFormat="1" ht="15" customHeight="1"/>
    <row r="55" s="116" customFormat="1" ht="15" customHeight="1"/>
    <row r="56" s="116" customFormat="1" ht="15" customHeight="1"/>
    <row r="57" s="116" customFormat="1" ht="15" customHeight="1"/>
    <row r="58" s="116" customFormat="1" ht="15" customHeight="1"/>
    <row r="59" s="116" customFormat="1" ht="15" customHeight="1"/>
    <row r="60" s="116" customFormat="1" ht="15" customHeight="1"/>
    <row r="61" s="116" customFormat="1" ht="15" customHeight="1"/>
  </sheetData>
  <sheetProtection algorithmName="SHA-512" hashValue="HY08QklqvFqsVeR+Uh82rkeuY/ww2koVQZazbEmT4V/oKX5s6u+zuHgL84OctV96RIFMVnoxaxcoY4Pd4IYoxg==" saltValue="t5UWpjUgRtK98bCAxhBDyA==" spinCount="100000" sheet="1" objects="1" scenarios="1"/>
  <pageMargins left="0.7" right="0.7" top="0.98479166666666662" bottom="0.75" header="0.3" footer="0.3"/>
  <pageSetup scale="73" fitToHeight="0" orientation="landscape" r:id="rId1"/>
  <headerFooter>
    <oddHeader>&amp;C&amp;G</oddHeader>
    <oddFooter>&amp;L&amp;"Arial,Regular"&amp;12&amp;K000000DRAFT &amp;KFF0000Month XX, 201X&amp;C&amp;"Arial,Regular"&amp;12Page &amp;P of &amp;N&amp;R&amp;"Arial,Regular"&amp;12&amp;K000000&amp;A</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pageSetUpPr fitToPage="1"/>
  </sheetPr>
  <dimension ref="A1:P28"/>
  <sheetViews>
    <sheetView showGridLines="0" zoomScale="96" zoomScaleNormal="100" workbookViewId="0">
      <selection activeCell="D51" sqref="D51"/>
    </sheetView>
  </sheetViews>
  <sheetFormatPr defaultColWidth="9.15234375" defaultRowHeight="14.15"/>
  <cols>
    <col min="1" max="1" width="5" style="189" customWidth="1"/>
    <col min="2" max="2" width="72" style="189" customWidth="1"/>
    <col min="3" max="3" width="17.15234375" style="189" customWidth="1"/>
    <col min="4" max="4" width="19.3828125" style="189" customWidth="1"/>
    <col min="5" max="5" width="14.15234375" style="189" customWidth="1"/>
    <col min="6" max="6" width="12.84375" style="189" customWidth="1"/>
    <col min="7" max="7" width="12.15234375" style="189" customWidth="1"/>
    <col min="8" max="8" width="12.69140625" style="189" bestFit="1" customWidth="1"/>
    <col min="9" max="16384" width="9.15234375" style="189"/>
  </cols>
  <sheetData>
    <row r="1" spans="1:16" ht="20.149999999999999">
      <c r="B1" s="843" t="s">
        <v>0</v>
      </c>
      <c r="C1" s="843"/>
      <c r="D1" s="843"/>
      <c r="E1" s="843"/>
      <c r="F1" s="843"/>
    </row>
    <row r="2" spans="1:16">
      <c r="B2" s="844"/>
      <c r="C2" s="844"/>
      <c r="D2" s="844"/>
      <c r="E2" s="844"/>
      <c r="F2" s="844"/>
    </row>
    <row r="3" spans="1:16" ht="20.149999999999999">
      <c r="B3" s="843" t="s">
        <v>1</v>
      </c>
      <c r="C3" s="843"/>
      <c r="D3" s="843"/>
      <c r="E3" s="843"/>
      <c r="F3" s="843"/>
    </row>
    <row r="4" spans="1:16" ht="20.149999999999999">
      <c r="B4" s="845" t="s">
        <v>2</v>
      </c>
      <c r="C4" s="845"/>
      <c r="D4" s="845"/>
      <c r="E4" s="845"/>
      <c r="F4" s="845"/>
    </row>
    <row r="5" spans="1:16">
      <c r="B5" s="844"/>
      <c r="C5" s="844"/>
      <c r="D5" s="844"/>
      <c r="E5" s="844"/>
      <c r="F5" s="844"/>
    </row>
    <row r="6" spans="1:16" ht="20.149999999999999">
      <c r="B6" s="843" t="s">
        <v>22</v>
      </c>
      <c r="C6" s="843"/>
      <c r="D6" s="843"/>
      <c r="E6" s="843"/>
      <c r="F6" s="843"/>
    </row>
    <row r="7" spans="1:16">
      <c r="B7" s="190"/>
      <c r="C7" s="190"/>
      <c r="D7" s="190"/>
    </row>
    <row r="8" spans="1:16" ht="15.9" thickBot="1">
      <c r="B8" s="191" t="s">
        <v>261</v>
      </c>
      <c r="C8" s="192"/>
      <c r="D8" s="192"/>
      <c r="E8" s="193"/>
      <c r="F8" s="193"/>
      <c r="G8" s="193"/>
      <c r="H8" s="193"/>
      <c r="I8" s="193"/>
      <c r="J8" s="193"/>
      <c r="K8" s="193"/>
      <c r="L8" s="193"/>
      <c r="M8" s="193"/>
    </row>
    <row r="9" spans="1:16" ht="15.45">
      <c r="A9" s="194"/>
      <c r="B9" s="628" t="s">
        <v>768</v>
      </c>
      <c r="C9" s="629">
        <f>'Tree Planting'!K71</f>
        <v>0</v>
      </c>
      <c r="D9" s="630" t="s">
        <v>262</v>
      </c>
      <c r="E9" s="93" t="s">
        <v>263</v>
      </c>
      <c r="F9" s="193"/>
      <c r="G9" s="193"/>
      <c r="H9" s="193"/>
      <c r="I9" s="193"/>
      <c r="J9" s="193"/>
      <c r="K9" s="193"/>
      <c r="L9" s="193"/>
      <c r="M9" s="193"/>
      <c r="N9" s="193"/>
      <c r="O9" s="193"/>
      <c r="P9" s="193"/>
    </row>
    <row r="10" spans="1:16" ht="15.45">
      <c r="A10" s="194"/>
      <c r="B10" s="195" t="s">
        <v>768</v>
      </c>
      <c r="C10" s="196">
        <f>'Tree Planting'!K72</f>
        <v>0</v>
      </c>
      <c r="D10" s="197" t="s">
        <v>264</v>
      </c>
      <c r="E10" s="93" t="s">
        <v>263</v>
      </c>
      <c r="F10" s="193"/>
      <c r="G10" s="193"/>
      <c r="H10" s="193"/>
      <c r="I10" s="193"/>
      <c r="J10" s="193"/>
      <c r="K10" s="193"/>
      <c r="L10" s="193"/>
      <c r="M10" s="193"/>
      <c r="N10" s="193"/>
      <c r="O10" s="193"/>
      <c r="P10" s="193"/>
    </row>
    <row r="11" spans="1:16" ht="15.9" thickBot="1">
      <c r="A11" s="194"/>
      <c r="B11" s="198" t="s">
        <v>265</v>
      </c>
      <c r="C11" s="199">
        <f>'Co-benefit Summary'!C9*'Co-Ben ERFs'!B113</f>
        <v>0</v>
      </c>
      <c r="D11" s="200" t="s">
        <v>266</v>
      </c>
      <c r="E11" s="93" t="s">
        <v>267</v>
      </c>
      <c r="F11" s="193"/>
      <c r="G11" s="193"/>
      <c r="H11" s="193"/>
      <c r="I11" s="193"/>
      <c r="J11" s="193"/>
      <c r="K11" s="193"/>
      <c r="L11" s="193"/>
      <c r="M11" s="193"/>
      <c r="N11" s="193"/>
      <c r="O11" s="193"/>
      <c r="P11" s="193"/>
    </row>
    <row r="12" spans="1:16" ht="15.45">
      <c r="B12" s="201" t="s">
        <v>268</v>
      </c>
      <c r="C12" s="201"/>
      <c r="D12" s="201"/>
      <c r="E12" s="193"/>
      <c r="F12" s="193"/>
      <c r="G12" s="193"/>
      <c r="H12" s="193"/>
      <c r="I12" s="193"/>
      <c r="J12" s="193"/>
      <c r="K12" s="193"/>
      <c r="L12" s="193"/>
      <c r="M12" s="193"/>
      <c r="N12" s="193"/>
      <c r="O12" s="193"/>
      <c r="P12" s="193"/>
    </row>
    <row r="13" spans="1:16" ht="15.45">
      <c r="B13" s="193"/>
      <c r="C13" s="193"/>
      <c r="D13" s="193"/>
      <c r="E13" s="193"/>
      <c r="F13" s="193"/>
      <c r="G13" s="193"/>
      <c r="H13" s="193"/>
      <c r="I13" s="193"/>
      <c r="J13" s="193"/>
      <c r="K13" s="193"/>
      <c r="L13" s="193"/>
      <c r="M13" s="193"/>
      <c r="N13" s="193"/>
      <c r="O13" s="193"/>
      <c r="P13" s="193"/>
    </row>
    <row r="14" spans="1:16" ht="15.9" thickBot="1">
      <c r="B14" s="191" t="s">
        <v>269</v>
      </c>
      <c r="C14" s="192" t="s">
        <v>270</v>
      </c>
      <c r="D14" s="192" t="s">
        <v>271</v>
      </c>
      <c r="E14" s="192" t="s">
        <v>272</v>
      </c>
      <c r="F14" s="192"/>
      <c r="G14" s="193"/>
      <c r="H14" s="193"/>
      <c r="I14" s="193"/>
      <c r="J14" s="193"/>
      <c r="K14" s="193"/>
      <c r="L14" s="193"/>
      <c r="M14" s="193"/>
      <c r="N14" s="193"/>
      <c r="O14" s="193"/>
      <c r="P14" s="193"/>
    </row>
    <row r="15" spans="1:16" ht="15.45">
      <c r="A15" s="194"/>
      <c r="B15" s="202" t="s">
        <v>273</v>
      </c>
      <c r="C15" s="236">
        <f>'Tree Planting'!K69+'Lawn Management'!L30</f>
        <v>0</v>
      </c>
      <c r="D15" s="236">
        <f>'Community Compost Calcs'!M10</f>
        <v>0</v>
      </c>
      <c r="E15" s="236">
        <f>SUM(C15:D15)</f>
        <v>0</v>
      </c>
      <c r="F15" s="237" t="s">
        <v>274</v>
      </c>
      <c r="G15" s="203"/>
      <c r="H15" s="193"/>
      <c r="I15" s="193"/>
      <c r="J15" s="193"/>
      <c r="K15" s="193"/>
      <c r="L15" s="193"/>
      <c r="M15" s="193"/>
      <c r="N15" s="193"/>
      <c r="O15" s="193"/>
      <c r="P15" s="193"/>
    </row>
    <row r="16" spans="1:16" ht="15.45">
      <c r="A16" s="194"/>
      <c r="B16" s="204" t="s">
        <v>275</v>
      </c>
      <c r="C16" s="238">
        <f>'Tree Planting'!K68+'Lawn Management'!N30+'Lawn Management'!Q30</f>
        <v>0</v>
      </c>
      <c r="D16" s="238">
        <f>'Community Compost Calcs'!N10</f>
        <v>0</v>
      </c>
      <c r="E16" s="238">
        <f>SUM(C16:D16)</f>
        <v>0</v>
      </c>
      <c r="F16" s="239" t="s">
        <v>274</v>
      </c>
      <c r="G16" s="203"/>
      <c r="H16" s="193"/>
      <c r="I16" s="193"/>
      <c r="J16" s="193"/>
      <c r="K16" s="193"/>
      <c r="L16" s="193"/>
      <c r="M16" s="193"/>
      <c r="N16" s="193"/>
      <c r="O16" s="193"/>
      <c r="P16" s="193"/>
    </row>
    <row r="17" spans="1:16" ht="15.9" thickBot="1">
      <c r="A17" s="194"/>
      <c r="B17" s="631" t="s">
        <v>276</v>
      </c>
      <c r="C17" s="632">
        <f>'Tree Planting'!K67+'Lawn Management'!M30</f>
        <v>0</v>
      </c>
      <c r="D17" s="632">
        <f>'Community Compost Calcs'!O10</f>
        <v>0</v>
      </c>
      <c r="E17" s="632">
        <f>SUM(C17:D17)</f>
        <v>0</v>
      </c>
      <c r="F17" s="633" t="s">
        <v>274</v>
      </c>
      <c r="G17" s="203"/>
      <c r="H17" s="193"/>
      <c r="I17" s="193"/>
      <c r="J17" s="193"/>
      <c r="K17" s="193"/>
      <c r="L17" s="193"/>
      <c r="M17" s="193"/>
      <c r="N17" s="193"/>
      <c r="O17" s="193"/>
      <c r="P17" s="193"/>
    </row>
    <row r="18" spans="1:16" ht="15.45">
      <c r="B18" s="201"/>
      <c r="C18" s="201"/>
      <c r="D18" s="201"/>
      <c r="E18" s="201"/>
      <c r="F18" s="201"/>
      <c r="G18" s="193"/>
      <c r="H18" s="193"/>
      <c r="I18" s="193"/>
      <c r="J18" s="193"/>
      <c r="K18" s="193"/>
      <c r="L18" s="193"/>
      <c r="M18" s="193"/>
      <c r="N18" s="193"/>
      <c r="O18" s="193"/>
      <c r="P18" s="193"/>
    </row>
    <row r="19" spans="1:16" ht="15.9" thickBot="1">
      <c r="B19" s="205" t="s">
        <v>767</v>
      </c>
      <c r="C19" s="93"/>
      <c r="D19" s="93"/>
      <c r="E19" s="93"/>
      <c r="F19" s="93"/>
      <c r="G19" s="93"/>
      <c r="H19" s="93"/>
      <c r="I19" s="93"/>
      <c r="J19" s="93"/>
      <c r="K19" s="93"/>
      <c r="L19" s="193"/>
      <c r="M19" s="193"/>
      <c r="N19" s="193"/>
      <c r="O19" s="193"/>
      <c r="P19" s="193"/>
    </row>
    <row r="20" spans="1:16" ht="15.45">
      <c r="A20" s="194"/>
      <c r="B20" s="832" t="s">
        <v>277</v>
      </c>
      <c r="C20" s="833"/>
      <c r="D20" s="833"/>
      <c r="E20" s="206">
        <f>SUM('Community Compost Calcs'!C10)*'Co-Ben ERFs'!B67*'Co-Ben ERFs'!B65</f>
        <v>0</v>
      </c>
      <c r="F20" s="207" t="s">
        <v>278</v>
      </c>
      <c r="G20" s="93"/>
      <c r="H20" s="93"/>
      <c r="I20" s="93"/>
      <c r="J20" s="93"/>
      <c r="K20" s="93"/>
      <c r="L20" s="193"/>
      <c r="M20" s="193"/>
      <c r="N20" s="193"/>
      <c r="O20" s="193"/>
      <c r="P20" s="193"/>
    </row>
    <row r="21" spans="1:16" ht="15.45">
      <c r="A21" s="194"/>
      <c r="B21" s="834" t="s">
        <v>279</v>
      </c>
      <c r="C21" s="835"/>
      <c r="D21" s="835"/>
      <c r="E21" s="208">
        <f>(E20*'Co-Ben ERFs'!B64)/('Co-Ben ERFs'!B66*'Co-Ben ERFs'!B68)</f>
        <v>0</v>
      </c>
      <c r="F21" s="207" t="s">
        <v>280</v>
      </c>
      <c r="G21" s="93"/>
      <c r="H21" s="93"/>
      <c r="I21" s="93"/>
      <c r="J21" s="93"/>
      <c r="K21" s="93"/>
      <c r="L21" s="193"/>
      <c r="M21" s="193"/>
      <c r="N21" s="193"/>
      <c r="O21" s="193"/>
      <c r="P21" s="193"/>
    </row>
    <row r="22" spans="1:16" ht="15.45">
      <c r="A22" s="194"/>
      <c r="B22" s="840" t="s">
        <v>139</v>
      </c>
      <c r="C22" s="841"/>
      <c r="D22" s="842"/>
      <c r="E22" s="209">
        <f>'Tree Planting'!D62</f>
        <v>0</v>
      </c>
      <c r="F22" s="207" t="s">
        <v>281</v>
      </c>
      <c r="G22" s="93"/>
      <c r="H22" s="93"/>
      <c r="I22" s="93"/>
      <c r="J22" s="93"/>
      <c r="K22" s="93"/>
      <c r="L22" s="193"/>
      <c r="M22" s="193"/>
      <c r="N22" s="193"/>
      <c r="O22" s="193"/>
      <c r="P22" s="193"/>
    </row>
    <row r="23" spans="1:16" ht="15.9" thickBot="1">
      <c r="A23" s="194"/>
      <c r="B23" s="838" t="s">
        <v>282</v>
      </c>
      <c r="C23" s="839"/>
      <c r="D23" s="839"/>
      <c r="E23" s="210">
        <f>'Tree Planting'!K70</f>
        <v>0</v>
      </c>
      <c r="F23" s="207" t="s">
        <v>283</v>
      </c>
      <c r="G23" s="93"/>
      <c r="H23" s="93"/>
      <c r="I23" s="93"/>
      <c r="J23" s="93"/>
      <c r="K23" s="93"/>
      <c r="L23" s="193"/>
      <c r="M23" s="193"/>
      <c r="N23" s="193"/>
      <c r="O23" s="193"/>
      <c r="P23" s="193"/>
    </row>
    <row r="24" spans="1:16" ht="15.45">
      <c r="B24" s="93"/>
      <c r="C24" s="93"/>
      <c r="D24" s="93"/>
      <c r="E24" s="93"/>
      <c r="F24" s="93"/>
      <c r="G24" s="93"/>
      <c r="H24" s="93"/>
      <c r="I24" s="93"/>
      <c r="J24" s="93"/>
      <c r="K24" s="93"/>
      <c r="L24" s="193"/>
      <c r="M24" s="193"/>
    </row>
    <row r="25" spans="1:16" ht="15.45">
      <c r="B25" s="93"/>
      <c r="C25" s="93"/>
      <c r="D25" s="93"/>
      <c r="E25" s="93"/>
      <c r="F25" s="93"/>
      <c r="G25" s="93"/>
      <c r="H25" s="93"/>
      <c r="I25" s="93"/>
      <c r="J25" s="93"/>
      <c r="K25" s="93"/>
      <c r="L25" s="193"/>
      <c r="M25" s="193"/>
    </row>
    <row r="26" spans="1:16" ht="15.9" thickBot="1">
      <c r="B26" s="205" t="s">
        <v>284</v>
      </c>
      <c r="C26" s="93"/>
      <c r="D26" s="93"/>
      <c r="E26" s="93"/>
      <c r="F26" s="93"/>
    </row>
    <row r="27" spans="1:16" ht="15.9" thickBot="1">
      <c r="A27" s="194"/>
      <c r="B27" s="836" t="s">
        <v>285</v>
      </c>
      <c r="C27" s="837"/>
      <c r="D27" s="837"/>
      <c r="E27" s="634">
        <f>SUM('Community Compost Calcs'!C10)</f>
        <v>0</v>
      </c>
      <c r="F27" s="207" t="s">
        <v>286</v>
      </c>
    </row>
    <row r="28" spans="1:16">
      <c r="B28" s="211"/>
      <c r="C28" s="211"/>
      <c r="D28" s="211"/>
      <c r="E28" s="211"/>
    </row>
  </sheetData>
  <sheetProtection algorithmName="SHA-512" hashValue="QXWxhnO+U9dwAB8qfK/rdL5j06qh45WLVu+sO+5TFBbwUT1yOKYl9ITEHqe6K5mOgho+hgwQvec9N6JNiZvxZA==" saltValue="TytFv/RDbr0jDq4UFqc10w==" spinCount="100000" sheet="1" objects="1" scenarios="1"/>
  <mergeCells count="11">
    <mergeCell ref="B6:F6"/>
    <mergeCell ref="B1:F1"/>
    <mergeCell ref="B2:F2"/>
    <mergeCell ref="B3:F3"/>
    <mergeCell ref="B4:F4"/>
    <mergeCell ref="B5:F5"/>
    <mergeCell ref="B20:D20"/>
    <mergeCell ref="B21:D21"/>
    <mergeCell ref="B27:D27"/>
    <mergeCell ref="B23:D23"/>
    <mergeCell ref="B22:D22"/>
  </mergeCells>
  <pageMargins left="0.7" right="0.7" top="0.75" bottom="0.75" header="0.3" footer="0.3"/>
  <pageSetup scale="51" fitToHeight="0" orientation="landscape" r:id="rId1"/>
  <headerFooter>
    <oddHeader>&amp;C&amp;G</oddHeader>
    <oddFooter>&amp;LDRAFT January XX, 2019&amp;CPage &amp;P of &amp;N&amp;RCo-benefit Summary Tab</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17A3-F491-48E4-A926-368B88693B32}">
  <sheetPr>
    <tabColor rgb="FFFFFF66"/>
    <pageSetUpPr fitToPage="1"/>
  </sheetPr>
  <dimension ref="B1:L46"/>
  <sheetViews>
    <sheetView showGridLines="0" zoomScaleNormal="100" workbookViewId="0">
      <selection activeCell="R18" sqref="R18"/>
    </sheetView>
  </sheetViews>
  <sheetFormatPr defaultColWidth="9.15234375" defaultRowHeight="15.45"/>
  <cols>
    <col min="1" max="1" width="2.84375" style="116" customWidth="1"/>
    <col min="2" max="2" width="24.53515625" style="116" customWidth="1"/>
    <col min="3" max="3" width="100.69140625" style="116" customWidth="1"/>
    <col min="4" max="16384" width="9.15234375" style="116"/>
  </cols>
  <sheetData>
    <row r="1" spans="2:12" ht="18.75" customHeight="1">
      <c r="B1" s="266"/>
      <c r="C1" s="349" t="str">
        <f>'[16]Read Me'!B1</f>
        <v>California Air Resources Board</v>
      </c>
      <c r="D1" s="266"/>
      <c r="E1" s="266"/>
      <c r="F1" s="267"/>
      <c r="G1" s="266"/>
      <c r="H1" s="266"/>
      <c r="I1" s="266"/>
      <c r="J1" s="266"/>
      <c r="K1" s="266"/>
      <c r="L1" s="266"/>
    </row>
    <row r="2" spans="2:12" ht="15" customHeight="1">
      <c r="B2" s="266"/>
      <c r="C2" s="349"/>
      <c r="D2" s="266"/>
      <c r="E2" s="266"/>
      <c r="F2" s="267"/>
      <c r="G2" s="266"/>
      <c r="H2" s="266"/>
      <c r="I2" s="266"/>
      <c r="J2" s="266"/>
      <c r="K2" s="266"/>
      <c r="L2" s="266"/>
    </row>
    <row r="3" spans="2:12" ht="18.75" customHeight="1">
      <c r="B3" s="266"/>
      <c r="C3" s="349" t="str">
        <f>'[16]Read Me'!B3</f>
        <v>Benefits Calculator Tool</v>
      </c>
      <c r="D3" s="266"/>
      <c r="E3" s="266"/>
      <c r="F3" s="267"/>
      <c r="G3" s="266"/>
      <c r="H3" s="266"/>
      <c r="I3" s="266"/>
      <c r="J3" s="266"/>
      <c r="K3" s="266"/>
      <c r="L3" s="266"/>
    </row>
    <row r="4" spans="2:12" ht="18.75" customHeight="1">
      <c r="B4" s="266"/>
      <c r="C4" s="364" t="str">
        <f>'Read Me'!B4</f>
        <v>Climate Positive Landscape</v>
      </c>
      <c r="D4" s="266"/>
      <c r="E4" s="266"/>
      <c r="F4" s="269"/>
      <c r="G4" s="266"/>
      <c r="H4" s="266"/>
      <c r="I4" s="266"/>
      <c r="J4" s="266"/>
      <c r="K4" s="266"/>
      <c r="L4" s="266"/>
    </row>
    <row r="5" spans="2:12" ht="15" customHeight="1">
      <c r="B5" s="266"/>
      <c r="C5" s="349"/>
      <c r="D5" s="266"/>
      <c r="E5" s="266"/>
      <c r="F5" s="267"/>
      <c r="G5" s="266"/>
      <c r="H5" s="266"/>
      <c r="I5" s="266"/>
      <c r="J5" s="266"/>
      <c r="K5" s="266"/>
      <c r="L5" s="266"/>
    </row>
    <row r="6" spans="2:12" ht="18.75" customHeight="1">
      <c r="B6" s="266"/>
      <c r="C6" s="349" t="str">
        <f>'[16]Read Me'!B6</f>
        <v xml:space="preserve">California Climate Investments </v>
      </c>
      <c r="D6" s="266"/>
      <c r="E6" s="266"/>
      <c r="F6" s="267"/>
      <c r="G6" s="266"/>
      <c r="H6" s="266"/>
      <c r="I6" s="266"/>
      <c r="J6" s="266"/>
      <c r="K6" s="266"/>
      <c r="L6" s="266"/>
    </row>
    <row r="7" spans="2:12" ht="15" customHeight="1">
      <c r="F7" s="267"/>
    </row>
    <row r="8" spans="2:12" ht="15" customHeight="1"/>
    <row r="9" spans="2:12" ht="15" customHeight="1"/>
    <row r="10" spans="2:12" ht="15" customHeight="1">
      <c r="B10" s="300" t="s">
        <v>688</v>
      </c>
      <c r="C10" s="301" t="s">
        <v>689</v>
      </c>
    </row>
    <row r="11" spans="2:12" ht="15" customHeight="1">
      <c r="B11" s="350" t="s">
        <v>690</v>
      </c>
      <c r="C11" s="351" t="s">
        <v>0</v>
      </c>
    </row>
    <row r="12" spans="2:12" ht="15" customHeight="1">
      <c r="B12" s="350" t="s">
        <v>693</v>
      </c>
      <c r="C12" s="351" t="s">
        <v>684</v>
      </c>
    </row>
    <row r="13" spans="2:12" ht="15" customHeight="1"/>
    <row r="14" spans="2:12" ht="15" customHeight="1">
      <c r="B14" s="300" t="s">
        <v>691</v>
      </c>
      <c r="C14" s="301" t="s">
        <v>692</v>
      </c>
    </row>
    <row r="15" spans="2:12" ht="15" customHeight="1">
      <c r="B15" s="352" t="s">
        <v>32</v>
      </c>
      <c r="C15" s="356" t="s">
        <v>33</v>
      </c>
    </row>
    <row r="16" spans="2:12" ht="15" customHeight="1">
      <c r="B16" s="352" t="s">
        <v>34</v>
      </c>
      <c r="C16" s="356" t="s">
        <v>628</v>
      </c>
    </row>
    <row r="17" spans="2:3" ht="46.3">
      <c r="B17" s="353" t="s">
        <v>35</v>
      </c>
      <c r="C17" s="357" t="s">
        <v>784</v>
      </c>
    </row>
    <row r="18" spans="2:3" ht="92.6">
      <c r="B18" s="354" t="s">
        <v>37</v>
      </c>
      <c r="C18" s="358" t="s">
        <v>38</v>
      </c>
    </row>
    <row r="19" spans="2:3" ht="92.6">
      <c r="B19" s="354" t="s">
        <v>39</v>
      </c>
      <c r="C19" s="358" t="s">
        <v>40</v>
      </c>
    </row>
    <row r="20" spans="2:3">
      <c r="B20" s="354" t="s">
        <v>41</v>
      </c>
      <c r="C20" s="358" t="s">
        <v>42</v>
      </c>
    </row>
    <row r="21" spans="2:3" ht="30.9">
      <c r="B21" s="354" t="s">
        <v>43</v>
      </c>
      <c r="C21" s="358" t="s">
        <v>44</v>
      </c>
    </row>
    <row r="22" spans="2:3" ht="46.3">
      <c r="B22" s="354" t="s">
        <v>45</v>
      </c>
      <c r="C22" s="358" t="s">
        <v>46</v>
      </c>
    </row>
    <row r="23" spans="2:3" ht="61.75">
      <c r="B23" s="354" t="s">
        <v>47</v>
      </c>
      <c r="C23" s="358" t="s">
        <v>48</v>
      </c>
    </row>
    <row r="24" spans="2:3" ht="61.75">
      <c r="B24" s="354" t="s">
        <v>49</v>
      </c>
      <c r="C24" s="358" t="s">
        <v>50</v>
      </c>
    </row>
    <row r="25" spans="2:3" ht="77.150000000000006">
      <c r="B25" s="354" t="s">
        <v>51</v>
      </c>
      <c r="C25" s="358" t="s">
        <v>52</v>
      </c>
    </row>
    <row r="26" spans="2:3" ht="61.75">
      <c r="B26" s="354" t="s">
        <v>53</v>
      </c>
      <c r="C26" s="358" t="s">
        <v>694</v>
      </c>
    </row>
    <row r="27" spans="2:3" ht="61.75">
      <c r="B27" s="354" t="s">
        <v>54</v>
      </c>
      <c r="C27" s="358" t="s">
        <v>695</v>
      </c>
    </row>
    <row r="28" spans="2:3" ht="61.75">
      <c r="B28" s="354" t="s">
        <v>55</v>
      </c>
      <c r="C28" s="358" t="s">
        <v>56</v>
      </c>
    </row>
    <row r="29" spans="2:3" ht="61.75">
      <c r="B29" s="354" t="s">
        <v>57</v>
      </c>
      <c r="C29" s="358" t="s">
        <v>58</v>
      </c>
    </row>
    <row r="30" spans="2:3" ht="92.6">
      <c r="B30" s="354" t="s">
        <v>37</v>
      </c>
      <c r="C30" s="358" t="s">
        <v>38</v>
      </c>
    </row>
    <row r="31" spans="2:3" ht="92.6">
      <c r="B31" s="354" t="s">
        <v>39</v>
      </c>
      <c r="C31" s="358" t="s">
        <v>40</v>
      </c>
    </row>
    <row r="32" spans="2:3" ht="61.75">
      <c r="B32" s="354" t="s">
        <v>59</v>
      </c>
      <c r="C32" s="358" t="s">
        <v>60</v>
      </c>
    </row>
    <row r="33" spans="2:3" ht="77.150000000000006">
      <c r="B33" s="354" t="s">
        <v>61</v>
      </c>
      <c r="C33" s="358" t="s">
        <v>62</v>
      </c>
    </row>
    <row r="34" spans="2:3" ht="77.150000000000006">
      <c r="B34" s="354" t="s">
        <v>63</v>
      </c>
      <c r="C34" s="358" t="s">
        <v>64</v>
      </c>
    </row>
    <row r="35" spans="2:3" ht="30.9">
      <c r="B35" s="354" t="s">
        <v>65</v>
      </c>
      <c r="C35" s="358" t="s">
        <v>66</v>
      </c>
    </row>
    <row r="36" spans="2:3" ht="61.75">
      <c r="B36" s="354" t="s">
        <v>67</v>
      </c>
      <c r="C36" s="358" t="s">
        <v>68</v>
      </c>
    </row>
    <row r="37" spans="2:3" ht="77.150000000000006">
      <c r="B37" s="354" t="s">
        <v>69</v>
      </c>
      <c r="C37" s="358" t="s">
        <v>696</v>
      </c>
    </row>
    <row r="38" spans="2:3" ht="77.150000000000006">
      <c r="B38" s="354" t="s">
        <v>70</v>
      </c>
      <c r="C38" s="358" t="s">
        <v>697</v>
      </c>
    </row>
    <row r="39" spans="2:3" ht="30.9">
      <c r="B39" s="354" t="s">
        <v>71</v>
      </c>
      <c r="C39" s="358" t="s">
        <v>72</v>
      </c>
    </row>
    <row r="40" spans="2:3" ht="30.9">
      <c r="B40" s="355" t="s">
        <v>74</v>
      </c>
      <c r="C40" s="358" t="s">
        <v>75</v>
      </c>
    </row>
    <row r="41" spans="2:3" ht="46.3">
      <c r="B41" s="355" t="s">
        <v>76</v>
      </c>
      <c r="C41" s="358" t="s">
        <v>77</v>
      </c>
    </row>
    <row r="42" spans="2:3" ht="30.9">
      <c r="B42" s="355" t="s">
        <v>79</v>
      </c>
      <c r="C42" s="358" t="s">
        <v>707</v>
      </c>
    </row>
    <row r="43" spans="2:3" ht="30.9">
      <c r="B43" s="355" t="s">
        <v>78</v>
      </c>
      <c r="C43" s="358" t="s">
        <v>708</v>
      </c>
    </row>
    <row r="44" spans="2:3">
      <c r="B44" s="355" t="s">
        <v>80</v>
      </c>
      <c r="C44" s="665" t="s">
        <v>81</v>
      </c>
    </row>
    <row r="45" spans="2:3" ht="30.9">
      <c r="B45" s="355" t="s">
        <v>82</v>
      </c>
      <c r="C45" s="665" t="s">
        <v>783</v>
      </c>
    </row>
    <row r="46" spans="2:3" ht="15" customHeight="1"/>
  </sheetData>
  <sheetProtection algorithmName="SHA-512" hashValue="WcfHOibn9g/Q5C+u7NKKg5HJe+90wIFsqf/nXlFblsFmgcEU2REz9STe8daeBSK1PPN0cMIc+UBsADZD5jXiLA==" saltValue="H/0zt5UgDLBd7iFx3j8bsA==" spinCount="100000" sheet="1" objects="1" scenarios="1"/>
  <pageMargins left="0.7" right="0.7" top="0.98479166666666662" bottom="0.75" header="0.3" footer="0.3"/>
  <pageSetup scale="73" fitToHeight="0" orientation="landscape" r:id="rId1"/>
  <headerFooter>
    <oddHeader>&amp;C&amp;G</oddHeader>
    <oddFooter>&amp;L&amp;"Arial,Regular"&amp;12&amp;K000000DRAFT &amp;KFF0000Month XX, 201X&amp;C&amp;"Arial,Regular"&amp;12Page &amp;P of &amp;N&amp;R&amp;"Arial,Regular"&amp;12&amp;K000000&amp;A</oddFooter>
  </headerFooter>
  <drawing r:id="rId2"/>
  <legacyDrawingHF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3F02C-05D4-4B78-8DDD-4101236C1A5D}">
  <sheetPr>
    <tabColor rgb="FFFFFF66"/>
    <pageSetUpPr fitToPage="1"/>
  </sheetPr>
  <dimension ref="A1:E28"/>
  <sheetViews>
    <sheetView showGridLines="0" zoomScaleNormal="100" zoomScalePageLayoutView="70" workbookViewId="0">
      <selection activeCell="S19" sqref="S19"/>
    </sheetView>
  </sheetViews>
  <sheetFormatPr defaultColWidth="9.15234375" defaultRowHeight="15.45"/>
  <cols>
    <col min="1" max="1" width="4.3046875" style="116" customWidth="1"/>
    <col min="2" max="4" width="42.84375" style="116" customWidth="1"/>
    <col min="5" max="5" width="13.84375" style="116" customWidth="1"/>
    <col min="6" max="16384" width="9.15234375" style="116"/>
  </cols>
  <sheetData>
    <row r="1" spans="1:4" ht="18">
      <c r="C1" s="267" t="str">
        <f>'[16]Read Me'!B1</f>
        <v>California Air Resources Board</v>
      </c>
    </row>
    <row r="2" spans="1:4" ht="18">
      <c r="C2" s="267"/>
    </row>
    <row r="3" spans="1:4" ht="18">
      <c r="C3" s="267" t="str">
        <f>'[16]Read Me'!B3</f>
        <v>Benefits Calculator Tool</v>
      </c>
    </row>
    <row r="4" spans="1:4" ht="18">
      <c r="C4" s="321" t="str">
        <f>'Read Me'!B4</f>
        <v>Climate Positive Landscape</v>
      </c>
    </row>
    <row r="5" spans="1:4" ht="18">
      <c r="C5" s="267"/>
    </row>
    <row r="6" spans="1:4" ht="18">
      <c r="C6" s="267" t="str">
        <f>'[16]Read Me'!B6</f>
        <v xml:space="preserve">California Climate Investments </v>
      </c>
    </row>
    <row r="9" spans="1:4" ht="15" customHeight="1">
      <c r="A9" s="186"/>
      <c r="B9" s="302" t="s">
        <v>669</v>
      </c>
      <c r="C9" s="303"/>
      <c r="D9" s="304"/>
    </row>
    <row r="10" spans="1:4" ht="15" customHeight="1">
      <c r="A10" s="186"/>
      <c r="B10" s="302" t="s">
        <v>670</v>
      </c>
      <c r="C10" s="303"/>
      <c r="D10" s="304"/>
    </row>
    <row r="11" spans="1:4" ht="15" customHeight="1">
      <c r="A11" s="186"/>
      <c r="B11" s="302" t="s">
        <v>671</v>
      </c>
      <c r="C11" s="303"/>
      <c r="D11" s="304"/>
    </row>
    <row r="12" spans="1:4" ht="15" customHeight="1">
      <c r="A12" s="186"/>
      <c r="B12" s="302" t="s">
        <v>672</v>
      </c>
      <c r="C12" s="303"/>
      <c r="D12" s="304"/>
    </row>
    <row r="13" spans="1:4" ht="15" customHeight="1">
      <c r="A13" s="186"/>
      <c r="B13" s="186"/>
      <c r="C13" s="186"/>
      <c r="D13" s="186"/>
    </row>
    <row r="14" spans="1:4" ht="18" customHeight="1">
      <c r="B14" s="299" t="s">
        <v>673</v>
      </c>
      <c r="C14" s="299"/>
      <c r="D14" s="299"/>
    </row>
    <row r="15" spans="1:4" ht="15" customHeight="1" thickBot="1">
      <c r="B15" s="305" t="s">
        <v>674</v>
      </c>
      <c r="C15" s="186"/>
      <c r="D15" s="186"/>
    </row>
    <row r="16" spans="1:4" ht="15" customHeight="1">
      <c r="A16" s="306"/>
      <c r="B16" s="307" t="s">
        <v>675</v>
      </c>
      <c r="C16" s="308" t="s">
        <v>676</v>
      </c>
      <c r="D16" s="309" t="s">
        <v>658</v>
      </c>
    </row>
    <row r="17" spans="1:5" ht="65.25" customHeight="1">
      <c r="A17" s="310"/>
      <c r="B17" s="311" t="s">
        <v>677</v>
      </c>
      <c r="C17" s="756"/>
      <c r="D17" s="312" t="str">
        <f>IF(ISBLANK(C17),"Required","")</f>
        <v>Required</v>
      </c>
    </row>
    <row r="18" spans="1:5" ht="99" customHeight="1">
      <c r="A18" s="310"/>
      <c r="B18" s="311" t="s">
        <v>698</v>
      </c>
      <c r="C18" s="756"/>
      <c r="D18" s="312" t="str">
        <f>IF(ISBLANK(C18),"Required","")</f>
        <v>Required</v>
      </c>
    </row>
    <row r="19" spans="1:5" ht="99" customHeight="1">
      <c r="A19" s="310"/>
      <c r="B19" s="311" t="s">
        <v>699</v>
      </c>
      <c r="C19" s="756"/>
      <c r="D19" s="312" t="str">
        <f>IF(ISBLANK(C19),"Required","")</f>
        <v>Required</v>
      </c>
    </row>
    <row r="20" spans="1:5" ht="15" customHeight="1">
      <c r="A20" s="186"/>
      <c r="B20" s="186"/>
      <c r="C20" s="186"/>
      <c r="D20" s="186"/>
    </row>
    <row r="21" spans="1:5" ht="15" customHeight="1">
      <c r="A21" s="186"/>
      <c r="B21" s="299" t="s">
        <v>678</v>
      </c>
      <c r="C21" s="186"/>
      <c r="D21" s="186"/>
    </row>
    <row r="22" spans="1:5" ht="15" customHeight="1">
      <c r="A22" s="299"/>
      <c r="B22" s="305" t="s">
        <v>679</v>
      </c>
      <c r="C22" s="299"/>
      <c r="D22" s="299"/>
    </row>
    <row r="23" spans="1:5" ht="15" customHeight="1" thickBot="1">
      <c r="A23" s="299"/>
      <c r="B23" s="305" t="s">
        <v>701</v>
      </c>
      <c r="C23" s="299"/>
      <c r="D23" s="299"/>
    </row>
    <row r="24" spans="1:5" ht="33.75" customHeight="1">
      <c r="A24" s="186"/>
      <c r="B24" s="359" t="s">
        <v>700</v>
      </c>
      <c r="C24" s="313" t="s">
        <v>680</v>
      </c>
      <c r="D24" s="314" t="s">
        <v>676</v>
      </c>
      <c r="E24" s="315" t="s">
        <v>658</v>
      </c>
    </row>
    <row r="25" spans="1:5" ht="84" customHeight="1">
      <c r="A25" s="186"/>
      <c r="B25" s="318" t="s">
        <v>681</v>
      </c>
      <c r="C25" s="316" t="s">
        <v>682</v>
      </c>
      <c r="D25" s="756"/>
      <c r="E25" s="317" t="str">
        <f>IF(ISBLANK(D25),"Required","")</f>
        <v>Required</v>
      </c>
    </row>
    <row r="26" spans="1:5" ht="81.45" customHeight="1" thickBot="1">
      <c r="A26" s="186"/>
      <c r="B26" s="319" t="s">
        <v>36</v>
      </c>
      <c r="C26" s="320" t="s">
        <v>683</v>
      </c>
      <c r="D26" s="757"/>
      <c r="E26" s="317" t="str">
        <f>IF(ISBLANK(D26),"Required","")</f>
        <v>Required</v>
      </c>
    </row>
    <row r="27" spans="1:5" ht="15" customHeight="1">
      <c r="A27" s="186"/>
      <c r="B27" s="186"/>
      <c r="C27" s="186"/>
      <c r="D27" s="186"/>
    </row>
    <row r="28" spans="1:5" ht="15" customHeight="1">
      <c r="A28" s="186"/>
      <c r="B28" s="186"/>
      <c r="C28" s="186"/>
      <c r="D28" s="186"/>
    </row>
  </sheetData>
  <sheetProtection algorithmName="SHA-512" hashValue="4VURu9BjG82w1cO3FccMKTjde2llDvF8zbK/bXYVBTjbJgSYVujyrRUOjjdpi2bKPDwtthEes9CI/kRyz1LTvA==" saltValue="tvtfM9uZb4+QEWbo9E6KTw==" spinCount="100000" sheet="1" objects="1" scenarios="1"/>
  <dataValidations count="1">
    <dataValidation type="list" allowBlank="1" showInputMessage="1" showErrorMessage="1" sqref="D25:D26" xr:uid="{BBFDA5DD-2D97-4C0E-A2A0-5DB4CB7BED98}">
      <formula1>$B$10:$B$11</formula1>
    </dataValidation>
  </dataValidations>
  <pageMargins left="0.7" right="0.7" top="0.98479166666666662" bottom="0.75" header="0.3" footer="0.3"/>
  <pageSetup scale="72" fitToHeight="0" orientation="landscape" r:id="rId1"/>
  <headerFooter>
    <oddHeader>&amp;C&amp;G</oddHeader>
    <oddFooter>&amp;L&amp;"Arial,Regular"&amp;12&amp;K000000DRAFT &amp;KFF0000Month XX, 201X&amp;C&amp;"Arial,Regular"&amp;12Page &amp;P of &amp;N&amp;R&amp;"Arial,Regular"&amp;12&amp;K000000&amp;A</oddFooter>
  </headerFooter>
  <rowBreaks count="1" manualBreakCount="1">
    <brk id="21" max="16383" man="1"/>
  </rowBreaks>
  <drawing r:id="rId2"/>
  <legacyDrawingHF r:id="rId3"/>
  <tableParts count="2">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FDE218E9F9E64EACE91E161840A6F4" ma:contentTypeVersion="6" ma:contentTypeDescription="Create a new document." ma:contentTypeScope="" ma:versionID="81357446615ee5573e3e7b6397c178bc">
  <xsd:schema xmlns:xsd="http://www.w3.org/2001/XMLSchema" xmlns:xs="http://www.w3.org/2001/XMLSchema" xmlns:p="http://schemas.microsoft.com/office/2006/metadata/properties" xmlns:ns2="5726b438-4aae-49d5-9f14-e32fa06da2c3" targetNamespace="http://schemas.microsoft.com/office/2006/metadata/properties" ma:root="true" ma:fieldsID="ca41189fd958ee589634f28330f305d7" ns2:_="">
    <xsd:import namespace="5726b438-4aae-49d5-9f14-e32fa06da2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6b438-4aae-49d5-9f14-e32fa06da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135DCC-B253-41F9-9AC3-EFF1A5F2CF2C}">
  <ds:schemaRefs>
    <ds:schemaRef ds:uri="http://purl.org/dc/elements/1.1/"/>
    <ds:schemaRef ds:uri="http://purl.org/dc/terms/"/>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5726b438-4aae-49d5-9f14-e32fa06da2c3"/>
  </ds:schemaRefs>
</ds:datastoreItem>
</file>

<file path=customXml/itemProps2.xml><?xml version="1.0" encoding="utf-8"?>
<ds:datastoreItem xmlns:ds="http://schemas.openxmlformats.org/officeDocument/2006/customXml" ds:itemID="{28786621-2F38-404D-A49D-5BE7DB7A0EB3}">
  <ds:schemaRefs>
    <ds:schemaRef ds:uri="http://schemas.microsoft.com/sharepoint/v3/contenttype/forms"/>
  </ds:schemaRefs>
</ds:datastoreItem>
</file>

<file path=customXml/itemProps3.xml><?xml version="1.0" encoding="utf-8"?>
<ds:datastoreItem xmlns:ds="http://schemas.openxmlformats.org/officeDocument/2006/customXml" ds:itemID="{4BAF792C-E4B5-4FDC-BE7E-E55E5455F9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6b438-4aae-49d5-9f14-e32fa06da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Read Me</vt:lpstr>
      <vt:lpstr>Project Info</vt:lpstr>
      <vt:lpstr>Compost</vt:lpstr>
      <vt:lpstr>Tree Planting</vt:lpstr>
      <vt:lpstr>Lawn Management</vt:lpstr>
      <vt:lpstr>GHG Summary</vt:lpstr>
      <vt:lpstr>Co-benefit Summary</vt:lpstr>
      <vt:lpstr>Definitions</vt:lpstr>
      <vt:lpstr>Documentation</vt:lpstr>
      <vt:lpstr>Sources</vt:lpstr>
      <vt:lpstr>GHG ERFs</vt:lpstr>
      <vt:lpstr>Co-Ben ERFs</vt:lpstr>
      <vt:lpstr>Compost ERF</vt:lpstr>
      <vt:lpstr>Fertilizer data</vt:lpstr>
      <vt:lpstr>Lawn Mower data</vt:lpstr>
      <vt:lpstr>Community Compost Calcs</vt:lpstr>
      <vt:lpstr>Factors</vt:lpstr>
      <vt:lpstr>List</vt:lpstr>
      <vt:lpstr>'Co-Ben ERFs'!Print_Area</vt:lpstr>
      <vt:lpstr>Compost!Print_Area</vt:lpstr>
      <vt:lpstr>Documentation!Print_Area</vt:lpstr>
      <vt:lpstr>'GHG ERFs'!Print_Area</vt:lpstr>
      <vt:lpstr>'GHG Summary'!Print_Area</vt:lpstr>
      <vt:lpstr>'Co-Ben ERFs'!RefrigerantTypes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V. Bede</dc:creator>
  <cp:keywords/>
  <dc:description/>
  <cp:lastModifiedBy>Ryan Huft</cp:lastModifiedBy>
  <cp:revision/>
  <dcterms:created xsi:type="dcterms:W3CDTF">2015-06-16T15:51:10Z</dcterms:created>
  <dcterms:modified xsi:type="dcterms:W3CDTF">2021-05-05T15:42:32Z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0x010100D3FDE218E9F9E64EACE91E161840A6F4</vt:lpwstr>
  </property>
</Properties>
</file>