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B:\LCFS\Confidential_Business_Information\Hydrogen and DCFC Infrastructure\2025 ZEV Infrastructure Documents\"/>
    </mc:Choice>
  </mc:AlternateContent>
  <xr:revisionPtr revIDLastSave="0" documentId="13_ncr:1_{39053CD2-137C-4005-A978-5E719199E31E}" xr6:coauthVersionLast="47" xr6:coauthVersionMax="47" xr10:uidLastSave="{00000000-0000-0000-0000-000000000000}"/>
  <workbookProtection workbookAlgorithmName="SHA-512" workbookHashValue="E38pv+Zj3X6so2wZU7unuwazdK+B+BpF+8HMDfRoCh7Mzyn26T8ghOtk9dHKXVxrs3rQZ/W/p+uRI+C6UGd1rQ==" workbookSaltValue="7p+kal0pje7N/LfsRtwf4g==" workbookSpinCount="100000" lockStructure="1"/>
  <bookViews>
    <workbookView xWindow="-30" yWindow="-16320" windowWidth="29040" windowHeight="15840" xr2:uid="{80BDFEAF-972E-4D59-B1E9-244B1813E266}"/>
  </bookViews>
  <sheets>
    <sheet name="Read Me" sheetId="3" r:id="rId1"/>
    <sheet name="Calculator" sheetId="1" r:id="rId2"/>
    <sheet name="CapEx" sheetId="2" r:id="rId3"/>
  </sheets>
  <definedNames>
    <definedName name="FCIkW">Calculator!$N$5</definedName>
  </definedNames>
  <calcPr calcId="191029" calcMode="autoNoTable"/>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5" i="1" l="1"/>
  <c r="I8" i="2"/>
  <c r="F9" i="2"/>
  <c r="E18" i="1" l="1"/>
  <c r="F18" i="1"/>
  <c r="G18" i="1"/>
  <c r="H18" i="1"/>
  <c r="I18" i="1"/>
  <c r="J18" i="1"/>
  <c r="K18" i="1"/>
  <c r="L18" i="1"/>
  <c r="M18" i="1"/>
  <c r="N18" i="1"/>
  <c r="D18" i="1"/>
  <c r="N28" i="1"/>
  <c r="M28" i="1"/>
  <c r="L28" i="1"/>
  <c r="K28" i="1"/>
  <c r="J28" i="1"/>
  <c r="I28" i="1"/>
  <c r="H28" i="1"/>
  <c r="G28" i="1"/>
  <c r="F28" i="1"/>
  <c r="E28" i="1"/>
  <c r="D28" i="1"/>
  <c r="E10" i="1" l="1"/>
  <c r="N23" i="1"/>
  <c r="M23" i="1"/>
  <c r="L23" i="1"/>
  <c r="K23" i="1"/>
  <c r="J23" i="1"/>
  <c r="I23" i="1"/>
  <c r="H23" i="1"/>
  <c r="G23" i="1"/>
  <c r="F23" i="1"/>
  <c r="E23" i="1"/>
  <c r="D23" i="1"/>
  <c r="N27" i="1"/>
  <c r="M27" i="1"/>
  <c r="L27" i="1"/>
  <c r="K27" i="1"/>
  <c r="J27" i="1"/>
  <c r="I27" i="1"/>
  <c r="H27" i="1"/>
  <c r="G27" i="1"/>
  <c r="F27" i="1"/>
  <c r="E27" i="1"/>
  <c r="D27" i="1"/>
  <c r="N22" i="1"/>
  <c r="M22" i="1"/>
  <c r="L22" i="1"/>
  <c r="K22" i="1"/>
  <c r="J22" i="1"/>
  <c r="I22" i="1"/>
  <c r="H22" i="1"/>
  <c r="G22" i="1"/>
  <c r="F22" i="1"/>
  <c r="E22" i="1"/>
  <c r="D22" i="1"/>
  <c r="D16" i="1" l="1"/>
  <c r="D31" i="1" s="1"/>
  <c r="N7" i="1"/>
  <c r="G12" i="2"/>
  <c r="F19" i="2" s="1"/>
  <c r="G19" i="2" s="1"/>
  <c r="F20" i="2" s="1"/>
  <c r="G20" i="2" s="1"/>
  <c r="F21" i="2" s="1"/>
  <c r="G21" i="2" s="1"/>
  <c r="F22" i="2" s="1"/>
  <c r="G22" i="2" s="1"/>
  <c r="F23" i="2" s="1"/>
  <c r="G23" i="2" s="1"/>
  <c r="F24" i="2" s="1"/>
  <c r="G24" i="2" s="1"/>
  <c r="F25" i="2" s="1"/>
  <c r="G25" i="2" s="1"/>
  <c r="F26" i="2" s="1"/>
  <c r="G26" i="2" s="1"/>
  <c r="F27" i="2" s="1"/>
  <c r="G27" i="2" s="1"/>
  <c r="F28" i="2" s="1"/>
  <c r="G28" i="2" s="1"/>
  <c r="F29" i="2" s="1"/>
  <c r="G29" i="2" s="1"/>
  <c r="F30" i="2" s="1"/>
  <c r="G30" i="2" s="1"/>
  <c r="F31" i="2" s="1"/>
  <c r="G31" i="2" s="1"/>
  <c r="F32" i="2" s="1"/>
  <c r="G32" i="2" s="1"/>
  <c r="F33" i="2" s="1"/>
  <c r="G33" i="2" s="1"/>
  <c r="F34" i="2" s="1"/>
  <c r="G34" i="2" s="1"/>
  <c r="F35" i="2" s="1"/>
  <c r="G35" i="2" s="1"/>
  <c r="F36" i="2" s="1"/>
  <c r="G36" i="2" s="1"/>
  <c r="F37" i="2" s="1"/>
  <c r="G37" i="2" s="1"/>
  <c r="F38" i="2" s="1"/>
  <c r="G38" i="2" s="1"/>
  <c r="F39" i="2" s="1"/>
  <c r="G39" i="2" s="1"/>
  <c r="F40" i="2" s="1"/>
  <c r="G40" i="2" s="1"/>
  <c r="F41" i="2" s="1"/>
  <c r="G41" i="2" s="1"/>
  <c r="F42" i="2" s="1"/>
  <c r="G42" i="2" s="1"/>
  <c r="F43" i="2" s="1"/>
  <c r="G43" i="2" s="1"/>
  <c r="F44" i="2" s="1"/>
  <c r="G44" i="2" s="1"/>
  <c r="F45" i="2" s="1"/>
  <c r="G45" i="2" s="1"/>
  <c r="F46" i="2" s="1"/>
  <c r="G46" i="2" s="1"/>
  <c r="F47" i="2" s="1"/>
  <c r="G47" i="2" s="1"/>
  <c r="F48" i="2" s="1"/>
  <c r="G48" i="2" s="1"/>
  <c r="F49" i="2" s="1"/>
  <c r="G49" i="2" s="1"/>
  <c r="F50" i="2" s="1"/>
  <c r="G50" i="2" s="1"/>
  <c r="F51" i="2" s="1"/>
  <c r="G51" i="2" s="1"/>
  <c r="F52" i="2" s="1"/>
  <c r="G52" i="2" s="1"/>
  <c r="F53" i="2" s="1"/>
  <c r="G53" i="2" s="1"/>
  <c r="F54" i="2" s="1"/>
  <c r="G54" i="2" s="1"/>
  <c r="F55" i="2" s="1"/>
  <c r="G55" i="2" s="1"/>
  <c r="F56" i="2" s="1"/>
  <c r="G56" i="2" s="1"/>
  <c r="F57" i="2" s="1"/>
  <c r="G57" i="2" s="1"/>
  <c r="F58" i="2" s="1"/>
  <c r="G58" i="2" s="1"/>
  <c r="G8" i="2"/>
  <c r="O19" i="2" s="1"/>
  <c r="N24" i="1"/>
  <c r="N29" i="1"/>
  <c r="N32" i="1" s="1"/>
  <c r="N34" i="1"/>
  <c r="F29" i="1"/>
  <c r="F32" i="1" s="1"/>
  <c r="G29" i="1"/>
  <c r="G32" i="1" s="1"/>
  <c r="H29" i="1"/>
  <c r="H32" i="1" s="1"/>
  <c r="J29" i="1"/>
  <c r="J32" i="1" s="1"/>
  <c r="K29" i="1"/>
  <c r="K32" i="1" s="1"/>
  <c r="D29" i="1"/>
  <c r="D32" i="1" s="1"/>
  <c r="D37" i="1"/>
  <c r="E16" i="1"/>
  <c r="N8" i="1" l="1"/>
  <c r="D15" i="1" s="1"/>
  <c r="O20" i="2"/>
  <c r="K33" i="1"/>
  <c r="J33" i="1"/>
  <c r="I33" i="1"/>
  <c r="D33" i="1"/>
  <c r="N33" i="1"/>
  <c r="F33" i="1"/>
  <c r="L33" i="1"/>
  <c r="M33" i="1"/>
  <c r="E33" i="1"/>
  <c r="M29" i="1"/>
  <c r="M32" i="1" s="1"/>
  <c r="I29" i="1"/>
  <c r="I32" i="1" s="1"/>
  <c r="E29" i="1"/>
  <c r="E32" i="1" s="1"/>
  <c r="E37" i="1"/>
  <c r="E31" i="1"/>
  <c r="L29" i="1"/>
  <c r="L32" i="1" s="1"/>
  <c r="H33" i="1"/>
  <c r="G33" i="1"/>
  <c r="I24" i="1"/>
  <c r="J24" i="1"/>
  <c r="K24" i="1"/>
  <c r="L24" i="1"/>
  <c r="M24" i="1"/>
  <c r="M34" i="1"/>
  <c r="L34" i="1"/>
  <c r="K34" i="1"/>
  <c r="J34" i="1"/>
  <c r="I34" i="1"/>
  <c r="H34" i="1"/>
  <c r="G34" i="1"/>
  <c r="F34" i="1"/>
  <c r="E34" i="1"/>
  <c r="D34" i="1"/>
  <c r="H24" i="1"/>
  <c r="G24" i="1"/>
  <c r="F24" i="1"/>
  <c r="E24" i="1"/>
  <c r="D24" i="1"/>
  <c r="G20" i="1" l="1"/>
  <c r="N20" i="1"/>
  <c r="J15" i="1"/>
  <c r="N15" i="1"/>
  <c r="F20" i="1"/>
  <c r="E15" i="1"/>
  <c r="M20" i="1"/>
  <c r="M15" i="1"/>
  <c r="K20" i="1"/>
  <c r="E20" i="1"/>
  <c r="E38" i="1" s="1"/>
  <c r="I15" i="1"/>
  <c r="L15" i="1"/>
  <c r="J20" i="1"/>
  <c r="L20" i="1"/>
  <c r="H15" i="1"/>
  <c r="I20" i="1"/>
  <c r="G15" i="1"/>
  <c r="H20" i="1"/>
  <c r="F15" i="1"/>
  <c r="D20" i="1"/>
  <c r="D38" i="1" s="1"/>
  <c r="K15" i="1"/>
  <c r="O21" i="2"/>
  <c r="D25" i="1"/>
  <c r="D35" i="1"/>
  <c r="E35" i="1"/>
  <c r="F10" i="1"/>
  <c r="F16" i="1" s="1"/>
  <c r="D40" i="1"/>
  <c r="E25" i="1" l="1"/>
  <c r="D39" i="1"/>
  <c r="O22" i="2"/>
  <c r="G10" i="1"/>
  <c r="G16" i="1" s="1"/>
  <c r="F37" i="1"/>
  <c r="E40" i="1"/>
  <c r="E39" i="1"/>
  <c r="D41" i="1"/>
  <c r="D42" i="1" s="1"/>
  <c r="D44" i="1" s="1"/>
  <c r="O23" i="2" l="1"/>
  <c r="F38" i="1"/>
  <c r="F25" i="1"/>
  <c r="H10" i="1"/>
  <c r="H16" i="1" s="1"/>
  <c r="G37" i="1"/>
  <c r="F31" i="1"/>
  <c r="F35" i="1" s="1"/>
  <c r="E41" i="1"/>
  <c r="E42" i="1" s="1"/>
  <c r="E44" i="1" s="1"/>
  <c r="F39" i="1"/>
  <c r="O24" i="2" l="1"/>
  <c r="G38" i="1"/>
  <c r="G25" i="1"/>
  <c r="F40" i="1"/>
  <c r="F41" i="1" s="1"/>
  <c r="F42" i="1" s="1"/>
  <c r="F44" i="1" s="1"/>
  <c r="I10" i="1"/>
  <c r="I16" i="1" s="1"/>
  <c r="H37" i="1"/>
  <c r="H25" i="1"/>
  <c r="G31" i="1"/>
  <c r="G35" i="1" s="1"/>
  <c r="G39" i="1"/>
  <c r="O25" i="2" l="1"/>
  <c r="H39" i="1"/>
  <c r="H38" i="1"/>
  <c r="G40" i="1"/>
  <c r="G41" i="1" s="1"/>
  <c r="G42" i="1" s="1"/>
  <c r="G44" i="1" s="1"/>
  <c r="H31" i="1"/>
  <c r="H35" i="1" s="1"/>
  <c r="J10" i="1"/>
  <c r="J16" i="1" s="1"/>
  <c r="I37" i="1"/>
  <c r="O26" i="2" l="1"/>
  <c r="I38" i="1"/>
  <c r="I25" i="1"/>
  <c r="H40" i="1"/>
  <c r="H41" i="1" s="1"/>
  <c r="H42" i="1" s="1"/>
  <c r="H44" i="1" s="1"/>
  <c r="I31" i="1"/>
  <c r="I35" i="1" s="1"/>
  <c r="I39" i="1"/>
  <c r="K10" i="1"/>
  <c r="K16" i="1" s="1"/>
  <c r="J37" i="1"/>
  <c r="O27" i="2" l="1"/>
  <c r="J38" i="1"/>
  <c r="J25" i="1"/>
  <c r="J31" i="1"/>
  <c r="J35" i="1" s="1"/>
  <c r="J39" i="1"/>
  <c r="L10" i="1"/>
  <c r="L16" i="1" s="1"/>
  <c r="K37" i="1"/>
  <c r="I40" i="1"/>
  <c r="I41" i="1" s="1"/>
  <c r="I42" i="1" s="1"/>
  <c r="I44" i="1" s="1"/>
  <c r="O28" i="2" l="1"/>
  <c r="K38" i="1"/>
  <c r="K25" i="1"/>
  <c r="K31" i="1"/>
  <c r="K35" i="1" s="1"/>
  <c r="M10" i="1"/>
  <c r="L25" i="1"/>
  <c r="L37" i="1"/>
  <c r="K39" i="1"/>
  <c r="J40" i="1"/>
  <c r="J41" i="1" s="1"/>
  <c r="J42" i="1" s="1"/>
  <c r="J44" i="1" s="1"/>
  <c r="O29" i="2" l="1"/>
  <c r="N10" i="1"/>
  <c r="N16" i="1" s="1"/>
  <c r="N25" i="1" s="1"/>
  <c r="M16" i="1"/>
  <c r="M25" i="1" s="1"/>
  <c r="L38" i="1"/>
  <c r="L31" i="1"/>
  <c r="L35" i="1" s="1"/>
  <c r="K40" i="1"/>
  <c r="K41" i="1" s="1"/>
  <c r="K42" i="1" s="1"/>
  <c r="K44" i="1" s="1"/>
  <c r="M37" i="1"/>
  <c r="L39" i="1"/>
  <c r="O30" i="2" l="1"/>
  <c r="N37" i="1"/>
  <c r="N31" i="1"/>
  <c r="N39" i="1"/>
  <c r="N38" i="1"/>
  <c r="M39" i="1"/>
  <c r="M38" i="1"/>
  <c r="L40" i="1"/>
  <c r="L41" i="1" s="1"/>
  <c r="L42" i="1" s="1"/>
  <c r="L44" i="1" s="1"/>
  <c r="M31" i="1"/>
  <c r="M35" i="1" s="1"/>
  <c r="O31" i="2" l="1"/>
  <c r="M40" i="1"/>
  <c r="M41" i="1" s="1"/>
  <c r="M42" i="1" s="1"/>
  <c r="M44" i="1" s="1"/>
  <c r="N40" i="1"/>
  <c r="N41" i="1" s="1"/>
  <c r="N42" i="1" s="1"/>
  <c r="N44" i="1" s="1"/>
  <c r="N35" i="1"/>
  <c r="O32" i="2" l="1"/>
  <c r="G13" i="2"/>
  <c r="O33" i="2" l="1"/>
  <c r="G15" i="2"/>
  <c r="O34" i="2" l="1"/>
  <c r="O35" i="2" l="1"/>
  <c r="O36" i="2" l="1"/>
  <c r="O37" i="2" l="1"/>
  <c r="O38" i="2" l="1"/>
  <c r="O39" i="2" l="1"/>
  <c r="O40" i="2" l="1"/>
  <c r="O41" i="2" l="1"/>
  <c r="O42" i="2" l="1"/>
  <c r="O43" i="2" l="1"/>
  <c r="O44" i="2" l="1"/>
  <c r="O45" i="2" l="1"/>
  <c r="O46" i="2" l="1"/>
  <c r="O47" i="2" l="1"/>
  <c r="O48" i="2" l="1"/>
  <c r="O49" i="2" l="1"/>
  <c r="O50" i="2" l="1"/>
  <c r="O51" i="2" l="1"/>
  <c r="O52" i="2" l="1"/>
  <c r="O53" i="2" l="1"/>
  <c r="O54" i="2" l="1"/>
  <c r="O55" i="2" l="1"/>
  <c r="O56" i="2" l="1"/>
  <c r="O57" i="2" l="1"/>
  <c r="O58" i="2" l="1"/>
  <c r="O59" i="2" l="1"/>
  <c r="O60" i="2" l="1"/>
  <c r="O61" i="2" l="1"/>
  <c r="O62" i="2" l="1"/>
  <c r="O63" i="2" l="1"/>
  <c r="O64" i="2" s="1"/>
  <c r="O65" i="2" s="1"/>
  <c r="O66" i="2" s="1"/>
  <c r="O67" i="2" s="1"/>
  <c r="O68" i="2" s="1"/>
  <c r="O69" i="2" s="1"/>
  <c r="O70" i="2" s="1"/>
  <c r="O71" i="2" s="1"/>
  <c r="O72" i="2" s="1"/>
  <c r="O73" i="2" s="1"/>
  <c r="O74" i="2" s="1"/>
  <c r="O75" i="2" s="1"/>
  <c r="O76" i="2" s="1"/>
  <c r="O77" i="2" s="1"/>
  <c r="O78" i="2" s="1"/>
  <c r="O79" i="2" s="1"/>
  <c r="O80" i="2" s="1"/>
  <c r="O81" i="2" s="1"/>
  <c r="O82" i="2" s="1"/>
  <c r="O83" i="2" s="1"/>
  <c r="O84" i="2" s="1"/>
  <c r="O85" i="2" s="1"/>
  <c r="O86" i="2" s="1"/>
  <c r="O87" i="2" s="1"/>
  <c r="O88" i="2" s="1"/>
  <c r="O89" i="2" s="1"/>
  <c r="O90" i="2" s="1"/>
  <c r="O91" i="2" s="1"/>
  <c r="O92" i="2" s="1"/>
  <c r="O93" i="2" s="1"/>
  <c r="O94" i="2" s="1"/>
  <c r="O95" i="2" s="1"/>
  <c r="O96" i="2" s="1"/>
  <c r="O97" i="2" s="1"/>
  <c r="O98" i="2" s="1"/>
  <c r="O99" i="2" s="1"/>
  <c r="O100" i="2" s="1"/>
  <c r="O101" i="2" s="1"/>
  <c r="O102" i="2" s="1"/>
  <c r="C54" i="2" s="1"/>
  <c r="E54" i="2" l="1"/>
  <c r="D54" i="2"/>
  <c r="C58" i="2"/>
  <c r="C19" i="2"/>
  <c r="C22" i="2"/>
  <c r="C21" i="2"/>
  <c r="C23" i="2"/>
  <c r="C20" i="2"/>
  <c r="C25" i="2"/>
  <c r="C26" i="2"/>
  <c r="C24" i="2"/>
  <c r="C28" i="2"/>
  <c r="C27" i="2"/>
  <c r="C30" i="2"/>
  <c r="C29" i="2"/>
  <c r="C33" i="2"/>
  <c r="C31" i="2"/>
  <c r="C32" i="2"/>
  <c r="C34" i="2"/>
  <c r="C35" i="2"/>
  <c r="C36" i="2"/>
  <c r="C40" i="2"/>
  <c r="C37" i="2"/>
  <c r="C38" i="2"/>
  <c r="C42" i="2"/>
  <c r="C39" i="2"/>
  <c r="C45" i="2"/>
  <c r="C41" i="2"/>
  <c r="C43" i="2"/>
  <c r="C48" i="2"/>
  <c r="C44" i="2"/>
  <c r="C49" i="2"/>
  <c r="C46" i="2"/>
  <c r="C47" i="2"/>
  <c r="C50" i="2"/>
  <c r="C55" i="2"/>
  <c r="C51" i="2"/>
  <c r="C56" i="2"/>
  <c r="C52" i="2"/>
  <c r="C53" i="2"/>
  <c r="C57" i="2"/>
  <c r="D48" i="2" l="1"/>
  <c r="E48" i="2"/>
  <c r="E53" i="2"/>
  <c r="D53" i="2"/>
  <c r="E49" i="2"/>
  <c r="D49" i="2"/>
  <c r="E38" i="2"/>
  <c r="D38" i="2"/>
  <c r="E33" i="2"/>
  <c r="D33" i="2"/>
  <c r="E20" i="2"/>
  <c r="D20" i="2"/>
  <c r="D57" i="2"/>
  <c r="E57" i="2"/>
  <c r="D52" i="2"/>
  <c r="E52" i="2"/>
  <c r="D44" i="2"/>
  <c r="E44" i="2"/>
  <c r="E37" i="2"/>
  <c r="D37" i="2"/>
  <c r="E29" i="2"/>
  <c r="D29" i="2"/>
  <c r="E23" i="2"/>
  <c r="D23" i="2"/>
  <c r="D40" i="2"/>
  <c r="E40" i="2"/>
  <c r="E51" i="2"/>
  <c r="D51" i="2"/>
  <c r="E43" i="2"/>
  <c r="D43" i="2"/>
  <c r="E36" i="2"/>
  <c r="D36" i="2"/>
  <c r="E27" i="2"/>
  <c r="D27" i="2"/>
  <c r="E22" i="2"/>
  <c r="D22" i="2"/>
  <c r="E21" i="2"/>
  <c r="D21" i="2"/>
  <c r="D55" i="2"/>
  <c r="E55" i="2"/>
  <c r="E41" i="2"/>
  <c r="D41" i="2"/>
  <c r="D35" i="2"/>
  <c r="E35" i="2"/>
  <c r="E28" i="2"/>
  <c r="D28" i="2"/>
  <c r="D19" i="2"/>
  <c r="E19" i="2"/>
  <c r="G14" i="2"/>
  <c r="E30" i="2"/>
  <c r="D30" i="2"/>
  <c r="E50" i="2"/>
  <c r="D50" i="2"/>
  <c r="E45" i="2"/>
  <c r="D45" i="2"/>
  <c r="D34" i="2"/>
  <c r="E34" i="2"/>
  <c r="D24" i="2"/>
  <c r="E24" i="2"/>
  <c r="E58" i="2"/>
  <c r="D58" i="2"/>
  <c r="D56" i="2"/>
  <c r="E56" i="2"/>
  <c r="E47" i="2"/>
  <c r="D47" i="2"/>
  <c r="E39" i="2"/>
  <c r="D39" i="2"/>
  <c r="E32" i="2"/>
  <c r="D32" i="2"/>
  <c r="E26" i="2"/>
  <c r="D26" i="2"/>
  <c r="E46" i="2"/>
  <c r="D46" i="2"/>
  <c r="D42" i="2"/>
  <c r="E42" i="2"/>
  <c r="E31" i="2"/>
  <c r="D31" i="2"/>
  <c r="E25" i="2"/>
  <c r="D25"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Dasilva, Ross</author>
  </authors>
  <commentList>
    <comment ref="C18" authorId="0" shapeId="0" xr:uid="{686C1494-C0D1-4985-8AE3-851D6652E15E}">
      <text>
        <r>
          <rPr>
            <sz val="9"/>
            <color indexed="81"/>
            <rFont val="Tahoma"/>
            <family val="2"/>
          </rPr>
          <t xml:space="preserve">https://ww2.arb.ca.gov/sites/default/files/classic/fuels/lcfs/fuelpathways/comments/tier2/2021_elec_update.pdf
This value, equal to the grid cabon intensity, is calculated annually.  If you think the carbon intensity of grid electricity is going to decrease (fewer GHGs/kWh), this number should decrease; keeping it the same value in this scenario results in a conservative estimate.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Nicholson, Benjamin@ARB</author>
  </authors>
  <commentList>
    <comment ref="G9" authorId="0" shapeId="0" xr:uid="{FB7F5B8E-36A4-4821-A401-42BA65D025D9}">
      <text>
        <r>
          <rPr>
            <sz val="9"/>
            <color indexed="81"/>
            <rFont val="Tahoma"/>
            <family val="2"/>
          </rPr>
          <t xml:space="preserve">
This calculator assumes that all chargers at the site are of the same FCI power capacity, have the same uptime, and dispense the same amount of electricity.</t>
        </r>
      </text>
    </comment>
    <comment ref="B13" authorId="0" shapeId="0" xr:uid="{7E31DB42-C2E3-4FB2-98AE-D191F304DE96}">
      <text>
        <r>
          <rPr>
            <sz val="9"/>
            <color indexed="81"/>
            <rFont val="Tahoma"/>
            <family val="2"/>
          </rPr>
          <t>Non-conversion values may be subject to recalculation by CARB. (ie, EER)</t>
        </r>
      </text>
    </comment>
  </commentList>
</comments>
</file>

<file path=xl/sharedStrings.xml><?xml version="1.0" encoding="utf-8"?>
<sst xmlns="http://schemas.openxmlformats.org/spreadsheetml/2006/main" count="261" uniqueCount="214">
  <si>
    <t>Year</t>
  </si>
  <si>
    <t>gCO2/MJ</t>
  </si>
  <si>
    <t>kWh/day</t>
  </si>
  <si>
    <t>Calculation</t>
  </si>
  <si>
    <t>g/MT</t>
  </si>
  <si>
    <t>d/Q</t>
  </si>
  <si>
    <t>User Input</t>
  </si>
  <si>
    <t>Fixed Input</t>
  </si>
  <si>
    <t>Output</t>
  </si>
  <si>
    <t>MJ/kWh</t>
  </si>
  <si>
    <t>Legend</t>
  </si>
  <si>
    <t>HIDE</t>
  </si>
  <si>
    <t>× N</t>
  </si>
  <si>
    <t>× C</t>
  </si>
  <si>
    <t>§ 95486.1.(a)(1)</t>
  </si>
  <si>
    <t>§ 95486.1.(a)(2)</t>
  </si>
  <si>
    <t>CI Calculation</t>
  </si>
  <si>
    <t>Credit Calculation</t>
  </si>
  <si>
    <t>MJ/MJ</t>
  </si>
  <si>
    <t>Heavy Duty FCI</t>
  </si>
  <si>
    <t>Benchmark Table for diesel-like fuels</t>
  </si>
  <si>
    <t>Private</t>
  </si>
  <si>
    <t>as defined in § 95481 of the LCFS regulation</t>
  </si>
  <si>
    <t>§ 95486.4.(a)(5)</t>
  </si>
  <si>
    <t>× UT</t>
  </si>
  <si>
    <t>kg/Q</t>
  </si>
  <si>
    <t>MJ/Q</t>
  </si>
  <si>
    <t>is a conversion factor for mass</t>
  </si>
  <si>
    <t>credits/Q</t>
  </si>
  <si>
    <t>Quarter</t>
  </si>
  <si>
    <t>is the conversion factor for energy, as found in Table 4</t>
  </si>
  <si>
    <t>Initial Capital Expenses</t>
  </si>
  <si>
    <t>Initial Grants and Funding</t>
  </si>
  <si>
    <t>Capital Expense Limit</t>
  </si>
  <si>
    <t>Estimated Credit Value</t>
  </si>
  <si>
    <t>Average LCFS Credit Price</t>
  </si>
  <si>
    <t>before Capital Expense Limit is reached</t>
  </si>
  <si>
    <t>First Quarter of Approved Operation</t>
  </si>
  <si>
    <t>2025 Q1</t>
  </si>
  <si>
    <t>Quarter Number</t>
  </si>
  <si>
    <t>2025 Q2</t>
  </si>
  <si>
    <t>2025 Q3</t>
  </si>
  <si>
    <t>2025 Q4</t>
  </si>
  <si>
    <t>2026 Q1</t>
  </si>
  <si>
    <t>2026 Q2</t>
  </si>
  <si>
    <t>2026 Q3</t>
  </si>
  <si>
    <t>2026 Q4</t>
  </si>
  <si>
    <t>2027 Q1</t>
  </si>
  <si>
    <t>2027 Q2</t>
  </si>
  <si>
    <t>2027 Q3</t>
  </si>
  <si>
    <t>2027 Q4</t>
  </si>
  <si>
    <t>2028 Q1</t>
  </si>
  <si>
    <t>2028 Q2</t>
  </si>
  <si>
    <t>2028 Q3</t>
  </si>
  <si>
    <t>2028 Q4</t>
  </si>
  <si>
    <t>2029 Q1</t>
  </si>
  <si>
    <t>2029 Q2</t>
  </si>
  <si>
    <t>2029 Q3</t>
  </si>
  <si>
    <t>2029 Q4</t>
  </si>
  <si>
    <t>2030 Q1</t>
  </si>
  <si>
    <t>2030 Q2</t>
  </si>
  <si>
    <t>2030 Q3</t>
  </si>
  <si>
    <t>2030 Q4</t>
  </si>
  <si>
    <t>2031 Q1</t>
  </si>
  <si>
    <t>2031 Q2</t>
  </si>
  <si>
    <t>2031 Q3</t>
  </si>
  <si>
    <t>2031 Q4</t>
  </si>
  <si>
    <t>2032 Q1</t>
  </si>
  <si>
    <t>2032 Q2</t>
  </si>
  <si>
    <t>2032 Q3</t>
  </si>
  <si>
    <t>2032 Q4</t>
  </si>
  <si>
    <t>2033 Q1</t>
  </si>
  <si>
    <t>2033 Q2</t>
  </si>
  <si>
    <t>2033 Q3</t>
  </si>
  <si>
    <t>2033 Q4</t>
  </si>
  <si>
    <t>2034 Q1</t>
  </si>
  <si>
    <t>2034 Q2</t>
  </si>
  <si>
    <t>2034 Q3</t>
  </si>
  <si>
    <t>2034 Q4</t>
  </si>
  <si>
    <t>2035 Q1</t>
  </si>
  <si>
    <t>2035 Q2</t>
  </si>
  <si>
    <t>2035 Q3</t>
  </si>
  <si>
    <t>2035 Q4</t>
  </si>
  <si>
    <t>2036 Q1</t>
  </si>
  <si>
    <t>2036 Q2</t>
  </si>
  <si>
    <t>2036 Q3</t>
  </si>
  <si>
    <t>2036 Q4</t>
  </si>
  <si>
    <t>2037 Q1</t>
  </si>
  <si>
    <t>2037 Q2</t>
  </si>
  <si>
    <t>2037 Q3</t>
  </si>
  <si>
    <t>2037 Q4</t>
  </si>
  <si>
    <t>2038 Q1</t>
  </si>
  <si>
    <t>2038 Q2</t>
  </si>
  <si>
    <t>2038 Q3</t>
  </si>
  <si>
    <t>2038 Q4</t>
  </si>
  <si>
    <t>2039 Q1</t>
  </si>
  <si>
    <t>2039 Q2</t>
  </si>
  <si>
    <t>2039 Q3</t>
  </si>
  <si>
    <t>2039 Q4</t>
  </si>
  <si>
    <t>2040 Q1</t>
  </si>
  <si>
    <t>2040 Q2</t>
  </si>
  <si>
    <t>2040 Q3</t>
  </si>
  <si>
    <t>2040 Q4</t>
  </si>
  <si>
    <t>2041 Q1</t>
  </si>
  <si>
    <t>2041 Q2</t>
  </si>
  <si>
    <t>2041 Q3</t>
  </si>
  <si>
    <t>2041 Q4</t>
  </si>
  <si>
    <t>2042 Q1</t>
  </si>
  <si>
    <t>2042 Q2</t>
  </si>
  <si>
    <t>2042 Q3</t>
  </si>
  <si>
    <t>2042 Q4</t>
  </si>
  <si>
    <t>2043 Q1</t>
  </si>
  <si>
    <t>2043 Q2</t>
  </si>
  <si>
    <t>2043 Q3</t>
  </si>
  <si>
    <t>2043 Q4</t>
  </si>
  <si>
    <t>2044 Q1</t>
  </si>
  <si>
    <t>2044 Q2</t>
  </si>
  <si>
    <t>2044 Q3</t>
  </si>
  <si>
    <t>2044 Q4</t>
  </si>
  <si>
    <t>2045 Q1</t>
  </si>
  <si>
    <t>2045 Q2</t>
  </si>
  <si>
    <t>2045 Q3</t>
  </si>
  <si>
    <t>2045 Q4</t>
  </si>
  <si>
    <t xml:space="preserve"> Q2</t>
  </si>
  <si>
    <t xml:space="preserve"> Q1</t>
  </si>
  <si>
    <t xml:space="preserve"> Q3</t>
  </si>
  <si>
    <t xml:space="preserve"> Q4</t>
  </si>
  <si>
    <t>is the number of days in the quarter (91.25 is used as an average)</t>
  </si>
  <si>
    <t>is the carbon intensity benchmark for diesel-like fuels; calculated annually per § 95484(b)</t>
  </si>
  <si>
    <t>is the average carbon intensity requirement for diesel (XD=diesel) for a given year as provided in § 95484</t>
  </si>
  <si>
    <r>
      <t>gCO</t>
    </r>
    <r>
      <rPr>
        <vertAlign val="subscript"/>
        <sz val="12"/>
        <color theme="1"/>
        <rFont val="Avenir LT Std 55 Roman"/>
        <family val="2"/>
      </rPr>
      <t>2</t>
    </r>
    <r>
      <rPr>
        <sz val="12"/>
        <color theme="1"/>
        <rFont val="Avenir LT Std 55 Roman"/>
        <family val="2"/>
      </rPr>
      <t>e/MJ</t>
    </r>
  </si>
  <si>
    <r>
      <t>(CI</t>
    </r>
    <r>
      <rPr>
        <b/>
        <i/>
        <vertAlign val="superscript"/>
        <sz val="12"/>
        <color theme="1"/>
        <rFont val="Avenir LT Std 55 Roman"/>
        <family val="2"/>
      </rPr>
      <t>diesel</t>
    </r>
    <r>
      <rPr>
        <b/>
        <i/>
        <vertAlign val="subscript"/>
        <sz val="12"/>
        <color theme="1"/>
        <rFont val="Avenir LT Std 55 Roman"/>
        <family val="2"/>
      </rPr>
      <t>standard</t>
    </r>
  </si>
  <si>
    <r>
      <t>× EER</t>
    </r>
    <r>
      <rPr>
        <b/>
        <i/>
        <vertAlign val="superscript"/>
        <sz val="12"/>
        <color theme="1"/>
        <rFont val="Avenir LT Std 55 Roman"/>
        <family val="2"/>
      </rPr>
      <t>diesel</t>
    </r>
  </si>
  <si>
    <r>
      <t>CI</t>
    </r>
    <r>
      <rPr>
        <b/>
        <i/>
        <vertAlign val="subscript"/>
        <sz val="12"/>
        <color theme="1"/>
        <rFont val="Avenir LT Std 55 Roman"/>
        <family val="2"/>
      </rPr>
      <t>i</t>
    </r>
  </si>
  <si>
    <r>
      <t>∕</t>
    </r>
    <r>
      <rPr>
        <b/>
        <i/>
        <sz val="12"/>
        <color theme="1"/>
        <rFont val="Avenir LT Std 55 Roman"/>
        <family val="2"/>
      </rPr>
      <t xml:space="preserve"> EER</t>
    </r>
    <r>
      <rPr>
        <b/>
        <i/>
        <vertAlign val="superscript"/>
        <sz val="12"/>
        <color theme="1"/>
        <rFont val="Avenir LT Std 55 Roman"/>
        <family val="2"/>
      </rPr>
      <t>XD</t>
    </r>
  </si>
  <si>
    <r>
      <t xml:space="preserve">= </t>
    </r>
    <r>
      <rPr>
        <b/>
        <i/>
        <sz val="12"/>
        <color theme="1"/>
        <rFont val="Avenir LT Std 55 Roman"/>
        <family val="2"/>
      </rPr>
      <t>CI</t>
    </r>
    <r>
      <rPr>
        <b/>
        <i/>
        <vertAlign val="superscript"/>
        <sz val="12"/>
        <color theme="1"/>
        <rFont val="Avenir LT Std 55 Roman"/>
        <family val="2"/>
      </rPr>
      <t>XD</t>
    </r>
    <r>
      <rPr>
        <b/>
        <i/>
        <vertAlign val="subscript"/>
        <sz val="12"/>
        <color theme="1"/>
        <rFont val="Avenir LT Std 55 Roman"/>
        <family val="2"/>
      </rPr>
      <t>reported</t>
    </r>
  </si>
  <si>
    <r>
      <t>(</t>
    </r>
    <r>
      <rPr>
        <b/>
        <i/>
        <sz val="12"/>
        <color theme="1"/>
        <rFont val="Avenir LT Std 55 Roman"/>
        <family val="2"/>
      </rPr>
      <t>CI</t>
    </r>
    <r>
      <rPr>
        <b/>
        <i/>
        <vertAlign val="superscript"/>
        <sz val="12"/>
        <color theme="1"/>
        <rFont val="Avenir LT Std 55 Roman"/>
        <family val="2"/>
      </rPr>
      <t>XD</t>
    </r>
    <r>
      <rPr>
        <b/>
        <i/>
        <vertAlign val="subscript"/>
        <sz val="12"/>
        <color theme="1"/>
        <rFont val="Avenir LT Std 55 Roman"/>
        <family val="2"/>
      </rPr>
      <t>standard</t>
    </r>
  </si>
  <si>
    <r>
      <t xml:space="preserve">− </t>
    </r>
    <r>
      <rPr>
        <b/>
        <i/>
        <sz val="12"/>
        <color theme="1"/>
        <rFont val="Avenir LT Std 55 Roman"/>
        <family val="2"/>
      </rPr>
      <t>CI</t>
    </r>
    <r>
      <rPr>
        <b/>
        <i/>
        <vertAlign val="superscript"/>
        <sz val="12"/>
        <color theme="1"/>
        <rFont val="Avenir LT Std 55 Roman"/>
        <family val="2"/>
      </rPr>
      <t>XD</t>
    </r>
    <r>
      <rPr>
        <b/>
        <i/>
        <vertAlign val="subscript"/>
        <sz val="12"/>
        <color theme="1"/>
        <rFont val="Avenir LT Std 55 Roman"/>
        <family val="2"/>
      </rPr>
      <t>reported</t>
    </r>
    <r>
      <rPr>
        <b/>
        <sz val="12"/>
        <color theme="1"/>
        <rFont val="Avenir LT Std 55 Roman"/>
        <family val="2"/>
      </rPr>
      <t>)</t>
    </r>
  </si>
  <si>
    <r>
      <t>× E</t>
    </r>
    <r>
      <rPr>
        <b/>
        <i/>
        <vertAlign val="superscript"/>
        <sz val="12"/>
        <color theme="1"/>
        <rFont val="Avenir LT Std 55 Roman"/>
        <family val="2"/>
      </rPr>
      <t>XD</t>
    </r>
    <r>
      <rPr>
        <b/>
        <i/>
        <vertAlign val="subscript"/>
        <sz val="12"/>
        <color theme="1"/>
        <rFont val="Avenir LT Std 55 Roman"/>
        <family val="2"/>
      </rPr>
      <t>displaced</t>
    </r>
  </si>
  <si>
    <r>
      <t>is a factor used to convert credits to units of metric tons from gCO</t>
    </r>
    <r>
      <rPr>
        <vertAlign val="subscript"/>
        <sz val="12"/>
        <color theme="1"/>
        <rFont val="Avenir LT Std 55 Roman"/>
        <family val="2"/>
      </rPr>
      <t>2</t>
    </r>
    <r>
      <rPr>
        <sz val="12"/>
        <color theme="1"/>
        <rFont val="Avenir LT Std 55 Roman"/>
        <family val="2"/>
      </rPr>
      <t>e</t>
    </r>
  </si>
  <si>
    <r>
      <t>= Credits</t>
    </r>
    <r>
      <rPr>
        <b/>
        <i/>
        <vertAlign val="superscript"/>
        <sz val="12"/>
        <color theme="1"/>
        <rFont val="Avenir LT Std 55 Roman"/>
        <family val="2"/>
      </rPr>
      <t>XD</t>
    </r>
    <r>
      <rPr>
        <b/>
        <i/>
        <vertAlign val="subscript"/>
        <sz val="12"/>
        <color theme="1"/>
        <rFont val="Avenir LT Std 55 Roman"/>
        <family val="2"/>
      </rPr>
      <t>i</t>
    </r>
  </si>
  <si>
    <t>The webpage for the Zero Emission Infrastructure Program, which includes:</t>
  </si>
  <si>
    <t xml:space="preserve">  ◦ a PowerPoint overview of the program;</t>
  </si>
  <si>
    <t xml:space="preserve">  ◦ this application template;</t>
  </si>
  <si>
    <t xml:space="preserve">  ◦ a list and map of approved FCI stations; and</t>
  </si>
  <si>
    <t xml:space="preserve">  ◦ a calculation of the estimated potential FCI credits</t>
  </si>
  <si>
    <t>LCFS Guidance Documents, User Guides, and FAQs, which includes:</t>
  </si>
  <si>
    <t xml:space="preserve">  ◦ LCFS Guidance 19-02, Cost and Revenue Reporting for Infrastructure</t>
  </si>
  <si>
    <t xml:space="preserve">     Pathways, and the FCI Reporting Template;</t>
  </si>
  <si>
    <t xml:space="preserve">  ◦ LCFS Guidance 19-04, Fuel Supply Equipment Registration;</t>
  </si>
  <si>
    <r>
      <t xml:space="preserve">Questions and issues should be directed to FCI staff, whose contact information can be found under ZEV Fueling Infrastructure Crediting at </t>
    </r>
    <r>
      <rPr>
        <u/>
        <sz val="12"/>
        <color rgb="FF0070C0"/>
        <rFont val="Avenir LT Std 55 Roman"/>
        <family val="2"/>
      </rPr>
      <t>this link</t>
    </r>
    <r>
      <rPr>
        <sz val="12"/>
        <rFont val="Avenir LT Std 55 Roman"/>
        <family val="2"/>
      </rPr>
      <t>.</t>
    </r>
  </si>
  <si>
    <t xml:space="preserve">  ◦ Section 4 of the old Application Instructions for how to submit this application in the LCFS Reporting Tool;</t>
  </si>
  <si>
    <t xml:space="preserve">  ◦ the LCFS Reporting Tool Credit Bank &amp; Transfer Syste (LRT-CBTS) User Guide</t>
  </si>
  <si>
    <r>
      <t xml:space="preserve">can be found at </t>
    </r>
    <r>
      <rPr>
        <u/>
        <sz val="12"/>
        <color rgb="FF0070C0"/>
        <rFont val="Avenir LT Std 55 Roman"/>
        <family val="2"/>
      </rPr>
      <t>this link</t>
    </r>
    <r>
      <rPr>
        <sz val="12"/>
        <rFont val="Avenir LT Std 55 Roman"/>
        <family val="2"/>
      </rPr>
      <t>.</t>
    </r>
  </si>
  <si>
    <t>Shared</t>
  </si>
  <si>
    <t>credits/yr</t>
  </si>
  <si>
    <t>/credit</t>
  </si>
  <si>
    <t>assured before station operation</t>
  </si>
  <si>
    <t>Heavy-Duty Fast Charging Infrastructure (HD-FCI) and Dispensed Electricity LCFS Credit Calculator</t>
  </si>
  <si>
    <r>
      <t>HD-FCI Charger FCI Power Rating (P</t>
    </r>
    <r>
      <rPr>
        <b/>
        <vertAlign val="superscript"/>
        <sz val="12"/>
        <color theme="1"/>
        <rFont val="Avenir LT Std 55 Roman"/>
        <family val="2"/>
      </rPr>
      <t>i</t>
    </r>
    <r>
      <rPr>
        <b/>
        <vertAlign val="subscript"/>
        <sz val="12"/>
        <color theme="1"/>
        <rFont val="Avenir LT Std 55 Roman"/>
        <family val="2"/>
      </rPr>
      <t>FCI</t>
    </r>
    <r>
      <rPr>
        <b/>
        <sz val="12"/>
        <color theme="1"/>
        <rFont val="Avenir LT Std 55 Roman"/>
        <family val="2"/>
      </rPr>
      <t>)</t>
    </r>
  </si>
  <si>
    <t>is the power rating for which FCI charging capacity is determined</t>
  </si>
  <si>
    <t>kW</t>
  </si>
  <si>
    <t>calculated per to § 95486.4(b)(2)(F)</t>
  </si>
  <si>
    <r>
      <t>HD-FCI Charger Charging Capacity (Cap</t>
    </r>
    <r>
      <rPr>
        <b/>
        <vertAlign val="superscript"/>
        <sz val="12"/>
        <color theme="1"/>
        <rFont val="Avenir LT Std 55 Roman"/>
        <family val="2"/>
      </rPr>
      <t>i</t>
    </r>
    <r>
      <rPr>
        <b/>
        <vertAlign val="subscript"/>
        <sz val="12"/>
        <color theme="1"/>
        <rFont val="Avenir LT Std 55 Roman"/>
        <family val="2"/>
      </rPr>
      <t>HD-FCI</t>
    </r>
    <r>
      <rPr>
        <b/>
        <sz val="12"/>
        <color theme="1"/>
        <rFont val="Avenir LT Std 55 Roman"/>
        <family val="2"/>
      </rPr>
      <t>)</t>
    </r>
  </si>
  <si>
    <r>
      <t>F</t>
    </r>
    <r>
      <rPr>
        <b/>
        <vertAlign val="superscript"/>
        <sz val="12"/>
        <color theme="1"/>
        <rFont val="Avenir LT Std 55 Roman"/>
        <family val="2"/>
      </rPr>
      <t>site</t>
    </r>
    <r>
      <rPr>
        <b/>
        <vertAlign val="subscript"/>
        <sz val="12"/>
        <color theme="1"/>
        <rFont val="Avenir LT Std 55 Roman"/>
        <family val="2"/>
      </rPr>
      <t>HD</t>
    </r>
  </si>
  <si>
    <t>is the quantity of electricity dispensed by the charger during the quarter</t>
  </si>
  <si>
    <t>is the uptime multiplier for the fraction of time the charger was available that quarter</t>
  </si>
  <si>
    <t>is the factor applied to the charger, whether shared or private</t>
  </si>
  <si>
    <t>is the uptime multiplier for the fraction of time the charger was available for charging that quarter</t>
  </si>
  <si>
    <t>is the California average grid electricity CI</t>
  </si>
  <si>
    <r>
      <t xml:space="preserve"> - CI</t>
    </r>
    <r>
      <rPr>
        <b/>
        <i/>
        <vertAlign val="subscript"/>
        <sz val="12"/>
        <color theme="1"/>
        <rFont val="Avenir LT Std 55 Roman"/>
        <family val="2"/>
      </rPr>
      <t>FCI</t>
    </r>
    <r>
      <rPr>
        <b/>
        <i/>
        <sz val="12"/>
        <color theme="1"/>
        <rFont val="Avenir LT Std 55 Roman"/>
        <family val="2"/>
      </rPr>
      <t>)</t>
    </r>
  </si>
  <si>
    <r>
      <t>× (Cap</t>
    </r>
    <r>
      <rPr>
        <b/>
        <i/>
        <vertAlign val="superscript"/>
        <sz val="12"/>
        <color theme="1"/>
        <rFont val="Avenir LT Std 55 Roman"/>
        <family val="2"/>
      </rPr>
      <t>i</t>
    </r>
    <r>
      <rPr>
        <b/>
        <i/>
        <vertAlign val="subscript"/>
        <sz val="12"/>
        <color theme="1"/>
        <rFont val="Avenir LT Std 55 Roman"/>
        <family val="2"/>
      </rPr>
      <t>HD-FCI</t>
    </r>
  </si>
  <si>
    <r>
      <t>× C</t>
    </r>
    <r>
      <rPr>
        <b/>
        <i/>
        <vertAlign val="subscript"/>
        <sz val="12"/>
        <color theme="1"/>
        <rFont val="Avenir LT Std 55 Roman"/>
        <family val="2"/>
      </rPr>
      <t>Elec</t>
    </r>
  </si>
  <si>
    <t>is the HD-FCI daily refueling capacity for the FSE, calculated pursuant to § 95486.4.(b)(2)(F)</t>
  </si>
  <si>
    <r>
      <t>- Elec</t>
    </r>
    <r>
      <rPr>
        <b/>
        <i/>
        <vertAlign val="subscript"/>
        <sz val="12"/>
        <color theme="1"/>
        <rFont val="Avenir LT Std 55 Roman"/>
        <family val="2"/>
      </rPr>
      <t>disp</t>
    </r>
    <r>
      <rPr>
        <b/>
        <i/>
        <sz val="12"/>
        <color theme="1"/>
        <rFont val="Avenir LT Std 55 Roman"/>
        <family val="2"/>
      </rPr>
      <t>)</t>
    </r>
  </si>
  <si>
    <t>Charger's Electricity Dispensed/Quarter</t>
  </si>
  <si>
    <t>Is the HD-FCI charger shared or private?</t>
  </si>
  <si>
    <r>
      <t>Credits</t>
    </r>
    <r>
      <rPr>
        <b/>
        <vertAlign val="subscript"/>
        <sz val="12"/>
        <color theme="1"/>
        <rFont val="Avenir LT Std 55 Roman"/>
        <family val="2"/>
      </rPr>
      <t>HD-FCI</t>
    </r>
  </si>
  <si>
    <t>is the number of LCFS credits generated quarterly through the charger's FCI pathway calculated pursuant to § 95486.4(b)(5)</t>
  </si>
  <si>
    <t>is the quantity of electricity dispensed during the quarter</t>
  </si>
  <si>
    <t>is the Energy Economy Ratio for heavy-duty electric trucks and buses, as found in Table 5</t>
  </si>
  <si>
    <t>is the adjusted carbon intensity value of the dispensed electricity calculated pursuant to § 95486.1(a)(2)</t>
  </si>
  <si>
    <t>is the charger average CI for dispensed electricity</t>
  </si>
  <si>
    <t>Dispensed Electricity</t>
  </si>
  <si>
    <t>is the adjusted carbon intensity value of the dispensed electricity calculated per to § 95486.1(a)(2)</t>
  </si>
  <si>
    <t>is the total quantity of diesel energy displaced by the use of electricity, calculated per to § 95486.1(a)(3)</t>
  </si>
  <si>
    <t>is the number of LCFS credits generated quarterly for the charger's dispensed electricity calculated pursuant to § 95486.1(a)(2)</t>
  </si>
  <si>
    <t>Maximim Possible FCI Credits 
generated quarterly by the charger</t>
  </si>
  <si>
    <t>Anticipated California Grid Electricity Carbon Intensity</t>
  </si>
  <si>
    <t>is the California average grid electricity CI (70.05 in 2025; applicant must enter values for subsequent years)</t>
  </si>
  <si>
    <t>for a single Heavy-Duty Charger</t>
  </si>
  <si>
    <t>Dispensed Electricity Credits 
generated quarterly by the charger</t>
  </si>
  <si>
    <t>Quarterly FCI + Electricity Credits</t>
  </si>
  <si>
    <t>FCI Credits 
generated quarterly by the charger</t>
  </si>
  <si>
    <t>Annual FCI + Electricity Credits</t>
  </si>
  <si>
    <t>Annual LCFS Credit Revenue for the Charger</t>
  </si>
  <si>
    <t>FCI 
Credits</t>
  </si>
  <si>
    <t>as defined pursuant to § 95486.4(b)(6)(C)(1)</t>
  </si>
  <si>
    <t>calculated pursuant to § 95486.4(b)(4)(I)</t>
  </si>
  <si>
    <t>Total estimated cumulative FCI proceeds</t>
  </si>
  <si>
    <t>Last Quarter of FCI proceeds</t>
  </si>
  <si>
    <t>of 40 quarters in HD-FCI crediting period</t>
  </si>
  <si>
    <t>kWh/Q</t>
  </si>
  <si>
    <t xml:space="preserve">Estimated Value of FCI Credits </t>
  </si>
  <si>
    <t>Estimated Cumulative Value of FCI Credits</t>
  </si>
  <si>
    <t>Heavy-Duty Fast Charging Infrastructure (HD-FCI) 
Capital Expense Limit Calculation</t>
  </si>
  <si>
    <t>This is the CARB LCFS Calculator for the Fast Charging Infrasturcture Pathway for Heavy-Duty vehicles (HD-FCI), part of the California Air Resources Board's (CARB) Low Carbon Fuels Standard's (LCFS) Zero Emission Infrasturcture Program.  This Calculator is meant for entities in the LCFS who wish to receive infrastructure credits for installing direct current fast chargers designed to be accessible to Class 8 vehicles.</t>
  </si>
  <si>
    <r>
      <rPr>
        <sz val="12"/>
        <rFont val="Avenir LT Std 55 Roman"/>
        <family val="2"/>
      </rPr>
      <t>The FCI Pathway was created with the Board approval of the 2018 amendments to CARB's LCFS regulation, and amended for heavy-duty vehicles with the Board approval of the 2024 amendments.  The HD-FCI program is described in Section 95486.4(b) of the regulation; an online version is available at</t>
    </r>
    <r>
      <rPr>
        <sz val="12"/>
        <color theme="10"/>
        <rFont val="Avenir LT Std 55 Roman"/>
        <family val="2"/>
      </rPr>
      <t xml:space="preserve"> </t>
    </r>
    <r>
      <rPr>
        <u/>
        <sz val="12"/>
        <color theme="10"/>
        <rFont val="Avenir LT Std 55 Roman"/>
        <family val="2"/>
      </rPr>
      <t>this link.</t>
    </r>
  </si>
  <si>
    <t>This calculator, on the "Calculator" worksheet, can be used by applicants to HD-FCI to estimate the proceeds from LCFS credits generated by a direct current fast charger from both dispensed electricity and through HD-FCI. CARB does not predict future credit prices or California average grid electricity carbon intensity.</t>
  </si>
  <si>
    <t>This calculator can also estimate when a direct current fast charger becomes inelligible to generate additional FCI credits based on estimated FCI credit value and charger capital expenses. This estimation is found on the "CapEx" worksheet. This CapEx limit calculation can accomodate multiple chargers, assuming they have the same FCI power capacity, uptime, and dispensed electricity each quarter.</t>
  </si>
  <si>
    <t>Applicant Dispensed Electricity Carbon Intensity</t>
  </si>
  <si>
    <t>is the carbon intensity (CI) of the dispensed electricity (if grid electricity, it should be equal to the grid CI value in the cell below it)</t>
  </si>
  <si>
    <t>Calculator Updated 2025-07-30</t>
  </si>
  <si>
    <t>Charger Uptime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</si>
</sst>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4" formatCode="_(&quot;$&quot;* #,##0.00_);_(&quot;$&quot;* \(#,##0.00\);_(&quot;$&quot;* &quot;-&quot;??_);_(@_)"/>
    <numFmt numFmtId="43" formatCode="_(* #,##0.00_);_(* \(#,##0.00\);_(* &quot;-&quot;??_);_(@_)"/>
    <numFmt numFmtId="164" formatCode="_(* #,##0.0_);_(* \(#,##0.0\);_(* &quot;-&quot;??_);_(@_)"/>
    <numFmt numFmtId="165" formatCode="_(&quot;$&quot;* #,##0_);_(&quot;$&quot;* \(#,##0\);_(&quot;$&quot;* &quot;-&quot;??_);_(@_)"/>
    <numFmt numFmtId="166" formatCode="&quot;$&quot;#,##0"/>
    <numFmt numFmtId="167" formatCode="_(* #,##0_);_(* \(#,##0\);_(* &quot;-&quot;??_);_(@_)"/>
    <numFmt numFmtId="168" formatCode="_(&quot;$&quot;* #,##0_);_(&quot;$&quot;* \(#,##0\);_(&quot;$&quot;* &quot;-&quot;?_);_(@_)"/>
    <numFmt numFmtId="169" formatCode="0.0"/>
  </numFmts>
  <fonts count="26" x14ac:knownFonts="1">
    <font>
      <sz val="11"/>
      <color theme="1"/>
      <name val="Calibri"/>
      <family val="2"/>
      <scheme val="minor"/>
    </font>
    <font>
      <sz val="11"/>
      <color theme="1"/>
      <name val="Calibri"/>
      <family val="2"/>
      <scheme val="minor"/>
    </font>
    <font>
      <sz val="9"/>
      <color indexed="81"/>
      <name val="Tahoma"/>
      <family val="2"/>
    </font>
    <font>
      <u/>
      <sz val="11"/>
      <color theme="10"/>
      <name val="Calibri"/>
      <family val="2"/>
      <scheme val="minor"/>
    </font>
    <font>
      <sz val="8"/>
      <name val="Calibri"/>
      <family val="2"/>
      <scheme val="minor"/>
    </font>
    <font>
      <b/>
      <sz val="16"/>
      <color theme="1"/>
      <name val="Avenir LT Std 55 Roman"/>
      <family val="2"/>
    </font>
    <font>
      <sz val="11"/>
      <color theme="1"/>
      <name val="Avenir LT Std 55 Roman"/>
      <family val="2"/>
    </font>
    <font>
      <b/>
      <sz val="11"/>
      <color theme="1"/>
      <name val="Avenir LT Std 55 Roman"/>
      <family val="2"/>
    </font>
    <font>
      <sz val="12"/>
      <color theme="1"/>
      <name val="Avenir LT Std 55 Roman"/>
      <family val="2"/>
    </font>
    <font>
      <i/>
      <sz val="12"/>
      <color theme="1"/>
      <name val="Avenir LT Std 55 Roman"/>
      <family val="2"/>
    </font>
    <font>
      <b/>
      <sz val="12"/>
      <color theme="1"/>
      <name val="Avenir LT Std 55 Roman"/>
      <family val="2"/>
    </font>
    <font>
      <b/>
      <vertAlign val="superscript"/>
      <sz val="12"/>
      <color theme="1"/>
      <name val="Avenir LT Std 55 Roman"/>
      <family val="2"/>
    </font>
    <font>
      <b/>
      <vertAlign val="subscript"/>
      <sz val="12"/>
      <color theme="1"/>
      <name val="Avenir LT Std 55 Roman"/>
      <family val="2"/>
    </font>
    <font>
      <b/>
      <i/>
      <sz val="12"/>
      <color theme="1"/>
      <name val="Avenir LT Std 55 Roman"/>
      <family val="2"/>
    </font>
    <font>
      <vertAlign val="subscript"/>
      <sz val="12"/>
      <color theme="1"/>
      <name val="Avenir LT Std 55 Roman"/>
      <family val="2"/>
    </font>
    <font>
      <b/>
      <i/>
      <vertAlign val="superscript"/>
      <sz val="12"/>
      <color theme="1"/>
      <name val="Avenir LT Std 55 Roman"/>
      <family val="2"/>
    </font>
    <font>
      <b/>
      <i/>
      <vertAlign val="subscript"/>
      <sz val="12"/>
      <color theme="1"/>
      <name val="Avenir LT Std 55 Roman"/>
      <family val="2"/>
    </font>
    <font>
      <sz val="22"/>
      <color theme="1"/>
      <name val="Avenir LT Std 55 Roman"/>
      <family val="2"/>
    </font>
    <font>
      <sz val="12"/>
      <name val="Avenir LT Std 55 Roman"/>
      <family val="2"/>
    </font>
    <font>
      <u/>
      <sz val="12"/>
      <color rgb="FF0070C0"/>
      <name val="Avenir LT Std 55 Roman"/>
      <family val="2"/>
    </font>
    <font>
      <sz val="12"/>
      <color theme="0"/>
      <name val="Avenir LT Std 55 Roman"/>
      <family val="2"/>
    </font>
    <font>
      <b/>
      <sz val="22"/>
      <name val="Avenir LT Std 55 Roman"/>
      <family val="2"/>
    </font>
    <font>
      <b/>
      <sz val="18"/>
      <name val="Avenir LT Std 55 Roman"/>
      <family val="2"/>
    </font>
    <font>
      <u/>
      <sz val="12"/>
      <color theme="10"/>
      <name val="Avenir LT Std 55 Roman"/>
      <family val="2"/>
    </font>
    <font>
      <sz val="12"/>
      <color theme="10"/>
      <name val="Avenir LT Std 55 Roman"/>
      <family val="2"/>
    </font>
    <font>
      <b/>
      <sz val="12"/>
      <color rgb="FFFF0000"/>
      <name val="Avenir LT Std 55 Roman"/>
      <family val="2"/>
    </font>
  </fonts>
  <fills count="6">
    <fill>
      <patternFill patternType="none"/>
    </fill>
    <fill>
      <patternFill patternType="gray125"/>
    </fill>
    <fill>
      <patternFill patternType="solid">
        <fgColor theme="9" tint="0.59999389629810485"/>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theme="7" tint="0.59999389629810485"/>
        <bgColor indexed="64"/>
      </patternFill>
    </fill>
  </fills>
  <borders count="18">
    <border>
      <left/>
      <right/>
      <top/>
      <bottom/>
      <diagonal/>
    </border>
    <border>
      <left/>
      <right/>
      <top style="medium">
        <color indexed="64"/>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ck">
        <color theme="3"/>
      </left>
      <right style="thick">
        <color theme="3"/>
      </right>
      <top style="thick">
        <color theme="3"/>
      </top>
      <bottom/>
      <diagonal/>
    </border>
    <border>
      <left style="thick">
        <color theme="3"/>
      </left>
      <right style="thick">
        <color theme="3"/>
      </right>
      <top/>
      <bottom/>
      <diagonal/>
    </border>
    <border>
      <left style="thick">
        <color theme="3"/>
      </left>
      <right style="thick">
        <color theme="3"/>
      </right>
      <top/>
      <bottom style="thick">
        <color theme="3"/>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3" fillId="0" borderId="0" applyNumberFormat="0" applyFill="0" applyBorder="0" applyAlignment="0" applyProtection="0"/>
  </cellStyleXfs>
  <cellXfs count="106">
    <xf numFmtId="0" fontId="0" fillId="0" borderId="0" xfId="0"/>
    <xf numFmtId="0" fontId="5" fillId="0" borderId="0" xfId="0" applyFont="1" applyAlignment="1">
      <alignment horizontal="left"/>
    </xf>
    <xf numFmtId="0" fontId="6" fillId="0" borderId="0" xfId="0" applyFont="1"/>
    <xf numFmtId="0" fontId="7" fillId="0" borderId="0" xfId="0" applyFont="1" applyAlignment="1">
      <alignment horizontal="right"/>
    </xf>
    <xf numFmtId="1" fontId="6" fillId="0" borderId="0" xfId="0" applyNumberFormat="1" applyFont="1"/>
    <xf numFmtId="0" fontId="8" fillId="0" borderId="0" xfId="0" applyFont="1"/>
    <xf numFmtId="0" fontId="9" fillId="0" borderId="0" xfId="0" applyFont="1" applyAlignment="1">
      <alignment horizontal="center" vertical="center"/>
    </xf>
    <xf numFmtId="0" fontId="8" fillId="0" borderId="0" xfId="0" applyFont="1" applyAlignment="1">
      <alignment horizontal="right"/>
    </xf>
    <xf numFmtId="0" fontId="8" fillId="2" borderId="4" xfId="0" applyFont="1" applyFill="1" applyBorder="1"/>
    <xf numFmtId="0" fontId="8" fillId="3" borderId="0" xfId="0" applyFont="1" applyFill="1"/>
    <xf numFmtId="0" fontId="8" fillId="4" borderId="0" xfId="0" applyFont="1" applyFill="1"/>
    <xf numFmtId="168" fontId="8" fillId="4" borderId="4" xfId="0" applyNumberFormat="1" applyFont="1" applyFill="1" applyBorder="1"/>
    <xf numFmtId="0" fontId="10" fillId="0" borderId="3" xfId="0" applyFont="1" applyBorder="1"/>
    <xf numFmtId="165" fontId="10" fillId="0" borderId="4" xfId="0" applyNumberFormat="1" applyFont="1" applyBorder="1"/>
    <xf numFmtId="0" fontId="10" fillId="0" borderId="4" xfId="0" applyFont="1" applyBorder="1" applyAlignment="1">
      <alignment horizontal="center"/>
    </xf>
    <xf numFmtId="0" fontId="10" fillId="0" borderId="0" xfId="0" applyFont="1"/>
    <xf numFmtId="0" fontId="10" fillId="0" borderId="0" xfId="0" applyFont="1" applyAlignment="1">
      <alignment horizontal="right"/>
    </xf>
    <xf numFmtId="0" fontId="8" fillId="0" borderId="0" xfId="0" applyFont="1" applyAlignment="1">
      <alignment wrapText="1"/>
    </xf>
    <xf numFmtId="0" fontId="10" fillId="0" borderId="0" xfId="0" applyFont="1" applyAlignment="1">
      <alignment horizontal="center"/>
    </xf>
    <xf numFmtId="0" fontId="13" fillId="0" borderId="0" xfId="0" applyFont="1"/>
    <xf numFmtId="0" fontId="8" fillId="4" borderId="2" xfId="0" applyFont="1" applyFill="1" applyBorder="1" applyAlignment="1">
      <alignment horizontal="center"/>
    </xf>
    <xf numFmtId="0" fontId="8" fillId="0" borderId="0" xfId="0" applyFont="1" applyAlignment="1">
      <alignment horizontal="right" indent="1"/>
    </xf>
    <xf numFmtId="0" fontId="8" fillId="0" borderId="10" xfId="0" applyFont="1" applyBorder="1"/>
    <xf numFmtId="0" fontId="13" fillId="0" borderId="10" xfId="0" applyFont="1" applyBorder="1" applyAlignment="1">
      <alignment horizontal="center"/>
    </xf>
    <xf numFmtId="2" fontId="8" fillId="3" borderId="8" xfId="0" applyNumberFormat="1" applyFont="1" applyFill="1" applyBorder="1" applyAlignment="1">
      <alignment horizontal="right" indent="1"/>
    </xf>
    <xf numFmtId="0" fontId="13" fillId="0" borderId="0" xfId="0" applyFont="1" applyAlignment="1">
      <alignment horizontal="center"/>
    </xf>
    <xf numFmtId="0" fontId="8" fillId="3" borderId="7" xfId="0" applyFont="1" applyFill="1" applyBorder="1" applyAlignment="1">
      <alignment horizontal="right" indent="1"/>
    </xf>
    <xf numFmtId="0" fontId="9" fillId="0" borderId="0" xfId="0" applyFont="1"/>
    <xf numFmtId="2" fontId="8" fillId="3" borderId="7" xfId="0" applyNumberFormat="1" applyFont="1" applyFill="1" applyBorder="1" applyAlignment="1">
      <alignment horizontal="right" indent="1"/>
    </xf>
    <xf numFmtId="3" fontId="8" fillId="4" borderId="7" xfId="0" applyNumberFormat="1" applyFont="1" applyFill="1" applyBorder="1" applyAlignment="1">
      <alignment horizontal="right" indent="1"/>
    </xf>
    <xf numFmtId="4" fontId="8" fillId="3" borderId="7" xfId="0" applyNumberFormat="1" applyFont="1" applyFill="1" applyBorder="1" applyAlignment="1">
      <alignment horizontal="right" indent="1"/>
    </xf>
    <xf numFmtId="0" fontId="13" fillId="0" borderId="0" xfId="0" quotePrefix="1" applyFont="1" applyAlignment="1">
      <alignment horizontal="center"/>
    </xf>
    <xf numFmtId="0" fontId="8" fillId="4" borderId="7" xfId="0" applyFont="1" applyFill="1" applyBorder="1" applyAlignment="1">
      <alignment horizontal="right" indent="1"/>
    </xf>
    <xf numFmtId="0" fontId="10" fillId="0" borderId="11" xfId="0" applyFont="1" applyBorder="1"/>
    <xf numFmtId="0" fontId="10" fillId="0" borderId="11" xfId="0" applyFont="1" applyBorder="1" applyAlignment="1">
      <alignment horizontal="center"/>
    </xf>
    <xf numFmtId="3" fontId="8" fillId="4" borderId="9" xfId="0" applyNumberFormat="1" applyFont="1" applyFill="1" applyBorder="1" applyAlignment="1">
      <alignment horizontal="right" indent="1"/>
    </xf>
    <xf numFmtId="0" fontId="10" fillId="0" borderId="10" xfId="0" applyFont="1" applyBorder="1" applyAlignment="1">
      <alignment horizontal="right"/>
    </xf>
    <xf numFmtId="0" fontId="10" fillId="0" borderId="10" xfId="0" applyFont="1" applyBorder="1" applyAlignment="1">
      <alignment horizontal="center"/>
    </xf>
    <xf numFmtId="0" fontId="10" fillId="0" borderId="11" xfId="0" applyFont="1" applyBorder="1" applyAlignment="1">
      <alignment horizontal="right"/>
    </xf>
    <xf numFmtId="0" fontId="10" fillId="0" borderId="11" xfId="0" quotePrefix="1" applyFont="1" applyBorder="1" applyAlignment="1">
      <alignment horizontal="center"/>
    </xf>
    <xf numFmtId="0" fontId="10" fillId="0" borderId="0" xfId="0" quotePrefix="1" applyFont="1" applyAlignment="1">
      <alignment horizontal="center"/>
    </xf>
    <xf numFmtId="0" fontId="13" fillId="0" borderId="11" xfId="0" quotePrefix="1" applyFont="1" applyBorder="1" applyAlignment="1">
      <alignment horizontal="center"/>
    </xf>
    <xf numFmtId="167" fontId="10" fillId="0" borderId="13" xfId="0" applyNumberFormat="1" applyFont="1" applyBorder="1" applyAlignment="1">
      <alignment vertical="center"/>
    </xf>
    <xf numFmtId="167" fontId="10" fillId="0" borderId="12" xfId="0" applyNumberFormat="1" applyFont="1" applyBorder="1" applyAlignment="1">
      <alignment vertical="center"/>
    </xf>
    <xf numFmtId="167" fontId="10" fillId="0" borderId="14" xfId="0" applyNumberFormat="1" applyFont="1" applyBorder="1" applyAlignment="1">
      <alignment vertical="center"/>
    </xf>
    <xf numFmtId="0" fontId="10" fillId="0" borderId="0" xfId="0" applyFont="1" applyAlignment="1">
      <alignment horizontal="right" vertical="center" indent="1"/>
    </xf>
    <xf numFmtId="165" fontId="10" fillId="0" borderId="12" xfId="2" applyNumberFormat="1" applyFont="1" applyBorder="1" applyAlignment="1">
      <alignment vertical="center"/>
    </xf>
    <xf numFmtId="0" fontId="10" fillId="0" borderId="1" xfId="0" quotePrefix="1" applyFont="1" applyBorder="1" applyAlignment="1">
      <alignment horizontal="right" vertical="center" wrapText="1" indent="1"/>
    </xf>
    <xf numFmtId="0" fontId="10" fillId="0" borderId="6" xfId="0" applyFont="1" applyBorder="1" applyAlignment="1">
      <alignment horizontal="right" vertical="center" wrapText="1" indent="1"/>
    </xf>
    <xf numFmtId="0" fontId="10" fillId="0" borderId="2" xfId="0" applyFont="1" applyBorder="1" applyAlignment="1">
      <alignment horizontal="right" vertical="center" indent="1"/>
    </xf>
    <xf numFmtId="0" fontId="10" fillId="0" borderId="6" xfId="0" applyFont="1" applyBorder="1" applyAlignment="1">
      <alignment horizontal="right" vertical="center" indent="1"/>
    </xf>
    <xf numFmtId="1" fontId="8" fillId="0" borderId="0" xfId="0" applyNumberFormat="1" applyFont="1" applyAlignment="1">
      <alignment horizontal="center"/>
    </xf>
    <xf numFmtId="2" fontId="8" fillId="3" borderId="0" xfId="0" applyNumberFormat="1" applyFont="1" applyFill="1"/>
    <xf numFmtId="9" fontId="8" fillId="0" borderId="0" xfId="0" applyNumberFormat="1" applyFont="1"/>
    <xf numFmtId="0" fontId="8" fillId="0" borderId="0" xfId="0" quotePrefix="1" applyFont="1"/>
    <xf numFmtId="0" fontId="8" fillId="0" borderId="0" xfId="0" applyFont="1" applyAlignment="1">
      <alignment horizontal="left"/>
    </xf>
    <xf numFmtId="0" fontId="17" fillId="0" borderId="0" xfId="0" applyFont="1"/>
    <xf numFmtId="164" fontId="10" fillId="0" borderId="0" xfId="0" quotePrefix="1" applyNumberFormat="1" applyFont="1" applyAlignment="1">
      <alignment horizontal="left" vertical="center"/>
    </xf>
    <xf numFmtId="165" fontId="10" fillId="0" borderId="0" xfId="2" applyNumberFormat="1" applyFont="1" applyBorder="1" applyAlignment="1">
      <alignment horizontal="left" vertical="center"/>
    </xf>
    <xf numFmtId="0" fontId="8" fillId="3" borderId="4" xfId="0" applyFont="1" applyFill="1" applyBorder="1" applyAlignment="1">
      <alignment horizontal="right" indent="1"/>
    </xf>
    <xf numFmtId="165" fontId="8" fillId="2" borderId="4" xfId="0" applyNumberFormat="1" applyFont="1" applyFill="1" applyBorder="1" applyProtection="1">
      <protection locked="0"/>
    </xf>
    <xf numFmtId="0" fontId="8" fillId="2" borderId="4" xfId="0" applyFont="1" applyFill="1" applyBorder="1" applyProtection="1">
      <protection locked="0"/>
    </xf>
    <xf numFmtId="3" fontId="8" fillId="2" borderId="4" xfId="0" applyNumberFormat="1" applyFont="1" applyFill="1" applyBorder="1" applyAlignment="1" applyProtection="1">
      <alignment horizontal="right" vertical="center" indent="1"/>
      <protection locked="0"/>
    </xf>
    <xf numFmtId="0" fontId="8" fillId="2" borderId="4" xfId="0" applyFont="1" applyFill="1" applyBorder="1" applyAlignment="1" applyProtection="1">
      <alignment horizontal="center" vertical="center"/>
      <protection locked="0"/>
    </xf>
    <xf numFmtId="3" fontId="8" fillId="2" borderId="4" xfId="0" applyNumberFormat="1" applyFont="1" applyFill="1" applyBorder="1" applyAlignment="1" applyProtection="1">
      <alignment horizontal="right" indent="1"/>
      <protection locked="0"/>
    </xf>
    <xf numFmtId="4" fontId="8" fillId="2" borderId="4" xfId="0" applyNumberFormat="1" applyFont="1" applyFill="1" applyBorder="1" applyAlignment="1" applyProtection="1">
      <alignment horizontal="right" indent="1"/>
      <protection locked="0"/>
    </xf>
    <xf numFmtId="0" fontId="8" fillId="2" borderId="5" xfId="0" applyFont="1" applyFill="1" applyBorder="1" applyAlignment="1" applyProtection="1">
      <alignment horizontal="center"/>
      <protection locked="0"/>
    </xf>
    <xf numFmtId="9" fontId="8" fillId="2" borderId="4" xfId="3" applyFont="1" applyFill="1" applyBorder="1" applyAlignment="1" applyProtection="1">
      <alignment horizontal="right" indent="1"/>
      <protection locked="0"/>
    </xf>
    <xf numFmtId="165" fontId="10" fillId="2" borderId="7" xfId="0" applyNumberFormat="1" applyFont="1" applyFill="1" applyBorder="1" applyAlignment="1" applyProtection="1">
      <alignment vertical="center"/>
      <protection locked="0"/>
    </xf>
    <xf numFmtId="0" fontId="18" fillId="0" borderId="0" xfId="0" applyFont="1"/>
    <xf numFmtId="0" fontId="6" fillId="0" borderId="16" xfId="0" applyFont="1" applyBorder="1"/>
    <xf numFmtId="0" fontId="8" fillId="0" borderId="16" xfId="0" applyFont="1" applyBorder="1" applyAlignment="1">
      <alignment wrapText="1"/>
    </xf>
    <xf numFmtId="0" fontId="8" fillId="0" borderId="16" xfId="0" applyFont="1" applyBorder="1"/>
    <xf numFmtId="0" fontId="18" fillId="0" borderId="16" xfId="4" applyFont="1" applyBorder="1" applyAlignment="1">
      <alignment wrapText="1"/>
    </xf>
    <xf numFmtId="0" fontId="8" fillId="0" borderId="17" xfId="0" applyFont="1" applyBorder="1"/>
    <xf numFmtId="0" fontId="20" fillId="0" borderId="0" xfId="0" applyFont="1" applyAlignment="1">
      <alignment horizontal="center"/>
    </xf>
    <xf numFmtId="0" fontId="8" fillId="4" borderId="8" xfId="0" applyFont="1" applyFill="1" applyBorder="1" applyAlignment="1">
      <alignment horizontal="right" indent="1"/>
    </xf>
    <xf numFmtId="2" fontId="8" fillId="4" borderId="9" xfId="0" applyNumberFormat="1" applyFont="1" applyFill="1" applyBorder="1" applyAlignment="1">
      <alignment horizontal="right" indent="1"/>
    </xf>
    <xf numFmtId="2" fontId="8" fillId="4" borderId="7" xfId="3" applyNumberFormat="1" applyFont="1" applyFill="1" applyBorder="1" applyAlignment="1" applyProtection="1">
      <alignment horizontal="right" indent="1"/>
    </xf>
    <xf numFmtId="3" fontId="8" fillId="4" borderId="4" xfId="1" applyNumberFormat="1" applyFont="1" applyFill="1" applyBorder="1" applyAlignment="1">
      <alignment horizontal="right" vertical="center" indent="1"/>
    </xf>
    <xf numFmtId="9" fontId="8" fillId="4" borderId="7" xfId="3" applyFont="1" applyFill="1" applyBorder="1" applyAlignment="1">
      <alignment horizontal="right" indent="1"/>
    </xf>
    <xf numFmtId="165" fontId="10" fillId="0" borderId="0" xfId="0" quotePrefix="1" applyNumberFormat="1" applyFont="1" applyAlignment="1">
      <alignment horizontal="left" vertical="center"/>
    </xf>
    <xf numFmtId="2" fontId="8" fillId="4" borderId="7" xfId="0" applyNumberFormat="1" applyFont="1" applyFill="1" applyBorder="1" applyAlignment="1">
      <alignment horizontal="right" indent="1"/>
    </xf>
    <xf numFmtId="3" fontId="8" fillId="4" borderId="7" xfId="1" applyNumberFormat="1" applyFont="1" applyFill="1" applyBorder="1" applyAlignment="1">
      <alignment horizontal="right" indent="1"/>
    </xf>
    <xf numFmtId="9" fontId="8" fillId="3" borderId="4" xfId="3" applyFont="1" applyFill="1" applyBorder="1" applyAlignment="1">
      <alignment horizontal="center" vertical="center"/>
    </xf>
    <xf numFmtId="169" fontId="8" fillId="3" borderId="7" xfId="0" applyNumberFormat="1" applyFont="1" applyFill="1" applyBorder="1" applyAlignment="1">
      <alignment horizontal="right" indent="1"/>
    </xf>
    <xf numFmtId="1" fontId="10" fillId="0" borderId="4" xfId="0" applyNumberFormat="1" applyFont="1" applyBorder="1" applyAlignment="1">
      <alignment horizontal="right" indent="1"/>
    </xf>
    <xf numFmtId="0" fontId="8" fillId="0" borderId="7" xfId="0" applyFont="1" applyBorder="1" applyAlignment="1">
      <alignment horizontal="center" wrapText="1"/>
    </xf>
    <xf numFmtId="0" fontId="8" fillId="0" borderId="7" xfId="0" applyFont="1" applyBorder="1" applyAlignment="1">
      <alignment horizontal="center"/>
    </xf>
    <xf numFmtId="3" fontId="8" fillId="0" borderId="7" xfId="0" applyNumberFormat="1" applyFont="1" applyBorder="1" applyAlignment="1">
      <alignment horizontal="center"/>
    </xf>
    <xf numFmtId="166" fontId="8" fillId="0" borderId="7" xfId="0" applyNumberFormat="1" applyFont="1" applyBorder="1" applyAlignment="1">
      <alignment horizontal="center"/>
    </xf>
    <xf numFmtId="165" fontId="8" fillId="0" borderId="7" xfId="0" applyNumberFormat="1" applyFont="1" applyBorder="1"/>
    <xf numFmtId="0" fontId="8" fillId="0" borderId="9" xfId="0" applyFont="1" applyBorder="1" applyAlignment="1">
      <alignment horizontal="center"/>
    </xf>
    <xf numFmtId="3" fontId="8" fillId="0" borderId="9" xfId="0" applyNumberFormat="1" applyFont="1" applyBorder="1" applyAlignment="1">
      <alignment horizontal="center"/>
    </xf>
    <xf numFmtId="166" fontId="8" fillId="0" borderId="9" xfId="0" applyNumberFormat="1" applyFont="1" applyBorder="1" applyAlignment="1">
      <alignment horizontal="center"/>
    </xf>
    <xf numFmtId="165" fontId="8" fillId="0" borderId="9" xfId="0" applyNumberFormat="1" applyFont="1" applyBorder="1"/>
    <xf numFmtId="0" fontId="8" fillId="0" borderId="4" xfId="0" applyFont="1" applyBorder="1" applyAlignment="1">
      <alignment horizontal="center" wrapText="1"/>
    </xf>
    <xf numFmtId="0" fontId="8" fillId="0" borderId="4" xfId="0" applyFont="1" applyBorder="1" applyAlignment="1">
      <alignment horizontal="center"/>
    </xf>
    <xf numFmtId="0" fontId="21" fillId="5" borderId="15" xfId="0" applyFont="1" applyFill="1" applyBorder="1" applyAlignment="1">
      <alignment horizontal="center" vertical="center" wrapText="1"/>
    </xf>
    <xf numFmtId="0" fontId="23" fillId="0" borderId="16" xfId="4" applyFont="1" applyBorder="1" applyAlignment="1">
      <alignment wrapText="1"/>
    </xf>
    <xf numFmtId="3" fontId="8" fillId="4" borderId="8" xfId="0" applyNumberFormat="1" applyFont="1" applyFill="1" applyBorder="1" applyAlignment="1">
      <alignment horizontal="right" indent="1"/>
    </xf>
    <xf numFmtId="1" fontId="8" fillId="2" borderId="4" xfId="0" applyNumberFormat="1" applyFont="1" applyFill="1" applyBorder="1" applyAlignment="1" applyProtection="1">
      <alignment horizontal="right" indent="1"/>
      <protection locked="0"/>
    </xf>
    <xf numFmtId="0" fontId="21" fillId="5" borderId="0" xfId="0" applyFont="1" applyFill="1" applyAlignment="1">
      <alignment horizontal="center" vertical="center"/>
    </xf>
    <xf numFmtId="0" fontId="22" fillId="5" borderId="0" xfId="0" applyFont="1" applyFill="1" applyAlignment="1">
      <alignment horizontal="center" vertical="center"/>
    </xf>
    <xf numFmtId="0" fontId="21" fillId="5" borderId="0" xfId="0" applyFont="1" applyFill="1" applyAlignment="1">
      <alignment horizontal="center" vertical="center" wrapText="1"/>
    </xf>
    <xf numFmtId="0" fontId="25" fillId="0" borderId="0" xfId="0" applyFont="1"/>
  </cellXfs>
  <cellStyles count="5">
    <cellStyle name="Comma" xfId="1" builtinId="3"/>
    <cellStyle name="Currency" xfId="2" builtinId="4"/>
    <cellStyle name="Hyperlink" xfId="4" builtinId="8"/>
    <cellStyle name="Normal" xfId="0" builtinId="0"/>
    <cellStyle name="Percent" xfId="3" builtinId="5"/>
  </cellStyles>
  <dxfs count="5">
    <dxf>
      <border>
        <left style="thin">
          <color rgb="FFFF0000"/>
        </left>
        <right style="thin">
          <color rgb="FFFF0000"/>
        </right>
        <top style="thin">
          <color rgb="FFFF0000"/>
        </top>
        <bottom style="thin">
          <color rgb="FFFF0000"/>
        </bottom>
        <vertical/>
        <horizontal/>
      </border>
    </dxf>
    <dxf>
      <border>
        <left style="thin">
          <color rgb="FFFF0000"/>
        </left>
        <right style="thin">
          <color rgb="FFFF0000"/>
        </right>
        <top style="thin">
          <color rgb="FFFF0000"/>
        </top>
        <bottom style="thin">
          <color rgb="FFFF0000"/>
        </bottom>
        <vertical/>
        <horizontal/>
      </border>
    </dxf>
    <dxf>
      <font>
        <color theme="2"/>
      </font>
    </dxf>
    <dxf>
      <font>
        <color theme="2"/>
      </font>
    </dxf>
    <dxf>
      <font>
        <color theme="2"/>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1177290</xdr:colOff>
      <xdr:row>2</xdr:row>
      <xdr:rowOff>15240</xdr:rowOff>
    </xdr:from>
    <xdr:to>
      <xdr:col>1</xdr:col>
      <xdr:colOff>6419774</xdr:colOff>
      <xdr:row>3</xdr:row>
      <xdr:rowOff>664</xdr:rowOff>
    </xdr:to>
    <xdr:pic>
      <xdr:nvPicPr>
        <xdr:cNvPr id="2" name="Picture 1">
          <a:extLst>
            <a:ext uri="{FF2B5EF4-FFF2-40B4-BE49-F238E27FC236}">
              <a16:creationId xmlns:a16="http://schemas.microsoft.com/office/drawing/2014/main" id="{4684964F-E04C-4EA0-A27E-D259615C876A}"/>
            </a:ext>
          </a:extLst>
        </xdr:cNvPr>
        <xdr:cNvPicPr>
          <a:picLocks noChangeAspect="1"/>
        </xdr:cNvPicPr>
      </xdr:nvPicPr>
      <xdr:blipFill>
        <a:blip xmlns:r="http://schemas.openxmlformats.org/officeDocument/2006/relationships" r:embed="rId1"/>
        <a:stretch>
          <a:fillRect/>
        </a:stretch>
      </xdr:blipFill>
      <xdr:spPr>
        <a:xfrm>
          <a:off x="1348740" y="1434465"/>
          <a:ext cx="5246294" cy="114747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3</xdr:row>
      <xdr:rowOff>31712</xdr:rowOff>
    </xdr:from>
    <xdr:to>
      <xdr:col>2</xdr:col>
      <xdr:colOff>2267398</xdr:colOff>
      <xdr:row>8</xdr:row>
      <xdr:rowOff>19264</xdr:rowOff>
    </xdr:to>
    <xdr:pic>
      <xdr:nvPicPr>
        <xdr:cNvPr id="4" name="Picture 3">
          <a:extLst>
            <a:ext uri="{FF2B5EF4-FFF2-40B4-BE49-F238E27FC236}">
              <a16:creationId xmlns:a16="http://schemas.microsoft.com/office/drawing/2014/main" id="{31E10C7D-B437-2B48-834A-4D0F18B22681}"/>
            </a:ext>
          </a:extLst>
        </xdr:cNvPr>
        <xdr:cNvPicPr>
          <a:picLocks noChangeAspect="1"/>
        </xdr:cNvPicPr>
      </xdr:nvPicPr>
      <xdr:blipFill>
        <a:blip xmlns:r="http://schemas.openxmlformats.org/officeDocument/2006/relationships" r:embed="rId1"/>
        <a:stretch>
          <a:fillRect/>
        </a:stretch>
      </xdr:blipFill>
      <xdr:spPr>
        <a:xfrm>
          <a:off x="0" y="625624"/>
          <a:ext cx="3944471" cy="119039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1</xdr:row>
      <xdr:rowOff>46961</xdr:rowOff>
    </xdr:from>
    <xdr:to>
      <xdr:col>7</xdr:col>
      <xdr:colOff>22784</xdr:colOff>
      <xdr:row>6</xdr:row>
      <xdr:rowOff>190500</xdr:rowOff>
    </xdr:to>
    <xdr:pic>
      <xdr:nvPicPr>
        <xdr:cNvPr id="2" name="Picture 1">
          <a:extLst>
            <a:ext uri="{FF2B5EF4-FFF2-40B4-BE49-F238E27FC236}">
              <a16:creationId xmlns:a16="http://schemas.microsoft.com/office/drawing/2014/main" id="{95F3289C-EA6A-F744-C05D-ADFCC417FF08}"/>
            </a:ext>
          </a:extLst>
        </xdr:cNvPr>
        <xdr:cNvPicPr>
          <a:picLocks noChangeAspect="1"/>
        </xdr:cNvPicPr>
      </xdr:nvPicPr>
      <xdr:blipFill>
        <a:blip xmlns:r="http://schemas.openxmlformats.org/officeDocument/2006/relationships" r:embed="rId1"/>
        <a:stretch>
          <a:fillRect/>
        </a:stretch>
      </xdr:blipFill>
      <xdr:spPr>
        <a:xfrm>
          <a:off x="0" y="1285211"/>
          <a:ext cx="5252009" cy="1143664"/>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2.arb.ca.gov/our-work/programs/low-carbon-fuel-standard/lcfs-guidance-documents-user-guides-and-faqs" TargetMode="External"/><Relationship Id="rId13" Type="http://schemas.openxmlformats.org/officeDocument/2006/relationships/hyperlink" Target="https://ww2.arb.ca.gov/our-work/programs/low-carbon-fuel-standard/lcfs-guidance-documents-user-guides-and-faqs" TargetMode="External"/><Relationship Id="rId3" Type="http://schemas.openxmlformats.org/officeDocument/2006/relationships/hyperlink" Target="https://ww2.arb.ca.gov/resources/documents/lcfs-zev-infrastructure-crediting" TargetMode="External"/><Relationship Id="rId7" Type="http://schemas.openxmlformats.org/officeDocument/2006/relationships/hyperlink" Target="https://ww2.arb.ca.gov/our-work/programs/low-carbon-fuel-standard/lcfs-guidance-documents-user-guides-and-faqs" TargetMode="External"/><Relationship Id="rId12" Type="http://schemas.openxmlformats.org/officeDocument/2006/relationships/hyperlink" Target="https://ww2.arb.ca.gov/our-work/programs/low-carbon-fuel-standard/lcfs-guidance-documents-user-guides-and-faqs" TargetMode="External"/><Relationship Id="rId2" Type="http://schemas.openxmlformats.org/officeDocument/2006/relationships/hyperlink" Target="https://ww2.arb.ca.gov/resources/documents/lcfs-zev-infrastructure-crediting" TargetMode="External"/><Relationship Id="rId16" Type="http://schemas.openxmlformats.org/officeDocument/2006/relationships/drawing" Target="../drawings/drawing1.xml"/><Relationship Id="rId1" Type="http://schemas.openxmlformats.org/officeDocument/2006/relationships/hyperlink" Target="https://ww2.arb.ca.gov/resources/documents/lcfs-zev-infrastructure-crediting" TargetMode="External"/><Relationship Id="rId6" Type="http://schemas.openxmlformats.org/officeDocument/2006/relationships/hyperlink" Target="https://ww2.arb.ca.gov/resources/documents/lcfs-zev-infrastructure-crediting" TargetMode="External"/><Relationship Id="rId11" Type="http://schemas.openxmlformats.org/officeDocument/2006/relationships/hyperlink" Target="https://ww2.arb.ca.gov/our-work/programs/low-carbon-fuel-standard/lcfs-guidance-documents-user-guides-and-faqs" TargetMode="External"/><Relationship Id="rId5" Type="http://schemas.openxmlformats.org/officeDocument/2006/relationships/hyperlink" Target="https://ww2.arb.ca.gov/resources/documents/lcfs-zev-infrastructure-crediting" TargetMode="External"/><Relationship Id="rId15" Type="http://schemas.openxmlformats.org/officeDocument/2006/relationships/hyperlink" Target="https://ww2.arb.ca.gov/our-work/programs/low-carbon-fuel-standard/lcfs-regulation" TargetMode="External"/><Relationship Id="rId10" Type="http://schemas.openxmlformats.org/officeDocument/2006/relationships/hyperlink" Target="https://ww2.arb.ca.gov/our-work/programs/low-carbon-fuel-standard/lcfs-guidance-documents-user-guides-and-faqs" TargetMode="External"/><Relationship Id="rId4" Type="http://schemas.openxmlformats.org/officeDocument/2006/relationships/hyperlink" Target="https://ww2.arb.ca.gov/resources/documents/lcfs-zev-infrastructure-crediting" TargetMode="External"/><Relationship Id="rId9" Type="http://schemas.openxmlformats.org/officeDocument/2006/relationships/hyperlink" Target="https://ww2.arb.ca.gov/our-work/programs/low-carbon-fuel-standard/lcfs-guidance-documents-user-guides-and-faqs" TargetMode="External"/><Relationship Id="rId14" Type="http://schemas.openxmlformats.org/officeDocument/2006/relationships/hyperlink" Target="https://ww2.arb.ca.gov/our-work/programs/low-carbon-fuel-standard/lcfs-contacts"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A22CD8-5E70-4398-956C-9F2158ADFE00}">
  <dimension ref="B1:C29"/>
  <sheetViews>
    <sheetView showGridLines="0" tabSelected="1" workbookViewId="0">
      <selection activeCell="I13" sqref="I13"/>
    </sheetView>
  </sheetViews>
  <sheetFormatPr defaultRowHeight="13.8" x14ac:dyDescent="0.25"/>
  <cols>
    <col min="1" max="1" width="2.44140625" style="2" customWidth="1"/>
    <col min="2" max="2" width="111.33203125" style="2" customWidth="1"/>
    <col min="3" max="16384" width="8.88671875" style="2"/>
  </cols>
  <sheetData>
    <row r="1" spans="2:3" ht="14.4" thickBot="1" x14ac:dyDescent="0.3"/>
    <row r="2" spans="2:3" s="56" customFormat="1" ht="97.2" customHeight="1" thickTop="1" x14ac:dyDescent="0.5">
      <c r="B2" s="98" t="s">
        <v>158</v>
      </c>
    </row>
    <row r="3" spans="2:3" ht="91.8" customHeight="1" x14ac:dyDescent="0.25">
      <c r="B3" s="70"/>
    </row>
    <row r="4" spans="2:3" s="5" customFormat="1" ht="78" x14ac:dyDescent="0.3">
      <c r="B4" s="71" t="s">
        <v>206</v>
      </c>
    </row>
    <row r="5" spans="2:3" s="5" customFormat="1" ht="7.2" customHeight="1" x14ac:dyDescent="0.3">
      <c r="B5" s="72"/>
    </row>
    <row r="6" spans="2:3" s="5" customFormat="1" ht="47.4" customHeight="1" x14ac:dyDescent="0.3">
      <c r="B6" s="99" t="s">
        <v>207</v>
      </c>
    </row>
    <row r="7" spans="2:3" s="5" customFormat="1" ht="7.2" customHeight="1" x14ac:dyDescent="0.3">
      <c r="B7" s="72"/>
    </row>
    <row r="8" spans="2:3" s="5" customFormat="1" ht="48.6" customHeight="1" x14ac:dyDescent="0.3">
      <c r="B8" s="71" t="s">
        <v>208</v>
      </c>
    </row>
    <row r="9" spans="2:3" s="5" customFormat="1" ht="7.2" customHeight="1" x14ac:dyDescent="0.3">
      <c r="B9" s="72"/>
    </row>
    <row r="10" spans="2:3" s="5" customFormat="1" ht="62.4" x14ac:dyDescent="0.3">
      <c r="B10" s="71" t="s">
        <v>209</v>
      </c>
    </row>
    <row r="11" spans="2:3" s="5" customFormat="1" ht="7.2" customHeight="1" x14ac:dyDescent="0.3">
      <c r="B11" s="72"/>
    </row>
    <row r="12" spans="2:3" s="5" customFormat="1" ht="15.6" x14ac:dyDescent="0.3">
      <c r="B12" s="73" t="s">
        <v>141</v>
      </c>
      <c r="C12" s="69"/>
    </row>
    <row r="13" spans="2:3" s="5" customFormat="1" ht="15.6" x14ac:dyDescent="0.3">
      <c r="B13" s="73" t="s">
        <v>142</v>
      </c>
      <c r="C13" s="69"/>
    </row>
    <row r="14" spans="2:3" s="5" customFormat="1" ht="15.6" x14ac:dyDescent="0.3">
      <c r="B14" s="73" t="s">
        <v>143</v>
      </c>
      <c r="C14" s="69"/>
    </row>
    <row r="15" spans="2:3" s="5" customFormat="1" ht="15.6" x14ac:dyDescent="0.3">
      <c r="B15" s="73" t="s">
        <v>144</v>
      </c>
      <c r="C15" s="69"/>
    </row>
    <row r="16" spans="2:3" s="5" customFormat="1" ht="15.6" x14ac:dyDescent="0.3">
      <c r="B16" s="73" t="s">
        <v>145</v>
      </c>
      <c r="C16" s="69"/>
    </row>
    <row r="17" spans="2:3" s="5" customFormat="1" ht="15.6" x14ac:dyDescent="0.3">
      <c r="B17" s="73" t="s">
        <v>153</v>
      </c>
      <c r="C17" s="69"/>
    </row>
    <row r="18" spans="2:3" s="5" customFormat="1" ht="7.2" customHeight="1" x14ac:dyDescent="0.3">
      <c r="B18" s="72"/>
    </row>
    <row r="19" spans="2:3" s="5" customFormat="1" ht="15.6" x14ac:dyDescent="0.3">
      <c r="B19" s="73" t="s">
        <v>146</v>
      </c>
    </row>
    <row r="20" spans="2:3" s="5" customFormat="1" ht="15.6" x14ac:dyDescent="0.3">
      <c r="B20" s="73" t="s">
        <v>147</v>
      </c>
    </row>
    <row r="21" spans="2:3" s="5" customFormat="1" ht="15.6" x14ac:dyDescent="0.3">
      <c r="B21" s="73" t="s">
        <v>148</v>
      </c>
    </row>
    <row r="22" spans="2:3" s="5" customFormat="1" ht="15.6" x14ac:dyDescent="0.3">
      <c r="B22" s="73" t="s">
        <v>149</v>
      </c>
    </row>
    <row r="23" spans="2:3" s="5" customFormat="1" ht="15.6" customHeight="1" x14ac:dyDescent="0.3">
      <c r="B23" s="73" t="s">
        <v>151</v>
      </c>
    </row>
    <row r="24" spans="2:3" s="5" customFormat="1" ht="15.6" x14ac:dyDescent="0.3">
      <c r="B24" s="73" t="s">
        <v>152</v>
      </c>
    </row>
    <row r="25" spans="2:3" s="5" customFormat="1" ht="15.6" x14ac:dyDescent="0.3">
      <c r="B25" s="73" t="s">
        <v>153</v>
      </c>
    </row>
    <row r="26" spans="2:3" s="5" customFormat="1" ht="7.2" customHeight="1" x14ac:dyDescent="0.3">
      <c r="B26" s="72"/>
    </row>
    <row r="27" spans="2:3" s="5" customFormat="1" ht="31.2" x14ac:dyDescent="0.3">
      <c r="B27" s="73" t="s">
        <v>150</v>
      </c>
      <c r="C27" s="69"/>
    </row>
    <row r="28" spans="2:3" s="5" customFormat="1" ht="7.2" customHeight="1" thickBot="1" x14ac:dyDescent="0.35">
      <c r="B28" s="74"/>
    </row>
    <row r="29" spans="2:3" ht="16.2" thickTop="1" x14ac:dyDescent="0.3">
      <c r="B29" s="7" t="s">
        <v>212</v>
      </c>
    </row>
  </sheetData>
  <sheetProtection algorithmName="SHA-512" hashValue="hLpKovEWFsO+wNLFMVuVBBjUdxK1SHFa4b/1GIV+SI/Ygu3nxTrqytj4pUToUXnVzF066gTFvy+IreGXW5HyZA==" saltValue="EUOeRUeqZnsewU65pmqLNw==" spinCount="100000" sheet="1" objects="1" scenarios="1"/>
  <hyperlinks>
    <hyperlink ref="B12" r:id="rId1" display="https://ww2.arb.ca.gov/resources/documents/lcfs-zev-infrastructure-crediting" xr:uid="{3CC05E1D-0754-47FE-B0C8-AE1B54BBD21C}"/>
    <hyperlink ref="B13" r:id="rId2" display="https://ww2.arb.ca.gov/resources/documents/lcfs-zev-infrastructure-crediting" xr:uid="{6C5E7365-EBC8-4CAA-8E44-2B7EF72358EA}"/>
    <hyperlink ref="B14" r:id="rId3" display="https://ww2.arb.ca.gov/resources/documents/lcfs-zev-infrastructure-crediting" xr:uid="{D0DF4925-1547-407B-81FA-30ABC42FE9DA}"/>
    <hyperlink ref="B15" r:id="rId4" display="https://ww2.arb.ca.gov/resources/documents/lcfs-zev-infrastructure-crediting" xr:uid="{7D5BF114-D7DD-4EE6-96E6-5259EB15FF48}"/>
    <hyperlink ref="B16" r:id="rId5" display="https://ww2.arb.ca.gov/resources/documents/lcfs-zev-infrastructure-crediting" xr:uid="{E8F784A3-8722-4333-BF92-CB8586E3D0DF}"/>
    <hyperlink ref="B17" r:id="rId6" display="https://ww2.arb.ca.gov/resources/documents/lcfs-zev-infrastructure-crediting" xr:uid="{7CC90AAE-0F45-46B2-BF0D-CEE399A25DA0}"/>
    <hyperlink ref="B19" r:id="rId7" display="https://ww2.arb.ca.gov/our-work/programs/low-carbon-fuel-standard/lcfs-guidance-documents-user-guides-and-faqs" xr:uid="{6A5305F8-23E0-4BE4-8B1F-4F5E8C4C6550}"/>
    <hyperlink ref="B20" r:id="rId8" display="https://ww2.arb.ca.gov/our-work/programs/low-carbon-fuel-standard/lcfs-guidance-documents-user-guides-and-faqs" xr:uid="{7C4E0A81-B3BC-44D1-8EBD-161F44A801E0}"/>
    <hyperlink ref="B21" r:id="rId9" display="https://ww2.arb.ca.gov/our-work/programs/low-carbon-fuel-standard/lcfs-guidance-documents-user-guides-and-faqs" xr:uid="{C312E2B5-54E6-408F-A15B-C7380AA0A0EF}"/>
    <hyperlink ref="B22" r:id="rId10" display="https://ww2.arb.ca.gov/our-work/programs/low-carbon-fuel-standard/lcfs-guidance-documents-user-guides-and-faqs" xr:uid="{F370C445-97FF-4A33-8D0E-9E6213968AB6}"/>
    <hyperlink ref="B23" r:id="rId11" display="https://ww2.arb.ca.gov/our-work/programs/low-carbon-fuel-standard/lcfs-guidance-documents-user-guides-and-faqs" xr:uid="{71EA939C-AEA3-419B-B553-1D6C568B73C3}"/>
    <hyperlink ref="B24" r:id="rId12" display="https://ww2.arb.ca.gov/our-work/programs/low-carbon-fuel-standard/lcfs-guidance-documents-user-guides-and-faqs" xr:uid="{DCA7AF09-91CA-4510-A4DD-BC33FF24E749}"/>
    <hyperlink ref="B25" r:id="rId13" display="https://ww2.arb.ca.gov/our-work/programs/low-carbon-fuel-standard/lcfs-guidance-documents-user-guides-and-faqs" xr:uid="{C55E7735-BB33-4988-8001-49744E037D31}"/>
    <hyperlink ref="B27" r:id="rId14" display="https://ww2.arb.ca.gov/our-work/programs/low-carbon-fuel-standard/lcfs-contacts" xr:uid="{75CA7518-FAAB-4442-9380-783070DE9E5D}"/>
    <hyperlink ref="B6" r:id="rId15" display="The FCI Pathway was created with the Board approval of the 2018 amendments to CARB's LCFS regulation, and amended for heavy-duty vehicles with the Board approval of the 2024 amendments.  The HD-FCI program is described in Section 95486.4(b) of the regulation; an online version is available at this link." xr:uid="{A367D36B-655A-4DA2-8A87-6C7323DF89CF}"/>
  </hyperlinks>
  <pageMargins left="0.7" right="0.7" top="0.75" bottom="0.75" header="0.3" footer="0.3"/>
  <drawing r:id="rId16"/>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BC1AB9-99A1-462F-977E-9D31F1F4AFAA}">
  <dimension ref="B1:AP46"/>
  <sheetViews>
    <sheetView showGridLines="0" zoomScale="85" zoomScaleNormal="85" workbookViewId="0">
      <selection activeCell="D10" sqref="D10"/>
    </sheetView>
  </sheetViews>
  <sheetFormatPr defaultRowHeight="13.8" x14ac:dyDescent="0.25"/>
  <cols>
    <col min="1" max="1" width="2.44140625" style="2" customWidth="1"/>
    <col min="2" max="2" width="24.5546875" style="2" customWidth="1"/>
    <col min="3" max="3" width="41" style="2" customWidth="1"/>
    <col min="4" max="14" width="17" style="2" customWidth="1"/>
    <col min="15" max="15" width="12.33203125" style="2" bestFit="1" customWidth="1"/>
    <col min="16" max="16" width="138.21875" style="2" bestFit="1" customWidth="1"/>
    <col min="17" max="37" width="8.88671875" style="2" hidden="1" customWidth="1"/>
    <col min="38" max="16384" width="8.88671875" style="2"/>
  </cols>
  <sheetData>
    <row r="1" spans="2:42" s="56" customFormat="1" ht="36.6" customHeight="1" x14ac:dyDescent="0.5">
      <c r="B1" s="102" t="s">
        <v>158</v>
      </c>
      <c r="C1" s="102"/>
      <c r="D1" s="102"/>
      <c r="E1" s="102"/>
      <c r="F1" s="102"/>
      <c r="G1" s="102"/>
      <c r="H1" s="102"/>
      <c r="I1" s="102"/>
      <c r="J1" s="102"/>
      <c r="K1" s="102"/>
      <c r="L1" s="102"/>
      <c r="M1" s="102"/>
      <c r="N1" s="102"/>
    </row>
    <row r="2" spans="2:42" s="56" customFormat="1" ht="28.2" x14ac:dyDescent="0.5">
      <c r="B2" s="103" t="s">
        <v>190</v>
      </c>
      <c r="C2" s="103"/>
      <c r="D2" s="103"/>
      <c r="E2" s="103"/>
      <c r="F2" s="103"/>
      <c r="G2" s="103"/>
      <c r="H2" s="103"/>
      <c r="I2" s="103"/>
      <c r="J2" s="103"/>
      <c r="K2" s="103"/>
      <c r="L2" s="103"/>
      <c r="M2" s="103"/>
      <c r="N2" s="103"/>
    </row>
    <row r="3" spans="2:42" ht="9.6" customHeight="1" x14ac:dyDescent="0.4">
      <c r="B3" s="1"/>
    </row>
    <row r="4" spans="2:42" s="5" customFormat="1" ht="16.2" x14ac:dyDescent="0.3">
      <c r="D4" s="6" t="s">
        <v>10</v>
      </c>
      <c r="Q4" s="18" t="s">
        <v>11</v>
      </c>
      <c r="R4" s="18" t="s">
        <v>11</v>
      </c>
      <c r="S4" s="18" t="s">
        <v>11</v>
      </c>
      <c r="T4" s="18" t="s">
        <v>11</v>
      </c>
      <c r="U4" s="18" t="s">
        <v>11</v>
      </c>
      <c r="V4" s="18" t="s">
        <v>11</v>
      </c>
      <c r="W4" s="18" t="s">
        <v>11</v>
      </c>
      <c r="X4" s="18" t="s">
        <v>11</v>
      </c>
      <c r="Y4" s="18" t="s">
        <v>11</v>
      </c>
      <c r="Z4" s="18" t="s">
        <v>11</v>
      </c>
      <c r="AA4" s="18" t="s">
        <v>11</v>
      </c>
      <c r="AB4" s="18" t="s">
        <v>11</v>
      </c>
      <c r="AC4" s="18" t="s">
        <v>11</v>
      </c>
      <c r="AD4" s="18" t="s">
        <v>11</v>
      </c>
      <c r="AE4" s="18" t="s">
        <v>11</v>
      </c>
      <c r="AF4" s="18" t="s">
        <v>11</v>
      </c>
      <c r="AG4" s="18" t="s">
        <v>11</v>
      </c>
      <c r="AH4" s="18" t="s">
        <v>11</v>
      </c>
      <c r="AI4" s="18" t="s">
        <v>11</v>
      </c>
      <c r="AJ4" s="18" t="s">
        <v>11</v>
      </c>
      <c r="AK4" s="18" t="s">
        <v>11</v>
      </c>
      <c r="AL4" s="18"/>
      <c r="AM4" s="18"/>
      <c r="AN4" s="18"/>
      <c r="AO4" s="18"/>
      <c r="AP4" s="18"/>
    </row>
    <row r="5" spans="2:42" s="5" customFormat="1" ht="19.8" customHeight="1" x14ac:dyDescent="0.4">
      <c r="B5"/>
      <c r="D5" s="8" t="s">
        <v>6</v>
      </c>
      <c r="F5" s="105" t="str">
        <f>IF(COUNTBLANK(D11:D14)+COUNTBLANK(N5:N6)&gt;0, "Enter values in red bordered cells.","")</f>
        <v>Enter values in red bordered cells.</v>
      </c>
      <c r="H5" s="16"/>
      <c r="I5" s="16"/>
      <c r="J5" s="15"/>
      <c r="M5" s="16" t="s">
        <v>159</v>
      </c>
      <c r="N5" s="62"/>
      <c r="O5" s="5" t="s">
        <v>161</v>
      </c>
      <c r="P5" s="5" t="s">
        <v>160</v>
      </c>
    </row>
    <row r="6" spans="2:42" s="5" customFormat="1" ht="19.8" customHeight="1" x14ac:dyDescent="0.3">
      <c r="D6" s="9" t="s">
        <v>7</v>
      </c>
      <c r="H6" s="16"/>
      <c r="I6" s="16"/>
      <c r="J6" s="15"/>
      <c r="M6" s="16" t="s">
        <v>176</v>
      </c>
      <c r="N6" s="63"/>
      <c r="P6" s="5" t="s">
        <v>22</v>
      </c>
      <c r="Q6" s="5" t="s">
        <v>20</v>
      </c>
    </row>
    <row r="7" spans="2:42" s="5" customFormat="1" ht="19.8" customHeight="1" thickBot="1" x14ac:dyDescent="0.45">
      <c r="D7" s="10" t="s">
        <v>3</v>
      </c>
      <c r="M7" s="16" t="s">
        <v>164</v>
      </c>
      <c r="N7" s="84" t="str">
        <f>_xlfn.XLOOKUP(N6,Q10:Q11,R10:R11,"",0,1)</f>
        <v/>
      </c>
      <c r="P7" s="5" t="s">
        <v>167</v>
      </c>
      <c r="Q7" s="51">
        <v>2025</v>
      </c>
      <c r="R7" s="51">
        <v>2026</v>
      </c>
      <c r="S7" s="51">
        <v>2027</v>
      </c>
      <c r="T7" s="51">
        <v>2028</v>
      </c>
      <c r="U7" s="51">
        <v>2029</v>
      </c>
      <c r="V7" s="51">
        <v>2030</v>
      </c>
      <c r="W7" s="51">
        <v>2031</v>
      </c>
      <c r="X7" s="51">
        <v>2032</v>
      </c>
      <c r="Y7" s="51">
        <v>2033</v>
      </c>
      <c r="Z7" s="51">
        <v>2034</v>
      </c>
      <c r="AA7" s="51">
        <v>2035</v>
      </c>
      <c r="AB7" s="51">
        <v>2036</v>
      </c>
      <c r="AC7" s="51">
        <v>2037</v>
      </c>
      <c r="AD7" s="51">
        <v>2038</v>
      </c>
      <c r="AE7" s="51">
        <v>2039</v>
      </c>
      <c r="AF7" s="51">
        <v>2040</v>
      </c>
      <c r="AG7" s="51">
        <v>2041</v>
      </c>
      <c r="AH7" s="51">
        <v>2042</v>
      </c>
      <c r="AI7" s="51">
        <v>2043</v>
      </c>
      <c r="AJ7" s="51">
        <v>2044</v>
      </c>
      <c r="AK7" s="51">
        <v>2045</v>
      </c>
      <c r="AM7" s="15"/>
    </row>
    <row r="8" spans="2:42" s="5" customFormat="1" ht="19.8" customHeight="1" thickBot="1" x14ac:dyDescent="0.45">
      <c r="D8" s="12" t="s">
        <v>8</v>
      </c>
      <c r="M8" s="16" t="s">
        <v>163</v>
      </c>
      <c r="N8" s="79">
        <f>MIN(IFERROR(N5*N7*24,0),IFERROR(2000*N7*24,0))</f>
        <v>0</v>
      </c>
      <c r="O8" s="5" t="s">
        <v>2</v>
      </c>
      <c r="P8" s="5" t="s">
        <v>162</v>
      </c>
      <c r="Q8" s="52">
        <v>81.7</v>
      </c>
      <c r="R8" s="52">
        <v>80.17</v>
      </c>
      <c r="S8" s="52">
        <v>78.63</v>
      </c>
      <c r="T8" s="52">
        <v>77.099999999999994</v>
      </c>
      <c r="U8" s="52">
        <v>75.569999999999993</v>
      </c>
      <c r="V8" s="52">
        <v>74.03</v>
      </c>
      <c r="W8" s="52">
        <v>69.27</v>
      </c>
      <c r="X8" s="52">
        <v>64.510000000000005</v>
      </c>
      <c r="Y8" s="52">
        <v>59.75</v>
      </c>
      <c r="Z8" s="52">
        <v>54.99</v>
      </c>
      <c r="AA8" s="52">
        <v>50.23</v>
      </c>
      <c r="AB8" s="52">
        <v>45.47</v>
      </c>
      <c r="AC8" s="52">
        <v>40.71</v>
      </c>
      <c r="AD8" s="52">
        <v>35.950000000000003</v>
      </c>
      <c r="AE8" s="52">
        <v>31.19</v>
      </c>
      <c r="AF8" s="52">
        <v>26.44</v>
      </c>
      <c r="AG8" s="52">
        <v>23.26</v>
      </c>
      <c r="AH8" s="52">
        <v>20.09</v>
      </c>
      <c r="AI8" s="52">
        <v>16.920000000000002</v>
      </c>
      <c r="AJ8" s="52">
        <v>13.74</v>
      </c>
      <c r="AK8" s="52">
        <v>10.57</v>
      </c>
    </row>
    <row r="9" spans="2:42" s="5" customFormat="1" ht="19.8" customHeight="1" x14ac:dyDescent="0.35">
      <c r="B9" s="19"/>
      <c r="C9" s="16"/>
    </row>
    <row r="10" spans="2:42" s="5" customFormat="1" ht="16.8" customHeight="1" thickBot="1" x14ac:dyDescent="0.35">
      <c r="C10" s="16" t="s">
        <v>0</v>
      </c>
      <c r="D10" s="66">
        <v>2025</v>
      </c>
      <c r="E10" s="20">
        <f>D10+1</f>
        <v>2026</v>
      </c>
      <c r="F10" s="20">
        <f t="shared" ref="F10:G10" si="0">E10+1</f>
        <v>2027</v>
      </c>
      <c r="G10" s="20">
        <f t="shared" si="0"/>
        <v>2028</v>
      </c>
      <c r="H10" s="20">
        <f t="shared" ref="H10" si="1">G10+1</f>
        <v>2029</v>
      </c>
      <c r="I10" s="20">
        <f t="shared" ref="I10" si="2">H10+1</f>
        <v>2030</v>
      </c>
      <c r="J10" s="20">
        <f t="shared" ref="J10" si="3">I10+1</f>
        <v>2031</v>
      </c>
      <c r="K10" s="20">
        <f t="shared" ref="K10" si="4">J10+1</f>
        <v>2032</v>
      </c>
      <c r="L10" s="20">
        <f t="shared" ref="L10" si="5">K10+1</f>
        <v>2033</v>
      </c>
      <c r="M10" s="20">
        <f t="shared" ref="M10" si="6">L10+1</f>
        <v>2034</v>
      </c>
      <c r="N10" s="20">
        <f t="shared" ref="N10" si="7">M10+1</f>
        <v>2035</v>
      </c>
      <c r="Q10" s="5" t="s">
        <v>154</v>
      </c>
      <c r="R10" s="53">
        <v>0.2</v>
      </c>
    </row>
    <row r="11" spans="2:42" s="5" customFormat="1" ht="19.8" customHeight="1" x14ac:dyDescent="0.3">
      <c r="C11" s="16" t="s">
        <v>175</v>
      </c>
      <c r="D11" s="64"/>
      <c r="E11" s="64"/>
      <c r="F11" s="64"/>
      <c r="G11" s="64"/>
      <c r="H11" s="64"/>
      <c r="I11" s="64"/>
      <c r="J11" s="64"/>
      <c r="K11" s="64"/>
      <c r="L11" s="64"/>
      <c r="M11" s="64"/>
      <c r="N11" s="64"/>
      <c r="O11" s="54" t="s">
        <v>202</v>
      </c>
      <c r="P11" s="5" t="s">
        <v>165</v>
      </c>
      <c r="Q11" s="5" t="s">
        <v>21</v>
      </c>
      <c r="R11" s="53">
        <v>0.1</v>
      </c>
    </row>
    <row r="12" spans="2:42" s="5" customFormat="1" ht="19.8" customHeight="1" x14ac:dyDescent="0.3">
      <c r="C12" s="16" t="s">
        <v>213</v>
      </c>
      <c r="D12" s="67"/>
      <c r="E12" s="67"/>
      <c r="F12" s="67"/>
      <c r="G12" s="67"/>
      <c r="H12" s="67"/>
      <c r="I12" s="67"/>
      <c r="J12" s="67"/>
      <c r="K12" s="67"/>
      <c r="L12" s="67"/>
      <c r="M12" s="67"/>
      <c r="N12" s="67"/>
      <c r="O12" s="54"/>
      <c r="P12" s="5" t="s">
        <v>168</v>
      </c>
      <c r="R12" s="53"/>
    </row>
    <row r="13" spans="2:42" s="5" customFormat="1" ht="19.8" customHeight="1" x14ac:dyDescent="0.4">
      <c r="C13" s="16" t="s">
        <v>210</v>
      </c>
      <c r="D13" s="65"/>
      <c r="E13" s="65"/>
      <c r="F13" s="65"/>
      <c r="G13" s="65"/>
      <c r="H13" s="65"/>
      <c r="I13" s="65"/>
      <c r="J13" s="65"/>
      <c r="K13" s="65"/>
      <c r="L13" s="65"/>
      <c r="M13" s="65"/>
      <c r="N13" s="65"/>
      <c r="O13" s="5" t="s">
        <v>130</v>
      </c>
      <c r="P13" s="5" t="s">
        <v>211</v>
      </c>
    </row>
    <row r="14" spans="2:42" s="5" customFormat="1" ht="19.8" customHeight="1" x14ac:dyDescent="0.4">
      <c r="C14" s="16" t="s">
        <v>188</v>
      </c>
      <c r="D14" s="65"/>
      <c r="E14" s="65"/>
      <c r="F14" s="65"/>
      <c r="G14" s="65"/>
      <c r="H14" s="65"/>
      <c r="I14" s="65"/>
      <c r="J14" s="65"/>
      <c r="K14" s="65"/>
      <c r="L14" s="65"/>
      <c r="M14" s="65"/>
      <c r="N14" s="65"/>
      <c r="O14" s="5" t="s">
        <v>130</v>
      </c>
      <c r="P14" s="5" t="s">
        <v>189</v>
      </c>
    </row>
    <row r="15" spans="2:42" s="5" customFormat="1" ht="16.8" customHeight="1" x14ac:dyDescent="0.3">
      <c r="B15" s="15"/>
      <c r="C15" s="16"/>
      <c r="D15" s="75" t="b">
        <f>NOT(AND($N$8&gt;0,ISNUMBER(D11),ISNUMBER(D12),ISNUMBER(D13),ISNUMBER(14)))</f>
        <v>1</v>
      </c>
      <c r="E15" s="75" t="b">
        <f t="shared" ref="E15:N15" si="8">NOT(AND($N$8&gt;0,ISNUMBER(E11),ISNUMBER(E12),ISNUMBER(E13)))</f>
        <v>1</v>
      </c>
      <c r="F15" s="75" t="b">
        <f t="shared" si="8"/>
        <v>1</v>
      </c>
      <c r="G15" s="75" t="b">
        <f t="shared" si="8"/>
        <v>1</v>
      </c>
      <c r="H15" s="75" t="b">
        <f t="shared" si="8"/>
        <v>1</v>
      </c>
      <c r="I15" s="75" t="b">
        <f t="shared" si="8"/>
        <v>1</v>
      </c>
      <c r="J15" s="75" t="b">
        <f t="shared" si="8"/>
        <v>1</v>
      </c>
      <c r="K15" s="75" t="b">
        <f t="shared" si="8"/>
        <v>1</v>
      </c>
      <c r="L15" s="75" t="b">
        <f t="shared" si="8"/>
        <v>1</v>
      </c>
      <c r="M15" s="75" t="b">
        <f t="shared" si="8"/>
        <v>1</v>
      </c>
      <c r="N15" s="75" t="b">
        <f t="shared" si="8"/>
        <v>1</v>
      </c>
    </row>
    <row r="16" spans="2:42" s="5" customFormat="1" ht="19.8" customHeight="1" x14ac:dyDescent="0.45">
      <c r="B16" s="22"/>
      <c r="C16" s="23" t="s">
        <v>131</v>
      </c>
      <c r="D16" s="24">
        <f>_xlfn.XLOOKUP(D10,$Q$7:$AK$7,$Q$8:$AK$8,"",0,1)</f>
        <v>81.7</v>
      </c>
      <c r="E16" s="24">
        <f t="shared" ref="E16:N16" si="9">_xlfn.XLOOKUP(E10,$Q$7:$AK$7,$Q$8:$AK$8,"",0,1)</f>
        <v>80.17</v>
      </c>
      <c r="F16" s="24">
        <f t="shared" si="9"/>
        <v>78.63</v>
      </c>
      <c r="G16" s="24">
        <f t="shared" si="9"/>
        <v>77.099999999999994</v>
      </c>
      <c r="H16" s="24">
        <f t="shared" si="9"/>
        <v>75.569999999999993</v>
      </c>
      <c r="I16" s="24">
        <f t="shared" si="9"/>
        <v>74.03</v>
      </c>
      <c r="J16" s="24">
        <f t="shared" si="9"/>
        <v>69.27</v>
      </c>
      <c r="K16" s="24">
        <f t="shared" si="9"/>
        <v>64.510000000000005</v>
      </c>
      <c r="L16" s="24">
        <f t="shared" si="9"/>
        <v>59.75</v>
      </c>
      <c r="M16" s="24">
        <f t="shared" si="9"/>
        <v>54.99</v>
      </c>
      <c r="N16" s="24">
        <f t="shared" si="9"/>
        <v>50.23</v>
      </c>
      <c r="O16" s="5" t="s">
        <v>130</v>
      </c>
      <c r="P16" s="55" t="s">
        <v>128</v>
      </c>
      <c r="Q16" s="27"/>
      <c r="R16" s="27"/>
      <c r="S16" s="27"/>
      <c r="T16" s="27"/>
      <c r="U16" s="27"/>
      <c r="W16" s="27"/>
      <c r="X16" s="27"/>
    </row>
    <row r="17" spans="2:24" s="5" customFormat="1" ht="19.8" customHeight="1" x14ac:dyDescent="0.35">
      <c r="C17" s="25" t="s">
        <v>132</v>
      </c>
      <c r="D17" s="85">
        <v>5</v>
      </c>
      <c r="E17" s="85">
        <v>5</v>
      </c>
      <c r="F17" s="85">
        <v>5</v>
      </c>
      <c r="G17" s="85">
        <v>5</v>
      </c>
      <c r="H17" s="85">
        <v>5</v>
      </c>
      <c r="I17" s="85">
        <v>5</v>
      </c>
      <c r="J17" s="85">
        <v>5</v>
      </c>
      <c r="K17" s="85">
        <v>5</v>
      </c>
      <c r="L17" s="85">
        <v>5</v>
      </c>
      <c r="M17" s="85">
        <v>5</v>
      </c>
      <c r="N17" s="85">
        <v>5</v>
      </c>
      <c r="O17" s="5" t="s">
        <v>18</v>
      </c>
      <c r="P17" s="5" t="s">
        <v>180</v>
      </c>
      <c r="Q17" s="27"/>
      <c r="R17" s="27"/>
      <c r="S17" s="27"/>
      <c r="T17" s="27"/>
      <c r="U17" s="27"/>
      <c r="W17" s="27"/>
      <c r="X17" s="27"/>
    </row>
    <row r="18" spans="2:24" s="5" customFormat="1" ht="19.8" customHeight="1" x14ac:dyDescent="0.45">
      <c r="C18" s="25" t="s">
        <v>170</v>
      </c>
      <c r="D18" s="78">
        <f>D14</f>
        <v>0</v>
      </c>
      <c r="E18" s="78">
        <f t="shared" ref="E18:N18" si="10">E14</f>
        <v>0</v>
      </c>
      <c r="F18" s="78">
        <f t="shared" si="10"/>
        <v>0</v>
      </c>
      <c r="G18" s="78">
        <f t="shared" si="10"/>
        <v>0</v>
      </c>
      <c r="H18" s="78">
        <f t="shared" si="10"/>
        <v>0</v>
      </c>
      <c r="I18" s="78">
        <f t="shared" si="10"/>
        <v>0</v>
      </c>
      <c r="J18" s="78">
        <f t="shared" si="10"/>
        <v>0</v>
      </c>
      <c r="K18" s="78">
        <f t="shared" si="10"/>
        <v>0</v>
      </c>
      <c r="L18" s="78">
        <f t="shared" si="10"/>
        <v>0</v>
      </c>
      <c r="M18" s="78">
        <f t="shared" si="10"/>
        <v>0</v>
      </c>
      <c r="N18" s="78">
        <f t="shared" si="10"/>
        <v>0</v>
      </c>
      <c r="O18" s="5" t="s">
        <v>130</v>
      </c>
      <c r="P18" s="5" t="s">
        <v>169</v>
      </c>
      <c r="Q18" s="27"/>
      <c r="R18" s="27"/>
      <c r="S18" s="27"/>
      <c r="T18" s="27"/>
      <c r="U18" s="27"/>
      <c r="W18" s="27"/>
      <c r="X18" s="27"/>
    </row>
    <row r="19" spans="2:24" s="5" customFormat="1" ht="19.8" customHeight="1" x14ac:dyDescent="0.45">
      <c r="B19" s="16" t="s">
        <v>19</v>
      </c>
      <c r="C19" s="25" t="s">
        <v>172</v>
      </c>
      <c r="D19" s="28">
        <v>3.6</v>
      </c>
      <c r="E19" s="28">
        <v>3.6</v>
      </c>
      <c r="F19" s="28">
        <v>3.6</v>
      </c>
      <c r="G19" s="28">
        <v>3.6</v>
      </c>
      <c r="H19" s="28">
        <v>3.6</v>
      </c>
      <c r="I19" s="28">
        <v>3.6</v>
      </c>
      <c r="J19" s="28">
        <v>3.6</v>
      </c>
      <c r="K19" s="28">
        <v>3.6</v>
      </c>
      <c r="L19" s="28">
        <v>3.6</v>
      </c>
      <c r="M19" s="28">
        <v>3.6</v>
      </c>
      <c r="N19" s="28">
        <v>3.6</v>
      </c>
      <c r="O19" s="5" t="s">
        <v>9</v>
      </c>
      <c r="P19" s="5" t="s">
        <v>30</v>
      </c>
      <c r="Q19" s="27"/>
      <c r="R19" s="27"/>
      <c r="S19" s="27"/>
      <c r="T19" s="27"/>
      <c r="U19" s="27"/>
      <c r="W19" s="27"/>
      <c r="X19" s="27"/>
    </row>
    <row r="20" spans="2:24" s="5" customFormat="1" ht="19.8" customHeight="1" x14ac:dyDescent="0.45">
      <c r="B20" s="16" t="s">
        <v>17</v>
      </c>
      <c r="C20" s="25" t="s">
        <v>171</v>
      </c>
      <c r="D20" s="29">
        <f t="shared" ref="D20:N20" si="11">$N$8</f>
        <v>0</v>
      </c>
      <c r="E20" s="29">
        <f t="shared" si="11"/>
        <v>0</v>
      </c>
      <c r="F20" s="29">
        <f t="shared" si="11"/>
        <v>0</v>
      </c>
      <c r="G20" s="29">
        <f t="shared" si="11"/>
        <v>0</v>
      </c>
      <c r="H20" s="29">
        <f t="shared" si="11"/>
        <v>0</v>
      </c>
      <c r="I20" s="29">
        <f t="shared" si="11"/>
        <v>0</v>
      </c>
      <c r="J20" s="29">
        <f t="shared" si="11"/>
        <v>0</v>
      </c>
      <c r="K20" s="29">
        <f t="shared" si="11"/>
        <v>0</v>
      </c>
      <c r="L20" s="29">
        <f t="shared" si="11"/>
        <v>0</v>
      </c>
      <c r="M20" s="29">
        <f t="shared" si="11"/>
        <v>0</v>
      </c>
      <c r="N20" s="29">
        <f t="shared" si="11"/>
        <v>0</v>
      </c>
      <c r="O20" s="5" t="s">
        <v>2</v>
      </c>
      <c r="P20" s="5" t="s">
        <v>173</v>
      </c>
      <c r="Q20" s="27"/>
      <c r="R20" s="27"/>
      <c r="S20" s="27"/>
      <c r="T20" s="27"/>
      <c r="U20" s="27"/>
      <c r="W20" s="27"/>
      <c r="X20" s="27"/>
    </row>
    <row r="21" spans="2:24" s="5" customFormat="1" ht="19.8" customHeight="1" x14ac:dyDescent="0.35">
      <c r="B21" s="16" t="s">
        <v>23</v>
      </c>
      <c r="C21" s="25" t="s">
        <v>12</v>
      </c>
      <c r="D21" s="30">
        <v>91.25</v>
      </c>
      <c r="E21" s="30">
        <v>91.25</v>
      </c>
      <c r="F21" s="30">
        <v>91.25</v>
      </c>
      <c r="G21" s="30">
        <v>91.25</v>
      </c>
      <c r="H21" s="30">
        <v>91.25</v>
      </c>
      <c r="I21" s="30">
        <v>91.25</v>
      </c>
      <c r="J21" s="30">
        <v>91.25</v>
      </c>
      <c r="K21" s="30">
        <v>91.25</v>
      </c>
      <c r="L21" s="30">
        <v>91.25</v>
      </c>
      <c r="M21" s="30">
        <v>91.25</v>
      </c>
      <c r="N21" s="30">
        <v>91.25</v>
      </c>
      <c r="O21" s="5" t="s">
        <v>5</v>
      </c>
      <c r="P21" s="5" t="s">
        <v>127</v>
      </c>
      <c r="Q21" s="27"/>
      <c r="R21" s="27"/>
      <c r="S21" s="27"/>
      <c r="T21" s="27"/>
      <c r="U21" s="27"/>
      <c r="W21" s="27"/>
      <c r="X21" s="27"/>
    </row>
    <row r="22" spans="2:24" s="5" customFormat="1" ht="19.8" customHeight="1" x14ac:dyDescent="0.35">
      <c r="B22" s="15"/>
      <c r="C22" s="25" t="s">
        <v>24</v>
      </c>
      <c r="D22" s="80">
        <f>D12</f>
        <v>0</v>
      </c>
      <c r="E22" s="29">
        <f t="shared" ref="E22:N22" si="12">E12</f>
        <v>0</v>
      </c>
      <c r="F22" s="29">
        <f t="shared" si="12"/>
        <v>0</v>
      </c>
      <c r="G22" s="29">
        <f t="shared" si="12"/>
        <v>0</v>
      </c>
      <c r="H22" s="29">
        <f t="shared" si="12"/>
        <v>0</v>
      </c>
      <c r="I22" s="29">
        <f t="shared" si="12"/>
        <v>0</v>
      </c>
      <c r="J22" s="29">
        <f t="shared" si="12"/>
        <v>0</v>
      </c>
      <c r="K22" s="29">
        <f t="shared" si="12"/>
        <v>0</v>
      </c>
      <c r="L22" s="29">
        <f t="shared" si="12"/>
        <v>0</v>
      </c>
      <c r="M22" s="29">
        <f t="shared" si="12"/>
        <v>0</v>
      </c>
      <c r="N22" s="29">
        <f t="shared" si="12"/>
        <v>0</v>
      </c>
      <c r="P22" s="5" t="s">
        <v>166</v>
      </c>
      <c r="Q22" s="27"/>
      <c r="R22" s="27"/>
      <c r="S22" s="27"/>
      <c r="T22" s="27"/>
      <c r="U22" s="27"/>
      <c r="W22" s="27"/>
      <c r="X22" s="27"/>
    </row>
    <row r="23" spans="2:24" s="5" customFormat="1" ht="19.8" customHeight="1" x14ac:dyDescent="0.45">
      <c r="B23" s="15"/>
      <c r="C23" s="31" t="s">
        <v>174</v>
      </c>
      <c r="D23" s="29">
        <f>D11</f>
        <v>0</v>
      </c>
      <c r="E23" s="29">
        <f t="shared" ref="E23:N23" si="13">E11</f>
        <v>0</v>
      </c>
      <c r="F23" s="29">
        <f t="shared" si="13"/>
        <v>0</v>
      </c>
      <c r="G23" s="29">
        <f t="shared" si="13"/>
        <v>0</v>
      </c>
      <c r="H23" s="29">
        <f t="shared" si="13"/>
        <v>0</v>
      </c>
      <c r="I23" s="29">
        <f t="shared" si="13"/>
        <v>0</v>
      </c>
      <c r="J23" s="29">
        <f t="shared" si="13"/>
        <v>0</v>
      </c>
      <c r="K23" s="29">
        <f t="shared" si="13"/>
        <v>0</v>
      </c>
      <c r="L23" s="29">
        <f t="shared" si="13"/>
        <v>0</v>
      </c>
      <c r="M23" s="29">
        <f t="shared" si="13"/>
        <v>0</v>
      </c>
      <c r="N23" s="29">
        <f t="shared" si="13"/>
        <v>0</v>
      </c>
      <c r="O23" s="5" t="s">
        <v>25</v>
      </c>
      <c r="P23" s="5" t="s">
        <v>179</v>
      </c>
      <c r="Q23" s="27"/>
      <c r="R23" s="27"/>
      <c r="S23" s="27"/>
      <c r="T23" s="27"/>
      <c r="U23" s="27"/>
      <c r="W23" s="27"/>
      <c r="X23" s="27"/>
    </row>
    <row r="24" spans="2:24" s="5" customFormat="1" ht="19.8" customHeight="1" x14ac:dyDescent="0.35">
      <c r="B24" s="15"/>
      <c r="C24" s="25" t="s">
        <v>13</v>
      </c>
      <c r="D24" s="32">
        <f>10^-6</f>
        <v>9.9999999999999995E-7</v>
      </c>
      <c r="E24" s="32">
        <f t="shared" ref="E24:N24" si="14">10^-6</f>
        <v>9.9999999999999995E-7</v>
      </c>
      <c r="F24" s="32">
        <f t="shared" si="14"/>
        <v>9.9999999999999995E-7</v>
      </c>
      <c r="G24" s="32">
        <f t="shared" si="14"/>
        <v>9.9999999999999995E-7</v>
      </c>
      <c r="H24" s="32">
        <f t="shared" si="14"/>
        <v>9.9999999999999995E-7</v>
      </c>
      <c r="I24" s="32">
        <f t="shared" si="14"/>
        <v>9.9999999999999995E-7</v>
      </c>
      <c r="J24" s="32">
        <f t="shared" si="14"/>
        <v>9.9999999999999995E-7</v>
      </c>
      <c r="K24" s="32">
        <f t="shared" si="14"/>
        <v>9.9999999999999995E-7</v>
      </c>
      <c r="L24" s="32">
        <f t="shared" si="14"/>
        <v>9.9999999999999995E-7</v>
      </c>
      <c r="M24" s="32">
        <f t="shared" si="14"/>
        <v>9.9999999999999995E-7</v>
      </c>
      <c r="N24" s="32">
        <f t="shared" si="14"/>
        <v>9.9999999999999995E-7</v>
      </c>
      <c r="O24" s="5" t="s">
        <v>4</v>
      </c>
      <c r="P24" s="5" t="s">
        <v>27</v>
      </c>
      <c r="Q24" s="27"/>
      <c r="R24" s="27"/>
      <c r="S24" s="27"/>
      <c r="T24" s="27"/>
      <c r="U24" s="27"/>
      <c r="W24" s="27"/>
      <c r="X24" s="27"/>
    </row>
    <row r="25" spans="2:24" s="5" customFormat="1" ht="19.8" customHeight="1" x14ac:dyDescent="0.4">
      <c r="B25" s="33"/>
      <c r="C25" s="34" t="s">
        <v>177</v>
      </c>
      <c r="D25" s="35">
        <f>MAX(0,(D16*D17-D18)*D19*(D20*D21*D22-D23)*D24)</f>
        <v>0</v>
      </c>
      <c r="E25" s="35">
        <f t="shared" ref="E25:N25" si="15">MAX(0,(E16*E17-E18)*E19*(E20*E21*E22-E23)*E24)</f>
        <v>0</v>
      </c>
      <c r="F25" s="35">
        <f t="shared" si="15"/>
        <v>0</v>
      </c>
      <c r="G25" s="35">
        <f t="shared" si="15"/>
        <v>0</v>
      </c>
      <c r="H25" s="35">
        <f t="shared" si="15"/>
        <v>0</v>
      </c>
      <c r="I25" s="35">
        <f t="shared" si="15"/>
        <v>0</v>
      </c>
      <c r="J25" s="35">
        <f t="shared" si="15"/>
        <v>0</v>
      </c>
      <c r="K25" s="35">
        <f t="shared" si="15"/>
        <v>0</v>
      </c>
      <c r="L25" s="35">
        <f t="shared" si="15"/>
        <v>0</v>
      </c>
      <c r="M25" s="35">
        <f t="shared" si="15"/>
        <v>0</v>
      </c>
      <c r="N25" s="35">
        <f t="shared" si="15"/>
        <v>0</v>
      </c>
      <c r="O25" s="5" t="s">
        <v>28</v>
      </c>
      <c r="P25" s="5" t="s">
        <v>178</v>
      </c>
      <c r="Q25" s="27"/>
      <c r="R25" s="27"/>
      <c r="S25" s="27"/>
      <c r="T25" s="27"/>
      <c r="U25" s="27"/>
      <c r="W25" s="27"/>
      <c r="X25" s="27"/>
    </row>
    <row r="26" spans="2:24" s="5" customFormat="1" ht="16.8" customHeight="1" x14ac:dyDescent="0.3">
      <c r="B26" s="15"/>
      <c r="C26" s="16"/>
    </row>
    <row r="27" spans="2:24" s="5" customFormat="1" ht="19.8" customHeight="1" x14ac:dyDescent="0.45">
      <c r="B27" s="36" t="s">
        <v>183</v>
      </c>
      <c r="C27" s="37" t="s">
        <v>133</v>
      </c>
      <c r="D27" s="100">
        <f>D13</f>
        <v>0</v>
      </c>
      <c r="E27" s="76">
        <f t="shared" ref="E27:N27" si="16">E13</f>
        <v>0</v>
      </c>
      <c r="F27" s="76">
        <f t="shared" si="16"/>
        <v>0</v>
      </c>
      <c r="G27" s="76">
        <f t="shared" si="16"/>
        <v>0</v>
      </c>
      <c r="H27" s="76">
        <f t="shared" si="16"/>
        <v>0</v>
      </c>
      <c r="I27" s="76">
        <f t="shared" si="16"/>
        <v>0</v>
      </c>
      <c r="J27" s="76">
        <f t="shared" si="16"/>
        <v>0</v>
      </c>
      <c r="K27" s="76">
        <f t="shared" si="16"/>
        <v>0</v>
      </c>
      <c r="L27" s="76">
        <f t="shared" si="16"/>
        <v>0</v>
      </c>
      <c r="M27" s="76">
        <f t="shared" si="16"/>
        <v>0</v>
      </c>
      <c r="N27" s="76">
        <f t="shared" si="16"/>
        <v>0</v>
      </c>
      <c r="O27" s="5" t="s">
        <v>130</v>
      </c>
      <c r="P27" s="5" t="s">
        <v>182</v>
      </c>
    </row>
    <row r="28" spans="2:24" s="5" customFormat="1" ht="19.8" customHeight="1" x14ac:dyDescent="0.35">
      <c r="B28" s="16" t="s">
        <v>16</v>
      </c>
      <c r="C28" s="18" t="s">
        <v>134</v>
      </c>
      <c r="D28" s="85">
        <f>D17</f>
        <v>5</v>
      </c>
      <c r="E28" s="85">
        <f t="shared" ref="E28:N28" si="17">E17</f>
        <v>5</v>
      </c>
      <c r="F28" s="85">
        <f t="shared" si="17"/>
        <v>5</v>
      </c>
      <c r="G28" s="85">
        <f t="shared" si="17"/>
        <v>5</v>
      </c>
      <c r="H28" s="85">
        <f t="shared" si="17"/>
        <v>5</v>
      </c>
      <c r="I28" s="85">
        <f t="shared" si="17"/>
        <v>5</v>
      </c>
      <c r="J28" s="85">
        <f t="shared" si="17"/>
        <v>5</v>
      </c>
      <c r="K28" s="85">
        <f t="shared" si="17"/>
        <v>5</v>
      </c>
      <c r="L28" s="85">
        <f t="shared" si="17"/>
        <v>5</v>
      </c>
      <c r="M28" s="85">
        <f t="shared" si="17"/>
        <v>5</v>
      </c>
      <c r="N28" s="85">
        <f t="shared" si="17"/>
        <v>5</v>
      </c>
      <c r="O28" s="5" t="s">
        <v>18</v>
      </c>
      <c r="P28" s="5" t="s">
        <v>180</v>
      </c>
    </row>
    <row r="29" spans="2:24" s="5" customFormat="1" ht="19.8" customHeight="1" x14ac:dyDescent="0.45">
      <c r="B29" s="38" t="s">
        <v>15</v>
      </c>
      <c r="C29" s="39" t="s">
        <v>135</v>
      </c>
      <c r="D29" s="77">
        <f>D27/D28</f>
        <v>0</v>
      </c>
      <c r="E29" s="77">
        <f t="shared" ref="E29:N29" si="18">E27/E28</f>
        <v>0</v>
      </c>
      <c r="F29" s="77">
        <f t="shared" si="18"/>
        <v>0</v>
      </c>
      <c r="G29" s="77">
        <f t="shared" si="18"/>
        <v>0</v>
      </c>
      <c r="H29" s="77">
        <f t="shared" si="18"/>
        <v>0</v>
      </c>
      <c r="I29" s="77">
        <f t="shared" si="18"/>
        <v>0</v>
      </c>
      <c r="J29" s="77">
        <f t="shared" si="18"/>
        <v>0</v>
      </c>
      <c r="K29" s="77">
        <f t="shared" si="18"/>
        <v>0</v>
      </c>
      <c r="L29" s="77">
        <f t="shared" si="18"/>
        <v>0</v>
      </c>
      <c r="M29" s="77">
        <f t="shared" si="18"/>
        <v>0</v>
      </c>
      <c r="N29" s="77">
        <f t="shared" si="18"/>
        <v>0</v>
      </c>
      <c r="O29" s="5" t="s">
        <v>130</v>
      </c>
      <c r="P29" s="5" t="s">
        <v>181</v>
      </c>
    </row>
    <row r="30" spans="2:24" s="5" customFormat="1" ht="16.8" customHeight="1" x14ac:dyDescent="0.3">
      <c r="B30" s="15"/>
      <c r="C30" s="16"/>
      <c r="D30" s="21"/>
      <c r="E30" s="21"/>
      <c r="F30" s="21"/>
      <c r="G30" s="21"/>
      <c r="H30" s="21"/>
      <c r="I30" s="21"/>
      <c r="J30" s="21"/>
      <c r="K30" s="21"/>
      <c r="L30" s="21"/>
      <c r="M30" s="21"/>
      <c r="N30" s="21"/>
    </row>
    <row r="31" spans="2:24" s="5" customFormat="1" ht="19.8" customHeight="1" x14ac:dyDescent="0.45">
      <c r="B31" s="22"/>
      <c r="C31" s="37" t="s">
        <v>136</v>
      </c>
      <c r="D31" s="24">
        <f>D16</f>
        <v>81.7</v>
      </c>
      <c r="E31" s="24">
        <f t="shared" ref="E31:N31" si="19">E16</f>
        <v>80.17</v>
      </c>
      <c r="F31" s="24">
        <f t="shared" si="19"/>
        <v>78.63</v>
      </c>
      <c r="G31" s="24">
        <f t="shared" si="19"/>
        <v>77.099999999999994</v>
      </c>
      <c r="H31" s="24">
        <f t="shared" si="19"/>
        <v>75.569999999999993</v>
      </c>
      <c r="I31" s="24">
        <f t="shared" si="19"/>
        <v>74.03</v>
      </c>
      <c r="J31" s="24">
        <f t="shared" si="19"/>
        <v>69.27</v>
      </c>
      <c r="K31" s="24">
        <f t="shared" si="19"/>
        <v>64.510000000000005</v>
      </c>
      <c r="L31" s="24">
        <f t="shared" si="19"/>
        <v>59.75</v>
      </c>
      <c r="M31" s="24">
        <f t="shared" si="19"/>
        <v>54.99</v>
      </c>
      <c r="N31" s="24">
        <f t="shared" si="19"/>
        <v>50.23</v>
      </c>
      <c r="O31" s="5" t="s">
        <v>1</v>
      </c>
      <c r="P31" s="55" t="s">
        <v>129</v>
      </c>
    </row>
    <row r="32" spans="2:24" s="5" customFormat="1" ht="19.8" customHeight="1" x14ac:dyDescent="0.45">
      <c r="B32" s="16" t="s">
        <v>183</v>
      </c>
      <c r="C32" s="40" t="s">
        <v>137</v>
      </c>
      <c r="D32" s="82">
        <f>D29</f>
        <v>0</v>
      </c>
      <c r="E32" s="82">
        <f t="shared" ref="E32:N32" si="20">E29</f>
        <v>0</v>
      </c>
      <c r="F32" s="82">
        <f t="shared" si="20"/>
        <v>0</v>
      </c>
      <c r="G32" s="82">
        <f t="shared" si="20"/>
        <v>0</v>
      </c>
      <c r="H32" s="82">
        <f t="shared" si="20"/>
        <v>0</v>
      </c>
      <c r="I32" s="82">
        <f t="shared" si="20"/>
        <v>0</v>
      </c>
      <c r="J32" s="82">
        <f t="shared" si="20"/>
        <v>0</v>
      </c>
      <c r="K32" s="82">
        <f t="shared" si="20"/>
        <v>0</v>
      </c>
      <c r="L32" s="82">
        <f t="shared" si="20"/>
        <v>0</v>
      </c>
      <c r="M32" s="82">
        <f t="shared" si="20"/>
        <v>0</v>
      </c>
      <c r="N32" s="82">
        <f t="shared" si="20"/>
        <v>0</v>
      </c>
      <c r="O32" s="5" t="s">
        <v>1</v>
      </c>
      <c r="P32" s="5" t="s">
        <v>184</v>
      </c>
    </row>
    <row r="33" spans="2:16" s="5" customFormat="1" ht="19.8" customHeight="1" x14ac:dyDescent="0.45">
      <c r="B33" s="16" t="s">
        <v>17</v>
      </c>
      <c r="C33" s="25" t="s">
        <v>138</v>
      </c>
      <c r="D33" s="83">
        <f t="shared" ref="D33:N33" si="21">D23*D19*D28</f>
        <v>0</v>
      </c>
      <c r="E33" s="83">
        <f t="shared" si="21"/>
        <v>0</v>
      </c>
      <c r="F33" s="83">
        <f t="shared" si="21"/>
        <v>0</v>
      </c>
      <c r="G33" s="83">
        <f t="shared" si="21"/>
        <v>0</v>
      </c>
      <c r="H33" s="83">
        <f t="shared" si="21"/>
        <v>0</v>
      </c>
      <c r="I33" s="83">
        <f t="shared" si="21"/>
        <v>0</v>
      </c>
      <c r="J33" s="83">
        <f t="shared" si="21"/>
        <v>0</v>
      </c>
      <c r="K33" s="83">
        <f t="shared" si="21"/>
        <v>0</v>
      </c>
      <c r="L33" s="83">
        <f t="shared" si="21"/>
        <v>0</v>
      </c>
      <c r="M33" s="83">
        <f t="shared" si="21"/>
        <v>0</v>
      </c>
      <c r="N33" s="83">
        <f t="shared" si="21"/>
        <v>0</v>
      </c>
      <c r="O33" s="5" t="s">
        <v>26</v>
      </c>
      <c r="P33" s="5" t="s">
        <v>185</v>
      </c>
    </row>
    <row r="34" spans="2:16" s="5" customFormat="1" ht="19.8" customHeight="1" x14ac:dyDescent="0.4">
      <c r="B34" s="16" t="s">
        <v>14</v>
      </c>
      <c r="C34" s="25" t="s">
        <v>13</v>
      </c>
      <c r="D34" s="26">
        <f>10^-6</f>
        <v>9.9999999999999995E-7</v>
      </c>
      <c r="E34" s="26">
        <f t="shared" ref="E34:N34" si="22">10^-6</f>
        <v>9.9999999999999995E-7</v>
      </c>
      <c r="F34" s="26">
        <f t="shared" si="22"/>
        <v>9.9999999999999995E-7</v>
      </c>
      <c r="G34" s="26">
        <f t="shared" si="22"/>
        <v>9.9999999999999995E-7</v>
      </c>
      <c r="H34" s="26">
        <f t="shared" si="22"/>
        <v>9.9999999999999995E-7</v>
      </c>
      <c r="I34" s="26">
        <f t="shared" si="22"/>
        <v>9.9999999999999995E-7</v>
      </c>
      <c r="J34" s="26">
        <f t="shared" si="22"/>
        <v>9.9999999999999995E-7</v>
      </c>
      <c r="K34" s="26">
        <f t="shared" si="22"/>
        <v>9.9999999999999995E-7</v>
      </c>
      <c r="L34" s="26">
        <f t="shared" si="22"/>
        <v>9.9999999999999995E-7</v>
      </c>
      <c r="M34" s="26">
        <f t="shared" si="22"/>
        <v>9.9999999999999995E-7</v>
      </c>
      <c r="N34" s="26">
        <f t="shared" si="22"/>
        <v>9.9999999999999995E-7</v>
      </c>
      <c r="O34" s="5" t="s">
        <v>4</v>
      </c>
      <c r="P34" s="5" t="s">
        <v>139</v>
      </c>
    </row>
    <row r="35" spans="2:16" s="5" customFormat="1" ht="19.8" customHeight="1" x14ac:dyDescent="0.45">
      <c r="B35" s="33"/>
      <c r="C35" s="41" t="s">
        <v>140</v>
      </c>
      <c r="D35" s="35">
        <f>(D31-D32)*D33*D34</f>
        <v>0</v>
      </c>
      <c r="E35" s="35">
        <f t="shared" ref="E35:N35" si="23">(E31-E32)*E33*E34</f>
        <v>0</v>
      </c>
      <c r="F35" s="35">
        <f t="shared" si="23"/>
        <v>0</v>
      </c>
      <c r="G35" s="35">
        <f t="shared" si="23"/>
        <v>0</v>
      </c>
      <c r="H35" s="35">
        <f t="shared" si="23"/>
        <v>0</v>
      </c>
      <c r="I35" s="35">
        <f t="shared" si="23"/>
        <v>0</v>
      </c>
      <c r="J35" s="35">
        <f t="shared" si="23"/>
        <v>0</v>
      </c>
      <c r="K35" s="35">
        <f t="shared" si="23"/>
        <v>0</v>
      </c>
      <c r="L35" s="35">
        <f t="shared" si="23"/>
        <v>0</v>
      </c>
      <c r="M35" s="35">
        <f t="shared" si="23"/>
        <v>0</v>
      </c>
      <c r="N35" s="35">
        <f t="shared" si="23"/>
        <v>0</v>
      </c>
      <c r="O35" s="5" t="s">
        <v>28</v>
      </c>
      <c r="P35" s="5" t="s">
        <v>186</v>
      </c>
    </row>
    <row r="36" spans="2:16" s="5" customFormat="1" ht="16.2" customHeight="1" x14ac:dyDescent="0.3">
      <c r="B36" s="15"/>
      <c r="C36" s="16"/>
    </row>
    <row r="37" spans="2:16" s="5" customFormat="1" ht="19.2" customHeight="1" thickBot="1" x14ac:dyDescent="0.35">
      <c r="C37" s="16" t="s">
        <v>0</v>
      </c>
      <c r="D37" s="18">
        <f t="shared" ref="D37:N37" si="24">D10</f>
        <v>2025</v>
      </c>
      <c r="E37" s="18">
        <f t="shared" si="24"/>
        <v>2026</v>
      </c>
      <c r="F37" s="18">
        <f t="shared" si="24"/>
        <v>2027</v>
      </c>
      <c r="G37" s="18">
        <f t="shared" si="24"/>
        <v>2028</v>
      </c>
      <c r="H37" s="18">
        <f t="shared" si="24"/>
        <v>2029</v>
      </c>
      <c r="I37" s="18">
        <f t="shared" si="24"/>
        <v>2030</v>
      </c>
      <c r="J37" s="18">
        <f t="shared" si="24"/>
        <v>2031</v>
      </c>
      <c r="K37" s="18">
        <f t="shared" si="24"/>
        <v>2032</v>
      </c>
      <c r="L37" s="18">
        <f t="shared" si="24"/>
        <v>2033</v>
      </c>
      <c r="M37" s="18">
        <f t="shared" si="24"/>
        <v>2034</v>
      </c>
      <c r="N37" s="18">
        <f t="shared" si="24"/>
        <v>2035</v>
      </c>
    </row>
    <row r="38" spans="2:16" s="5" customFormat="1" ht="33" customHeight="1" thickBot="1" x14ac:dyDescent="0.4">
      <c r="B38" s="47"/>
      <c r="C38" s="47" t="s">
        <v>187</v>
      </c>
      <c r="D38" s="42">
        <f t="shared" ref="D38:N38" si="25">(D16*D17-D18)*D19*(D20*D21*D22-0)*D24</f>
        <v>0</v>
      </c>
      <c r="E38" s="42">
        <f t="shared" si="25"/>
        <v>0</v>
      </c>
      <c r="F38" s="42">
        <f t="shared" si="25"/>
        <v>0</v>
      </c>
      <c r="G38" s="42">
        <f t="shared" si="25"/>
        <v>0</v>
      </c>
      <c r="H38" s="42">
        <f t="shared" si="25"/>
        <v>0</v>
      </c>
      <c r="I38" s="42">
        <f t="shared" si="25"/>
        <v>0</v>
      </c>
      <c r="J38" s="42">
        <f t="shared" si="25"/>
        <v>0</v>
      </c>
      <c r="K38" s="42">
        <f t="shared" si="25"/>
        <v>0</v>
      </c>
      <c r="L38" s="42">
        <f t="shared" si="25"/>
        <v>0</v>
      </c>
      <c r="M38" s="42">
        <f t="shared" si="25"/>
        <v>0</v>
      </c>
      <c r="N38" s="42">
        <f t="shared" si="25"/>
        <v>0</v>
      </c>
      <c r="O38" s="57" t="s">
        <v>28</v>
      </c>
      <c r="P38" s="27"/>
    </row>
    <row r="39" spans="2:16" s="5" customFormat="1" ht="33" customHeight="1" thickBot="1" x14ac:dyDescent="0.35">
      <c r="B39" s="47"/>
      <c r="C39" s="47" t="s">
        <v>193</v>
      </c>
      <c r="D39" s="42">
        <f t="shared" ref="D39:N39" si="26">IF(D23=0,0,MAX(0,(D16*D17-D18)*D19*(D20*D21*D22-D23)*D24))</f>
        <v>0</v>
      </c>
      <c r="E39" s="42">
        <f t="shared" si="26"/>
        <v>0</v>
      </c>
      <c r="F39" s="42">
        <f t="shared" si="26"/>
        <v>0</v>
      </c>
      <c r="G39" s="42">
        <f t="shared" si="26"/>
        <v>0</v>
      </c>
      <c r="H39" s="42">
        <f t="shared" si="26"/>
        <v>0</v>
      </c>
      <c r="I39" s="42">
        <f t="shared" si="26"/>
        <v>0</v>
      </c>
      <c r="J39" s="42">
        <f t="shared" si="26"/>
        <v>0</v>
      </c>
      <c r="K39" s="42">
        <f t="shared" si="26"/>
        <v>0</v>
      </c>
      <c r="L39" s="42">
        <f t="shared" si="26"/>
        <v>0</v>
      </c>
      <c r="M39" s="42">
        <f t="shared" si="26"/>
        <v>0</v>
      </c>
      <c r="N39" s="42">
        <f t="shared" si="26"/>
        <v>0</v>
      </c>
      <c r="O39" s="57" t="s">
        <v>28</v>
      </c>
    </row>
    <row r="40" spans="2:16" s="5" customFormat="1" ht="33" customHeight="1" thickBot="1" x14ac:dyDescent="0.35">
      <c r="B40" s="48"/>
      <c r="C40" s="48" t="s">
        <v>191</v>
      </c>
      <c r="D40" s="43">
        <f t="shared" ref="D40:N40" si="27">(D31-D32)*D33*D34</f>
        <v>0</v>
      </c>
      <c r="E40" s="43">
        <f t="shared" si="27"/>
        <v>0</v>
      </c>
      <c r="F40" s="43">
        <f t="shared" si="27"/>
        <v>0</v>
      </c>
      <c r="G40" s="43">
        <f t="shared" si="27"/>
        <v>0</v>
      </c>
      <c r="H40" s="43">
        <f t="shared" si="27"/>
        <v>0</v>
      </c>
      <c r="I40" s="43">
        <f t="shared" si="27"/>
        <v>0</v>
      </c>
      <c r="J40" s="43">
        <f t="shared" si="27"/>
        <v>0</v>
      </c>
      <c r="K40" s="43">
        <f t="shared" si="27"/>
        <v>0</v>
      </c>
      <c r="L40" s="43">
        <f t="shared" si="27"/>
        <v>0</v>
      </c>
      <c r="M40" s="43">
        <f t="shared" si="27"/>
        <v>0</v>
      </c>
      <c r="N40" s="43">
        <f t="shared" si="27"/>
        <v>0</v>
      </c>
      <c r="O40" s="57" t="s">
        <v>28</v>
      </c>
    </row>
    <row r="41" spans="2:16" s="5" customFormat="1" ht="33" customHeight="1" thickBot="1" x14ac:dyDescent="0.35">
      <c r="B41" s="49"/>
      <c r="C41" s="49" t="s">
        <v>192</v>
      </c>
      <c r="D41" s="44">
        <f>D39+D40</f>
        <v>0</v>
      </c>
      <c r="E41" s="44">
        <f t="shared" ref="E41:N41" si="28">E39+E40</f>
        <v>0</v>
      </c>
      <c r="F41" s="44">
        <f t="shared" si="28"/>
        <v>0</v>
      </c>
      <c r="G41" s="44">
        <f t="shared" si="28"/>
        <v>0</v>
      </c>
      <c r="H41" s="44">
        <f t="shared" si="28"/>
        <v>0</v>
      </c>
      <c r="I41" s="44">
        <f t="shared" si="28"/>
        <v>0</v>
      </c>
      <c r="J41" s="44">
        <f t="shared" si="28"/>
        <v>0</v>
      </c>
      <c r="K41" s="44">
        <f t="shared" si="28"/>
        <v>0</v>
      </c>
      <c r="L41" s="44">
        <f t="shared" si="28"/>
        <v>0</v>
      </c>
      <c r="M41" s="44">
        <f t="shared" si="28"/>
        <v>0</v>
      </c>
      <c r="N41" s="44">
        <f t="shared" si="28"/>
        <v>0</v>
      </c>
      <c r="O41" s="57" t="s">
        <v>28</v>
      </c>
    </row>
    <row r="42" spans="2:16" s="5" customFormat="1" ht="33" customHeight="1" thickBot="1" x14ac:dyDescent="0.35">
      <c r="B42" s="50"/>
      <c r="C42" s="50" t="s">
        <v>194</v>
      </c>
      <c r="D42" s="43">
        <f t="shared" ref="D42:N42" si="29">D41*4</f>
        <v>0</v>
      </c>
      <c r="E42" s="43">
        <f t="shared" si="29"/>
        <v>0</v>
      </c>
      <c r="F42" s="43">
        <f t="shared" si="29"/>
        <v>0</v>
      </c>
      <c r="G42" s="43">
        <f t="shared" si="29"/>
        <v>0</v>
      </c>
      <c r="H42" s="43">
        <f t="shared" si="29"/>
        <v>0</v>
      </c>
      <c r="I42" s="43">
        <f t="shared" si="29"/>
        <v>0</v>
      </c>
      <c r="J42" s="43">
        <f t="shared" si="29"/>
        <v>0</v>
      </c>
      <c r="K42" s="43">
        <f t="shared" si="29"/>
        <v>0</v>
      </c>
      <c r="L42" s="43">
        <f t="shared" si="29"/>
        <v>0</v>
      </c>
      <c r="M42" s="43">
        <f t="shared" si="29"/>
        <v>0</v>
      </c>
      <c r="N42" s="43">
        <f t="shared" si="29"/>
        <v>0</v>
      </c>
      <c r="O42" s="58" t="s">
        <v>155</v>
      </c>
    </row>
    <row r="43" spans="2:16" s="5" customFormat="1" ht="33" customHeight="1" thickBot="1" x14ac:dyDescent="0.35">
      <c r="B43" s="45"/>
      <c r="C43" s="45" t="s">
        <v>34</v>
      </c>
      <c r="D43" s="68"/>
      <c r="E43" s="68"/>
      <c r="F43" s="68"/>
      <c r="G43" s="68"/>
      <c r="H43" s="68"/>
      <c r="I43" s="68"/>
      <c r="J43" s="68"/>
      <c r="K43" s="68"/>
      <c r="L43" s="68"/>
      <c r="M43" s="68"/>
      <c r="N43" s="68"/>
      <c r="O43" s="81" t="s">
        <v>156</v>
      </c>
    </row>
    <row r="44" spans="2:16" s="5" customFormat="1" ht="33" customHeight="1" thickBot="1" x14ac:dyDescent="0.35">
      <c r="B44" s="50"/>
      <c r="C44" s="50" t="s">
        <v>195</v>
      </c>
      <c r="D44" s="46">
        <f>D42*D43</f>
        <v>0</v>
      </c>
      <c r="E44" s="46">
        <f t="shared" ref="E44:N44" si="30">E42*E43</f>
        <v>0</v>
      </c>
      <c r="F44" s="46">
        <f t="shared" si="30"/>
        <v>0</v>
      </c>
      <c r="G44" s="46">
        <f t="shared" si="30"/>
        <v>0</v>
      </c>
      <c r="H44" s="46">
        <f t="shared" si="30"/>
        <v>0</v>
      </c>
      <c r="I44" s="46">
        <f t="shared" si="30"/>
        <v>0</v>
      </c>
      <c r="J44" s="46">
        <f t="shared" si="30"/>
        <v>0</v>
      </c>
      <c r="K44" s="46">
        <f t="shared" si="30"/>
        <v>0</v>
      </c>
      <c r="L44" s="46">
        <f t="shared" si="30"/>
        <v>0</v>
      </c>
      <c r="M44" s="46">
        <f t="shared" si="30"/>
        <v>0</v>
      </c>
      <c r="N44" s="46">
        <f t="shared" si="30"/>
        <v>0</v>
      </c>
      <c r="O44" s="58" t="s">
        <v>155</v>
      </c>
    </row>
    <row r="45" spans="2:16" x14ac:dyDescent="0.25">
      <c r="D45" s="4"/>
      <c r="E45" s="4"/>
      <c r="F45" s="4"/>
      <c r="G45" s="4"/>
      <c r="H45" s="4"/>
      <c r="I45" s="4"/>
      <c r="J45" s="4"/>
      <c r="K45" s="4"/>
      <c r="L45" s="4"/>
      <c r="M45" s="4"/>
      <c r="N45" s="4"/>
      <c r="O45" s="4"/>
    </row>
    <row r="46" spans="2:16" x14ac:dyDescent="0.25">
      <c r="C46" s="3"/>
      <c r="D46" s="4"/>
      <c r="E46" s="4"/>
      <c r="F46" s="4"/>
      <c r="G46" s="4"/>
      <c r="H46" s="4"/>
      <c r="I46" s="4"/>
      <c r="J46" s="4"/>
      <c r="K46" s="4"/>
      <c r="L46" s="4"/>
      <c r="M46" s="4"/>
      <c r="N46" s="4"/>
      <c r="O46" s="4"/>
    </row>
  </sheetData>
  <sheetProtection algorithmName="SHA-512" hashValue="u33xRiavOmaHKmYBs6VFZZAi7+zmdjLnODN4EztYHD+hHtuje0GVr6lkB+pxkWPMI1K8foKuhJjOpPeBIcB8UQ==" saltValue="FlB3x1shAdfc7/IlOnlhyQ==" spinCount="100000" sheet="1" formatColumns="0" formatRows="0"/>
  <mergeCells count="2">
    <mergeCell ref="B1:N1"/>
    <mergeCell ref="B2:N2"/>
  </mergeCells>
  <conditionalFormatting sqref="D16:N25 D27:N29 D31:N35 D38:N42 D44:N44">
    <cfRule type="expression" dxfId="4" priority="5">
      <formula>D$15</formula>
    </cfRule>
  </conditionalFormatting>
  <conditionalFormatting sqref="D22:N23">
    <cfRule type="expression" dxfId="3" priority="3">
      <formula>NOT(D$11)</formula>
    </cfRule>
  </conditionalFormatting>
  <conditionalFormatting sqref="D27:N27">
    <cfRule type="expression" dxfId="2" priority="2">
      <formula>NOT(D$11)</formula>
    </cfRule>
  </conditionalFormatting>
  <conditionalFormatting sqref="D10:D14 N5:N6">
    <cfRule type="containsBlanks" dxfId="1" priority="1">
      <formula>LEN(TRIM(D5))=0</formula>
    </cfRule>
  </conditionalFormatting>
  <dataValidations count="3">
    <dataValidation type="list" allowBlank="1" showInputMessage="1" showErrorMessage="1" sqref="D10" xr:uid="{44DA7726-F17C-45A1-B050-80F425667C5B}">
      <formula1>$Q$7:$AA$7</formula1>
    </dataValidation>
    <dataValidation type="list" allowBlank="1" showInputMessage="1" showErrorMessage="1" sqref="N6" xr:uid="{35AD69CE-50C1-4578-994E-E49599954EEE}">
      <formula1>$Q$10:$Q$11</formula1>
    </dataValidation>
    <dataValidation type="decimal" allowBlank="1" showInputMessage="1" showErrorMessage="1" error="FCI power rating must be 50 kW and 2,000 kW for a single HD-FCI charger." sqref="N5" xr:uid="{23A3C24C-4C67-4EA1-A1EC-AB5415590BC3}">
      <formula1>50</formula1>
      <formula2>2000</formula2>
    </dataValidation>
  </dataValidations>
  <pageMargins left="0.7" right="0.7" top="0.75" bottom="0.75" header="0.3" footer="0.3"/>
  <pageSetup orientation="portrait" r:id="rId1"/>
  <ignoredErrors>
    <ignoredError sqref="F5" formulaRange="1"/>
  </ignoredError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B2E412-58B6-45EC-BF34-293D7656F5C7}">
  <dimension ref="B1:Q102"/>
  <sheetViews>
    <sheetView showGridLines="0" workbookViewId="0">
      <selection activeCell="H8" sqref="H8"/>
    </sheetView>
  </sheetViews>
  <sheetFormatPr defaultRowHeight="15.6" x14ac:dyDescent="0.3"/>
  <cols>
    <col min="1" max="1" width="2.44140625" style="5" customWidth="1"/>
    <col min="2" max="2" width="12.6640625" style="5" bestFit="1" customWidth="1"/>
    <col min="3" max="4" width="10.6640625" style="5" customWidth="1"/>
    <col min="5" max="5" width="11.109375" style="5" customWidth="1"/>
    <col min="6" max="7" width="15.5546875" style="5" customWidth="1"/>
    <col min="8" max="8" width="4.21875" style="5" customWidth="1"/>
    <col min="9" max="13" width="8.88671875" style="5"/>
    <col min="14" max="17" width="0" style="5" hidden="1" customWidth="1"/>
    <col min="18" max="16384" width="8.88671875" style="5"/>
  </cols>
  <sheetData>
    <row r="1" spans="2:12" ht="97.2" customHeight="1" x14ac:dyDescent="0.3">
      <c r="B1" s="104" t="s">
        <v>205</v>
      </c>
      <c r="C1" s="104"/>
      <c r="D1" s="104"/>
      <c r="E1" s="104"/>
      <c r="F1" s="104"/>
      <c r="G1" s="104"/>
      <c r="H1" s="104"/>
    </row>
    <row r="8" spans="2:12" x14ac:dyDescent="0.3">
      <c r="F8" s="7" t="s">
        <v>37</v>
      </c>
      <c r="G8" s="59">
        <f>Calculator!D10</f>
        <v>2025</v>
      </c>
      <c r="H8" s="61"/>
      <c r="I8" s="105" t="str">
        <f>IF(COUNTBLANK(H8)+COUNTBLANK(G9:G10)&gt;0,"Enter values in red bordered cells.","")</f>
        <v>Enter values in red bordered cells.</v>
      </c>
    </row>
    <row r="9" spans="2:12" x14ac:dyDescent="0.3">
      <c r="F9" s="7" t="str">
        <f>"Number of "&amp;FCIkW&amp;" kW FCI capacity chargers at HD-FCI site"</f>
        <v>Number of  kW FCI capacity chargers at HD-FCI site</v>
      </c>
      <c r="G9" s="101"/>
    </row>
    <row r="10" spans="2:12" x14ac:dyDescent="0.3">
      <c r="F10" s="7" t="s">
        <v>31</v>
      </c>
      <c r="G10" s="60"/>
      <c r="H10" s="5" t="s">
        <v>197</v>
      </c>
    </row>
    <row r="11" spans="2:12" ht="16.2" x14ac:dyDescent="0.3">
      <c r="B11" s="6" t="s">
        <v>10</v>
      </c>
      <c r="F11" s="7" t="s">
        <v>32</v>
      </c>
      <c r="G11" s="60"/>
      <c r="H11" s="5" t="s">
        <v>157</v>
      </c>
    </row>
    <row r="12" spans="2:12" x14ac:dyDescent="0.3">
      <c r="B12" s="8" t="s">
        <v>6</v>
      </c>
      <c r="F12" s="7" t="s">
        <v>33</v>
      </c>
      <c r="G12" s="11">
        <f>1.5*G10-G11</f>
        <v>0</v>
      </c>
      <c r="H12" s="5" t="s">
        <v>198</v>
      </c>
    </row>
    <row r="13" spans="2:12" x14ac:dyDescent="0.3">
      <c r="B13" s="9" t="s">
        <v>7</v>
      </c>
      <c r="F13" s="7" t="s">
        <v>199</v>
      </c>
      <c r="G13" s="13">
        <f>SUM(F19:F58)</f>
        <v>0</v>
      </c>
      <c r="H13" s="5" t="s">
        <v>36</v>
      </c>
    </row>
    <row r="14" spans="2:12" ht="16.2" thickBot="1" x14ac:dyDescent="0.35">
      <c r="B14" s="10" t="s">
        <v>3</v>
      </c>
      <c r="F14" s="7" t="s">
        <v>200</v>
      </c>
      <c r="G14" s="14" t="str">
        <f>_xlfn.XLOOKUP(G13,$G$19:$G$58,$C$19:$C$58,"Error",0,1)</f>
        <v/>
      </c>
      <c r="L14" s="15"/>
    </row>
    <row r="15" spans="2:12" ht="16.2" thickBot="1" x14ac:dyDescent="0.35">
      <c r="B15" s="12" t="s">
        <v>8</v>
      </c>
      <c r="G15" s="86">
        <f>_xlfn.XLOOKUP(G13,$G$19:$G$58,$B$19:$B$58,"Error",0,1)</f>
        <v>1</v>
      </c>
      <c r="H15" s="5" t="s">
        <v>201</v>
      </c>
      <c r="L15" s="15"/>
    </row>
    <row r="16" spans="2:12" x14ac:dyDescent="0.3">
      <c r="D16" s="16"/>
      <c r="L16" s="15"/>
    </row>
    <row r="17" spans="2:17" ht="62.4" x14ac:dyDescent="0.3">
      <c r="B17" s="96" t="s">
        <v>39</v>
      </c>
      <c r="C17" s="97" t="s">
        <v>29</v>
      </c>
      <c r="D17" s="96" t="s">
        <v>196</v>
      </c>
      <c r="E17" s="96" t="s">
        <v>35</v>
      </c>
      <c r="F17" s="96" t="s">
        <v>203</v>
      </c>
      <c r="G17" s="96" t="s">
        <v>204</v>
      </c>
      <c r="H17" s="17"/>
      <c r="I17" s="17"/>
      <c r="J17" s="17"/>
    </row>
    <row r="18" spans="2:17" x14ac:dyDescent="0.3">
      <c r="B18" s="87"/>
      <c r="C18" s="88"/>
      <c r="D18" s="87"/>
      <c r="E18" s="87"/>
      <c r="F18" s="87"/>
      <c r="G18" s="87"/>
      <c r="H18" s="17"/>
      <c r="I18" s="17"/>
      <c r="J18" s="17"/>
    </row>
    <row r="19" spans="2:17" x14ac:dyDescent="0.3">
      <c r="B19" s="88">
        <v>1</v>
      </c>
      <c r="C19" s="88" t="str">
        <f>_xlfn.XLOOKUP(B19,O19:O102,N19:N102,"",0,1)</f>
        <v/>
      </c>
      <c r="D19" s="89" t="str">
        <f>IFERROR(_xlfn.XLOOKUP(LEFT($C19,4)*1,Calculator!$D$37:$N$37,Calculator!$D$39:$N$39)*$G$9,"")</f>
        <v/>
      </c>
      <c r="E19" s="90" t="str">
        <f>IFERROR(_xlfn.XLOOKUP(LEFT($C19,4)*1,Calculator!$D$37:$N$37,Calculator!$D$43:$N$43),"")</f>
        <v/>
      </c>
      <c r="F19" s="91">
        <f>IFERROR(IF(G18&lt;$G$12,D19*E19,0),"")</f>
        <v>0</v>
      </c>
      <c r="G19" s="91">
        <f>IFERROR(F19+G18,"")</f>
        <v>0</v>
      </c>
      <c r="N19" s="5" t="s">
        <v>38</v>
      </c>
      <c r="O19" s="5">
        <f>IF(AND(O17&gt;0, O17&lt;40),O17+1, IF($G$8&amp;$H$8=N19,1,0))</f>
        <v>0</v>
      </c>
      <c r="Q19" s="5" t="s">
        <v>124</v>
      </c>
    </row>
    <row r="20" spans="2:17" x14ac:dyDescent="0.3">
      <c r="B20" s="88">
        <v>2</v>
      </c>
      <c r="C20" s="88" t="str">
        <f t="shared" ref="C20:C58" si="0">_xlfn.XLOOKUP(B20,O20:O103,N20:N103,"",0,1)</f>
        <v/>
      </c>
      <c r="D20" s="89" t="str">
        <f>IFERROR(_xlfn.XLOOKUP(LEFT($C20,4)*1,Calculator!$D$37:$N$37,Calculator!$D$39:$N$39)*$G$9,"")</f>
        <v/>
      </c>
      <c r="E20" s="90" t="str">
        <f>IFERROR(_xlfn.XLOOKUP(LEFT($C20,4)*1,Calculator!$D$37:$N$37,Calculator!$D$43:$N$43),"")</f>
        <v/>
      </c>
      <c r="F20" s="91">
        <f t="shared" ref="F20:F58" si="1">IFERROR(IF(G19&lt;$G$12,D20*E20,0),"")</f>
        <v>0</v>
      </c>
      <c r="G20" s="91">
        <f t="shared" ref="G20:G58" si="2">IFERROR(F20+G19,"")</f>
        <v>0</v>
      </c>
      <c r="N20" s="5" t="s">
        <v>40</v>
      </c>
      <c r="O20" s="5">
        <f t="shared" ref="O20:O51" si="3">IF(AND(O19&gt;0, O19&lt;40),O19+1, IF($G$8&amp;$H$8=N20,1,0))</f>
        <v>0</v>
      </c>
      <c r="Q20" s="5" t="s">
        <v>123</v>
      </c>
    </row>
    <row r="21" spans="2:17" x14ac:dyDescent="0.3">
      <c r="B21" s="88">
        <v>3</v>
      </c>
      <c r="C21" s="88" t="str">
        <f t="shared" si="0"/>
        <v/>
      </c>
      <c r="D21" s="89" t="str">
        <f>IFERROR(_xlfn.XLOOKUP(LEFT($C21,4)*1,Calculator!$D$37:$N$37,Calculator!$D$39:$N$39)*$G$9,"")</f>
        <v/>
      </c>
      <c r="E21" s="90" t="str">
        <f>IFERROR(_xlfn.XLOOKUP(LEFT($C21,4)*1,Calculator!$D$37:$N$37,Calculator!$D$43:$N$43),"")</f>
        <v/>
      </c>
      <c r="F21" s="91">
        <f t="shared" si="1"/>
        <v>0</v>
      </c>
      <c r="G21" s="91">
        <f t="shared" si="2"/>
        <v>0</v>
      </c>
      <c r="N21" s="5" t="s">
        <v>41</v>
      </c>
      <c r="O21" s="5">
        <f t="shared" si="3"/>
        <v>0</v>
      </c>
      <c r="Q21" s="5" t="s">
        <v>125</v>
      </c>
    </row>
    <row r="22" spans="2:17" x14ac:dyDescent="0.3">
      <c r="B22" s="88">
        <v>4</v>
      </c>
      <c r="C22" s="88" t="str">
        <f t="shared" si="0"/>
        <v/>
      </c>
      <c r="D22" s="89" t="str">
        <f>IFERROR(_xlfn.XLOOKUP(LEFT($C22,4)*1,Calculator!$D$37:$N$37,Calculator!$D$39:$N$39)*$G$9,"")</f>
        <v/>
      </c>
      <c r="E22" s="90" t="str">
        <f>IFERROR(_xlfn.XLOOKUP(LEFT($C22,4)*1,Calculator!$D$37:$N$37,Calculator!$D$43:$N$43),"")</f>
        <v/>
      </c>
      <c r="F22" s="91">
        <f t="shared" si="1"/>
        <v>0</v>
      </c>
      <c r="G22" s="91">
        <f t="shared" si="2"/>
        <v>0</v>
      </c>
      <c r="N22" s="5" t="s">
        <v>42</v>
      </c>
      <c r="O22" s="5">
        <f t="shared" si="3"/>
        <v>0</v>
      </c>
      <c r="Q22" s="5" t="s">
        <v>126</v>
      </c>
    </row>
    <row r="23" spans="2:17" x14ac:dyDescent="0.3">
      <c r="B23" s="88">
        <v>5</v>
      </c>
      <c r="C23" s="88" t="str">
        <f t="shared" si="0"/>
        <v/>
      </c>
      <c r="D23" s="89" t="str">
        <f>IFERROR(_xlfn.XLOOKUP(LEFT($C23,4)*1,Calculator!$D$37:$N$37,Calculator!$D$39:$N$39)*$G$9,"")</f>
        <v/>
      </c>
      <c r="E23" s="90" t="str">
        <f>IFERROR(_xlfn.XLOOKUP(LEFT($C23,4)*1,Calculator!$D$37:$N$37,Calculator!$D$43:$N$43),"")</f>
        <v/>
      </c>
      <c r="F23" s="91">
        <f t="shared" si="1"/>
        <v>0</v>
      </c>
      <c r="G23" s="91">
        <f t="shared" si="2"/>
        <v>0</v>
      </c>
      <c r="N23" s="5" t="s">
        <v>43</v>
      </c>
      <c r="O23" s="5">
        <f t="shared" si="3"/>
        <v>0</v>
      </c>
    </row>
    <row r="24" spans="2:17" x14ac:dyDescent="0.3">
      <c r="B24" s="88">
        <v>6</v>
      </c>
      <c r="C24" s="88" t="str">
        <f t="shared" si="0"/>
        <v/>
      </c>
      <c r="D24" s="89" t="str">
        <f>IFERROR(_xlfn.XLOOKUP(LEFT($C24,4)*1,Calculator!$D$37:$N$37,Calculator!$D$39:$N$39)*$G$9,"")</f>
        <v/>
      </c>
      <c r="E24" s="90" t="str">
        <f>IFERROR(_xlfn.XLOOKUP(LEFT($C24,4)*1,Calculator!$D$37:$N$37,Calculator!$D$43:$N$43),"")</f>
        <v/>
      </c>
      <c r="F24" s="91">
        <f t="shared" si="1"/>
        <v>0</v>
      </c>
      <c r="G24" s="91">
        <f t="shared" si="2"/>
        <v>0</v>
      </c>
      <c r="N24" s="5" t="s">
        <v>44</v>
      </c>
      <c r="O24" s="5">
        <f t="shared" si="3"/>
        <v>0</v>
      </c>
    </row>
    <row r="25" spans="2:17" x14ac:dyDescent="0.3">
      <c r="B25" s="88">
        <v>7</v>
      </c>
      <c r="C25" s="88" t="str">
        <f t="shared" si="0"/>
        <v/>
      </c>
      <c r="D25" s="89" t="str">
        <f>IFERROR(_xlfn.XLOOKUP(LEFT($C25,4)*1,Calculator!$D$37:$N$37,Calculator!$D$39:$N$39)*$G$9,"")</f>
        <v/>
      </c>
      <c r="E25" s="90" t="str">
        <f>IFERROR(_xlfn.XLOOKUP(LEFT($C25,4)*1,Calculator!$D$37:$N$37,Calculator!$D$43:$N$43),"")</f>
        <v/>
      </c>
      <c r="F25" s="91">
        <f t="shared" si="1"/>
        <v>0</v>
      </c>
      <c r="G25" s="91">
        <f t="shared" si="2"/>
        <v>0</v>
      </c>
      <c r="N25" s="5" t="s">
        <v>45</v>
      </c>
      <c r="O25" s="5">
        <f t="shared" si="3"/>
        <v>0</v>
      </c>
    </row>
    <row r="26" spans="2:17" x14ac:dyDescent="0.3">
      <c r="B26" s="88">
        <v>8</v>
      </c>
      <c r="C26" s="88" t="str">
        <f t="shared" si="0"/>
        <v/>
      </c>
      <c r="D26" s="89" t="str">
        <f>IFERROR(_xlfn.XLOOKUP(LEFT($C26,4)*1,Calculator!$D$37:$N$37,Calculator!$D$39:$N$39)*$G$9,"")</f>
        <v/>
      </c>
      <c r="E26" s="90" t="str">
        <f>IFERROR(_xlfn.XLOOKUP(LEFT($C26,4)*1,Calculator!$D$37:$N$37,Calculator!$D$43:$N$43),"")</f>
        <v/>
      </c>
      <c r="F26" s="91">
        <f t="shared" si="1"/>
        <v>0</v>
      </c>
      <c r="G26" s="91">
        <f t="shared" si="2"/>
        <v>0</v>
      </c>
      <c r="N26" s="5" t="s">
        <v>46</v>
      </c>
      <c r="O26" s="5">
        <f t="shared" si="3"/>
        <v>0</v>
      </c>
    </row>
    <row r="27" spans="2:17" x14ac:dyDescent="0.3">
      <c r="B27" s="88">
        <v>9</v>
      </c>
      <c r="C27" s="88" t="str">
        <f t="shared" si="0"/>
        <v/>
      </c>
      <c r="D27" s="89" t="str">
        <f>IFERROR(_xlfn.XLOOKUP(LEFT($C27,4)*1,Calculator!$D$37:$N$37,Calculator!$D$39:$N$39)*$G$9,"")</f>
        <v/>
      </c>
      <c r="E27" s="90" t="str">
        <f>IFERROR(_xlfn.XLOOKUP(LEFT($C27,4)*1,Calculator!$D$37:$N$37,Calculator!$D$43:$N$43),"")</f>
        <v/>
      </c>
      <c r="F27" s="91">
        <f t="shared" si="1"/>
        <v>0</v>
      </c>
      <c r="G27" s="91">
        <f t="shared" si="2"/>
        <v>0</v>
      </c>
      <c r="N27" s="5" t="s">
        <v>47</v>
      </c>
      <c r="O27" s="5">
        <f t="shared" si="3"/>
        <v>0</v>
      </c>
    </row>
    <row r="28" spans="2:17" x14ac:dyDescent="0.3">
      <c r="B28" s="88">
        <v>10</v>
      </c>
      <c r="C28" s="88" t="str">
        <f t="shared" si="0"/>
        <v/>
      </c>
      <c r="D28" s="89" t="str">
        <f>IFERROR(_xlfn.XLOOKUP(LEFT($C28,4)*1,Calculator!$D$37:$N$37,Calculator!$D$39:$N$39)*$G$9,"")</f>
        <v/>
      </c>
      <c r="E28" s="90" t="str">
        <f>IFERROR(_xlfn.XLOOKUP(LEFT($C28,4)*1,Calculator!$D$37:$N$37,Calculator!$D$43:$N$43),"")</f>
        <v/>
      </c>
      <c r="F28" s="91">
        <f t="shared" si="1"/>
        <v>0</v>
      </c>
      <c r="G28" s="91">
        <f t="shared" si="2"/>
        <v>0</v>
      </c>
      <c r="N28" s="5" t="s">
        <v>48</v>
      </c>
      <c r="O28" s="5">
        <f t="shared" si="3"/>
        <v>0</v>
      </c>
    </row>
    <row r="29" spans="2:17" x14ac:dyDescent="0.3">
      <c r="B29" s="88">
        <v>11</v>
      </c>
      <c r="C29" s="88" t="str">
        <f t="shared" si="0"/>
        <v/>
      </c>
      <c r="D29" s="89" t="str">
        <f>IFERROR(_xlfn.XLOOKUP(LEFT($C29,4)*1,Calculator!$D$37:$N$37,Calculator!$D$39:$N$39)*$G$9,"")</f>
        <v/>
      </c>
      <c r="E29" s="90" t="str">
        <f>IFERROR(_xlfn.XLOOKUP(LEFT($C29,4)*1,Calculator!$D$37:$N$37,Calculator!$D$43:$N$43),"")</f>
        <v/>
      </c>
      <c r="F29" s="91">
        <f t="shared" si="1"/>
        <v>0</v>
      </c>
      <c r="G29" s="91">
        <f t="shared" si="2"/>
        <v>0</v>
      </c>
      <c r="N29" s="5" t="s">
        <v>49</v>
      </c>
      <c r="O29" s="5">
        <f t="shared" si="3"/>
        <v>0</v>
      </c>
    </row>
    <row r="30" spans="2:17" x14ac:dyDescent="0.3">
      <c r="B30" s="88">
        <v>12</v>
      </c>
      <c r="C30" s="88" t="str">
        <f t="shared" si="0"/>
        <v/>
      </c>
      <c r="D30" s="89" t="str">
        <f>IFERROR(_xlfn.XLOOKUP(LEFT($C30,4)*1,Calculator!$D$37:$N$37,Calculator!$D$39:$N$39)*$G$9,"")</f>
        <v/>
      </c>
      <c r="E30" s="90" t="str">
        <f>IFERROR(_xlfn.XLOOKUP(LEFT($C30,4)*1,Calculator!$D$37:$N$37,Calculator!$D$43:$N$43),"")</f>
        <v/>
      </c>
      <c r="F30" s="91">
        <f t="shared" si="1"/>
        <v>0</v>
      </c>
      <c r="G30" s="91">
        <f t="shared" si="2"/>
        <v>0</v>
      </c>
      <c r="H30" s="16"/>
      <c r="N30" s="5" t="s">
        <v>50</v>
      </c>
      <c r="O30" s="5">
        <f t="shared" si="3"/>
        <v>0</v>
      </c>
    </row>
    <row r="31" spans="2:17" x14ac:dyDescent="0.3">
      <c r="B31" s="88">
        <v>13</v>
      </c>
      <c r="C31" s="88" t="str">
        <f t="shared" si="0"/>
        <v/>
      </c>
      <c r="D31" s="89" t="str">
        <f>IFERROR(_xlfn.XLOOKUP(LEFT($C31,4)*1,Calculator!$D$37:$N$37,Calculator!$D$39:$N$39)*$G$9,"")</f>
        <v/>
      </c>
      <c r="E31" s="90" t="str">
        <f>IFERROR(_xlfn.XLOOKUP(LEFT($C31,4)*1,Calculator!$D$37:$N$37,Calculator!$D$43:$N$43),"")</f>
        <v/>
      </c>
      <c r="F31" s="91">
        <f t="shared" si="1"/>
        <v>0</v>
      </c>
      <c r="G31" s="91">
        <f t="shared" si="2"/>
        <v>0</v>
      </c>
      <c r="N31" s="5" t="s">
        <v>51</v>
      </c>
      <c r="O31" s="5">
        <f t="shared" si="3"/>
        <v>0</v>
      </c>
    </row>
    <row r="32" spans="2:17" x14ac:dyDescent="0.3">
      <c r="B32" s="88">
        <v>14</v>
      </c>
      <c r="C32" s="88" t="str">
        <f t="shared" si="0"/>
        <v/>
      </c>
      <c r="D32" s="89" t="str">
        <f>IFERROR(_xlfn.XLOOKUP(LEFT($C32,4)*1,Calculator!$D$37:$N$37,Calculator!$D$39:$N$39)*$G$9,"")</f>
        <v/>
      </c>
      <c r="E32" s="90" t="str">
        <f>IFERROR(_xlfn.XLOOKUP(LEFT($C32,4)*1,Calculator!$D$37:$N$37,Calculator!$D$43:$N$43),"")</f>
        <v/>
      </c>
      <c r="F32" s="91">
        <f t="shared" si="1"/>
        <v>0</v>
      </c>
      <c r="G32" s="91">
        <f t="shared" si="2"/>
        <v>0</v>
      </c>
      <c r="N32" s="5" t="s">
        <v>52</v>
      </c>
      <c r="O32" s="5">
        <f t="shared" si="3"/>
        <v>0</v>
      </c>
    </row>
    <row r="33" spans="2:15" x14ac:dyDescent="0.3">
      <c r="B33" s="88">
        <v>15</v>
      </c>
      <c r="C33" s="88" t="str">
        <f t="shared" si="0"/>
        <v/>
      </c>
      <c r="D33" s="89" t="str">
        <f>IFERROR(_xlfn.XLOOKUP(LEFT($C33,4)*1,Calculator!$D$37:$N$37,Calculator!$D$39:$N$39)*$G$9,"")</f>
        <v/>
      </c>
      <c r="E33" s="90" t="str">
        <f>IFERROR(_xlfn.XLOOKUP(LEFT($C33,4)*1,Calculator!$D$37:$N$37,Calculator!$D$43:$N$43),"")</f>
        <v/>
      </c>
      <c r="F33" s="91">
        <f t="shared" si="1"/>
        <v>0</v>
      </c>
      <c r="G33" s="91">
        <f t="shared" si="2"/>
        <v>0</v>
      </c>
      <c r="N33" s="5" t="s">
        <v>53</v>
      </c>
      <c r="O33" s="5">
        <f t="shared" si="3"/>
        <v>0</v>
      </c>
    </row>
    <row r="34" spans="2:15" x14ac:dyDescent="0.3">
      <c r="B34" s="88">
        <v>16</v>
      </c>
      <c r="C34" s="88" t="str">
        <f t="shared" si="0"/>
        <v/>
      </c>
      <c r="D34" s="89" t="str">
        <f>IFERROR(_xlfn.XLOOKUP(LEFT($C34,4)*1,Calculator!$D$37:$N$37,Calculator!$D$39:$N$39)*$G$9,"")</f>
        <v/>
      </c>
      <c r="E34" s="90" t="str">
        <f>IFERROR(_xlfn.XLOOKUP(LEFT($C34,4)*1,Calculator!$D$37:$N$37,Calculator!$D$43:$N$43),"")</f>
        <v/>
      </c>
      <c r="F34" s="91">
        <f t="shared" si="1"/>
        <v>0</v>
      </c>
      <c r="G34" s="91">
        <f t="shared" si="2"/>
        <v>0</v>
      </c>
      <c r="N34" s="5" t="s">
        <v>54</v>
      </c>
      <c r="O34" s="5">
        <f t="shared" si="3"/>
        <v>0</v>
      </c>
    </row>
    <row r="35" spans="2:15" x14ac:dyDescent="0.3">
      <c r="B35" s="88">
        <v>17</v>
      </c>
      <c r="C35" s="88" t="str">
        <f t="shared" si="0"/>
        <v/>
      </c>
      <c r="D35" s="89" t="str">
        <f>IFERROR(_xlfn.XLOOKUP(LEFT($C35,4)*1,Calculator!$D$37:$N$37,Calculator!$D$39:$N$39)*$G$9,"")</f>
        <v/>
      </c>
      <c r="E35" s="90" t="str">
        <f>IFERROR(_xlfn.XLOOKUP(LEFT($C35,4)*1,Calculator!$D$37:$N$37,Calculator!$D$43:$N$43),"")</f>
        <v/>
      </c>
      <c r="F35" s="91">
        <f t="shared" si="1"/>
        <v>0</v>
      </c>
      <c r="G35" s="91">
        <f t="shared" si="2"/>
        <v>0</v>
      </c>
      <c r="N35" s="5" t="s">
        <v>55</v>
      </c>
      <c r="O35" s="5">
        <f t="shared" si="3"/>
        <v>0</v>
      </c>
    </row>
    <row r="36" spans="2:15" x14ac:dyDescent="0.3">
      <c r="B36" s="88">
        <v>18</v>
      </c>
      <c r="C36" s="88" t="str">
        <f t="shared" si="0"/>
        <v/>
      </c>
      <c r="D36" s="89" t="str">
        <f>IFERROR(_xlfn.XLOOKUP(LEFT($C36,4)*1,Calculator!$D$37:$N$37,Calculator!$D$39:$N$39)*$G$9,"")</f>
        <v/>
      </c>
      <c r="E36" s="90" t="str">
        <f>IFERROR(_xlfn.XLOOKUP(LEFT($C36,4)*1,Calculator!$D$37:$N$37,Calculator!$D$43:$N$43),"")</f>
        <v/>
      </c>
      <c r="F36" s="91">
        <f t="shared" si="1"/>
        <v>0</v>
      </c>
      <c r="G36" s="91">
        <f t="shared" si="2"/>
        <v>0</v>
      </c>
      <c r="N36" s="5" t="s">
        <v>56</v>
      </c>
      <c r="O36" s="5">
        <f t="shared" si="3"/>
        <v>0</v>
      </c>
    </row>
    <row r="37" spans="2:15" x14ac:dyDescent="0.3">
      <c r="B37" s="88">
        <v>19</v>
      </c>
      <c r="C37" s="88" t="str">
        <f t="shared" si="0"/>
        <v/>
      </c>
      <c r="D37" s="89" t="str">
        <f>IFERROR(_xlfn.XLOOKUP(LEFT($C37,4)*1,Calculator!$D$37:$N$37,Calculator!$D$39:$N$39)*$G$9,"")</f>
        <v/>
      </c>
      <c r="E37" s="90" t="str">
        <f>IFERROR(_xlfn.XLOOKUP(LEFT($C37,4)*1,Calculator!$D$37:$N$37,Calculator!$D$43:$N$43),"")</f>
        <v/>
      </c>
      <c r="F37" s="91">
        <f t="shared" si="1"/>
        <v>0</v>
      </c>
      <c r="G37" s="91">
        <f t="shared" si="2"/>
        <v>0</v>
      </c>
      <c r="N37" s="5" t="s">
        <v>57</v>
      </c>
      <c r="O37" s="5">
        <f t="shared" si="3"/>
        <v>0</v>
      </c>
    </row>
    <row r="38" spans="2:15" x14ac:dyDescent="0.3">
      <c r="B38" s="88">
        <v>20</v>
      </c>
      <c r="C38" s="88" t="str">
        <f t="shared" si="0"/>
        <v/>
      </c>
      <c r="D38" s="89" t="str">
        <f>IFERROR(_xlfn.XLOOKUP(LEFT($C38,4)*1,Calculator!$D$37:$N$37,Calculator!$D$39:$N$39)*$G$9,"")</f>
        <v/>
      </c>
      <c r="E38" s="90" t="str">
        <f>IFERROR(_xlfn.XLOOKUP(LEFT($C38,4)*1,Calculator!$D$37:$N$37,Calculator!$D$43:$N$43),"")</f>
        <v/>
      </c>
      <c r="F38" s="91">
        <f t="shared" si="1"/>
        <v>0</v>
      </c>
      <c r="G38" s="91">
        <f t="shared" si="2"/>
        <v>0</v>
      </c>
      <c r="N38" s="5" t="s">
        <v>58</v>
      </c>
      <c r="O38" s="5">
        <f t="shared" si="3"/>
        <v>0</v>
      </c>
    </row>
    <row r="39" spans="2:15" x14ac:dyDescent="0.3">
      <c r="B39" s="88">
        <v>21</v>
      </c>
      <c r="C39" s="88" t="str">
        <f t="shared" si="0"/>
        <v/>
      </c>
      <c r="D39" s="89" t="str">
        <f>IFERROR(_xlfn.XLOOKUP(LEFT($C39,4)*1,Calculator!$D$37:$N$37,Calculator!$D$39:$N$39)*$G$9,"")</f>
        <v/>
      </c>
      <c r="E39" s="90" t="str">
        <f>IFERROR(_xlfn.XLOOKUP(LEFT($C39,4)*1,Calculator!$D$37:$N$37,Calculator!$D$43:$N$43),"")</f>
        <v/>
      </c>
      <c r="F39" s="91">
        <f t="shared" si="1"/>
        <v>0</v>
      </c>
      <c r="G39" s="91">
        <f t="shared" si="2"/>
        <v>0</v>
      </c>
      <c r="N39" s="5" t="s">
        <v>59</v>
      </c>
      <c r="O39" s="5">
        <f t="shared" si="3"/>
        <v>0</v>
      </c>
    </row>
    <row r="40" spans="2:15" x14ac:dyDescent="0.3">
      <c r="B40" s="88">
        <v>22</v>
      </c>
      <c r="C40" s="88" t="str">
        <f t="shared" si="0"/>
        <v/>
      </c>
      <c r="D40" s="89" t="str">
        <f>IFERROR(_xlfn.XLOOKUP(LEFT($C40,4)*1,Calculator!$D$37:$N$37,Calculator!$D$39:$N$39)*$G$9,"")</f>
        <v/>
      </c>
      <c r="E40" s="90" t="str">
        <f>IFERROR(_xlfn.XLOOKUP(LEFT($C40,4)*1,Calculator!$D$37:$N$37,Calculator!$D$43:$N$43),"")</f>
        <v/>
      </c>
      <c r="F40" s="91">
        <f t="shared" si="1"/>
        <v>0</v>
      </c>
      <c r="G40" s="91">
        <f t="shared" si="2"/>
        <v>0</v>
      </c>
      <c r="N40" s="5" t="s">
        <v>60</v>
      </c>
      <c r="O40" s="5">
        <f t="shared" si="3"/>
        <v>0</v>
      </c>
    </row>
    <row r="41" spans="2:15" x14ac:dyDescent="0.3">
      <c r="B41" s="88">
        <v>23</v>
      </c>
      <c r="C41" s="88" t="str">
        <f t="shared" si="0"/>
        <v/>
      </c>
      <c r="D41" s="89" t="str">
        <f>IFERROR(_xlfn.XLOOKUP(LEFT($C41,4)*1,Calculator!$D$37:$N$37,Calculator!$D$39:$N$39)*$G$9,"")</f>
        <v/>
      </c>
      <c r="E41" s="90" t="str">
        <f>IFERROR(_xlfn.XLOOKUP(LEFT($C41,4)*1,Calculator!$D$37:$N$37,Calculator!$D$43:$N$43),"")</f>
        <v/>
      </c>
      <c r="F41" s="91">
        <f t="shared" si="1"/>
        <v>0</v>
      </c>
      <c r="G41" s="91">
        <f t="shared" si="2"/>
        <v>0</v>
      </c>
      <c r="N41" s="5" t="s">
        <v>61</v>
      </c>
      <c r="O41" s="5">
        <f t="shared" si="3"/>
        <v>0</v>
      </c>
    </row>
    <row r="42" spans="2:15" x14ac:dyDescent="0.3">
      <c r="B42" s="88">
        <v>24</v>
      </c>
      <c r="C42" s="88" t="str">
        <f t="shared" si="0"/>
        <v/>
      </c>
      <c r="D42" s="89" t="str">
        <f>IFERROR(_xlfn.XLOOKUP(LEFT($C42,4)*1,Calculator!$D$37:$N$37,Calculator!$D$39:$N$39)*$G$9,"")</f>
        <v/>
      </c>
      <c r="E42" s="90" t="str">
        <f>IFERROR(_xlfn.XLOOKUP(LEFT($C42,4)*1,Calculator!$D$37:$N$37,Calculator!$D$43:$N$43),"")</f>
        <v/>
      </c>
      <c r="F42" s="91">
        <f t="shared" si="1"/>
        <v>0</v>
      </c>
      <c r="G42" s="91">
        <f t="shared" si="2"/>
        <v>0</v>
      </c>
      <c r="N42" s="5" t="s">
        <v>62</v>
      </c>
      <c r="O42" s="5">
        <f t="shared" si="3"/>
        <v>0</v>
      </c>
    </row>
    <row r="43" spans="2:15" x14ac:dyDescent="0.3">
      <c r="B43" s="88">
        <v>25</v>
      </c>
      <c r="C43" s="88" t="str">
        <f t="shared" si="0"/>
        <v/>
      </c>
      <c r="D43" s="89" t="str">
        <f>IFERROR(_xlfn.XLOOKUP(LEFT($C43,4)*1,Calculator!$D$37:$N$37,Calculator!$D$39:$N$39)*$G$9,"")</f>
        <v/>
      </c>
      <c r="E43" s="90" t="str">
        <f>IFERROR(_xlfn.XLOOKUP(LEFT($C43,4)*1,Calculator!$D$37:$N$37,Calculator!$D$43:$N$43),"")</f>
        <v/>
      </c>
      <c r="F43" s="91">
        <f t="shared" si="1"/>
        <v>0</v>
      </c>
      <c r="G43" s="91">
        <f t="shared" si="2"/>
        <v>0</v>
      </c>
      <c r="N43" s="5" t="s">
        <v>63</v>
      </c>
      <c r="O43" s="5">
        <f t="shared" si="3"/>
        <v>0</v>
      </c>
    </row>
    <row r="44" spans="2:15" x14ac:dyDescent="0.3">
      <c r="B44" s="88">
        <v>26</v>
      </c>
      <c r="C44" s="88" t="str">
        <f t="shared" si="0"/>
        <v/>
      </c>
      <c r="D44" s="89" t="str">
        <f>IFERROR(_xlfn.XLOOKUP(LEFT($C44,4)*1,Calculator!$D$37:$N$37,Calculator!$D$39:$N$39)*$G$9,"")</f>
        <v/>
      </c>
      <c r="E44" s="90" t="str">
        <f>IFERROR(_xlfn.XLOOKUP(LEFT($C44,4)*1,Calculator!$D$37:$N$37,Calculator!$D$43:$N$43),"")</f>
        <v/>
      </c>
      <c r="F44" s="91">
        <f t="shared" si="1"/>
        <v>0</v>
      </c>
      <c r="G44" s="91">
        <f t="shared" si="2"/>
        <v>0</v>
      </c>
      <c r="N44" s="5" t="s">
        <v>64</v>
      </c>
      <c r="O44" s="5">
        <f t="shared" si="3"/>
        <v>0</v>
      </c>
    </row>
    <row r="45" spans="2:15" x14ac:dyDescent="0.3">
      <c r="B45" s="88">
        <v>27</v>
      </c>
      <c r="C45" s="88" t="str">
        <f t="shared" si="0"/>
        <v/>
      </c>
      <c r="D45" s="89" t="str">
        <f>IFERROR(_xlfn.XLOOKUP(LEFT($C45,4)*1,Calculator!$D$37:$N$37,Calculator!$D$39:$N$39)*$G$9,"")</f>
        <v/>
      </c>
      <c r="E45" s="90" t="str">
        <f>IFERROR(_xlfn.XLOOKUP(LEFT($C45,4)*1,Calculator!$D$37:$N$37,Calculator!$D$43:$N$43),"")</f>
        <v/>
      </c>
      <c r="F45" s="91">
        <f t="shared" si="1"/>
        <v>0</v>
      </c>
      <c r="G45" s="91">
        <f t="shared" si="2"/>
        <v>0</v>
      </c>
      <c r="N45" s="5" t="s">
        <v>65</v>
      </c>
      <c r="O45" s="5">
        <f t="shared" si="3"/>
        <v>0</v>
      </c>
    </row>
    <row r="46" spans="2:15" x14ac:dyDescent="0.3">
      <c r="B46" s="88">
        <v>28</v>
      </c>
      <c r="C46" s="88" t="str">
        <f t="shared" si="0"/>
        <v/>
      </c>
      <c r="D46" s="89" t="str">
        <f>IFERROR(_xlfn.XLOOKUP(LEFT($C46,4)*1,Calculator!$D$37:$N$37,Calculator!$D$39:$N$39)*$G$9,"")</f>
        <v/>
      </c>
      <c r="E46" s="90" t="str">
        <f>IFERROR(_xlfn.XLOOKUP(LEFT($C46,4)*1,Calculator!$D$37:$N$37,Calculator!$D$43:$N$43),"")</f>
        <v/>
      </c>
      <c r="F46" s="91">
        <f t="shared" si="1"/>
        <v>0</v>
      </c>
      <c r="G46" s="91">
        <f t="shared" si="2"/>
        <v>0</v>
      </c>
      <c r="N46" s="5" t="s">
        <v>66</v>
      </c>
      <c r="O46" s="5">
        <f t="shared" si="3"/>
        <v>0</v>
      </c>
    </row>
    <row r="47" spans="2:15" x14ac:dyDescent="0.3">
      <c r="B47" s="88">
        <v>29</v>
      </c>
      <c r="C47" s="88" t="str">
        <f t="shared" si="0"/>
        <v/>
      </c>
      <c r="D47" s="89" t="str">
        <f>IFERROR(_xlfn.XLOOKUP(LEFT($C47,4)*1,Calculator!$D$37:$N$37,Calculator!$D$39:$N$39)*$G$9,"")</f>
        <v/>
      </c>
      <c r="E47" s="90" t="str">
        <f>IFERROR(_xlfn.XLOOKUP(LEFT($C47,4)*1,Calculator!$D$37:$N$37,Calculator!$D$43:$N$43),"")</f>
        <v/>
      </c>
      <c r="F47" s="91">
        <f t="shared" si="1"/>
        <v>0</v>
      </c>
      <c r="G47" s="91">
        <f t="shared" si="2"/>
        <v>0</v>
      </c>
      <c r="N47" s="5" t="s">
        <v>67</v>
      </c>
      <c r="O47" s="5">
        <f t="shared" si="3"/>
        <v>0</v>
      </c>
    </row>
    <row r="48" spans="2:15" x14ac:dyDescent="0.3">
      <c r="B48" s="88">
        <v>30</v>
      </c>
      <c r="C48" s="88" t="str">
        <f t="shared" si="0"/>
        <v/>
      </c>
      <c r="D48" s="89" t="str">
        <f>IFERROR(_xlfn.XLOOKUP(LEFT($C48,4)*1,Calculator!$D$37:$N$37,Calculator!$D$39:$N$39)*$G$9,"")</f>
        <v/>
      </c>
      <c r="E48" s="90" t="str">
        <f>IFERROR(_xlfn.XLOOKUP(LEFT($C48,4)*1,Calculator!$D$37:$N$37,Calculator!$D$43:$N$43),"")</f>
        <v/>
      </c>
      <c r="F48" s="91">
        <f t="shared" si="1"/>
        <v>0</v>
      </c>
      <c r="G48" s="91">
        <f t="shared" si="2"/>
        <v>0</v>
      </c>
      <c r="N48" s="5" t="s">
        <v>68</v>
      </c>
      <c r="O48" s="5">
        <f t="shared" si="3"/>
        <v>0</v>
      </c>
    </row>
    <row r="49" spans="2:15" x14ac:dyDescent="0.3">
      <c r="B49" s="88">
        <v>31</v>
      </c>
      <c r="C49" s="88" t="str">
        <f t="shared" si="0"/>
        <v/>
      </c>
      <c r="D49" s="89" t="str">
        <f>IFERROR(_xlfn.XLOOKUP(LEFT($C49,4)*1,Calculator!$D$37:$N$37,Calculator!$D$39:$N$39)*$G$9,"")</f>
        <v/>
      </c>
      <c r="E49" s="90" t="str">
        <f>IFERROR(_xlfn.XLOOKUP(LEFT($C49,4)*1,Calculator!$D$37:$N$37,Calculator!$D$43:$N$43),"")</f>
        <v/>
      </c>
      <c r="F49" s="91">
        <f t="shared" si="1"/>
        <v>0</v>
      </c>
      <c r="G49" s="91">
        <f t="shared" si="2"/>
        <v>0</v>
      </c>
      <c r="N49" s="5" t="s">
        <v>69</v>
      </c>
      <c r="O49" s="5">
        <f t="shared" si="3"/>
        <v>0</v>
      </c>
    </row>
    <row r="50" spans="2:15" x14ac:dyDescent="0.3">
      <c r="B50" s="88">
        <v>32</v>
      </c>
      <c r="C50" s="88" t="str">
        <f t="shared" si="0"/>
        <v/>
      </c>
      <c r="D50" s="89" t="str">
        <f>IFERROR(_xlfn.XLOOKUP(LEFT($C50,4)*1,Calculator!$D$37:$N$37,Calculator!$D$39:$N$39)*$G$9,"")</f>
        <v/>
      </c>
      <c r="E50" s="90" t="str">
        <f>IFERROR(_xlfn.XLOOKUP(LEFT($C50,4)*1,Calculator!$D$37:$N$37,Calculator!$D$43:$N$43),"")</f>
        <v/>
      </c>
      <c r="F50" s="91">
        <f t="shared" si="1"/>
        <v>0</v>
      </c>
      <c r="G50" s="91">
        <f t="shared" si="2"/>
        <v>0</v>
      </c>
      <c r="N50" s="5" t="s">
        <v>70</v>
      </c>
      <c r="O50" s="5">
        <f t="shared" si="3"/>
        <v>0</v>
      </c>
    </row>
    <row r="51" spans="2:15" x14ac:dyDescent="0.3">
      <c r="B51" s="88">
        <v>33</v>
      </c>
      <c r="C51" s="88" t="str">
        <f t="shared" si="0"/>
        <v/>
      </c>
      <c r="D51" s="89" t="str">
        <f>IFERROR(_xlfn.XLOOKUP(LEFT($C51,4)*1,Calculator!$D$37:$N$37,Calculator!$D$39:$N$39)*$G$9,"")</f>
        <v/>
      </c>
      <c r="E51" s="90" t="str">
        <f>IFERROR(_xlfn.XLOOKUP(LEFT($C51,4)*1,Calculator!$D$37:$N$37,Calculator!$D$43:$N$43),"")</f>
        <v/>
      </c>
      <c r="F51" s="91">
        <f t="shared" si="1"/>
        <v>0</v>
      </c>
      <c r="G51" s="91">
        <f t="shared" si="2"/>
        <v>0</v>
      </c>
      <c r="N51" s="5" t="s">
        <v>71</v>
      </c>
      <c r="O51" s="5">
        <f t="shared" si="3"/>
        <v>0</v>
      </c>
    </row>
    <row r="52" spans="2:15" x14ac:dyDescent="0.3">
      <c r="B52" s="88">
        <v>34</v>
      </c>
      <c r="C52" s="88" t="str">
        <f t="shared" si="0"/>
        <v/>
      </c>
      <c r="D52" s="89" t="str">
        <f>IFERROR(_xlfn.XLOOKUP(LEFT($C52,4)*1,Calculator!$D$37:$N$37,Calculator!$D$39:$N$39)*$G$9,"")</f>
        <v/>
      </c>
      <c r="E52" s="90" t="str">
        <f>IFERROR(_xlfn.XLOOKUP(LEFT($C52,4)*1,Calculator!$D$37:$N$37,Calculator!$D$43:$N$43),"")</f>
        <v/>
      </c>
      <c r="F52" s="91">
        <f t="shared" si="1"/>
        <v>0</v>
      </c>
      <c r="G52" s="91">
        <f t="shared" si="2"/>
        <v>0</v>
      </c>
      <c r="N52" s="5" t="s">
        <v>72</v>
      </c>
      <c r="O52" s="5">
        <f t="shared" ref="O52:O83" si="4">IF(AND(O51&gt;0, O51&lt;40),O51+1, IF($G$8&amp;$H$8=N52,1,0))</f>
        <v>0</v>
      </c>
    </row>
    <row r="53" spans="2:15" x14ac:dyDescent="0.3">
      <c r="B53" s="88">
        <v>35</v>
      </c>
      <c r="C53" s="88" t="str">
        <f t="shared" si="0"/>
        <v/>
      </c>
      <c r="D53" s="89" t="str">
        <f>IFERROR(_xlfn.XLOOKUP(LEFT($C53,4)*1,Calculator!$D$37:$N$37,Calculator!$D$39:$N$39)*$G$9,"")</f>
        <v/>
      </c>
      <c r="E53" s="90" t="str">
        <f>IFERROR(_xlfn.XLOOKUP(LEFT($C53,4)*1,Calculator!$D$37:$N$37,Calculator!$D$43:$N$43),"")</f>
        <v/>
      </c>
      <c r="F53" s="91">
        <f t="shared" si="1"/>
        <v>0</v>
      </c>
      <c r="G53" s="91">
        <f t="shared" si="2"/>
        <v>0</v>
      </c>
      <c r="N53" s="5" t="s">
        <v>73</v>
      </c>
      <c r="O53" s="5">
        <f t="shared" si="4"/>
        <v>0</v>
      </c>
    </row>
    <row r="54" spans="2:15" x14ac:dyDescent="0.3">
      <c r="B54" s="88">
        <v>36</v>
      </c>
      <c r="C54" s="88" t="str">
        <f t="shared" si="0"/>
        <v/>
      </c>
      <c r="D54" s="89" t="str">
        <f>IFERROR(_xlfn.XLOOKUP(LEFT($C54,4)*1,Calculator!$D$37:$N$37,Calculator!$D$39:$N$39)*$G$9,"")</f>
        <v/>
      </c>
      <c r="E54" s="90" t="str">
        <f>IFERROR(_xlfn.XLOOKUP(LEFT($C54,4)*1,Calculator!$D$37:$N$37,Calculator!$D$43:$N$43),"")</f>
        <v/>
      </c>
      <c r="F54" s="91">
        <f t="shared" si="1"/>
        <v>0</v>
      </c>
      <c r="G54" s="91">
        <f t="shared" si="2"/>
        <v>0</v>
      </c>
      <c r="N54" s="5" t="s">
        <v>74</v>
      </c>
      <c r="O54" s="5">
        <f t="shared" si="4"/>
        <v>0</v>
      </c>
    </row>
    <row r="55" spans="2:15" x14ac:dyDescent="0.3">
      <c r="B55" s="88">
        <v>37</v>
      </c>
      <c r="C55" s="88" t="str">
        <f t="shared" si="0"/>
        <v/>
      </c>
      <c r="D55" s="89" t="str">
        <f>IFERROR(_xlfn.XLOOKUP(LEFT($C55,4)*1,Calculator!$D$37:$N$37,Calculator!$D$39:$N$39)*$G$9,"")</f>
        <v/>
      </c>
      <c r="E55" s="90" t="str">
        <f>IFERROR(_xlfn.XLOOKUP(LEFT($C55,4)*1,Calculator!$D$37:$N$37,Calculator!$D$43:$N$43),"")</f>
        <v/>
      </c>
      <c r="F55" s="91">
        <f t="shared" si="1"/>
        <v>0</v>
      </c>
      <c r="G55" s="91">
        <f t="shared" si="2"/>
        <v>0</v>
      </c>
      <c r="N55" s="5" t="s">
        <v>75</v>
      </c>
      <c r="O55" s="5">
        <f t="shared" si="4"/>
        <v>0</v>
      </c>
    </row>
    <row r="56" spans="2:15" x14ac:dyDescent="0.3">
      <c r="B56" s="88">
        <v>38</v>
      </c>
      <c r="C56" s="88" t="str">
        <f t="shared" si="0"/>
        <v/>
      </c>
      <c r="D56" s="89" t="str">
        <f>IFERROR(_xlfn.XLOOKUP(LEFT($C56,4)*1,Calculator!$D$37:$N$37,Calculator!$D$39:$N$39)*$G$9,"")</f>
        <v/>
      </c>
      <c r="E56" s="90" t="str">
        <f>IFERROR(_xlfn.XLOOKUP(LEFT($C56,4)*1,Calculator!$D$37:$N$37,Calculator!$D$43:$N$43),"")</f>
        <v/>
      </c>
      <c r="F56" s="91">
        <f t="shared" si="1"/>
        <v>0</v>
      </c>
      <c r="G56" s="91">
        <f t="shared" si="2"/>
        <v>0</v>
      </c>
      <c r="N56" s="5" t="s">
        <v>76</v>
      </c>
      <c r="O56" s="5">
        <f t="shared" si="4"/>
        <v>0</v>
      </c>
    </row>
    <row r="57" spans="2:15" x14ac:dyDescent="0.3">
      <c r="B57" s="88">
        <v>39</v>
      </c>
      <c r="C57" s="88" t="str">
        <f t="shared" si="0"/>
        <v/>
      </c>
      <c r="D57" s="89" t="str">
        <f>IFERROR(_xlfn.XLOOKUP(LEFT($C57,4)*1,Calculator!$D$37:$N$37,Calculator!$D$39:$N$39)*$G$9,"")</f>
        <v/>
      </c>
      <c r="E57" s="90" t="str">
        <f>IFERROR(_xlfn.XLOOKUP(LEFT($C57,4)*1,Calculator!$D$37:$N$37,Calculator!$D$43:$N$43),"")</f>
        <v/>
      </c>
      <c r="F57" s="91">
        <f t="shared" si="1"/>
        <v>0</v>
      </c>
      <c r="G57" s="91">
        <f t="shared" si="2"/>
        <v>0</v>
      </c>
      <c r="N57" s="5" t="s">
        <v>77</v>
      </c>
      <c r="O57" s="5">
        <f t="shared" si="4"/>
        <v>0</v>
      </c>
    </row>
    <row r="58" spans="2:15" x14ac:dyDescent="0.3">
      <c r="B58" s="92">
        <v>40</v>
      </c>
      <c r="C58" s="92" t="str">
        <f t="shared" si="0"/>
        <v/>
      </c>
      <c r="D58" s="93" t="str">
        <f>IFERROR(_xlfn.XLOOKUP(LEFT($C58,4)*1,Calculator!$D$37:$N$37,Calculator!$D$39:$N$39)*$G$9,"")</f>
        <v/>
      </c>
      <c r="E58" s="94" t="str">
        <f>IFERROR(_xlfn.XLOOKUP(LEFT($C58,4)*1,Calculator!$D$37:$N$37,Calculator!$D$43:$N$43),"")</f>
        <v/>
      </c>
      <c r="F58" s="95">
        <f t="shared" si="1"/>
        <v>0</v>
      </c>
      <c r="G58" s="95">
        <f t="shared" si="2"/>
        <v>0</v>
      </c>
      <c r="N58" s="5" t="s">
        <v>78</v>
      </c>
      <c r="O58" s="5">
        <f t="shared" si="4"/>
        <v>0</v>
      </c>
    </row>
    <row r="59" spans="2:15" x14ac:dyDescent="0.3">
      <c r="N59" s="5" t="s">
        <v>79</v>
      </c>
      <c r="O59" s="5">
        <f t="shared" si="4"/>
        <v>0</v>
      </c>
    </row>
    <row r="60" spans="2:15" x14ac:dyDescent="0.3">
      <c r="N60" s="5" t="s">
        <v>80</v>
      </c>
      <c r="O60" s="5">
        <f t="shared" si="4"/>
        <v>0</v>
      </c>
    </row>
    <row r="61" spans="2:15" x14ac:dyDescent="0.3">
      <c r="N61" s="5" t="s">
        <v>81</v>
      </c>
      <c r="O61" s="5">
        <f t="shared" si="4"/>
        <v>0</v>
      </c>
    </row>
    <row r="62" spans="2:15" x14ac:dyDescent="0.3">
      <c r="N62" s="5" t="s">
        <v>82</v>
      </c>
      <c r="O62" s="5">
        <f t="shared" si="4"/>
        <v>0</v>
      </c>
    </row>
    <row r="63" spans="2:15" x14ac:dyDescent="0.3">
      <c r="N63" s="5" t="s">
        <v>83</v>
      </c>
      <c r="O63" s="5">
        <f t="shared" si="4"/>
        <v>0</v>
      </c>
    </row>
    <row r="64" spans="2:15" x14ac:dyDescent="0.3">
      <c r="N64" s="5" t="s">
        <v>84</v>
      </c>
      <c r="O64" s="5">
        <f t="shared" si="4"/>
        <v>0</v>
      </c>
    </row>
    <row r="65" spans="14:15" x14ac:dyDescent="0.3">
      <c r="N65" s="5" t="s">
        <v>85</v>
      </c>
      <c r="O65" s="5">
        <f t="shared" si="4"/>
        <v>0</v>
      </c>
    </row>
    <row r="66" spans="14:15" x14ac:dyDescent="0.3">
      <c r="N66" s="5" t="s">
        <v>86</v>
      </c>
      <c r="O66" s="5">
        <f t="shared" si="4"/>
        <v>0</v>
      </c>
    </row>
    <row r="67" spans="14:15" x14ac:dyDescent="0.3">
      <c r="N67" s="5" t="s">
        <v>87</v>
      </c>
      <c r="O67" s="5">
        <f t="shared" si="4"/>
        <v>0</v>
      </c>
    </row>
    <row r="68" spans="14:15" x14ac:dyDescent="0.3">
      <c r="N68" s="5" t="s">
        <v>88</v>
      </c>
      <c r="O68" s="5">
        <f t="shared" si="4"/>
        <v>0</v>
      </c>
    </row>
    <row r="69" spans="14:15" x14ac:dyDescent="0.3">
      <c r="N69" s="5" t="s">
        <v>89</v>
      </c>
      <c r="O69" s="5">
        <f t="shared" si="4"/>
        <v>0</v>
      </c>
    </row>
    <row r="70" spans="14:15" x14ac:dyDescent="0.3">
      <c r="N70" s="5" t="s">
        <v>90</v>
      </c>
      <c r="O70" s="5">
        <f t="shared" si="4"/>
        <v>0</v>
      </c>
    </row>
    <row r="71" spans="14:15" x14ac:dyDescent="0.3">
      <c r="N71" s="5" t="s">
        <v>91</v>
      </c>
      <c r="O71" s="5">
        <f t="shared" si="4"/>
        <v>0</v>
      </c>
    </row>
    <row r="72" spans="14:15" x14ac:dyDescent="0.3">
      <c r="N72" s="5" t="s">
        <v>92</v>
      </c>
      <c r="O72" s="5">
        <f t="shared" si="4"/>
        <v>0</v>
      </c>
    </row>
    <row r="73" spans="14:15" x14ac:dyDescent="0.3">
      <c r="N73" s="5" t="s">
        <v>93</v>
      </c>
      <c r="O73" s="5">
        <f t="shared" si="4"/>
        <v>0</v>
      </c>
    </row>
    <row r="74" spans="14:15" x14ac:dyDescent="0.3">
      <c r="N74" s="5" t="s">
        <v>94</v>
      </c>
      <c r="O74" s="5">
        <f t="shared" si="4"/>
        <v>0</v>
      </c>
    </row>
    <row r="75" spans="14:15" x14ac:dyDescent="0.3">
      <c r="N75" s="5" t="s">
        <v>95</v>
      </c>
      <c r="O75" s="5">
        <f t="shared" si="4"/>
        <v>0</v>
      </c>
    </row>
    <row r="76" spans="14:15" x14ac:dyDescent="0.3">
      <c r="N76" s="5" t="s">
        <v>96</v>
      </c>
      <c r="O76" s="5">
        <f t="shared" si="4"/>
        <v>0</v>
      </c>
    </row>
    <row r="77" spans="14:15" x14ac:dyDescent="0.3">
      <c r="N77" s="5" t="s">
        <v>97</v>
      </c>
      <c r="O77" s="5">
        <f t="shared" si="4"/>
        <v>0</v>
      </c>
    </row>
    <row r="78" spans="14:15" x14ac:dyDescent="0.3">
      <c r="N78" s="5" t="s">
        <v>98</v>
      </c>
      <c r="O78" s="5">
        <f t="shared" si="4"/>
        <v>0</v>
      </c>
    </row>
    <row r="79" spans="14:15" x14ac:dyDescent="0.3">
      <c r="N79" s="5" t="s">
        <v>99</v>
      </c>
      <c r="O79" s="5">
        <f t="shared" si="4"/>
        <v>0</v>
      </c>
    </row>
    <row r="80" spans="14:15" x14ac:dyDescent="0.3">
      <c r="N80" s="5" t="s">
        <v>100</v>
      </c>
      <c r="O80" s="5">
        <f t="shared" si="4"/>
        <v>0</v>
      </c>
    </row>
    <row r="81" spans="14:15" x14ac:dyDescent="0.3">
      <c r="N81" s="5" t="s">
        <v>101</v>
      </c>
      <c r="O81" s="5">
        <f t="shared" si="4"/>
        <v>0</v>
      </c>
    </row>
    <row r="82" spans="14:15" x14ac:dyDescent="0.3">
      <c r="N82" s="5" t="s">
        <v>102</v>
      </c>
      <c r="O82" s="5">
        <f t="shared" si="4"/>
        <v>0</v>
      </c>
    </row>
    <row r="83" spans="14:15" x14ac:dyDescent="0.3">
      <c r="N83" s="5" t="s">
        <v>103</v>
      </c>
      <c r="O83" s="5">
        <f t="shared" si="4"/>
        <v>0</v>
      </c>
    </row>
    <row r="84" spans="14:15" x14ac:dyDescent="0.3">
      <c r="N84" s="5" t="s">
        <v>104</v>
      </c>
      <c r="O84" s="5">
        <f t="shared" ref="O84:O102" si="5">IF(AND(O83&gt;0, O83&lt;40),O83+1, IF($G$8&amp;$H$8=N84,1,0))</f>
        <v>0</v>
      </c>
    </row>
    <row r="85" spans="14:15" x14ac:dyDescent="0.3">
      <c r="N85" s="5" t="s">
        <v>105</v>
      </c>
      <c r="O85" s="5">
        <f t="shared" si="5"/>
        <v>0</v>
      </c>
    </row>
    <row r="86" spans="14:15" x14ac:dyDescent="0.3">
      <c r="N86" s="5" t="s">
        <v>106</v>
      </c>
      <c r="O86" s="5">
        <f t="shared" si="5"/>
        <v>0</v>
      </c>
    </row>
    <row r="87" spans="14:15" x14ac:dyDescent="0.3">
      <c r="N87" s="5" t="s">
        <v>107</v>
      </c>
      <c r="O87" s="5">
        <f t="shared" si="5"/>
        <v>0</v>
      </c>
    </row>
    <row r="88" spans="14:15" x14ac:dyDescent="0.3">
      <c r="N88" s="5" t="s">
        <v>108</v>
      </c>
      <c r="O88" s="5">
        <f t="shared" si="5"/>
        <v>0</v>
      </c>
    </row>
    <row r="89" spans="14:15" x14ac:dyDescent="0.3">
      <c r="N89" s="5" t="s">
        <v>109</v>
      </c>
      <c r="O89" s="5">
        <f t="shared" si="5"/>
        <v>0</v>
      </c>
    </row>
    <row r="90" spans="14:15" x14ac:dyDescent="0.3">
      <c r="N90" s="5" t="s">
        <v>110</v>
      </c>
      <c r="O90" s="5">
        <f t="shared" si="5"/>
        <v>0</v>
      </c>
    </row>
    <row r="91" spans="14:15" x14ac:dyDescent="0.3">
      <c r="N91" s="5" t="s">
        <v>111</v>
      </c>
      <c r="O91" s="5">
        <f t="shared" si="5"/>
        <v>0</v>
      </c>
    </row>
    <row r="92" spans="14:15" x14ac:dyDescent="0.3">
      <c r="N92" s="5" t="s">
        <v>112</v>
      </c>
      <c r="O92" s="5">
        <f t="shared" si="5"/>
        <v>0</v>
      </c>
    </row>
    <row r="93" spans="14:15" x14ac:dyDescent="0.3">
      <c r="N93" s="5" t="s">
        <v>113</v>
      </c>
      <c r="O93" s="5">
        <f t="shared" si="5"/>
        <v>0</v>
      </c>
    </row>
    <row r="94" spans="14:15" x14ac:dyDescent="0.3">
      <c r="N94" s="5" t="s">
        <v>114</v>
      </c>
      <c r="O94" s="5">
        <f t="shared" si="5"/>
        <v>0</v>
      </c>
    </row>
    <row r="95" spans="14:15" x14ac:dyDescent="0.3">
      <c r="N95" s="5" t="s">
        <v>115</v>
      </c>
      <c r="O95" s="5">
        <f t="shared" si="5"/>
        <v>0</v>
      </c>
    </row>
    <row r="96" spans="14:15" x14ac:dyDescent="0.3">
      <c r="N96" s="5" t="s">
        <v>116</v>
      </c>
      <c r="O96" s="5">
        <f t="shared" si="5"/>
        <v>0</v>
      </c>
    </row>
    <row r="97" spans="14:15" x14ac:dyDescent="0.3">
      <c r="N97" s="5" t="s">
        <v>117</v>
      </c>
      <c r="O97" s="5">
        <f t="shared" si="5"/>
        <v>0</v>
      </c>
    </row>
    <row r="98" spans="14:15" x14ac:dyDescent="0.3">
      <c r="N98" s="5" t="s">
        <v>118</v>
      </c>
      <c r="O98" s="5">
        <f t="shared" si="5"/>
        <v>0</v>
      </c>
    </row>
    <row r="99" spans="14:15" x14ac:dyDescent="0.3">
      <c r="N99" s="5" t="s">
        <v>119</v>
      </c>
      <c r="O99" s="5">
        <f t="shared" si="5"/>
        <v>0</v>
      </c>
    </row>
    <row r="100" spans="14:15" x14ac:dyDescent="0.3">
      <c r="N100" s="5" t="s">
        <v>120</v>
      </c>
      <c r="O100" s="5">
        <f t="shared" si="5"/>
        <v>0</v>
      </c>
    </row>
    <row r="101" spans="14:15" x14ac:dyDescent="0.3">
      <c r="N101" s="5" t="s">
        <v>121</v>
      </c>
      <c r="O101" s="5">
        <f t="shared" si="5"/>
        <v>0</v>
      </c>
    </row>
    <row r="102" spans="14:15" x14ac:dyDescent="0.3">
      <c r="N102" s="5" t="s">
        <v>122</v>
      </c>
      <c r="O102" s="5">
        <f t="shared" si="5"/>
        <v>0</v>
      </c>
    </row>
  </sheetData>
  <sheetProtection algorithmName="SHA-512" hashValue="EmkEfiQ/f5sFuSz5wnmlt1EnIsUhfn0UJbLFMfi2Oqqj7EIin8WWQyGrGxAJa2yNf9oxE4Mq7rq/a163a4bkRg==" saltValue="FODpcaf/sseI0eJPD7OImw==" spinCount="100000" sheet="1" objects="1" scenarios="1" formatColumns="0" formatRows="0"/>
  <mergeCells count="1">
    <mergeCell ref="B1:H1"/>
  </mergeCells>
  <phoneticPr fontId="4" type="noConversion"/>
  <conditionalFormatting sqref="G9:G10 H8">
    <cfRule type="containsBlanks" dxfId="0" priority="1">
      <formula>LEN(TRIM(G8))=0</formula>
    </cfRule>
  </conditionalFormatting>
  <dataValidations count="1">
    <dataValidation type="list" allowBlank="1" showInputMessage="1" showErrorMessage="1" sqref="H8" xr:uid="{9A424117-C0B5-4521-B2EA-3AF80767C113}">
      <formula1>$Q$19:$Q$22</formula1>
    </dataValidation>
  </dataValidations>
  <pageMargins left="0.7" right="0.7" top="0.75" bottom="0.75" header="0.3" footer="0.3"/>
  <drawing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Read Me</vt:lpstr>
      <vt:lpstr>Calculator</vt:lpstr>
      <vt:lpstr>CapEx</vt:lpstr>
      <vt:lpstr>FCIkW</vt:lpstr>
    </vt:vector>
  </TitlesOfParts>
  <Company>California Air Resources Board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Nicholson, Benjamin@ARB</dc:creator>
  <cp:lastModifiedBy>Nicholson, Benjamin@ARB</cp:lastModifiedBy>
  <dcterms:created xsi:type="dcterms:W3CDTF">2022-07-29T16:45:18Z</dcterms:created>
  <dcterms:modified xsi:type="dcterms:W3CDTF">2025-07-30T23:19:19Z</dcterms:modified>
</cp:coreProperties>
</file>